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jsaProject.bin" ContentType="application/vnd.openxmlformats-officedocument.oleObject"/>
  <Override PartName="/xl/threadedComments/threadedComment1.xml" ContentType="application/vnd.ms-excel.threadedcomments+xml"/>
  <Override PartName="/xl/threadedComments/threadedComment2.xml" ContentType="application/vnd.ms-excel.threadedcomments+xml"/>
  <Override PartName="/xl/threadedComments/threadedComment3.xml" ContentType="application/vnd.ms-excel.threadedcomments+xml"/>
  <Override PartName="/xl/threadedComments/threadedComment4.xml" ContentType="application/vnd.ms-excel.threadedcomments+xml"/>
  <Override PartName="/xl/threadedComments/threadedComment5.xml" ContentType="application/vnd.ms-excel.threadedcomments+xml"/>
  <Override PartName="/xl/threadedComments/threadedComment6.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krotil\Desktop\zaverecny_ucet_2025_5_2026\"/>
    </mc:Choice>
  </mc:AlternateContent>
  <bookViews>
    <workbookView xWindow="0" yWindow="0" windowWidth="28800" windowHeight="12315" firstSheet="4" activeTab="9"/>
  </bookViews>
  <sheets>
    <sheet name="priloha_1" sheetId="1" state="hidden" r:id="rId1"/>
    <sheet name="2025_priloha_1" sheetId="2" state="hidden" r:id="rId2"/>
    <sheet name="2025_priloha_2" sheetId="3" state="hidden" r:id="rId3"/>
    <sheet name="2025_priloha_3" sheetId="4" state="hidden" r:id="rId4"/>
    <sheet name="2025-prehl-akci" sheetId="5" r:id="rId5"/>
    <sheet name="SR-25-JS" sheetId="6" r:id="rId6"/>
    <sheet name="1.pol.25" sheetId="7" r:id="rId7"/>
    <sheet name="1.pol.25koncept" sheetId="8" r:id="rId8"/>
    <sheet name="dle040-I." sheetId="9" r:id="rId9"/>
    <sheet name="rok25" sheetId="10" r:id="rId10"/>
    <sheet name="rok25koncept" sheetId="11" r:id="rId11"/>
    <sheet name="dle040-II." sheetId="12" r:id="rId12"/>
  </sheets>
  <externalReferences>
    <externalReference r:id="rId13"/>
    <externalReference r:id="rId14"/>
  </externalReferences>
  <definedNames>
    <definedName name="__xlfn_ANCHORARRAY">NA()</definedName>
    <definedName name="_xlnm._FilterDatabase" localSheetId="6" hidden="1">'1.pol.25'!$I$1:$I$880</definedName>
    <definedName name="_xlnm._FilterDatabase" localSheetId="7" hidden="1">'1.pol.25koncept'!$I$1:$I$990</definedName>
    <definedName name="_xlnm._FilterDatabase" localSheetId="1" hidden="1">'2025_priloha_1'!$F$2:$F$38</definedName>
    <definedName name="_xlnm._FilterDatabase" localSheetId="2" hidden="1">'2025_priloha_2'!$G$1:$G$975</definedName>
    <definedName name="_xlnm._FilterDatabase" localSheetId="3" hidden="1">'2025_priloha_3'!$A$5:$O$5</definedName>
    <definedName name="_xlnm._FilterDatabase" localSheetId="9" hidden="1">'rok25'!$I$1:$I$933</definedName>
    <definedName name="_xlnm._FilterDatabase" localSheetId="10" hidden="1">rok25koncept!$I$1:$I$922</definedName>
    <definedName name="_xlnm._FilterDatabase" localSheetId="5" hidden="1">'SR-25-JS'!$G$2:$G$969</definedName>
    <definedName name="Excel_BuiltIn__FilterDatabase" localSheetId="6">'1.pol.25'!#REF!</definedName>
    <definedName name="Excel_BuiltIn__FilterDatabase" localSheetId="7">'1.pol.25koncept'!#REF!</definedName>
    <definedName name="Excel_BuiltIn__FilterDatabase" localSheetId="1">'2025_priloha_1'!$F$2:$F$38</definedName>
    <definedName name="Excel_BuiltIn__FilterDatabase" localSheetId="2">'2025_priloha_2'!#REF!</definedName>
    <definedName name="Excel_BuiltIn__FilterDatabase" localSheetId="9">'rok25'!#REF!</definedName>
    <definedName name="Excel_BuiltIn__FilterDatabase" localSheetId="10">rok25koncept!#REF!</definedName>
    <definedName name="Excel_BuiltIn__FilterDatabase" localSheetId="5">'SR-25-JS'!#REF!</definedName>
    <definedName name="Excel_BuiltIn_Print_Area" localSheetId="6">'1.pol.25'!$A$1:$D$872</definedName>
    <definedName name="Excel_BuiltIn_Print_Area" localSheetId="7">'1.pol.25koncept'!$A$1:$D$981</definedName>
    <definedName name="Excel_BuiltIn_Print_Area" localSheetId="1">'2025_priloha_1'!$A$2:$I$31</definedName>
    <definedName name="Excel_BuiltIn_Print_Area" localSheetId="2">'2025_priloha_2'!$A$2:$G$968</definedName>
    <definedName name="Excel_BuiltIn_Print_Area" localSheetId="0">priloha_1!$A$1:$G$50</definedName>
    <definedName name="Excel_BuiltIn_Print_Area" localSheetId="9">'rok25'!$A$1:$D$925</definedName>
    <definedName name="Excel_BuiltIn_Print_Area" localSheetId="10">rok25koncept!$A$1:$D$914</definedName>
    <definedName name="Excel_BuiltIn_Print_Area" localSheetId="5">'SR-25-JS'!$A$2:$D$961</definedName>
    <definedName name="Excel_BuiltIn_Print_Titles" localSheetId="6">'1.pol.25'!$1:$1</definedName>
    <definedName name="Excel_BuiltIn_Print_Titles" localSheetId="7">'1.pol.25koncept'!$1:$1</definedName>
    <definedName name="Excel_BuiltIn_Print_Titles" localSheetId="1">'2025_priloha_1'!$2:$2</definedName>
    <definedName name="Excel_BuiltIn_Print_Titles" localSheetId="2">'2025_priloha_2'!$2:$2</definedName>
    <definedName name="Excel_BuiltIn_Print_Titles" localSheetId="0">priloha_1!$2:$2</definedName>
    <definedName name="Excel_BuiltIn_Print_Titles" localSheetId="9">'rok25'!$1:$1</definedName>
    <definedName name="Excel_BuiltIn_Print_Titles" localSheetId="10">rok25koncept!$1:$1</definedName>
    <definedName name="Excel_BuiltIn_Print_Titles" localSheetId="5">'SR-25-JS'!$2:$2</definedName>
    <definedName name="kurz">[1]rozhodnutí!$N$31</definedName>
    <definedName name="_xlnm.Print_Area" localSheetId="6">'1.pol.25'!$A$1:$I$872</definedName>
    <definedName name="_xlnm.Print_Area" localSheetId="7">'1.pol.25koncept'!$A$1:$I$981</definedName>
    <definedName name="_xlnm.Print_Area" localSheetId="1">'2025_priloha_1'!$B$1:$G$31</definedName>
    <definedName name="_xlnm.Print_Area" localSheetId="2">'2025_priloha_2'!$A$1:$J$968</definedName>
    <definedName name="_xlnm.Print_Area" localSheetId="3">'2025_priloha_3'!$A$1:$J$31</definedName>
    <definedName name="_xlnm.Print_Area" localSheetId="8">'dle040-I.'!$A$1:$K$69</definedName>
    <definedName name="_xlnm.Print_Area" localSheetId="11">'dle040-II.'!$A$1:$K$72</definedName>
    <definedName name="_xlnm.Print_Area" localSheetId="0">priloha_1!$A$1:$G$50</definedName>
    <definedName name="_xlnm.Print_Area" localSheetId="9">'rok25'!$A$1:$I$925</definedName>
    <definedName name="_xlnm.Print_Area" localSheetId="10">rok25koncept!$A$1:$I$914</definedName>
    <definedName name="_xlnm.Print_Area" localSheetId="5">'SR-25-JS'!$A$1:$G$961</definedName>
    <definedName name="Print_Titles" localSheetId="6">'1.pol.25'!$1:$1</definedName>
    <definedName name="Print_Titles" localSheetId="7">'1.pol.25koncept'!$1:$1</definedName>
    <definedName name="Print_Titles" localSheetId="1">'2025_priloha_1'!$2:$2</definedName>
    <definedName name="Print_Titles" localSheetId="2">'2025_priloha_2'!$2:$2</definedName>
    <definedName name="Print_Titles" localSheetId="3">'2025_priloha_3'!$3:$5</definedName>
    <definedName name="Print_Titles" localSheetId="0">priloha_1!$2:$2</definedName>
    <definedName name="Print_Titles" localSheetId="9">'rok25'!$1:$1</definedName>
    <definedName name="Print_Titles" localSheetId="10">rok25koncept!$1:$1</definedName>
    <definedName name="Print_Titles" localSheetId="5">'SR-25-JS'!$2:$2</definedName>
    <definedName name="Z_038CF6B2_7B3F_4A01_A462_2733E395149B_.wvu.Cols" localSheetId="3" hidden="1">'2025_priloha_3'!$B:$B</definedName>
    <definedName name="Z_038CF6B2_7B3F_4A01_A462_2733E395149B_.wvu.PrintArea" localSheetId="3" hidden="1">'2025_priloha_3'!$A$2:$J$31</definedName>
    <definedName name="Z_038CF6B2_7B3F_4A01_A462_2733E395149B_.wvu.PrintTitles" localSheetId="3" hidden="1">'2025_priloha_3'!$3:$5</definedName>
    <definedName name="Z_06955F1B_5DDC_4ACB_AC47_06215168C130_.wvu.Cols" localSheetId="3" hidden="1">'2025_priloha_3'!$B:$B</definedName>
    <definedName name="Z_06955F1B_5DDC_4ACB_AC47_06215168C130_.wvu.PrintArea" localSheetId="3" hidden="1">'2025_priloha_3'!$A$2:$J$31</definedName>
    <definedName name="Z_06955F1B_5DDC_4ACB_AC47_06215168C130_.wvu.PrintTitles" localSheetId="3" hidden="1">'2025_priloha_3'!$3:$5</definedName>
    <definedName name="Z_61B615FA_A35B_4CBE_9433_E2564F62A4F7_.wvu.Cols" localSheetId="3" hidden="1">'2025_priloha_3'!$B:$B</definedName>
    <definedName name="Z_61B615FA_A35B_4CBE_9433_E2564F62A4F7_.wvu.PrintArea" localSheetId="3" hidden="1">'2025_priloha_3'!$A$2:$J$31</definedName>
    <definedName name="Z_61B615FA_A35B_4CBE_9433_E2564F62A4F7_.wvu.PrintTitles" localSheetId="3" hidden="1">'2025_priloha_3'!$3:$5</definedName>
    <definedName name="Z_8135008D_FA09_47D0_A3D6_431443FF0074_.wvu.Cols" localSheetId="3" hidden="1">'2025_priloha_3'!$B:$B</definedName>
    <definedName name="Z_8135008D_FA09_47D0_A3D6_431443FF0074_.wvu.PrintArea" localSheetId="3" hidden="1">'2025_priloha_3'!$A$2:$J$31</definedName>
    <definedName name="Z_8135008D_FA09_47D0_A3D6_431443FF0074_.wvu.PrintTitles" localSheetId="3" hidden="1">'2025_priloha_3'!$3:$5</definedName>
    <definedName name="Z_816DCA7E_FC41_44AE_85AF_FE12F0BC4BE0_.wvu.Cols" localSheetId="3" hidden="1">'[2]Akce reprodukce majetku kraje'!$B:$B,'[2]Akce reprodukce majetku kraje'!#REF!</definedName>
    <definedName name="Z_816DCA7E_FC41_44AE_85AF_FE12F0BC4BE0_.wvu.PrintArea" localSheetId="3" hidden="1">'2025_priloha_3'!$A$2:$J$31</definedName>
    <definedName name="Z_816DCA7E_FC41_44AE_85AF_FE12F0BC4BE0_.wvu.PrintTitles" localSheetId="3" hidden="1">'2025_priloha_3'!$3:$5</definedName>
    <definedName name="Z_A45EA3DE_5B96_4607_A0C5_478ED8E5C5A2_.wvu.Cols" localSheetId="3" hidden="1">'[2]Akce reprodukce majetku kraje'!$B:$B,'[2]Akce reprodukce majetku kraje'!#REF!</definedName>
    <definedName name="Z_A45EA3DE_5B96_4607_A0C5_478ED8E5C5A2_.wvu.PrintArea" localSheetId="3" hidden="1">'2025_priloha_3'!$A$2:$J$31</definedName>
    <definedName name="Z_A45EA3DE_5B96_4607_A0C5_478ED8E5C5A2_.wvu.PrintTitles" localSheetId="3" hidden="1">'2025_priloha_3'!$3:$5</definedName>
    <definedName name="Z_A75D8D73_D84E_45ED_81CC_3AB447ABD77C_.wvu.Cols" localSheetId="3" hidden="1">'[2]Akce reprodukce majetku kraje'!#REF!</definedName>
    <definedName name="Z_A75D8D73_D84E_45ED_81CC_3AB447ABD77C_.wvu.PrintArea" localSheetId="3" hidden="1">'2025_priloha_3'!$A$2:$J$31</definedName>
    <definedName name="Z_A75D8D73_D84E_45ED_81CC_3AB447ABD77C_.wvu.PrintTitles" localSheetId="3" hidden="1">'2025_priloha_3'!$3:$5</definedName>
    <definedName name="Z_AF65B0D2_A89B_4D75_B4AE_5BFEE1615BA9_.wvu.Cols" localSheetId="3" hidden="1">'2025_priloha_3'!$B:$B</definedName>
    <definedName name="Z_AF65B0D2_A89B_4D75_B4AE_5BFEE1615BA9_.wvu.PrintArea" localSheetId="3" hidden="1">'2025_priloha_3'!$A$2:$J$31</definedName>
    <definedName name="Z_AF65B0D2_A89B_4D75_B4AE_5BFEE1615BA9_.wvu.PrintTitles" localSheetId="3" hidden="1">'2025_priloha_3'!$3:$5</definedName>
    <definedName name="Z_C49FCFC9_CF51_484E_9F6E_E5FACC7A48A4_.wvu.Cols" localSheetId="3" hidden="1">'[2]Akce reprodukce majetku kraje'!$B:$B,'[2]Akce reprodukce majetku kraje'!#REF!</definedName>
    <definedName name="Z_C49FCFC9_CF51_484E_9F6E_E5FACC7A48A4_.wvu.PrintArea" localSheetId="3" hidden="1">'2025_priloha_3'!$A$2:$J$31</definedName>
    <definedName name="Z_C49FCFC9_CF51_484E_9F6E_E5FACC7A48A4_.wvu.PrintTitles" localSheetId="3" hidden="1">'2025_priloha_3'!$3:$5</definedName>
    <definedName name="Z_EBE613F2_32CB_4E3D_B0BB_2E9DFB67D43D_.wvu.Cols" localSheetId="3" hidden="1">'2025_priloha_3'!$B:$B</definedName>
    <definedName name="Z_EBE613F2_32CB_4E3D_B0BB_2E9DFB67D43D_.wvu.PrintArea" localSheetId="3" hidden="1">'2025_priloha_3'!$A$2:$J$31</definedName>
    <definedName name="Z_EBE613F2_32CB_4E3D_B0BB_2E9DFB67D43D_.wvu.PrintTitles" localSheetId="3" hidden="1">'2025_priloha_3'!$3:$5</definedName>
  </definedNames>
  <calcPr calcId="152511"/>
</workbook>
</file>

<file path=xl/calcChain.xml><?xml version="1.0" encoding="utf-8"?>
<calcChain xmlns="http://schemas.openxmlformats.org/spreadsheetml/2006/main">
  <c r="I68" i="12" l="1"/>
  <c r="G68" i="12"/>
  <c r="I60" i="12"/>
  <c r="G60" i="12"/>
  <c r="E46" i="12"/>
  <c r="I45" i="12"/>
  <c r="G45" i="12"/>
  <c r="G42" i="12"/>
  <c r="G44" i="12" s="1"/>
  <c r="G48" i="12" s="1"/>
  <c r="G58" i="12" s="1"/>
  <c r="G59" i="12" s="1"/>
  <c r="G62" i="12" s="1"/>
  <c r="I39" i="12"/>
  <c r="I42" i="12" s="1"/>
  <c r="I44" i="12" s="1"/>
  <c r="I48" i="12" s="1"/>
  <c r="I58" i="12" s="1"/>
  <c r="I59" i="12" s="1"/>
  <c r="I62" i="12" s="1"/>
  <c r="L30" i="12"/>
  <c r="I25" i="12"/>
  <c r="G25" i="12"/>
  <c r="I24" i="12"/>
  <c r="I27" i="12" s="1"/>
  <c r="I32" i="12" s="1"/>
  <c r="I30" i="12" s="1"/>
  <c r="G24" i="12"/>
  <c r="G27" i="12" s="1"/>
  <c r="G32" i="12" s="1"/>
  <c r="G30" i="12" s="1"/>
  <c r="E24" i="12"/>
  <c r="I14" i="12"/>
  <c r="I18" i="12" s="1"/>
  <c r="G14" i="12"/>
  <c r="G18" i="12" s="1"/>
  <c r="I918" i="11"/>
  <c r="H918" i="11"/>
  <c r="G918" i="11"/>
  <c r="F918" i="11"/>
  <c r="E918" i="11"/>
  <c r="E917" i="11"/>
  <c r="D911" i="11"/>
  <c r="D910" i="11"/>
  <c r="D909" i="11" s="1"/>
  <c r="C909" i="11"/>
  <c r="D906" i="11"/>
  <c r="D905" i="11"/>
  <c r="D904" i="11"/>
  <c r="D903" i="11"/>
  <c r="C903" i="11"/>
  <c r="D901" i="11"/>
  <c r="D900" i="11" s="1"/>
  <c r="C900" i="11"/>
  <c r="C889" i="11" s="1"/>
  <c r="C29" i="11" s="1"/>
  <c r="D899" i="11"/>
  <c r="D898" i="11"/>
  <c r="D897" i="11"/>
  <c r="D896" i="11"/>
  <c r="D892" i="11"/>
  <c r="D891" i="11"/>
  <c r="D890" i="11"/>
  <c r="D885" i="11"/>
  <c r="C885" i="11"/>
  <c r="D880" i="11"/>
  <c r="C880" i="11"/>
  <c r="D879" i="11"/>
  <c r="D28" i="11" s="1"/>
  <c r="C879" i="11"/>
  <c r="D877" i="11"/>
  <c r="D875" i="11"/>
  <c r="C875" i="11"/>
  <c r="D873" i="11"/>
  <c r="D872" i="11" s="1"/>
  <c r="D871" i="11" s="1"/>
  <c r="C872" i="11"/>
  <c r="C871" i="11" s="1"/>
  <c r="D869" i="11"/>
  <c r="D868" i="11"/>
  <c r="D866" i="11" s="1"/>
  <c r="C866" i="11"/>
  <c r="D864" i="11"/>
  <c r="D862" i="11" s="1"/>
  <c r="C862" i="11"/>
  <c r="D858" i="11"/>
  <c r="D855" i="11"/>
  <c r="C855" i="11"/>
  <c r="D854" i="11"/>
  <c r="D850" i="11"/>
  <c r="C850" i="11"/>
  <c r="C848" i="11" s="1"/>
  <c r="C846" i="11" s="1"/>
  <c r="D849" i="11"/>
  <c r="D848" i="11"/>
  <c r="D846" i="11" s="1"/>
  <c r="D847" i="11"/>
  <c r="C847" i="11"/>
  <c r="D843" i="11"/>
  <c r="D842" i="11"/>
  <c r="D840" i="11"/>
  <c r="D836" i="11" s="1"/>
  <c r="D838" i="11"/>
  <c r="C836" i="11"/>
  <c r="D833" i="11"/>
  <c r="D831" i="11"/>
  <c r="C831" i="11"/>
  <c r="D828" i="11"/>
  <c r="D827" i="11"/>
  <c r="D825" i="11" s="1"/>
  <c r="C825" i="11"/>
  <c r="D823" i="11"/>
  <c r="D822" i="11"/>
  <c r="D821" i="11"/>
  <c r="D820" i="11"/>
  <c r="D819" i="11" s="1"/>
  <c r="C819" i="11"/>
  <c r="D817" i="11"/>
  <c r="D813" i="11"/>
  <c r="D812" i="11"/>
  <c r="C812" i="11"/>
  <c r="D811" i="11"/>
  <c r="D810" i="11"/>
  <c r="C810" i="11"/>
  <c r="D806" i="11"/>
  <c r="D805" i="11" s="1"/>
  <c r="D802" i="11" s="1"/>
  <c r="C806" i="11"/>
  <c r="C805" i="11" s="1"/>
  <c r="C802" i="11" s="1"/>
  <c r="D803" i="11"/>
  <c r="C803" i="11"/>
  <c r="D799" i="11"/>
  <c r="C799" i="11"/>
  <c r="D797" i="11"/>
  <c r="D796" i="11"/>
  <c r="D795" i="11" s="1"/>
  <c r="C795" i="11"/>
  <c r="C792" i="11" s="1"/>
  <c r="C779" i="11" s="1"/>
  <c r="D793" i="11"/>
  <c r="D792" i="11" s="1"/>
  <c r="C793" i="11"/>
  <c r="D791" i="11"/>
  <c r="D790" i="11"/>
  <c r="D789" i="11"/>
  <c r="C789" i="11"/>
  <c r="D788" i="11"/>
  <c r="D786" i="11" s="1"/>
  <c r="D780" i="11" s="1"/>
  <c r="D779" i="11" s="1"/>
  <c r="C786" i="11"/>
  <c r="D781" i="11"/>
  <c r="C781" i="11"/>
  <c r="C780" i="11"/>
  <c r="D778" i="11"/>
  <c r="D775" i="11"/>
  <c r="D774" i="11"/>
  <c r="C774" i="11"/>
  <c r="D772" i="11"/>
  <c r="D770" i="11"/>
  <c r="D768" i="11" s="1"/>
  <c r="C768" i="11"/>
  <c r="D767" i="11"/>
  <c r="D765" i="11"/>
  <c r="D764" i="11"/>
  <c r="D762" i="11"/>
  <c r="D761" i="11"/>
  <c r="D753" i="11" s="1"/>
  <c r="D26" i="11" s="1"/>
  <c r="C761" i="11"/>
  <c r="C753" i="11" s="1"/>
  <c r="C26" i="11" s="1"/>
  <c r="D757" i="11"/>
  <c r="D754" i="11"/>
  <c r="D751" i="11"/>
  <c r="C751" i="11"/>
  <c r="D750" i="11"/>
  <c r="C750" i="11"/>
  <c r="C748" i="11" s="1"/>
  <c r="C747" i="11" s="1"/>
  <c r="C25" i="11" s="1"/>
  <c r="D749" i="11"/>
  <c r="C749" i="11"/>
  <c r="D748" i="11"/>
  <c r="D747" i="11"/>
  <c r="D25" i="11" s="1"/>
  <c r="D744" i="11"/>
  <c r="D743" i="11"/>
  <c r="D734" i="11" s="1"/>
  <c r="D733" i="11" s="1"/>
  <c r="D738" i="11"/>
  <c r="C734" i="11"/>
  <c r="C733" i="11" s="1"/>
  <c r="D727" i="11"/>
  <c r="D726" i="11"/>
  <c r="D725" i="11"/>
  <c r="D717" i="11" s="1"/>
  <c r="D716" i="11" s="1"/>
  <c r="D24" i="11" s="1"/>
  <c r="C725" i="11"/>
  <c r="D723" i="11"/>
  <c r="C723" i="11"/>
  <c r="D720" i="11"/>
  <c r="C720" i="11"/>
  <c r="C717" i="11"/>
  <c r="D713" i="11"/>
  <c r="C713" i="11"/>
  <c r="D712" i="11"/>
  <c r="C712" i="11"/>
  <c r="D711" i="11"/>
  <c r="C711" i="11"/>
  <c r="D710" i="11"/>
  <c r="D707" i="11" s="1"/>
  <c r="D23" i="11" s="1"/>
  <c r="C710" i="11"/>
  <c r="D709" i="11"/>
  <c r="C709" i="11"/>
  <c r="C707" i="11"/>
  <c r="C23" i="11" s="1"/>
  <c r="D705" i="11"/>
  <c r="D685" i="11" s="1"/>
  <c r="D22" i="11" s="1"/>
  <c r="C705" i="11"/>
  <c r="C685" i="11" s="1"/>
  <c r="C22" i="11" s="1"/>
  <c r="D704" i="11"/>
  <c r="C704" i="11"/>
  <c r="D700" i="11"/>
  <c r="C700" i="11"/>
  <c r="D699" i="11"/>
  <c r="C699" i="11"/>
  <c r="D695" i="11"/>
  <c r="C695" i="11"/>
  <c r="D694" i="11"/>
  <c r="D693" i="11" s="1"/>
  <c r="C694" i="11"/>
  <c r="C693" i="11"/>
  <c r="D692" i="11"/>
  <c r="C692" i="11"/>
  <c r="D691" i="11"/>
  <c r="D690" i="11"/>
  <c r="D688" i="11"/>
  <c r="D687" i="11"/>
  <c r="C687" i="11"/>
  <c r="D686" i="11"/>
  <c r="C686" i="11"/>
  <c r="D683" i="11"/>
  <c r="C683" i="11"/>
  <c r="C682" i="11" s="1"/>
  <c r="C681" i="11" s="1"/>
  <c r="C21" i="11" s="1"/>
  <c r="D682" i="11"/>
  <c r="D681" i="11"/>
  <c r="D679" i="11"/>
  <c r="C679" i="11"/>
  <c r="C668" i="11" s="1"/>
  <c r="C667" i="11" s="1"/>
  <c r="D677" i="11"/>
  <c r="D676" i="11"/>
  <c r="D668" i="11" s="1"/>
  <c r="D667" i="11" s="1"/>
  <c r="D675" i="11"/>
  <c r="D674" i="11"/>
  <c r="D673" i="11"/>
  <c r="D670" i="11"/>
  <c r="D669" i="11"/>
  <c r="D665" i="11"/>
  <c r="D664" i="11"/>
  <c r="C664" i="11"/>
  <c r="D662" i="11"/>
  <c r="D661" i="11" s="1"/>
  <c r="C661" i="11"/>
  <c r="D660" i="11"/>
  <c r="D656" i="11" s="1"/>
  <c r="D654" i="11" s="1"/>
  <c r="D659" i="11"/>
  <c r="C659" i="11"/>
  <c r="D658" i="11"/>
  <c r="D657" i="11"/>
  <c r="C657" i="11"/>
  <c r="C656" i="11"/>
  <c r="C654" i="11"/>
  <c r="D652" i="11"/>
  <c r="C652" i="11"/>
  <c r="D651" i="11"/>
  <c r="C651" i="11"/>
  <c r="D650" i="11"/>
  <c r="D649" i="11"/>
  <c r="D646" i="11"/>
  <c r="D645" i="11" s="1"/>
  <c r="C645" i="11"/>
  <c r="D644" i="11"/>
  <c r="D643" i="11" s="1"/>
  <c r="C644" i="11"/>
  <c r="C643" i="11"/>
  <c r="D641" i="11"/>
  <c r="D640" i="11"/>
  <c r="D639" i="11" s="1"/>
  <c r="D638" i="11" s="1"/>
  <c r="C640" i="11"/>
  <c r="C639" i="11"/>
  <c r="C638" i="11"/>
  <c r="D636" i="11"/>
  <c r="C636" i="11"/>
  <c r="D633" i="11"/>
  <c r="D632" i="11" s="1"/>
  <c r="D631" i="11" s="1"/>
  <c r="C632" i="11"/>
  <c r="C631" i="11" s="1"/>
  <c r="D628" i="11"/>
  <c r="C628" i="11"/>
  <c r="D627" i="11"/>
  <c r="C627" i="11"/>
  <c r="D626" i="11"/>
  <c r="D614" i="11" s="1"/>
  <c r="D625" i="11"/>
  <c r="D624" i="11"/>
  <c r="D623" i="11"/>
  <c r="C623" i="11"/>
  <c r="D622" i="11"/>
  <c r="D621" i="11"/>
  <c r="D613" i="11" s="1"/>
  <c r="D620" i="11"/>
  <c r="D619" i="11" s="1"/>
  <c r="C619" i="11"/>
  <c r="D616" i="11"/>
  <c r="C616" i="11"/>
  <c r="D615" i="11"/>
  <c r="C615" i="11"/>
  <c r="C614" i="11"/>
  <c r="C610" i="11" s="1"/>
  <c r="C613" i="11"/>
  <c r="C612" i="11"/>
  <c r="D611" i="11"/>
  <c r="D608" i="11"/>
  <c r="D606" i="11" s="1"/>
  <c r="D607" i="11"/>
  <c r="C607" i="11"/>
  <c r="C606" i="11" s="1"/>
  <c r="D603" i="11"/>
  <c r="C603" i="11"/>
  <c r="D602" i="11"/>
  <c r="C602" i="11"/>
  <c r="D599" i="11"/>
  <c r="D595" i="11" s="1"/>
  <c r="C599" i="11"/>
  <c r="C595" i="11" s="1"/>
  <c r="C594" i="11" s="1"/>
  <c r="D598" i="11"/>
  <c r="C598" i="11"/>
  <c r="D597" i="11"/>
  <c r="C597" i="11"/>
  <c r="C596" i="11"/>
  <c r="D589" i="11"/>
  <c r="C589" i="11"/>
  <c r="D585" i="11"/>
  <c r="C585" i="11"/>
  <c r="D578" i="11"/>
  <c r="D576" i="11" s="1"/>
  <c r="D17" i="11" s="1"/>
  <c r="C578" i="11"/>
  <c r="C576" i="11"/>
  <c r="D573" i="11"/>
  <c r="C573" i="11"/>
  <c r="D572" i="11"/>
  <c r="D571" i="11"/>
  <c r="C571" i="11"/>
  <c r="D570" i="11"/>
  <c r="C570" i="11"/>
  <c r="D569" i="11"/>
  <c r="C569" i="11"/>
  <c r="D566" i="11"/>
  <c r="C566" i="11"/>
  <c r="D564" i="11"/>
  <c r="D563" i="11"/>
  <c r="C563" i="11"/>
  <c r="D562" i="11"/>
  <c r="D561" i="11"/>
  <c r="C561" i="11"/>
  <c r="D557" i="11"/>
  <c r="C557" i="11"/>
  <c r="D555" i="11"/>
  <c r="C555" i="11"/>
  <c r="D554" i="11"/>
  <c r="D553" i="11" s="1"/>
  <c r="C553" i="11"/>
  <c r="D552" i="11"/>
  <c r="D551" i="11"/>
  <c r="D550" i="11"/>
  <c r="D549" i="11"/>
  <c r="D548" i="11"/>
  <c r="D547" i="11" s="1"/>
  <c r="C547" i="11"/>
  <c r="C546" i="11" s="1"/>
  <c r="D544" i="11"/>
  <c r="C544" i="11"/>
  <c r="D543" i="11"/>
  <c r="D542" i="11"/>
  <c r="C542" i="11"/>
  <c r="D541" i="11"/>
  <c r="D538" i="11"/>
  <c r="D537" i="11" s="1"/>
  <c r="C537" i="11"/>
  <c r="D536" i="11"/>
  <c r="D534" i="11"/>
  <c r="D533" i="11"/>
  <c r="D532" i="11"/>
  <c r="D531" i="11"/>
  <c r="D530" i="11"/>
  <c r="D527" i="11" s="1"/>
  <c r="D529" i="11"/>
  <c r="D528" i="11"/>
  <c r="C527" i="11"/>
  <c r="D526" i="11"/>
  <c r="D525" i="11"/>
  <c r="D524" i="11"/>
  <c r="D523" i="11"/>
  <c r="D522" i="11"/>
  <c r="D521" i="11"/>
  <c r="D520" i="11"/>
  <c r="D519" i="11"/>
  <c r="D518" i="11"/>
  <c r="D517" i="11"/>
  <c r="D515" i="11"/>
  <c r="D514" i="11"/>
  <c r="D513" i="11" s="1"/>
  <c r="C513" i="11"/>
  <c r="D510" i="11"/>
  <c r="D509" i="11"/>
  <c r="D508" i="11"/>
  <c r="C508" i="11"/>
  <c r="C507" i="11"/>
  <c r="D505" i="11"/>
  <c r="D495" i="11" s="1"/>
  <c r="C505" i="11"/>
  <c r="C495" i="11" s="1"/>
  <c r="D504" i="11"/>
  <c r="D503" i="11"/>
  <c r="C503" i="11"/>
  <c r="D501" i="11"/>
  <c r="D500" i="11"/>
  <c r="C500" i="11"/>
  <c r="D498" i="11"/>
  <c r="C498" i="11"/>
  <c r="D497" i="11"/>
  <c r="D496" i="11" s="1"/>
  <c r="C496" i="11"/>
  <c r="D494" i="11"/>
  <c r="D491" i="11" s="1"/>
  <c r="D490" i="11" s="1"/>
  <c r="D492" i="11"/>
  <c r="C491" i="11"/>
  <c r="C490" i="11"/>
  <c r="D486" i="11"/>
  <c r="C486" i="11"/>
  <c r="C480" i="11" s="1"/>
  <c r="D484" i="11"/>
  <c r="D483" i="11"/>
  <c r="D482" i="11"/>
  <c r="D481" i="11" s="1"/>
  <c r="D480" i="11" s="1"/>
  <c r="C481" i="11"/>
  <c r="D479" i="11"/>
  <c r="D477" i="11"/>
  <c r="D474" i="11" s="1"/>
  <c r="D476" i="11"/>
  <c r="C474" i="11"/>
  <c r="D473" i="11"/>
  <c r="D472" i="11"/>
  <c r="D471" i="11" s="1"/>
  <c r="C471" i="11"/>
  <c r="D470" i="11"/>
  <c r="D469" i="11" s="1"/>
  <c r="D468" i="11" s="1"/>
  <c r="C469" i="11"/>
  <c r="C468" i="11" s="1"/>
  <c r="D467" i="11"/>
  <c r="D466" i="11"/>
  <c r="C466" i="11"/>
  <c r="D465" i="11"/>
  <c r="D464" i="11"/>
  <c r="D462" i="11"/>
  <c r="D460" i="11"/>
  <c r="D458" i="11"/>
  <c r="D457" i="11"/>
  <c r="D455" i="11" s="1"/>
  <c r="D456" i="11"/>
  <c r="C455" i="11"/>
  <c r="C444" i="11" s="1"/>
  <c r="D453" i="11"/>
  <c r="D452" i="11"/>
  <c r="D451" i="11"/>
  <c r="D450" i="11"/>
  <c r="D449" i="11"/>
  <c r="D448" i="11"/>
  <c r="D447" i="11"/>
  <c r="D445" i="11"/>
  <c r="D444" i="11" s="1"/>
  <c r="C445" i="11"/>
  <c r="D443" i="11"/>
  <c r="D442" i="11"/>
  <c r="D441" i="11" s="1"/>
  <c r="C441" i="11"/>
  <c r="D440" i="11"/>
  <c r="D439" i="11"/>
  <c r="D438" i="11"/>
  <c r="D437" i="11"/>
  <c r="D435" i="11"/>
  <c r="D430" i="11"/>
  <c r="D429" i="11"/>
  <c r="D427" i="11"/>
  <c r="D425" i="11"/>
  <c r="D424" i="11"/>
  <c r="D422" i="11"/>
  <c r="D420" i="11"/>
  <c r="D417" i="11"/>
  <c r="D414" i="11"/>
  <c r="D413" i="11"/>
  <c r="D412" i="11"/>
  <c r="D411" i="11"/>
  <c r="D410" i="11" s="1"/>
  <c r="C410" i="11"/>
  <c r="D409" i="11"/>
  <c r="D406" i="11"/>
  <c r="D405" i="11"/>
  <c r="D403" i="11"/>
  <c r="D402" i="11"/>
  <c r="D397" i="11"/>
  <c r="D396" i="11"/>
  <c r="D395" i="11"/>
  <c r="D392" i="11"/>
  <c r="D391" i="11"/>
  <c r="D390" i="11"/>
  <c r="D389" i="11" s="1"/>
  <c r="C389" i="11"/>
  <c r="C388" i="11" s="1"/>
  <c r="D387" i="11"/>
  <c r="D386" i="11"/>
  <c r="D385" i="11"/>
  <c r="D384" i="11"/>
  <c r="D382" i="11"/>
  <c r="D380" i="11" s="1"/>
  <c r="D375" i="11" s="1"/>
  <c r="C380" i="11"/>
  <c r="C375" i="11" s="1"/>
  <c r="D379" i="11"/>
  <c r="D376" i="11"/>
  <c r="C376" i="11"/>
  <c r="D370" i="11"/>
  <c r="C370" i="11"/>
  <c r="D367" i="11"/>
  <c r="C367" i="11"/>
  <c r="D366" i="11"/>
  <c r="D365" i="11"/>
  <c r="D364" i="11" s="1"/>
  <c r="C365" i="11"/>
  <c r="C364" i="11"/>
  <c r="D363" i="11"/>
  <c r="D362" i="11"/>
  <c r="D358" i="11"/>
  <c r="D356" i="11"/>
  <c r="C356" i="11"/>
  <c r="C351" i="11" s="1"/>
  <c r="C319" i="11" s="1"/>
  <c r="D354" i="11"/>
  <c r="D352" i="11"/>
  <c r="D351" i="11"/>
  <c r="D350" i="11"/>
  <c r="D343" i="11" s="1"/>
  <c r="D349" i="11"/>
  <c r="C343" i="11"/>
  <c r="D342" i="11"/>
  <c r="D341" i="11"/>
  <c r="D340" i="11"/>
  <c r="D339" i="11" s="1"/>
  <c r="C339" i="11"/>
  <c r="D335" i="11"/>
  <c r="D334" i="11"/>
  <c r="D333" i="11"/>
  <c r="D332" i="11"/>
  <c r="D331" i="11"/>
  <c r="D330" i="11"/>
  <c r="D328" i="11" s="1"/>
  <c r="C328" i="11"/>
  <c r="D327" i="11"/>
  <c r="D326" i="11"/>
  <c r="D325" i="11"/>
  <c r="C325" i="11"/>
  <c r="D324" i="11"/>
  <c r="D320" i="11"/>
  <c r="C320" i="11"/>
  <c r="D318" i="11"/>
  <c r="D317" i="11"/>
  <c r="D315" i="11"/>
  <c r="D312" i="11"/>
  <c r="D311" i="11"/>
  <c r="D310" i="11" s="1"/>
  <c r="C311" i="11"/>
  <c r="C310" i="11" s="1"/>
  <c r="D309" i="11"/>
  <c r="D308" i="11"/>
  <c r="D306" i="11"/>
  <c r="D303" i="11"/>
  <c r="C303" i="11"/>
  <c r="D302" i="11"/>
  <c r="D295" i="11"/>
  <c r="C295" i="11"/>
  <c r="D294" i="11"/>
  <c r="C294" i="11"/>
  <c r="D293" i="11"/>
  <c r="D292" i="11"/>
  <c r="D291" i="11"/>
  <c r="D283" i="11" s="1"/>
  <c r="D282" i="11" s="1"/>
  <c r="D290" i="11"/>
  <c r="D289" i="11"/>
  <c r="D288" i="11"/>
  <c r="D287" i="11"/>
  <c r="D284" i="11"/>
  <c r="C284" i="11"/>
  <c r="C283" i="11"/>
  <c r="C282" i="11" s="1"/>
  <c r="D279" i="11"/>
  <c r="C279" i="11"/>
  <c r="C267" i="11" s="1"/>
  <c r="D278" i="11"/>
  <c r="D276" i="11"/>
  <c r="D275" i="11"/>
  <c r="D273" i="11"/>
  <c r="C273" i="11"/>
  <c r="D272" i="11"/>
  <c r="D271" i="11"/>
  <c r="D270" i="11"/>
  <c r="D269" i="11"/>
  <c r="D268" i="11" s="1"/>
  <c r="D267" i="11" s="1"/>
  <c r="C268" i="11"/>
  <c r="D260" i="11"/>
  <c r="C260" i="11"/>
  <c r="C257" i="11" s="1"/>
  <c r="C8" i="11" s="1"/>
  <c r="D259" i="11"/>
  <c r="C259" i="11"/>
  <c r="D258" i="11"/>
  <c r="D257" i="11" s="1"/>
  <c r="D8" i="11" s="1"/>
  <c r="C258" i="11"/>
  <c r="D252" i="11"/>
  <c r="D250" i="11" s="1"/>
  <c r="D251" i="11"/>
  <c r="C250" i="11"/>
  <c r="D249" i="11"/>
  <c r="D244" i="11"/>
  <c r="D243" i="11"/>
  <c r="D242" i="11"/>
  <c r="D241" i="11"/>
  <c r="C241" i="11"/>
  <c r="D240" i="11"/>
  <c r="D239" i="11"/>
  <c r="C239" i="11"/>
  <c r="D236" i="11"/>
  <c r="C236" i="11"/>
  <c r="D235" i="11"/>
  <c r="D234" i="11"/>
  <c r="D233" i="11"/>
  <c r="D232" i="11"/>
  <c r="D231" i="11"/>
  <c r="D230" i="11"/>
  <c r="D229" i="11"/>
  <c r="D222" i="11" s="1"/>
  <c r="D224" i="11"/>
  <c r="C222" i="11"/>
  <c r="D220" i="11"/>
  <c r="D217" i="11"/>
  <c r="D216" i="11"/>
  <c r="D215" i="11"/>
  <c r="D214" i="11"/>
  <c r="D213" i="11"/>
  <c r="C213" i="11"/>
  <c r="D212" i="11"/>
  <c r="D211" i="11"/>
  <c r="D210" i="11"/>
  <c r="D209" i="11"/>
  <c r="D208" i="11"/>
  <c r="D207" i="11"/>
  <c r="D206" i="11"/>
  <c r="D205" i="11"/>
  <c r="D204" i="11"/>
  <c r="D193" i="11" s="1"/>
  <c r="D203" i="11"/>
  <c r="D198" i="11"/>
  <c r="D195" i="11"/>
  <c r="D194" i="11"/>
  <c r="C193" i="11"/>
  <c r="D192" i="11"/>
  <c r="D191" i="11"/>
  <c r="D189" i="11" s="1"/>
  <c r="C189" i="11"/>
  <c r="D188" i="11"/>
  <c r="C188" i="11"/>
  <c r="D187" i="11"/>
  <c r="D186" i="11" s="1"/>
  <c r="C186" i="11"/>
  <c r="C185" i="11" s="1"/>
  <c r="C6" i="11" s="1"/>
  <c r="D182" i="11"/>
  <c r="D181" i="11"/>
  <c r="D180" i="11"/>
  <c r="D179" i="11"/>
  <c r="D177" i="11" s="1"/>
  <c r="D178" i="11"/>
  <c r="C177" i="11"/>
  <c r="D175" i="11"/>
  <c r="D174" i="11"/>
  <c r="D173" i="11"/>
  <c r="D172" i="11"/>
  <c r="D171" i="11"/>
  <c r="D170" i="11" s="1"/>
  <c r="C170" i="11"/>
  <c r="D169" i="11"/>
  <c r="D168" i="11"/>
  <c r="C167" i="11"/>
  <c r="C5" i="11" s="1"/>
  <c r="D165" i="11"/>
  <c r="C165" i="11"/>
  <c r="D164" i="11"/>
  <c r="D163" i="11"/>
  <c r="D160" i="11"/>
  <c r="D150" i="11" s="1"/>
  <c r="D151" i="11"/>
  <c r="C150" i="11"/>
  <c r="D131" i="11"/>
  <c r="C131" i="11"/>
  <c r="D130" i="11"/>
  <c r="C130" i="11"/>
  <c r="D129" i="11"/>
  <c r="D126" i="11"/>
  <c r="D125" i="11"/>
  <c r="D123" i="11"/>
  <c r="D122" i="11"/>
  <c r="D118" i="11"/>
  <c r="D117" i="11"/>
  <c r="D115" i="11"/>
  <c r="C112" i="11"/>
  <c r="D111" i="11"/>
  <c r="D106" i="11"/>
  <c r="D104" i="11"/>
  <c r="D103" i="11"/>
  <c r="D102" i="11"/>
  <c r="D98" i="11"/>
  <c r="D95" i="11"/>
  <c r="C95" i="11"/>
  <c r="D94" i="11"/>
  <c r="D93" i="11"/>
  <c r="D81" i="11"/>
  <c r="C81" i="11"/>
  <c r="D78" i="11"/>
  <c r="D77" i="11"/>
  <c r="D73" i="11"/>
  <c r="D66" i="11" s="1"/>
  <c r="D69" i="11"/>
  <c r="C66" i="11"/>
  <c r="C65" i="11"/>
  <c r="D62" i="11"/>
  <c r="C62" i="11"/>
  <c r="D61" i="11"/>
  <c r="D58" i="11"/>
  <c r="D55" i="11"/>
  <c r="D54" i="11"/>
  <c r="D53" i="11" s="1"/>
  <c r="C53" i="11"/>
  <c r="D46" i="11"/>
  <c r="D44" i="11"/>
  <c r="C44" i="11"/>
  <c r="D39" i="11"/>
  <c r="C39" i="11"/>
  <c r="D38" i="11"/>
  <c r="D37" i="11"/>
  <c r="D36" i="11"/>
  <c r="C36" i="11"/>
  <c r="D35" i="11"/>
  <c r="C35" i="11"/>
  <c r="D34" i="11"/>
  <c r="C34" i="11"/>
  <c r="C32" i="11" s="1"/>
  <c r="D33" i="11"/>
  <c r="C33" i="11"/>
  <c r="C28" i="11"/>
  <c r="D21" i="11"/>
  <c r="D19" i="11"/>
  <c r="C19" i="11"/>
  <c r="D18" i="11"/>
  <c r="C18" i="11"/>
  <c r="C17" i="11"/>
  <c r="D16" i="11"/>
  <c r="C16" i="11"/>
  <c r="D15" i="11"/>
  <c r="C15" i="11"/>
  <c r="C4" i="11"/>
  <c r="I925" i="10"/>
  <c r="I922" i="10"/>
  <c r="G922" i="10"/>
  <c r="D922" i="10"/>
  <c r="H922" i="10" s="1"/>
  <c r="G921" i="10"/>
  <c r="D921" i="10"/>
  <c r="D920" i="10" s="1"/>
  <c r="H920" i="10" s="1"/>
  <c r="I920" i="10"/>
  <c r="G920" i="10"/>
  <c r="F920" i="10"/>
  <c r="C920" i="10"/>
  <c r="H919" i="10"/>
  <c r="H918" i="10"/>
  <c r="H917" i="10"/>
  <c r="D917" i="10"/>
  <c r="D916" i="10"/>
  <c r="H916" i="10" s="1"/>
  <c r="D915" i="10"/>
  <c r="D914" i="10" s="1"/>
  <c r="H914" i="10" s="1"/>
  <c r="I914" i="10"/>
  <c r="F914" i="10"/>
  <c r="C914" i="10"/>
  <c r="I913" i="10"/>
  <c r="H913" i="10"/>
  <c r="G913" i="10"/>
  <c r="I912" i="10"/>
  <c r="G912" i="10"/>
  <c r="D912" i="10"/>
  <c r="H912" i="10" s="1"/>
  <c r="I911" i="10"/>
  <c r="F911" i="10"/>
  <c r="D911" i="10"/>
  <c r="H911" i="10" s="1"/>
  <c r="C911" i="10"/>
  <c r="G911" i="10" s="1"/>
  <c r="I910" i="10"/>
  <c r="G910" i="10"/>
  <c r="D910" i="10"/>
  <c r="H910" i="10" s="1"/>
  <c r="I909" i="10"/>
  <c r="H909" i="10"/>
  <c r="G909" i="10"/>
  <c r="D909" i="10"/>
  <c r="I908" i="10"/>
  <c r="G908" i="10"/>
  <c r="D908" i="10"/>
  <c r="H908" i="10" s="1"/>
  <c r="I907" i="10"/>
  <c r="G907" i="10"/>
  <c r="D907" i="10"/>
  <c r="H907" i="10" s="1"/>
  <c r="H906" i="10"/>
  <c r="G906" i="10"/>
  <c r="H905" i="10"/>
  <c r="H904" i="10"/>
  <c r="D903" i="10"/>
  <c r="H903" i="10" s="1"/>
  <c r="I902" i="10"/>
  <c r="D902" i="10"/>
  <c r="H902" i="10" s="1"/>
  <c r="D901" i="10"/>
  <c r="H901" i="10" s="1"/>
  <c r="I900" i="10"/>
  <c r="F900" i="10"/>
  <c r="H898" i="10"/>
  <c r="G898" i="10"/>
  <c r="I897" i="10"/>
  <c r="I896" i="10"/>
  <c r="H896" i="10"/>
  <c r="D896" i="10"/>
  <c r="C896" i="10"/>
  <c r="G896" i="10" s="1"/>
  <c r="H895" i="10"/>
  <c r="G895" i="10"/>
  <c r="H894" i="10"/>
  <c r="G894" i="10"/>
  <c r="H893" i="10"/>
  <c r="G893" i="10"/>
  <c r="H892" i="10"/>
  <c r="G892" i="10"/>
  <c r="G891" i="10"/>
  <c r="D891" i="10"/>
  <c r="C891" i="10"/>
  <c r="I890" i="10"/>
  <c r="F890" i="10"/>
  <c r="F28" i="10" s="1"/>
  <c r="G888" i="10"/>
  <c r="D888" i="10"/>
  <c r="I887" i="10"/>
  <c r="G887" i="10"/>
  <c r="D887" i="10"/>
  <c r="D886" i="10" s="1"/>
  <c r="H886" i="10" s="1"/>
  <c r="I886" i="10"/>
  <c r="G886" i="10"/>
  <c r="F886" i="10"/>
  <c r="C886" i="10"/>
  <c r="I885" i="10"/>
  <c r="H885" i="10"/>
  <c r="G885" i="10"/>
  <c r="I884" i="10"/>
  <c r="G884" i="10"/>
  <c r="D884" i="10"/>
  <c r="H884" i="10" s="1"/>
  <c r="I883" i="10"/>
  <c r="F883" i="10"/>
  <c r="D883" i="10"/>
  <c r="C883" i="10"/>
  <c r="I882" i="10"/>
  <c r="I881" i="10"/>
  <c r="H881" i="10"/>
  <c r="G881" i="10"/>
  <c r="G880" i="10"/>
  <c r="D880" i="10"/>
  <c r="G879" i="10"/>
  <c r="D879" i="10"/>
  <c r="H879" i="10" s="1"/>
  <c r="I878" i="10"/>
  <c r="H878" i="10"/>
  <c r="G878" i="10"/>
  <c r="I877" i="10"/>
  <c r="F877" i="10"/>
  <c r="D877" i="10"/>
  <c r="H877" i="10" s="1"/>
  <c r="C877" i="10"/>
  <c r="G877" i="10" s="1"/>
  <c r="H876" i="10"/>
  <c r="G876" i="10"/>
  <c r="I875" i="10"/>
  <c r="G875" i="10"/>
  <c r="D875" i="10"/>
  <c r="D873" i="10" s="1"/>
  <c r="H873" i="10" s="1"/>
  <c r="I874" i="10"/>
  <c r="H874" i="10"/>
  <c r="G874" i="10"/>
  <c r="I873" i="10"/>
  <c r="F873" i="10"/>
  <c r="C873" i="10"/>
  <c r="G873" i="10" s="1"/>
  <c r="I872" i="10"/>
  <c r="H872" i="10"/>
  <c r="G872" i="10"/>
  <c r="H871" i="10"/>
  <c r="G871" i="10"/>
  <c r="I870" i="10"/>
  <c r="H870" i="10"/>
  <c r="G870" i="10"/>
  <c r="G869" i="10"/>
  <c r="D869" i="10"/>
  <c r="I868" i="10"/>
  <c r="H868" i="10"/>
  <c r="G868" i="10"/>
  <c r="I867" i="10"/>
  <c r="H867" i="10"/>
  <c r="G867" i="10"/>
  <c r="I866" i="10"/>
  <c r="F866" i="10"/>
  <c r="C866" i="10"/>
  <c r="G866" i="10" s="1"/>
  <c r="H865" i="10"/>
  <c r="D865" i="10"/>
  <c r="H864" i="10"/>
  <c r="G864" i="10"/>
  <c r="I863" i="10"/>
  <c r="H863" i="10"/>
  <c r="G863" i="10"/>
  <c r="G862" i="10"/>
  <c r="D862" i="10"/>
  <c r="H862" i="10" s="1"/>
  <c r="I861" i="10"/>
  <c r="F861" i="10"/>
  <c r="D861" i="10"/>
  <c r="H861" i="10" s="1"/>
  <c r="C861" i="10"/>
  <c r="C859" i="10" s="1"/>
  <c r="G859" i="10" s="1"/>
  <c r="I860" i="10"/>
  <c r="G860" i="10"/>
  <c r="D860" i="10"/>
  <c r="I859" i="10"/>
  <c r="F859" i="10"/>
  <c r="D858" i="10"/>
  <c r="H858" i="10" s="1"/>
  <c r="C858" i="10"/>
  <c r="G858" i="10" s="1"/>
  <c r="I857" i="10"/>
  <c r="I856" i="10"/>
  <c r="H856" i="10"/>
  <c r="G856" i="10"/>
  <c r="H855" i="10"/>
  <c r="G855" i="10"/>
  <c r="I854" i="10"/>
  <c r="G854" i="10"/>
  <c r="D854" i="10"/>
  <c r="H854" i="10" s="1"/>
  <c r="I853" i="10"/>
  <c r="G853" i="10"/>
  <c r="D853" i="10"/>
  <c r="H853" i="10" s="1"/>
  <c r="I852" i="10"/>
  <c r="H852" i="10"/>
  <c r="G852" i="10"/>
  <c r="I851" i="10"/>
  <c r="D851" i="10"/>
  <c r="H851" i="10" s="1"/>
  <c r="H850" i="10"/>
  <c r="G850" i="10"/>
  <c r="I849" i="10"/>
  <c r="G849" i="10"/>
  <c r="D849" i="10"/>
  <c r="H849" i="10" s="1"/>
  <c r="H848" i="10"/>
  <c r="G848" i="10"/>
  <c r="I847" i="10"/>
  <c r="F847" i="10"/>
  <c r="D847" i="10"/>
  <c r="H847" i="10" s="1"/>
  <c r="C847" i="10"/>
  <c r="I846" i="10"/>
  <c r="H846" i="10"/>
  <c r="G846" i="10"/>
  <c r="I845" i="10"/>
  <c r="H845" i="10"/>
  <c r="G845" i="10"/>
  <c r="I844" i="10"/>
  <c r="G844" i="10"/>
  <c r="D844" i="10"/>
  <c r="D842" i="10" s="1"/>
  <c r="I843" i="10"/>
  <c r="H843" i="10"/>
  <c r="G843" i="10"/>
  <c r="I842" i="10"/>
  <c r="H842" i="10"/>
  <c r="G842" i="10"/>
  <c r="F842" i="10"/>
  <c r="C842" i="10"/>
  <c r="I841" i="10"/>
  <c r="H841" i="10"/>
  <c r="G841" i="10"/>
  <c r="H840" i="10"/>
  <c r="G840" i="10"/>
  <c r="I839" i="10"/>
  <c r="H839" i="10"/>
  <c r="D839" i="10"/>
  <c r="I838" i="10"/>
  <c r="G838" i="10"/>
  <c r="D838" i="10"/>
  <c r="H837" i="10"/>
  <c r="G837" i="10"/>
  <c r="I836" i="10"/>
  <c r="F836" i="10"/>
  <c r="C836" i="10"/>
  <c r="G836" i="10" s="1"/>
  <c r="I835" i="10"/>
  <c r="F835" i="10"/>
  <c r="I834" i="10"/>
  <c r="H834" i="10"/>
  <c r="G834" i="10"/>
  <c r="D834" i="10"/>
  <c r="I833" i="10"/>
  <c r="G833" i="10"/>
  <c r="D833" i="10"/>
  <c r="I832" i="10"/>
  <c r="G832" i="10"/>
  <c r="D832" i="10"/>
  <c r="H832" i="10" s="1"/>
  <c r="I831" i="10"/>
  <c r="G831" i="10"/>
  <c r="D831" i="10"/>
  <c r="D830" i="10" s="1"/>
  <c r="H830" i="10" s="1"/>
  <c r="I830" i="10"/>
  <c r="G830" i="10"/>
  <c r="F830" i="10"/>
  <c r="C830" i="10"/>
  <c r="I829" i="10"/>
  <c r="H829" i="10"/>
  <c r="G829" i="10"/>
  <c r="D828" i="10"/>
  <c r="I827" i="10"/>
  <c r="H827" i="10"/>
  <c r="G827" i="10"/>
  <c r="I826" i="10"/>
  <c r="H826" i="10"/>
  <c r="G826" i="10"/>
  <c r="I825" i="10"/>
  <c r="H825" i="10"/>
  <c r="G825" i="10"/>
  <c r="I824" i="10"/>
  <c r="G824" i="10"/>
  <c r="D824" i="10"/>
  <c r="H824" i="10" s="1"/>
  <c r="I823" i="10"/>
  <c r="H823" i="10"/>
  <c r="D823" i="10"/>
  <c r="C823" i="10"/>
  <c r="G823" i="10" s="1"/>
  <c r="I822" i="10"/>
  <c r="G822" i="10"/>
  <c r="D822" i="10"/>
  <c r="H822" i="10" s="1"/>
  <c r="I821" i="10"/>
  <c r="G821" i="10"/>
  <c r="D821" i="10"/>
  <c r="C821" i="10"/>
  <c r="I820" i="10"/>
  <c r="H820" i="10"/>
  <c r="G820" i="10"/>
  <c r="H819" i="10"/>
  <c r="G819" i="10"/>
  <c r="I818" i="10"/>
  <c r="H818" i="10"/>
  <c r="G818" i="10"/>
  <c r="I817" i="10"/>
  <c r="H817" i="10"/>
  <c r="F817" i="10"/>
  <c r="D817" i="10"/>
  <c r="C817" i="10"/>
  <c r="I816" i="10"/>
  <c r="F816" i="10"/>
  <c r="H815" i="10"/>
  <c r="G815" i="10"/>
  <c r="D814" i="10"/>
  <c r="H814" i="10" s="1"/>
  <c r="C814" i="10"/>
  <c r="G814" i="10" s="1"/>
  <c r="I813" i="10"/>
  <c r="H812" i="10"/>
  <c r="G812" i="10"/>
  <c r="H811" i="10"/>
  <c r="G811" i="10"/>
  <c r="I810" i="10"/>
  <c r="F810" i="10"/>
  <c r="D810" i="10"/>
  <c r="H810" i="10" s="1"/>
  <c r="C810" i="10"/>
  <c r="G810" i="10" s="1"/>
  <c r="H809" i="10"/>
  <c r="G809" i="10"/>
  <c r="I808" i="10"/>
  <c r="D808" i="10"/>
  <c r="I807" i="10"/>
  <c r="G807" i="10"/>
  <c r="D807" i="10"/>
  <c r="H807" i="10" s="1"/>
  <c r="I806" i="10"/>
  <c r="F806" i="10"/>
  <c r="C806" i="10"/>
  <c r="G806" i="10" s="1"/>
  <c r="H805" i="10"/>
  <c r="G805" i="10"/>
  <c r="H804" i="10"/>
  <c r="D804" i="10"/>
  <c r="C804" i="10"/>
  <c r="I803" i="10"/>
  <c r="I802" i="10"/>
  <c r="I801" i="10"/>
  <c r="D801" i="10"/>
  <c r="H801" i="10" s="1"/>
  <c r="I800" i="10"/>
  <c r="G800" i="10"/>
  <c r="D800" i="10"/>
  <c r="D799" i="10" s="1"/>
  <c r="H799" i="10" s="1"/>
  <c r="I799" i="10"/>
  <c r="G799" i="10"/>
  <c r="F799" i="10"/>
  <c r="C799" i="10"/>
  <c r="G798" i="10"/>
  <c r="D798" i="10"/>
  <c r="H798" i="10" s="1"/>
  <c r="H797" i="10"/>
  <c r="G797" i="10"/>
  <c r="F796" i="10"/>
  <c r="C796" i="10"/>
  <c r="G796" i="10" s="1"/>
  <c r="H795" i="10"/>
  <c r="H794" i="10"/>
  <c r="H793" i="10"/>
  <c r="H792" i="10"/>
  <c r="I791" i="10"/>
  <c r="H791" i="10"/>
  <c r="F791" i="10"/>
  <c r="D791" i="10"/>
  <c r="C791" i="10"/>
  <c r="C790" i="10" s="1"/>
  <c r="I790" i="10"/>
  <c r="F790" i="10"/>
  <c r="I789" i="10"/>
  <c r="F789" i="10"/>
  <c r="I788" i="10"/>
  <c r="G788" i="10"/>
  <c r="D788" i="10"/>
  <c r="H788" i="10" s="1"/>
  <c r="I787" i="10"/>
  <c r="F787" i="10"/>
  <c r="I785" i="10"/>
  <c r="G785" i="10"/>
  <c r="D785" i="10"/>
  <c r="I784" i="10"/>
  <c r="G784" i="10"/>
  <c r="C784" i="10"/>
  <c r="I783" i="10"/>
  <c r="H783" i="10"/>
  <c r="G783" i="10"/>
  <c r="G782" i="10"/>
  <c r="D782" i="10"/>
  <c r="H782" i="10" s="1"/>
  <c r="I781" i="10"/>
  <c r="H781" i="10"/>
  <c r="G781" i="10"/>
  <c r="I780" i="10"/>
  <c r="H780" i="10"/>
  <c r="G780" i="10"/>
  <c r="D780" i="10"/>
  <c r="H779" i="10"/>
  <c r="G779" i="10"/>
  <c r="I778" i="10"/>
  <c r="F778" i="10"/>
  <c r="C778" i="10"/>
  <c r="G778" i="10" s="1"/>
  <c r="G777" i="10"/>
  <c r="D777" i="10"/>
  <c r="H777" i="10" s="1"/>
  <c r="H776" i="10"/>
  <c r="G776" i="10"/>
  <c r="I775" i="10"/>
  <c r="H775" i="10"/>
  <c r="G775" i="10"/>
  <c r="D775" i="10"/>
  <c r="I774" i="10"/>
  <c r="G774" i="10"/>
  <c r="D774" i="10"/>
  <c r="H774" i="10" s="1"/>
  <c r="H773" i="10"/>
  <c r="G773" i="10"/>
  <c r="I772" i="10"/>
  <c r="G772" i="10"/>
  <c r="D772" i="10"/>
  <c r="D771" i="10" s="1"/>
  <c r="H771" i="10" s="1"/>
  <c r="I771" i="10"/>
  <c r="G771" i="10"/>
  <c r="F771" i="10"/>
  <c r="C771" i="10"/>
  <c r="I770" i="10"/>
  <c r="H770" i="10"/>
  <c r="G770" i="10"/>
  <c r="I769" i="10"/>
  <c r="H769" i="10"/>
  <c r="G769" i="10"/>
  <c r="I768" i="10"/>
  <c r="H768" i="10"/>
  <c r="G768" i="10"/>
  <c r="I767" i="10"/>
  <c r="G767" i="10"/>
  <c r="D767" i="10"/>
  <c r="H767" i="10" s="1"/>
  <c r="I766" i="10"/>
  <c r="H766" i="10"/>
  <c r="G766" i="10"/>
  <c r="I765" i="10"/>
  <c r="H765" i="10"/>
  <c r="G765" i="10"/>
  <c r="I764" i="10"/>
  <c r="G764" i="10"/>
  <c r="D764" i="10"/>
  <c r="I763" i="10"/>
  <c r="F763" i="10"/>
  <c r="C763" i="10"/>
  <c r="I761" i="10"/>
  <c r="G761" i="10"/>
  <c r="D761" i="10"/>
  <c r="H761" i="10" s="1"/>
  <c r="C761" i="10"/>
  <c r="I760" i="10"/>
  <c r="D760" i="10"/>
  <c r="H760" i="10" s="1"/>
  <c r="C760" i="10"/>
  <c r="G760" i="10" s="1"/>
  <c r="I759" i="10"/>
  <c r="G759" i="10"/>
  <c r="D759" i="10"/>
  <c r="D758" i="10" s="1"/>
  <c r="C759" i="10"/>
  <c r="C758" i="10" s="1"/>
  <c r="I758" i="10"/>
  <c r="F758" i="10"/>
  <c r="I757" i="10"/>
  <c r="I25" i="10" s="1"/>
  <c r="F757" i="10"/>
  <c r="I755" i="10"/>
  <c r="I754" i="10"/>
  <c r="H754" i="10"/>
  <c r="G754" i="10"/>
  <c r="I753" i="10"/>
  <c r="H753" i="10"/>
  <c r="D753" i="10"/>
  <c r="I752" i="10"/>
  <c r="G752" i="10"/>
  <c r="D752" i="10"/>
  <c r="H751" i="10"/>
  <c r="H750" i="10"/>
  <c r="G750" i="10"/>
  <c r="I749" i="10"/>
  <c r="H749" i="10"/>
  <c r="G749" i="10"/>
  <c r="I748" i="10"/>
  <c r="H748" i="10"/>
  <c r="G748" i="10"/>
  <c r="I747" i="10"/>
  <c r="H747" i="10"/>
  <c r="G747" i="10"/>
  <c r="D747" i="10"/>
  <c r="I746" i="10"/>
  <c r="H746" i="10"/>
  <c r="G746" i="10"/>
  <c r="I745" i="10"/>
  <c r="H745" i="10"/>
  <c r="G745" i="10"/>
  <c r="I744" i="10"/>
  <c r="H744" i="10"/>
  <c r="G744" i="10"/>
  <c r="I743" i="10"/>
  <c r="F743" i="10"/>
  <c r="C743" i="10"/>
  <c r="G743" i="10" s="1"/>
  <c r="I742" i="10"/>
  <c r="I740" i="10"/>
  <c r="H740" i="10"/>
  <c r="G740" i="10"/>
  <c r="H739" i="10"/>
  <c r="H738" i="10"/>
  <c r="G738" i="10"/>
  <c r="I737" i="10"/>
  <c r="H737" i="10"/>
  <c r="G737" i="10"/>
  <c r="I736" i="10"/>
  <c r="H736" i="10"/>
  <c r="G736" i="10"/>
  <c r="D736" i="10"/>
  <c r="I735" i="10"/>
  <c r="H735" i="10"/>
  <c r="G735" i="10"/>
  <c r="D735" i="10"/>
  <c r="I734" i="10"/>
  <c r="D734" i="10"/>
  <c r="H734" i="10" s="1"/>
  <c r="C734" i="10"/>
  <c r="G734" i="10" s="1"/>
  <c r="I733" i="10"/>
  <c r="H733" i="10"/>
  <c r="G733" i="10"/>
  <c r="I732" i="10"/>
  <c r="G732" i="10"/>
  <c r="D732" i="10"/>
  <c r="H732" i="10" s="1"/>
  <c r="C732" i="10"/>
  <c r="H731" i="10"/>
  <c r="G731" i="10"/>
  <c r="D731" i="10"/>
  <c r="I730" i="10"/>
  <c r="G730" i="10"/>
  <c r="D730" i="10"/>
  <c r="H730" i="10" s="1"/>
  <c r="I729" i="10"/>
  <c r="D729" i="10"/>
  <c r="C729" i="10"/>
  <c r="I728" i="10"/>
  <c r="H728" i="10"/>
  <c r="G728" i="10"/>
  <c r="I727" i="10"/>
  <c r="H727" i="10"/>
  <c r="G727" i="10"/>
  <c r="I726" i="10"/>
  <c r="F726" i="10"/>
  <c r="I725" i="10"/>
  <c r="F725" i="10"/>
  <c r="I723" i="10"/>
  <c r="H723" i="10"/>
  <c r="G723" i="10"/>
  <c r="I722" i="10"/>
  <c r="D722" i="10"/>
  <c r="H722" i="10" s="1"/>
  <c r="C722" i="10"/>
  <c r="G722" i="10" s="1"/>
  <c r="I721" i="10"/>
  <c r="H721" i="10"/>
  <c r="D721" i="10"/>
  <c r="C721" i="10"/>
  <c r="G721" i="10" s="1"/>
  <c r="I720" i="10"/>
  <c r="E720" i="10"/>
  <c r="D720" i="10"/>
  <c r="H720" i="10" s="1"/>
  <c r="C720" i="10"/>
  <c r="I719" i="10"/>
  <c r="F719" i="10"/>
  <c r="D719" i="10"/>
  <c r="H719" i="10" s="1"/>
  <c r="I718" i="10"/>
  <c r="D718" i="10"/>
  <c r="C718" i="10"/>
  <c r="I717" i="10"/>
  <c r="H717" i="10"/>
  <c r="G717" i="10"/>
  <c r="I716" i="10"/>
  <c r="F716" i="10"/>
  <c r="I714" i="10"/>
  <c r="G714" i="10"/>
  <c r="D714" i="10"/>
  <c r="H714" i="10" s="1"/>
  <c r="C714" i="10"/>
  <c r="I713" i="10"/>
  <c r="H713" i="10"/>
  <c r="D713" i="10"/>
  <c r="C713" i="10"/>
  <c r="G713" i="10" s="1"/>
  <c r="I712" i="10"/>
  <c r="H712" i="10"/>
  <c r="G712" i="10"/>
  <c r="I711" i="10"/>
  <c r="H711" i="10"/>
  <c r="G711" i="10"/>
  <c r="I710" i="10"/>
  <c r="H710" i="10"/>
  <c r="G710" i="10"/>
  <c r="I709" i="10"/>
  <c r="G709" i="10"/>
  <c r="D709" i="10"/>
  <c r="H709" i="10" s="1"/>
  <c r="C709" i="10"/>
  <c r="I708" i="10"/>
  <c r="G708" i="10"/>
  <c r="F708" i="10"/>
  <c r="D708" i="10"/>
  <c r="H708" i="10" s="1"/>
  <c r="C708" i="10"/>
  <c r="I707" i="10"/>
  <c r="H707" i="10"/>
  <c r="G707" i="10"/>
  <c r="I706" i="10"/>
  <c r="H706" i="10"/>
  <c r="G706" i="10"/>
  <c r="I705" i="10"/>
  <c r="H705" i="10"/>
  <c r="G705" i="10"/>
  <c r="I704" i="10"/>
  <c r="H704" i="10"/>
  <c r="D704" i="10"/>
  <c r="C704" i="10"/>
  <c r="G704" i="10" s="1"/>
  <c r="I703" i="10"/>
  <c r="F703" i="10"/>
  <c r="D703" i="10"/>
  <c r="C703" i="10"/>
  <c r="C702" i="10" s="1"/>
  <c r="G702" i="10" s="1"/>
  <c r="I702" i="10"/>
  <c r="F702" i="10"/>
  <c r="I701" i="10"/>
  <c r="G701" i="10"/>
  <c r="D701" i="10"/>
  <c r="H701" i="10" s="1"/>
  <c r="C701" i="10"/>
  <c r="I700" i="10"/>
  <c r="G700" i="10"/>
  <c r="D700" i="10"/>
  <c r="H700" i="10" s="1"/>
  <c r="D699" i="10"/>
  <c r="H699" i="10" s="1"/>
  <c r="H698" i="10"/>
  <c r="G698" i="10"/>
  <c r="H697" i="10"/>
  <c r="G697" i="10"/>
  <c r="D697" i="10"/>
  <c r="I696" i="10"/>
  <c r="D696" i="10"/>
  <c r="H696" i="10" s="1"/>
  <c r="C696" i="10"/>
  <c r="G696" i="10" s="1"/>
  <c r="I695" i="10"/>
  <c r="D695" i="10"/>
  <c r="C695" i="10"/>
  <c r="I694" i="10"/>
  <c r="F694" i="10"/>
  <c r="I692" i="10"/>
  <c r="D692" i="10"/>
  <c r="H692" i="10" s="1"/>
  <c r="C692" i="10"/>
  <c r="G692" i="10" s="1"/>
  <c r="I691" i="10"/>
  <c r="G691" i="10"/>
  <c r="D691" i="10"/>
  <c r="H691" i="10" s="1"/>
  <c r="C691" i="10"/>
  <c r="C690" i="10" s="1"/>
  <c r="I690" i="10"/>
  <c r="G690" i="10"/>
  <c r="G21" i="10" s="1"/>
  <c r="F690" i="10"/>
  <c r="F21" i="10" s="1"/>
  <c r="D690" i="10"/>
  <c r="D21" i="10" s="1"/>
  <c r="I688" i="10"/>
  <c r="D688" i="10"/>
  <c r="H688" i="10" s="1"/>
  <c r="C688" i="10"/>
  <c r="G688" i="10" s="1"/>
  <c r="H687" i="10"/>
  <c r="I686" i="10"/>
  <c r="H686" i="10"/>
  <c r="G686" i="10"/>
  <c r="D686" i="10"/>
  <c r="I685" i="10"/>
  <c r="G685" i="10"/>
  <c r="D685" i="10"/>
  <c r="H685" i="10" s="1"/>
  <c r="I684" i="10"/>
  <c r="H684" i="10"/>
  <c r="G684" i="10"/>
  <c r="D684" i="10"/>
  <c r="I683" i="10"/>
  <c r="H683" i="10"/>
  <c r="G683" i="10"/>
  <c r="D683" i="10"/>
  <c r="I682" i="10"/>
  <c r="H682" i="10"/>
  <c r="G682" i="10"/>
  <c r="D682" i="10"/>
  <c r="I681" i="10"/>
  <c r="H681" i="10"/>
  <c r="G681" i="10"/>
  <c r="I680" i="10"/>
  <c r="H680" i="10"/>
  <c r="G680" i="10"/>
  <c r="I679" i="10"/>
  <c r="G679" i="10"/>
  <c r="D679" i="10"/>
  <c r="I678" i="10"/>
  <c r="G678" i="10"/>
  <c r="D678" i="10"/>
  <c r="H678" i="10" s="1"/>
  <c r="I677" i="10"/>
  <c r="F677" i="10"/>
  <c r="C677" i="10"/>
  <c r="C676" i="10" s="1"/>
  <c r="G676" i="10" s="1"/>
  <c r="I676" i="10"/>
  <c r="H674" i="10"/>
  <c r="D674" i="10"/>
  <c r="D673" i="10"/>
  <c r="H673" i="10" s="1"/>
  <c r="C673" i="10"/>
  <c r="I671" i="10"/>
  <c r="H671" i="10"/>
  <c r="G671" i="10"/>
  <c r="D671" i="10"/>
  <c r="D670" i="10" s="1"/>
  <c r="I670" i="10"/>
  <c r="H670" i="10"/>
  <c r="G670" i="10"/>
  <c r="C670" i="10"/>
  <c r="G669" i="10"/>
  <c r="D669" i="10"/>
  <c r="H669" i="10" s="1"/>
  <c r="D668" i="10"/>
  <c r="H668" i="10" s="1"/>
  <c r="C668" i="10"/>
  <c r="G668" i="10" s="1"/>
  <c r="D667" i="10"/>
  <c r="I666" i="10"/>
  <c r="D666" i="10"/>
  <c r="D665" i="10" s="1"/>
  <c r="H665" i="10" s="1"/>
  <c r="C666" i="10"/>
  <c r="I665" i="10"/>
  <c r="F665" i="10"/>
  <c r="I664" i="10"/>
  <c r="H664" i="10"/>
  <c r="G664" i="10"/>
  <c r="I663" i="10"/>
  <c r="I662" i="10"/>
  <c r="H662" i="10"/>
  <c r="G662" i="10"/>
  <c r="I661" i="10"/>
  <c r="H661" i="10"/>
  <c r="D661" i="10"/>
  <c r="C661" i="10"/>
  <c r="G661" i="10" s="1"/>
  <c r="I660" i="10"/>
  <c r="F660" i="10"/>
  <c r="D660" i="10"/>
  <c r="H660" i="10" s="1"/>
  <c r="C660" i="10"/>
  <c r="G660" i="10" s="1"/>
  <c r="I659" i="10"/>
  <c r="H659" i="10"/>
  <c r="G659" i="10"/>
  <c r="D659" i="10"/>
  <c r="I658" i="10"/>
  <c r="G658" i="10"/>
  <c r="D658" i="10"/>
  <c r="H658" i="10" s="1"/>
  <c r="I657" i="10"/>
  <c r="H657" i="10"/>
  <c r="G657" i="10"/>
  <c r="H656" i="10"/>
  <c r="G656" i="10"/>
  <c r="G655" i="10"/>
  <c r="D655" i="10"/>
  <c r="D654" i="10" s="1"/>
  <c r="H654" i="10" s="1"/>
  <c r="I654" i="10"/>
  <c r="G654" i="10"/>
  <c r="F654" i="10"/>
  <c r="C654" i="10"/>
  <c r="I653" i="10"/>
  <c r="H653" i="10"/>
  <c r="D653" i="10"/>
  <c r="C653" i="10"/>
  <c r="G653" i="10" s="1"/>
  <c r="I652" i="10"/>
  <c r="D652" i="10"/>
  <c r="H652" i="10" s="1"/>
  <c r="H651" i="10"/>
  <c r="G651" i="10"/>
  <c r="G650" i="10"/>
  <c r="D650" i="10"/>
  <c r="H650" i="10" s="1"/>
  <c r="I649" i="10"/>
  <c r="G649" i="10"/>
  <c r="D649" i="10"/>
  <c r="H649" i="10" s="1"/>
  <c r="C649" i="10"/>
  <c r="I648" i="10"/>
  <c r="D648" i="10"/>
  <c r="H648" i="10" s="1"/>
  <c r="C648" i="10"/>
  <c r="G648" i="10" s="1"/>
  <c r="I647" i="10"/>
  <c r="F647" i="10"/>
  <c r="I645" i="10"/>
  <c r="H645" i="10"/>
  <c r="G645" i="10"/>
  <c r="D645" i="10"/>
  <c r="C645" i="10"/>
  <c r="H644" i="10"/>
  <c r="G644" i="10"/>
  <c r="H643" i="10"/>
  <c r="G643" i="10"/>
  <c r="I642" i="10"/>
  <c r="H642" i="10"/>
  <c r="G642" i="10"/>
  <c r="D642" i="10"/>
  <c r="D641" i="10" s="1"/>
  <c r="D640" i="10" s="1"/>
  <c r="H640" i="10" s="1"/>
  <c r="I641" i="10"/>
  <c r="H641" i="10"/>
  <c r="G641" i="10"/>
  <c r="F641" i="10"/>
  <c r="C641" i="10"/>
  <c r="C640" i="10" s="1"/>
  <c r="I640" i="10"/>
  <c r="G640" i="10"/>
  <c r="I639" i="10"/>
  <c r="I638" i="10"/>
  <c r="H638" i="10"/>
  <c r="G638" i="10"/>
  <c r="I637" i="10"/>
  <c r="G637" i="10"/>
  <c r="D637" i="10"/>
  <c r="D636" i="10" s="1"/>
  <c r="H636" i="10" s="1"/>
  <c r="C637" i="10"/>
  <c r="C636" i="10" s="1"/>
  <c r="G636" i="10" s="1"/>
  <c r="I636" i="10"/>
  <c r="F636" i="10"/>
  <c r="I635" i="10"/>
  <c r="G635" i="10"/>
  <c r="D635" i="10"/>
  <c r="D623" i="10" s="1"/>
  <c r="I634" i="10"/>
  <c r="G634" i="10"/>
  <c r="D634" i="10"/>
  <c r="H634" i="10" s="1"/>
  <c r="I633" i="10"/>
  <c r="H633" i="10"/>
  <c r="G633" i="10"/>
  <c r="D633" i="10"/>
  <c r="D632" i="10" s="1"/>
  <c r="H632" i="10" s="1"/>
  <c r="I632" i="10"/>
  <c r="F632" i="10"/>
  <c r="C632" i="10"/>
  <c r="G632" i="10" s="1"/>
  <c r="G631" i="10"/>
  <c r="D631" i="10"/>
  <c r="H631" i="10" s="1"/>
  <c r="I630" i="10"/>
  <c r="G630" i="10"/>
  <c r="D630" i="10"/>
  <c r="I629" i="10"/>
  <c r="G629" i="10"/>
  <c r="D629" i="10"/>
  <c r="H629" i="10" s="1"/>
  <c r="I628" i="10"/>
  <c r="F628" i="10"/>
  <c r="C628" i="10"/>
  <c r="G628" i="10" s="1"/>
  <c r="I627" i="10"/>
  <c r="I626" i="10"/>
  <c r="H626" i="10"/>
  <c r="G626" i="10"/>
  <c r="I625" i="10"/>
  <c r="H625" i="10"/>
  <c r="G625" i="10"/>
  <c r="D625" i="10"/>
  <c r="D624" i="10" s="1"/>
  <c r="H624" i="10" s="1"/>
  <c r="C625" i="10"/>
  <c r="I624" i="10"/>
  <c r="F624" i="10"/>
  <c r="C624" i="10"/>
  <c r="G624" i="10" s="1"/>
  <c r="E623" i="10"/>
  <c r="I623" i="10" s="1"/>
  <c r="C623" i="10"/>
  <c r="I622" i="10"/>
  <c r="E622" i="10"/>
  <c r="G622" i="10" s="1"/>
  <c r="C622" i="10"/>
  <c r="E621" i="10"/>
  <c r="C621" i="10"/>
  <c r="C619" i="10" s="1"/>
  <c r="G619" i="10" s="1"/>
  <c r="I620" i="10"/>
  <c r="H620" i="10"/>
  <c r="G620" i="10"/>
  <c r="D620" i="10"/>
  <c r="I619" i="10"/>
  <c r="F619" i="10"/>
  <c r="I618" i="10"/>
  <c r="H618" i="10"/>
  <c r="G618" i="10"/>
  <c r="I617" i="10"/>
  <c r="G617" i="10"/>
  <c r="D617" i="10"/>
  <c r="D605" i="10" s="1"/>
  <c r="H605" i="10" s="1"/>
  <c r="I616" i="10"/>
  <c r="H616" i="10"/>
  <c r="G616" i="10"/>
  <c r="D616" i="10"/>
  <c r="C616" i="10"/>
  <c r="C615" i="10" s="1"/>
  <c r="G615" i="10" s="1"/>
  <c r="I615" i="10"/>
  <c r="F615" i="10"/>
  <c r="I614" i="10"/>
  <c r="I613" i="10"/>
  <c r="H613" i="10"/>
  <c r="G613" i="10"/>
  <c r="I612" i="10"/>
  <c r="D612" i="10"/>
  <c r="H612" i="10" s="1"/>
  <c r="C612" i="10"/>
  <c r="C611" i="10" s="1"/>
  <c r="G611" i="10" s="1"/>
  <c r="I611" i="10"/>
  <c r="F611" i="10"/>
  <c r="D611" i="10"/>
  <c r="H611" i="10" s="1"/>
  <c r="I609" i="10"/>
  <c r="H609" i="10"/>
  <c r="G609" i="10"/>
  <c r="I608" i="10"/>
  <c r="D608" i="10"/>
  <c r="C608" i="10"/>
  <c r="I607" i="10"/>
  <c r="F607" i="10"/>
  <c r="H606" i="10"/>
  <c r="D606" i="10"/>
  <c r="C606" i="10"/>
  <c r="G606" i="10" s="1"/>
  <c r="I605" i="10"/>
  <c r="C605" i="10"/>
  <c r="G605" i="10" s="1"/>
  <c r="I604" i="10"/>
  <c r="F604" i="10"/>
  <c r="I603" i="10"/>
  <c r="F603" i="10"/>
  <c r="I602" i="10"/>
  <c r="F602" i="10"/>
  <c r="I601" i="10"/>
  <c r="F601" i="10"/>
  <c r="G599" i="10"/>
  <c r="D599" i="10"/>
  <c r="H599" i="10" s="1"/>
  <c r="I598" i="10"/>
  <c r="F598" i="10"/>
  <c r="D598" i="10"/>
  <c r="D19" i="10" s="1"/>
  <c r="C598" i="10"/>
  <c r="C19" i="10" s="1"/>
  <c r="I596" i="10"/>
  <c r="H596" i="10"/>
  <c r="G596" i="10"/>
  <c r="I595" i="10"/>
  <c r="H595" i="10"/>
  <c r="G595" i="10"/>
  <c r="I594" i="10"/>
  <c r="I18" i="10" s="1"/>
  <c r="F594" i="10"/>
  <c r="D594" i="10"/>
  <c r="H594" i="10" s="1"/>
  <c r="C594" i="10"/>
  <c r="G594" i="10" s="1"/>
  <c r="I592" i="10"/>
  <c r="H592" i="10"/>
  <c r="G592" i="10"/>
  <c r="I591" i="10"/>
  <c r="H591" i="10"/>
  <c r="G591" i="10"/>
  <c r="I590" i="10"/>
  <c r="H590" i="10"/>
  <c r="G590" i="10"/>
  <c r="I589" i="10"/>
  <c r="H589" i="10"/>
  <c r="G589" i="10"/>
  <c r="I588" i="10"/>
  <c r="H588" i="10"/>
  <c r="G588" i="10"/>
  <c r="I587" i="10"/>
  <c r="F587" i="10"/>
  <c r="D587" i="10"/>
  <c r="D585" i="10" s="1"/>
  <c r="H585" i="10" s="1"/>
  <c r="C587" i="10"/>
  <c r="C585" i="10" s="1"/>
  <c r="I586" i="10"/>
  <c r="H586" i="10"/>
  <c r="G586" i="10"/>
  <c r="I585" i="10"/>
  <c r="F585" i="10"/>
  <c r="I583" i="10"/>
  <c r="H583" i="10"/>
  <c r="I582" i="10"/>
  <c r="H582" i="10"/>
  <c r="G582" i="10"/>
  <c r="D582" i="10"/>
  <c r="C582" i="10"/>
  <c r="I581" i="10"/>
  <c r="H581" i="10"/>
  <c r="G581" i="10"/>
  <c r="D581" i="10"/>
  <c r="I580" i="10"/>
  <c r="H580" i="10"/>
  <c r="D580" i="10"/>
  <c r="C580" i="10"/>
  <c r="G580" i="10" s="1"/>
  <c r="I579" i="10"/>
  <c r="H579" i="10"/>
  <c r="D579" i="10"/>
  <c r="C579" i="10"/>
  <c r="C578" i="10" s="1"/>
  <c r="G578" i="10" s="1"/>
  <c r="G16" i="10" s="1"/>
  <c r="I578" i="10"/>
  <c r="I16" i="10" s="1"/>
  <c r="F578" i="10"/>
  <c r="I576" i="10"/>
  <c r="H576" i="10"/>
  <c r="G576" i="10"/>
  <c r="I575" i="10"/>
  <c r="H575" i="10"/>
  <c r="F575" i="10"/>
  <c r="D575" i="10"/>
  <c r="C575" i="10"/>
  <c r="G575" i="10" s="1"/>
  <c r="I573" i="10"/>
  <c r="G573" i="10"/>
  <c r="D573" i="10"/>
  <c r="D572" i="10" s="1"/>
  <c r="H572" i="10" s="1"/>
  <c r="I572" i="10"/>
  <c r="C572" i="10"/>
  <c r="G572" i="10" s="1"/>
  <c r="G571" i="10"/>
  <c r="D571" i="10"/>
  <c r="D570" i="10"/>
  <c r="C570" i="10"/>
  <c r="G570" i="10" s="1"/>
  <c r="H569" i="10"/>
  <c r="G569" i="10"/>
  <c r="H568" i="10"/>
  <c r="G568" i="10"/>
  <c r="H567" i="10"/>
  <c r="G567" i="10"/>
  <c r="I566" i="10"/>
  <c r="H566" i="10"/>
  <c r="D566" i="10"/>
  <c r="C566" i="10"/>
  <c r="G566" i="10" s="1"/>
  <c r="H565" i="10"/>
  <c r="G565" i="10"/>
  <c r="I564" i="10"/>
  <c r="D564" i="10"/>
  <c r="H564" i="10" s="1"/>
  <c r="C564" i="10"/>
  <c r="G564" i="10" s="1"/>
  <c r="G563" i="10"/>
  <c r="D563" i="10"/>
  <c r="G562" i="10"/>
  <c r="D562" i="10"/>
  <c r="C562" i="10"/>
  <c r="I561" i="10"/>
  <c r="G561" i="10"/>
  <c r="D561" i="10"/>
  <c r="H561" i="10" s="1"/>
  <c r="G560" i="10"/>
  <c r="D560" i="10"/>
  <c r="I559" i="10"/>
  <c r="G559" i="10"/>
  <c r="D559" i="10"/>
  <c r="D556" i="10" s="1"/>
  <c r="I558" i="10"/>
  <c r="H558" i="10"/>
  <c r="G558" i="10"/>
  <c r="D558" i="10"/>
  <c r="I557" i="10"/>
  <c r="H557" i="10"/>
  <c r="G557" i="10"/>
  <c r="D557" i="10"/>
  <c r="I556" i="10"/>
  <c r="F556" i="10"/>
  <c r="C556" i="10"/>
  <c r="G556" i="10" s="1"/>
  <c r="I555" i="10"/>
  <c r="F555" i="10"/>
  <c r="H554" i="10"/>
  <c r="G554" i="10"/>
  <c r="H553" i="10"/>
  <c r="D553" i="10"/>
  <c r="C553" i="10"/>
  <c r="G553" i="10" s="1"/>
  <c r="I552" i="10"/>
  <c r="G552" i="10"/>
  <c r="D552" i="10"/>
  <c r="H552" i="10" s="1"/>
  <c r="I551" i="10"/>
  <c r="D551" i="10"/>
  <c r="H551" i="10" s="1"/>
  <c r="C551" i="10"/>
  <c r="G551" i="10" s="1"/>
  <c r="H550" i="10"/>
  <c r="G550" i="10"/>
  <c r="D550" i="10"/>
  <c r="H549" i="10"/>
  <c r="G549" i="10"/>
  <c r="I548" i="10"/>
  <c r="H548" i="10"/>
  <c r="G548" i="10"/>
  <c r="G547" i="10"/>
  <c r="D547" i="10"/>
  <c r="H547" i="10" s="1"/>
  <c r="I546" i="10"/>
  <c r="F546" i="10"/>
  <c r="D546" i="10"/>
  <c r="H546" i="10" s="1"/>
  <c r="C546" i="10"/>
  <c r="G546" i="10" s="1"/>
  <c r="H545" i="10"/>
  <c r="G545" i="10"/>
  <c r="D545" i="10"/>
  <c r="H544" i="10"/>
  <c r="G544" i="10"/>
  <c r="H543" i="10"/>
  <c r="G543" i="10"/>
  <c r="D543" i="10"/>
  <c r="H542" i="10"/>
  <c r="G542" i="10"/>
  <c r="D542" i="10"/>
  <c r="G541" i="10"/>
  <c r="D541" i="10"/>
  <c r="H541" i="10" s="1"/>
  <c r="G540" i="10"/>
  <c r="D540" i="10"/>
  <c r="D539" i="10"/>
  <c r="H539" i="10" s="1"/>
  <c r="I538" i="10"/>
  <c r="H538" i="10"/>
  <c r="G538" i="10"/>
  <c r="D538" i="10"/>
  <c r="G537" i="10"/>
  <c r="D537" i="10"/>
  <c r="I536" i="10"/>
  <c r="F536" i="10"/>
  <c r="C536" i="10"/>
  <c r="G536" i="10" s="1"/>
  <c r="G535" i="10"/>
  <c r="D535" i="10"/>
  <c r="G534" i="10"/>
  <c r="D534" i="10"/>
  <c r="G533" i="10"/>
  <c r="D533" i="10"/>
  <c r="H533" i="10" s="1"/>
  <c r="G532" i="10"/>
  <c r="D532" i="10"/>
  <c r="H532" i="10" s="1"/>
  <c r="G531" i="10"/>
  <c r="D531" i="10"/>
  <c r="H531" i="10" s="1"/>
  <c r="H530" i="10"/>
  <c r="G530" i="10"/>
  <c r="D530" i="10"/>
  <c r="G529" i="10"/>
  <c r="D529" i="10"/>
  <c r="G528" i="10"/>
  <c r="D528" i="10"/>
  <c r="G527" i="10"/>
  <c r="D527" i="10"/>
  <c r="H527" i="10" s="1"/>
  <c r="G526" i="10"/>
  <c r="D526" i="10"/>
  <c r="H526" i="10" s="1"/>
  <c r="H525" i="10"/>
  <c r="G525" i="10"/>
  <c r="I524" i="10"/>
  <c r="G524" i="10"/>
  <c r="D524" i="10"/>
  <c r="H524" i="10" s="1"/>
  <c r="H523" i="10"/>
  <c r="G523" i="10"/>
  <c r="D523" i="10"/>
  <c r="I522" i="10"/>
  <c r="F522" i="10"/>
  <c r="C522" i="10"/>
  <c r="G522" i="10" s="1"/>
  <c r="H521" i="10"/>
  <c r="G521" i="10"/>
  <c r="H520" i="10"/>
  <c r="G520" i="10"/>
  <c r="G519" i="10"/>
  <c r="D519" i="10"/>
  <c r="D517" i="10" s="1"/>
  <c r="H517" i="10" s="1"/>
  <c r="I518" i="10"/>
  <c r="H518" i="10"/>
  <c r="G518" i="10"/>
  <c r="D518" i="10"/>
  <c r="I517" i="10"/>
  <c r="F517" i="10"/>
  <c r="C517" i="10"/>
  <c r="C516" i="10" s="1"/>
  <c r="G516" i="10" s="1"/>
  <c r="I516" i="10"/>
  <c r="F516" i="10"/>
  <c r="H515" i="10"/>
  <c r="G515" i="10"/>
  <c r="G514" i="10"/>
  <c r="D514" i="10"/>
  <c r="H514" i="10" s="1"/>
  <c r="C514" i="10"/>
  <c r="I513" i="10"/>
  <c r="G513" i="10"/>
  <c r="D513" i="10"/>
  <c r="H513" i="10" s="1"/>
  <c r="I512" i="10"/>
  <c r="D512" i="10"/>
  <c r="C512" i="10"/>
  <c r="G512" i="10" s="1"/>
  <c r="H511" i="10"/>
  <c r="G511" i="10"/>
  <c r="I510" i="10"/>
  <c r="H510" i="10"/>
  <c r="G510" i="10"/>
  <c r="D510" i="10"/>
  <c r="I509" i="10"/>
  <c r="H509" i="10"/>
  <c r="F509" i="10"/>
  <c r="D509" i="10"/>
  <c r="C509" i="10"/>
  <c r="G509" i="10" s="1"/>
  <c r="I508" i="10"/>
  <c r="H508" i="10"/>
  <c r="G508" i="10"/>
  <c r="I507" i="10"/>
  <c r="H507" i="10"/>
  <c r="G507" i="10"/>
  <c r="D507" i="10"/>
  <c r="C507" i="10"/>
  <c r="H506" i="10"/>
  <c r="G506" i="10"/>
  <c r="D506" i="10"/>
  <c r="H505" i="10"/>
  <c r="D505" i="10"/>
  <c r="C505" i="10"/>
  <c r="G505" i="10" s="1"/>
  <c r="I504" i="10"/>
  <c r="F504" i="10"/>
  <c r="C504" i="10"/>
  <c r="G504" i="10" s="1"/>
  <c r="H503" i="10"/>
  <c r="D503" i="10"/>
  <c r="I502" i="10"/>
  <c r="H502" i="10"/>
  <c r="G502" i="10"/>
  <c r="I501" i="10"/>
  <c r="H501" i="10"/>
  <c r="G501" i="10"/>
  <c r="D501" i="10"/>
  <c r="I500" i="10"/>
  <c r="F500" i="10"/>
  <c r="D500" i="10"/>
  <c r="D499" i="10" s="1"/>
  <c r="C500" i="10"/>
  <c r="C499" i="10" s="1"/>
  <c r="G499" i="10" s="1"/>
  <c r="I499" i="10"/>
  <c r="H499" i="10"/>
  <c r="I498" i="10"/>
  <c r="H498" i="10"/>
  <c r="G498" i="10"/>
  <c r="I497" i="10"/>
  <c r="H497" i="10"/>
  <c r="G497" i="10"/>
  <c r="I496" i="10"/>
  <c r="H496" i="10"/>
  <c r="G496" i="10"/>
  <c r="I495" i="10"/>
  <c r="G495" i="10"/>
  <c r="F495" i="10"/>
  <c r="D495" i="10"/>
  <c r="H495" i="10" s="1"/>
  <c r="C495" i="10"/>
  <c r="H494" i="10"/>
  <c r="G494" i="10"/>
  <c r="G493" i="10"/>
  <c r="D493" i="10"/>
  <c r="H493" i="10" s="1"/>
  <c r="G492" i="10"/>
  <c r="D492" i="10"/>
  <c r="H492" i="10" s="1"/>
  <c r="I491" i="10"/>
  <c r="H491" i="10"/>
  <c r="G491" i="10"/>
  <c r="D491" i="10"/>
  <c r="D490" i="10" s="1"/>
  <c r="I490" i="10"/>
  <c r="H490" i="10"/>
  <c r="G490" i="10"/>
  <c r="F490" i="10"/>
  <c r="C490" i="10"/>
  <c r="I489" i="10"/>
  <c r="F489" i="10"/>
  <c r="C489" i="10"/>
  <c r="G489" i="10" s="1"/>
  <c r="I488" i="10"/>
  <c r="D488" i="10"/>
  <c r="H488" i="10" s="1"/>
  <c r="I487" i="10"/>
  <c r="H487" i="10"/>
  <c r="G487" i="10"/>
  <c r="I486" i="10"/>
  <c r="H486" i="10"/>
  <c r="G486" i="10"/>
  <c r="D486" i="10"/>
  <c r="I485" i="10"/>
  <c r="H485" i="10"/>
  <c r="G485" i="10"/>
  <c r="D485" i="10"/>
  <c r="I484" i="10"/>
  <c r="H484" i="10"/>
  <c r="G484" i="10"/>
  <c r="I483" i="10"/>
  <c r="F483" i="10"/>
  <c r="D483" i="10"/>
  <c r="H483" i="10" s="1"/>
  <c r="C483" i="10"/>
  <c r="G483" i="10" s="1"/>
  <c r="I482" i="10"/>
  <c r="H482" i="10"/>
  <c r="G482" i="10"/>
  <c r="D482" i="10"/>
  <c r="I481" i="10"/>
  <c r="G481" i="10"/>
  <c r="D481" i="10"/>
  <c r="H481" i="10" s="1"/>
  <c r="I480" i="10"/>
  <c r="H480" i="10"/>
  <c r="F480" i="10"/>
  <c r="D480" i="10"/>
  <c r="C480" i="10"/>
  <c r="G480" i="10" s="1"/>
  <c r="I479" i="10"/>
  <c r="H479" i="10"/>
  <c r="G479" i="10"/>
  <c r="D479" i="10"/>
  <c r="D478" i="10" s="1"/>
  <c r="H478" i="10" s="1"/>
  <c r="I478" i="10"/>
  <c r="F478" i="10"/>
  <c r="C478" i="10"/>
  <c r="C477" i="10" s="1"/>
  <c r="G477" i="10" s="1"/>
  <c r="I477" i="10"/>
  <c r="F477" i="10"/>
  <c r="I476" i="10"/>
  <c r="H476" i="10"/>
  <c r="G476" i="10"/>
  <c r="D476" i="10"/>
  <c r="D475" i="10" s="1"/>
  <c r="H475" i="10" s="1"/>
  <c r="I475" i="10"/>
  <c r="G475" i="10"/>
  <c r="C475" i="10"/>
  <c r="G474" i="10"/>
  <c r="D474" i="10"/>
  <c r="D464" i="10" s="1"/>
  <c r="H464" i="10" s="1"/>
  <c r="G473" i="10"/>
  <c r="D473" i="10"/>
  <c r="H473" i="10" s="1"/>
  <c r="H472" i="10"/>
  <c r="G472" i="10"/>
  <c r="H471" i="10"/>
  <c r="G471" i="10"/>
  <c r="D471" i="10"/>
  <c r="H470" i="10"/>
  <c r="G470" i="10"/>
  <c r="H469" i="10"/>
  <c r="G469" i="10"/>
  <c r="D469" i="10"/>
  <c r="H468" i="10"/>
  <c r="G468" i="10"/>
  <c r="H467" i="10"/>
  <c r="G467" i="10"/>
  <c r="D467" i="10"/>
  <c r="G466" i="10"/>
  <c r="D466" i="10"/>
  <c r="H466" i="10" s="1"/>
  <c r="I465" i="10"/>
  <c r="G465" i="10"/>
  <c r="D465" i="10"/>
  <c r="H465" i="10" s="1"/>
  <c r="I464" i="10"/>
  <c r="F464" i="10"/>
  <c r="C464" i="10"/>
  <c r="G464" i="10" s="1"/>
  <c r="H463" i="10"/>
  <c r="G463" i="10"/>
  <c r="H462" i="10"/>
  <c r="G462" i="10"/>
  <c r="D462" i="10"/>
  <c r="H461" i="10"/>
  <c r="G461" i="10"/>
  <c r="D461" i="10"/>
  <c r="H460" i="10"/>
  <c r="G460" i="10"/>
  <c r="D460" i="10"/>
  <c r="H459" i="10"/>
  <c r="G459" i="10"/>
  <c r="D459" i="10"/>
  <c r="I458" i="10"/>
  <c r="G458" i="10"/>
  <c r="D458" i="10"/>
  <c r="D454" i="10" s="1"/>
  <c r="H457" i="10"/>
  <c r="G457" i="10"/>
  <c r="D457" i="10"/>
  <c r="I456" i="10"/>
  <c r="H456" i="10"/>
  <c r="G456" i="10"/>
  <c r="D456" i="10"/>
  <c r="H455" i="10"/>
  <c r="G455" i="10"/>
  <c r="I454" i="10"/>
  <c r="F454" i="10"/>
  <c r="C454" i="10"/>
  <c r="G454" i="10" s="1"/>
  <c r="I453" i="10"/>
  <c r="F453" i="10"/>
  <c r="G452" i="10"/>
  <c r="D452" i="10"/>
  <c r="H451" i="10"/>
  <c r="G451" i="10"/>
  <c r="D451" i="10"/>
  <c r="I450" i="10"/>
  <c r="F450" i="10"/>
  <c r="D450" i="10"/>
  <c r="H450" i="10" s="1"/>
  <c r="C450" i="10"/>
  <c r="G450" i="10" s="1"/>
  <c r="G449" i="10"/>
  <c r="D449" i="10"/>
  <c r="H449" i="10" s="1"/>
  <c r="G448" i="10"/>
  <c r="D448" i="10"/>
  <c r="G447" i="10"/>
  <c r="D447" i="10"/>
  <c r="H446" i="10"/>
  <c r="G446" i="10"/>
  <c r="D446" i="10"/>
  <c r="H445" i="10"/>
  <c r="G445" i="10"/>
  <c r="I444" i="10"/>
  <c r="G444" i="10"/>
  <c r="D444" i="10"/>
  <c r="H444" i="10" s="1"/>
  <c r="I443" i="10"/>
  <c r="H443" i="10"/>
  <c r="G443" i="10"/>
  <c r="H442" i="10"/>
  <c r="G442" i="10"/>
  <c r="H441" i="10"/>
  <c r="G441" i="10"/>
  <c r="H440" i="10"/>
  <c r="G440" i="10"/>
  <c r="I439" i="10"/>
  <c r="H439" i="10"/>
  <c r="G439" i="10"/>
  <c r="D439" i="10"/>
  <c r="G438" i="10"/>
  <c r="D438" i="10"/>
  <c r="H438" i="10" s="1"/>
  <c r="H437" i="10"/>
  <c r="G437" i="10"/>
  <c r="I436" i="10"/>
  <c r="H436" i="10"/>
  <c r="D436" i="10"/>
  <c r="H435" i="10"/>
  <c r="G435" i="10"/>
  <c r="I434" i="10"/>
  <c r="H434" i="10"/>
  <c r="D434" i="10"/>
  <c r="I433" i="10"/>
  <c r="G433" i="10"/>
  <c r="D433" i="10"/>
  <c r="H433" i="10" s="1"/>
  <c r="I432" i="10"/>
  <c r="H432" i="10"/>
  <c r="G432" i="10"/>
  <c r="G431" i="10"/>
  <c r="D431" i="10"/>
  <c r="H431" i="10" s="1"/>
  <c r="I430" i="10"/>
  <c r="H430" i="10"/>
  <c r="G430" i="10"/>
  <c r="I429" i="10"/>
  <c r="H429" i="10"/>
  <c r="D429" i="10"/>
  <c r="I428" i="10"/>
  <c r="H428" i="10"/>
  <c r="G428" i="10"/>
  <c r="I427" i="10"/>
  <c r="H427" i="10"/>
  <c r="G427" i="10"/>
  <c r="G426" i="10"/>
  <c r="D426" i="10"/>
  <c r="H426" i="10" s="1"/>
  <c r="H425" i="10"/>
  <c r="G425" i="10"/>
  <c r="I424" i="10"/>
  <c r="H424" i="10"/>
  <c r="G424" i="10"/>
  <c r="I423" i="10"/>
  <c r="D423" i="10"/>
  <c r="H423" i="10" s="1"/>
  <c r="I422" i="10"/>
  <c r="G422" i="10"/>
  <c r="D422" i="10"/>
  <c r="H422" i="10" s="1"/>
  <c r="I421" i="10"/>
  <c r="G421" i="10"/>
  <c r="D421" i="10"/>
  <c r="I420" i="10"/>
  <c r="H420" i="10"/>
  <c r="G420" i="10"/>
  <c r="D420" i="10"/>
  <c r="I419" i="10"/>
  <c r="F419" i="10"/>
  <c r="C419" i="10"/>
  <c r="G419" i="10" s="1"/>
  <c r="G418" i="10"/>
  <c r="D418" i="10"/>
  <c r="H418" i="10" s="1"/>
  <c r="H417" i="10"/>
  <c r="G417" i="10"/>
  <c r="I416" i="10"/>
  <c r="H416" i="10"/>
  <c r="G416" i="10"/>
  <c r="I415" i="10"/>
  <c r="G415" i="10"/>
  <c r="D415" i="10"/>
  <c r="H415" i="10" s="1"/>
  <c r="G414" i="10"/>
  <c r="D414" i="10"/>
  <c r="H414" i="10" s="1"/>
  <c r="H413" i="10"/>
  <c r="G413" i="10"/>
  <c r="I412" i="10"/>
  <c r="G412" i="10"/>
  <c r="D412" i="10"/>
  <c r="H412" i="10" s="1"/>
  <c r="I411" i="10"/>
  <c r="H411" i="10"/>
  <c r="G411" i="10"/>
  <c r="D411" i="10"/>
  <c r="H410" i="10"/>
  <c r="G410" i="10"/>
  <c r="I409" i="10"/>
  <c r="H409" i="10"/>
  <c r="G409" i="10"/>
  <c r="H408" i="10"/>
  <c r="G408" i="10"/>
  <c r="H407" i="10"/>
  <c r="G407" i="10"/>
  <c r="G406" i="10"/>
  <c r="D406" i="10"/>
  <c r="H406" i="10" s="1"/>
  <c r="G405" i="10"/>
  <c r="D405" i="10"/>
  <c r="H404" i="10"/>
  <c r="G404" i="10"/>
  <c r="D404" i="10"/>
  <c r="I403" i="10"/>
  <c r="H403" i="10"/>
  <c r="G403" i="10"/>
  <c r="H402" i="10"/>
  <c r="G402" i="10"/>
  <c r="I401" i="10"/>
  <c r="G401" i="10"/>
  <c r="D401" i="10"/>
  <c r="I400" i="10"/>
  <c r="H400" i="10"/>
  <c r="G400" i="10"/>
  <c r="D400" i="10"/>
  <c r="I399" i="10"/>
  <c r="H399" i="10"/>
  <c r="G399" i="10"/>
  <c r="D399" i="10"/>
  <c r="I398" i="10"/>
  <c r="F398" i="10"/>
  <c r="C398" i="10"/>
  <c r="G398" i="10" s="1"/>
  <c r="I397" i="10"/>
  <c r="F397" i="10"/>
  <c r="H396" i="10"/>
  <c r="G396" i="10"/>
  <c r="D396" i="10"/>
  <c r="D395" i="10"/>
  <c r="H395" i="10" s="1"/>
  <c r="G394" i="10"/>
  <c r="D394" i="10"/>
  <c r="H394" i="10" s="1"/>
  <c r="G393" i="10"/>
  <c r="D393" i="10"/>
  <c r="H393" i="10" s="1"/>
  <c r="H392" i="10"/>
  <c r="G392" i="10"/>
  <c r="G391" i="10"/>
  <c r="D391" i="10"/>
  <c r="D389" i="10" s="1"/>
  <c r="H389" i="10" s="1"/>
  <c r="H390" i="10"/>
  <c r="G390" i="10"/>
  <c r="I389" i="10"/>
  <c r="F389" i="10"/>
  <c r="C389" i="10"/>
  <c r="G389" i="10" s="1"/>
  <c r="I388" i="10"/>
  <c r="G388" i="10"/>
  <c r="D388" i="10"/>
  <c r="H387" i="10"/>
  <c r="G387" i="10"/>
  <c r="H386" i="10"/>
  <c r="G386" i="10"/>
  <c r="G385" i="10"/>
  <c r="F385" i="10"/>
  <c r="C385" i="10"/>
  <c r="C384" i="10" s="1"/>
  <c r="G384" i="10" s="1"/>
  <c r="F384" i="10"/>
  <c r="I383" i="10"/>
  <c r="F383" i="10"/>
  <c r="I381" i="10"/>
  <c r="H381" i="10"/>
  <c r="G381" i="10"/>
  <c r="H380" i="10"/>
  <c r="G380" i="10"/>
  <c r="I379" i="10"/>
  <c r="G379" i="10"/>
  <c r="F379" i="10"/>
  <c r="D379" i="10"/>
  <c r="H379" i="10" s="1"/>
  <c r="C379" i="10"/>
  <c r="H378" i="10"/>
  <c r="H377" i="10"/>
  <c r="G377" i="10"/>
  <c r="D376" i="10"/>
  <c r="H376" i="10" s="1"/>
  <c r="C376" i="10"/>
  <c r="G376" i="10" s="1"/>
  <c r="H375" i="10"/>
  <c r="G375" i="10"/>
  <c r="D375" i="10"/>
  <c r="I374" i="10"/>
  <c r="G374" i="10"/>
  <c r="D374" i="10"/>
  <c r="H374" i="10" s="1"/>
  <c r="C374" i="10"/>
  <c r="I373" i="10"/>
  <c r="F373" i="10"/>
  <c r="D373" i="10"/>
  <c r="H373" i="10" s="1"/>
  <c r="C373" i="10"/>
  <c r="G373" i="10" s="1"/>
  <c r="G372" i="10"/>
  <c r="D372" i="10"/>
  <c r="H372" i="10" s="1"/>
  <c r="G371" i="10"/>
  <c r="D371" i="10"/>
  <c r="H370" i="10"/>
  <c r="H369" i="10"/>
  <c r="H368" i="10"/>
  <c r="H367" i="10"/>
  <c r="G367" i="10"/>
  <c r="H366" i="10"/>
  <c r="D366" i="10"/>
  <c r="H365" i="10"/>
  <c r="I364" i="10"/>
  <c r="C364" i="10"/>
  <c r="C359" i="10" s="1"/>
  <c r="G359" i="10" s="1"/>
  <c r="I363" i="10"/>
  <c r="H363" i="10"/>
  <c r="G363" i="10"/>
  <c r="I362" i="10"/>
  <c r="G362" i="10"/>
  <c r="D362" i="10"/>
  <c r="H362" i="10" s="1"/>
  <c r="H361" i="10"/>
  <c r="G361" i="10"/>
  <c r="I360" i="10"/>
  <c r="H360" i="10"/>
  <c r="G360" i="10"/>
  <c r="D360" i="10"/>
  <c r="I359" i="10"/>
  <c r="F359" i="10"/>
  <c r="H358" i="10"/>
  <c r="D358" i="10"/>
  <c r="I357" i="10"/>
  <c r="G357" i="10"/>
  <c r="D357" i="10"/>
  <c r="H357" i="10" s="1"/>
  <c r="I356" i="10"/>
  <c r="H356" i="10"/>
  <c r="G356" i="10"/>
  <c r="I355" i="10"/>
  <c r="H355" i="10"/>
  <c r="G355" i="10"/>
  <c r="I354" i="10"/>
  <c r="H354" i="10"/>
  <c r="G354" i="10"/>
  <c r="H353" i="10"/>
  <c r="G353" i="10"/>
  <c r="H352" i="10"/>
  <c r="G352" i="10"/>
  <c r="I351" i="10"/>
  <c r="F351" i="10"/>
  <c r="D351" i="10"/>
  <c r="H351" i="10" s="1"/>
  <c r="C351" i="10"/>
  <c r="G351" i="10" s="1"/>
  <c r="H350" i="10"/>
  <c r="G350" i="10"/>
  <c r="D350" i="10"/>
  <c r="G349" i="10"/>
  <c r="D349" i="10"/>
  <c r="G348" i="10"/>
  <c r="D348" i="10"/>
  <c r="D347" i="10" s="1"/>
  <c r="H347" i="10" s="1"/>
  <c r="I347" i="10"/>
  <c r="G347" i="10"/>
  <c r="F347" i="10"/>
  <c r="C347" i="10"/>
  <c r="H346" i="10"/>
  <c r="H345" i="10"/>
  <c r="H344" i="10"/>
  <c r="D343" i="10"/>
  <c r="H343" i="10" s="1"/>
  <c r="H342" i="10"/>
  <c r="G342" i="10"/>
  <c r="F342" i="10"/>
  <c r="D342" i="10"/>
  <c r="I341" i="10"/>
  <c r="G341" i="10"/>
  <c r="D341" i="10"/>
  <c r="H341" i="10" s="1"/>
  <c r="G340" i="10"/>
  <c r="D340" i="10"/>
  <c r="H340" i="10" s="1"/>
  <c r="H339" i="10"/>
  <c r="G339" i="10"/>
  <c r="D339" i="10"/>
  <c r="G338" i="10"/>
  <c r="D338" i="10"/>
  <c r="I337" i="10"/>
  <c r="H337" i="10"/>
  <c r="G337" i="10"/>
  <c r="I336" i="10"/>
  <c r="F336" i="10"/>
  <c r="C336" i="10"/>
  <c r="G336" i="10" s="1"/>
  <c r="G335" i="10"/>
  <c r="D335" i="10"/>
  <c r="G334" i="10"/>
  <c r="D334" i="10"/>
  <c r="D333" i="10" s="1"/>
  <c r="F333" i="10"/>
  <c r="C333" i="10"/>
  <c r="I332" i="10"/>
  <c r="G332" i="10"/>
  <c r="D332" i="10"/>
  <c r="H332" i="10" s="1"/>
  <c r="H331" i="10"/>
  <c r="G331" i="10"/>
  <c r="I330" i="10"/>
  <c r="H330" i="10"/>
  <c r="G330" i="10"/>
  <c r="I329" i="10"/>
  <c r="H329" i="10"/>
  <c r="G329" i="10"/>
  <c r="I328" i="10"/>
  <c r="G328" i="10"/>
  <c r="F328" i="10"/>
  <c r="D328" i="10"/>
  <c r="C328" i="10"/>
  <c r="I327" i="10"/>
  <c r="F327" i="10"/>
  <c r="I326" i="10"/>
  <c r="H326" i="10"/>
  <c r="G326" i="10"/>
  <c r="D326" i="10"/>
  <c r="I325" i="10"/>
  <c r="H325" i="10"/>
  <c r="G325" i="10"/>
  <c r="D325" i="10"/>
  <c r="I324" i="10"/>
  <c r="H324" i="10"/>
  <c r="G324" i="10"/>
  <c r="I323" i="10"/>
  <c r="G323" i="10"/>
  <c r="D323" i="10"/>
  <c r="H323" i="10" s="1"/>
  <c r="I322" i="10"/>
  <c r="H322" i="10"/>
  <c r="G322" i="10"/>
  <c r="I321" i="10"/>
  <c r="H321" i="10"/>
  <c r="G321" i="10"/>
  <c r="I320" i="10"/>
  <c r="H320" i="10"/>
  <c r="G320" i="10"/>
  <c r="D320" i="10"/>
  <c r="I319" i="10"/>
  <c r="F319" i="10"/>
  <c r="D319" i="10"/>
  <c r="H319" i="10" s="1"/>
  <c r="C319" i="10"/>
  <c r="G319" i="10" s="1"/>
  <c r="I318" i="10"/>
  <c r="D318" i="10"/>
  <c r="H318" i="10" s="1"/>
  <c r="C318" i="10"/>
  <c r="G318" i="10" s="1"/>
  <c r="I317" i="10"/>
  <c r="H317" i="10"/>
  <c r="G317" i="10"/>
  <c r="D317" i="10"/>
  <c r="H316" i="10"/>
  <c r="G316" i="10"/>
  <c r="D316" i="10"/>
  <c r="H315" i="10"/>
  <c r="G315" i="10"/>
  <c r="H314" i="10"/>
  <c r="D314" i="10"/>
  <c r="H313" i="10"/>
  <c r="H312" i="10"/>
  <c r="G312" i="10"/>
  <c r="H311" i="10"/>
  <c r="G311" i="10"/>
  <c r="F311" i="10"/>
  <c r="D311" i="10"/>
  <c r="C311" i="10"/>
  <c r="I310" i="10"/>
  <c r="H310" i="10"/>
  <c r="G310" i="10"/>
  <c r="D310" i="10"/>
  <c r="I309" i="10"/>
  <c r="H309" i="10"/>
  <c r="G309" i="10"/>
  <c r="H308" i="10"/>
  <c r="G308" i="10"/>
  <c r="I307" i="10"/>
  <c r="H307" i="10"/>
  <c r="G307" i="10"/>
  <c r="I306" i="10"/>
  <c r="H306" i="10"/>
  <c r="H305" i="10"/>
  <c r="H304" i="10"/>
  <c r="I303" i="10"/>
  <c r="H303" i="10"/>
  <c r="G303" i="10"/>
  <c r="F303" i="10"/>
  <c r="D303" i="10"/>
  <c r="C303" i="10"/>
  <c r="I302" i="10"/>
  <c r="F302" i="10"/>
  <c r="D302" i="10"/>
  <c r="H302" i="10" s="1"/>
  <c r="C302" i="10"/>
  <c r="G302" i="10" s="1"/>
  <c r="I301" i="10"/>
  <c r="G301" i="10"/>
  <c r="D301" i="10"/>
  <c r="H301" i="10" s="1"/>
  <c r="I300" i="10"/>
  <c r="H300" i="10"/>
  <c r="G300" i="10"/>
  <c r="D300" i="10"/>
  <c r="G299" i="10"/>
  <c r="D299" i="10"/>
  <c r="I298" i="10"/>
  <c r="G298" i="10"/>
  <c r="D298" i="10"/>
  <c r="H298" i="10" s="1"/>
  <c r="I297" i="10"/>
  <c r="G297" i="10"/>
  <c r="D297" i="10"/>
  <c r="H297" i="10" s="1"/>
  <c r="I296" i="10"/>
  <c r="H296" i="10"/>
  <c r="G296" i="10"/>
  <c r="D296" i="10"/>
  <c r="I295" i="10"/>
  <c r="H295" i="10"/>
  <c r="G295" i="10"/>
  <c r="D295" i="10"/>
  <c r="H294" i="10"/>
  <c r="I293" i="10"/>
  <c r="H293" i="10"/>
  <c r="I292" i="10"/>
  <c r="F292" i="10"/>
  <c r="D292" i="10"/>
  <c r="C292" i="10"/>
  <c r="C291" i="10" s="1"/>
  <c r="C290" i="10" s="1"/>
  <c r="G290" i="10" s="1"/>
  <c r="I291" i="10"/>
  <c r="G291" i="10"/>
  <c r="F291" i="10"/>
  <c r="I290" i="10"/>
  <c r="F290" i="10"/>
  <c r="H289" i="10"/>
  <c r="G289" i="10"/>
  <c r="H288" i="10"/>
  <c r="G288" i="10"/>
  <c r="G287" i="10"/>
  <c r="F287" i="10"/>
  <c r="D287" i="10"/>
  <c r="H287" i="10" s="1"/>
  <c r="C287" i="10"/>
  <c r="G286" i="10"/>
  <c r="D286" i="10"/>
  <c r="H285" i="10"/>
  <c r="G285" i="10"/>
  <c r="I284" i="10"/>
  <c r="G284" i="10"/>
  <c r="D284" i="10"/>
  <c r="H284" i="10" s="1"/>
  <c r="I283" i="10"/>
  <c r="H283" i="10"/>
  <c r="G283" i="10"/>
  <c r="D283" i="10"/>
  <c r="I282" i="10"/>
  <c r="H282" i="10"/>
  <c r="G282" i="10"/>
  <c r="I281" i="10"/>
  <c r="F281" i="10"/>
  <c r="D281" i="10"/>
  <c r="H281" i="10" s="1"/>
  <c r="C281" i="10"/>
  <c r="G281" i="10" s="1"/>
  <c r="D280" i="10"/>
  <c r="H280" i="10" s="1"/>
  <c r="G279" i="10"/>
  <c r="D279" i="10"/>
  <c r="H279" i="10" s="1"/>
  <c r="G278" i="10"/>
  <c r="D278" i="10"/>
  <c r="H278" i="10" s="1"/>
  <c r="G277" i="10"/>
  <c r="D277" i="10"/>
  <c r="F276" i="10"/>
  <c r="C276" i="10"/>
  <c r="G276" i="10" s="1"/>
  <c r="I275" i="10"/>
  <c r="F275" i="10"/>
  <c r="C275" i="10"/>
  <c r="I274" i="10"/>
  <c r="F274" i="10"/>
  <c r="I272" i="10"/>
  <c r="F272" i="10"/>
  <c r="I268" i="10"/>
  <c r="I267" i="10"/>
  <c r="F267" i="10"/>
  <c r="D267" i="10"/>
  <c r="C267" i="10"/>
  <c r="C264" i="10" s="1"/>
  <c r="G264" i="10" s="1"/>
  <c r="G8" i="10" s="1"/>
  <c r="I266" i="10"/>
  <c r="G266" i="10"/>
  <c r="D266" i="10"/>
  <c r="D264" i="10" s="1"/>
  <c r="C266" i="10"/>
  <c r="I265" i="10"/>
  <c r="D265" i="10"/>
  <c r="H265" i="10" s="1"/>
  <c r="C265" i="10"/>
  <c r="G265" i="10" s="1"/>
  <c r="I264" i="10"/>
  <c r="F264" i="10"/>
  <c r="F8" i="10" s="1"/>
  <c r="I262" i="10"/>
  <c r="F262" i="10"/>
  <c r="F7" i="10" s="1"/>
  <c r="H260" i="10"/>
  <c r="G260" i="10"/>
  <c r="G259" i="10"/>
  <c r="D259" i="10"/>
  <c r="G258" i="10"/>
  <c r="D258" i="10"/>
  <c r="H258" i="10" s="1"/>
  <c r="I257" i="10"/>
  <c r="F257" i="10"/>
  <c r="C257" i="10"/>
  <c r="G257" i="10" s="1"/>
  <c r="H256" i="10"/>
  <c r="D256" i="10"/>
  <c r="H255" i="10"/>
  <c r="H254" i="10"/>
  <c r="H253" i="10"/>
  <c r="H252" i="10"/>
  <c r="G251" i="10"/>
  <c r="D251" i="10"/>
  <c r="G250" i="10"/>
  <c r="D250" i="10"/>
  <c r="D248" i="10" s="1"/>
  <c r="H248" i="10" s="1"/>
  <c r="G249" i="10"/>
  <c r="D249" i="10"/>
  <c r="I248" i="10"/>
  <c r="G248" i="10"/>
  <c r="F248" i="10"/>
  <c r="C248" i="10"/>
  <c r="H247" i="10"/>
  <c r="G247" i="10"/>
  <c r="D247" i="10"/>
  <c r="D246" i="10" s="1"/>
  <c r="H246" i="10" s="1"/>
  <c r="C246" i="10"/>
  <c r="G246" i="10" s="1"/>
  <c r="I245" i="10"/>
  <c r="I244" i="10"/>
  <c r="H244" i="10"/>
  <c r="G244" i="10"/>
  <c r="I243" i="10"/>
  <c r="D243" i="10"/>
  <c r="H243" i="10" s="1"/>
  <c r="I242" i="10"/>
  <c r="D242" i="10"/>
  <c r="H242" i="10" s="1"/>
  <c r="D241" i="10"/>
  <c r="H241" i="10" s="1"/>
  <c r="I240" i="10"/>
  <c r="H240" i="10"/>
  <c r="D240" i="10"/>
  <c r="I239" i="10"/>
  <c r="H239" i="10"/>
  <c r="D239" i="10"/>
  <c r="I238" i="10"/>
  <c r="D238" i="10"/>
  <c r="H238" i="10" s="1"/>
  <c r="I237" i="10"/>
  <c r="D237" i="10"/>
  <c r="H237" i="10" s="1"/>
  <c r="I236" i="10"/>
  <c r="H236" i="10"/>
  <c r="H235" i="10"/>
  <c r="H234" i="10"/>
  <c r="I233" i="10"/>
  <c r="H233" i="10"/>
  <c r="G233" i="10"/>
  <c r="I232" i="10"/>
  <c r="H232" i="10"/>
  <c r="D232" i="10"/>
  <c r="H231" i="10"/>
  <c r="I230" i="10"/>
  <c r="G230" i="10"/>
  <c r="F230" i="10"/>
  <c r="C230" i="10"/>
  <c r="I229" i="10"/>
  <c r="H229" i="10"/>
  <c r="I228" i="10"/>
  <c r="G228" i="10"/>
  <c r="D228" i="10"/>
  <c r="I227" i="10"/>
  <c r="H227" i="10"/>
  <c r="G227" i="10"/>
  <c r="I226" i="10"/>
  <c r="H226" i="10"/>
  <c r="G226" i="10"/>
  <c r="I225" i="10"/>
  <c r="G225" i="10"/>
  <c r="D225" i="10"/>
  <c r="H225" i="10" s="1"/>
  <c r="I224" i="10"/>
  <c r="H224" i="10"/>
  <c r="G224" i="10"/>
  <c r="D224" i="10"/>
  <c r="I223" i="10"/>
  <c r="G223" i="10"/>
  <c r="D223" i="10"/>
  <c r="H223" i="10" s="1"/>
  <c r="I222" i="10"/>
  <c r="H222" i="10"/>
  <c r="G222" i="10"/>
  <c r="D222" i="10"/>
  <c r="I221" i="10"/>
  <c r="G221" i="10"/>
  <c r="F221" i="10"/>
  <c r="C221" i="10"/>
  <c r="H220" i="10"/>
  <c r="D220" i="10"/>
  <c r="H219" i="10"/>
  <c r="D219" i="10"/>
  <c r="D218" i="10"/>
  <c r="H218" i="10" s="1"/>
  <c r="D217" i="10"/>
  <c r="H217" i="10" s="1"/>
  <c r="H216" i="10"/>
  <c r="D216" i="10"/>
  <c r="H215" i="10"/>
  <c r="D215" i="10"/>
  <c r="D214" i="10"/>
  <c r="H214" i="10" s="1"/>
  <c r="D213" i="10"/>
  <c r="H213" i="10" s="1"/>
  <c r="H212" i="10"/>
  <c r="D212" i="10"/>
  <c r="H211" i="10"/>
  <c r="G211" i="10"/>
  <c r="D211" i="10"/>
  <c r="H210" i="10"/>
  <c r="H209" i="10"/>
  <c r="H208" i="10"/>
  <c r="H207" i="10"/>
  <c r="H206" i="10"/>
  <c r="D206" i="10"/>
  <c r="H205" i="10"/>
  <c r="I204" i="10"/>
  <c r="H204" i="10"/>
  <c r="I203" i="10"/>
  <c r="H203" i="10"/>
  <c r="G203" i="10"/>
  <c r="D203" i="10"/>
  <c r="H202" i="10"/>
  <c r="G202" i="10"/>
  <c r="D202" i="10"/>
  <c r="I201" i="10"/>
  <c r="F201" i="10"/>
  <c r="D201" i="10"/>
  <c r="H201" i="10" s="1"/>
  <c r="C201" i="10"/>
  <c r="G201" i="10" s="1"/>
  <c r="H200" i="10"/>
  <c r="D200" i="10"/>
  <c r="D197" i="10" s="1"/>
  <c r="H197" i="10" s="1"/>
  <c r="H199" i="10"/>
  <c r="D199" i="10"/>
  <c r="H198" i="10"/>
  <c r="G198" i="10"/>
  <c r="G197" i="10"/>
  <c r="F197" i="10"/>
  <c r="C197" i="10"/>
  <c r="I196" i="10"/>
  <c r="D196" i="10"/>
  <c r="H196" i="10" s="1"/>
  <c r="C196" i="10"/>
  <c r="C193" i="10" s="1"/>
  <c r="H195" i="10"/>
  <c r="D195" i="10"/>
  <c r="D194" i="10" s="1"/>
  <c r="H194" i="10" s="1"/>
  <c r="I194" i="10"/>
  <c r="C194" i="10"/>
  <c r="I193" i="10"/>
  <c r="F193" i="10"/>
  <c r="G190" i="10"/>
  <c r="D190" i="10"/>
  <c r="G189" i="10"/>
  <c r="D189" i="10"/>
  <c r="G188" i="10"/>
  <c r="D188" i="10"/>
  <c r="D185" i="10" s="1"/>
  <c r="G187" i="10"/>
  <c r="D187" i="10"/>
  <c r="G186" i="10"/>
  <c r="D186" i="10"/>
  <c r="C185" i="10"/>
  <c r="G185" i="10" s="1"/>
  <c r="I184" i="10"/>
  <c r="H184" i="10"/>
  <c r="G184" i="10"/>
  <c r="G183" i="10"/>
  <c r="D183" i="10"/>
  <c r="G182" i="10"/>
  <c r="D182" i="10"/>
  <c r="G181" i="10"/>
  <c r="D181" i="10"/>
  <c r="H181" i="10" s="1"/>
  <c r="H180" i="10"/>
  <c r="G180" i="10"/>
  <c r="D180" i="10"/>
  <c r="G179" i="10"/>
  <c r="D179" i="10"/>
  <c r="D178" i="10" s="1"/>
  <c r="H178" i="10" s="1"/>
  <c r="C178" i="10"/>
  <c r="I177" i="10"/>
  <c r="G177" i="10"/>
  <c r="D177" i="10"/>
  <c r="I176" i="10"/>
  <c r="H176" i="10"/>
  <c r="G176" i="10"/>
  <c r="D176" i="10"/>
  <c r="I175" i="10"/>
  <c r="F175" i="10"/>
  <c r="I173" i="10"/>
  <c r="H173" i="10"/>
  <c r="G173" i="10"/>
  <c r="D173" i="10"/>
  <c r="C173" i="10"/>
  <c r="G172" i="10"/>
  <c r="D172" i="10"/>
  <c r="G171" i="10"/>
  <c r="D171" i="10"/>
  <c r="I170" i="10"/>
  <c r="I167" i="10"/>
  <c r="G166" i="10"/>
  <c r="D166" i="10"/>
  <c r="H165" i="10"/>
  <c r="I164" i="10"/>
  <c r="H164" i="10"/>
  <c r="G164" i="10"/>
  <c r="I163" i="10"/>
  <c r="H163" i="10"/>
  <c r="G163" i="10"/>
  <c r="I162" i="10"/>
  <c r="I161" i="10"/>
  <c r="H161" i="10"/>
  <c r="G161" i="10"/>
  <c r="I160" i="10"/>
  <c r="H160" i="10"/>
  <c r="G160" i="10"/>
  <c r="I159" i="10"/>
  <c r="H159" i="10"/>
  <c r="G159" i="10"/>
  <c r="H158" i="10"/>
  <c r="G158" i="10"/>
  <c r="G156" i="10"/>
  <c r="D156" i="10"/>
  <c r="D155" i="10" s="1"/>
  <c r="H155" i="10" s="1"/>
  <c r="I155" i="10"/>
  <c r="F155" i="10"/>
  <c r="C155" i="10"/>
  <c r="G155" i="10" s="1"/>
  <c r="I154" i="10"/>
  <c r="I153" i="10"/>
  <c r="I152" i="10"/>
  <c r="H152" i="10"/>
  <c r="G152" i="10"/>
  <c r="I151" i="10"/>
  <c r="I150" i="10"/>
  <c r="H150" i="10"/>
  <c r="G150" i="10"/>
  <c r="I149" i="10"/>
  <c r="H149" i="10"/>
  <c r="G149" i="10"/>
  <c r="I148" i="10"/>
  <c r="I147" i="10"/>
  <c r="H147" i="10"/>
  <c r="G147" i="10"/>
  <c r="I146" i="10"/>
  <c r="I145" i="10"/>
  <c r="H145" i="10"/>
  <c r="G145" i="10"/>
  <c r="I141" i="10"/>
  <c r="H141" i="10"/>
  <c r="G141" i="10"/>
  <c r="I140" i="10"/>
  <c r="H140" i="10"/>
  <c r="G140" i="10"/>
  <c r="I138" i="10"/>
  <c r="H138" i="10"/>
  <c r="G138" i="10"/>
  <c r="I137" i="10"/>
  <c r="H137" i="10"/>
  <c r="I136" i="10"/>
  <c r="H136" i="10"/>
  <c r="G136" i="10"/>
  <c r="I135" i="10"/>
  <c r="H135" i="10"/>
  <c r="G135" i="10"/>
  <c r="I133" i="10"/>
  <c r="G133" i="10"/>
  <c r="F133" i="10"/>
  <c r="D133" i="10"/>
  <c r="H133" i="10" s="1"/>
  <c r="C133" i="10"/>
  <c r="I132" i="10"/>
  <c r="G132" i="10"/>
  <c r="D132" i="10"/>
  <c r="H132" i="10" s="1"/>
  <c r="C132" i="10"/>
  <c r="I131" i="10"/>
  <c r="G131" i="10"/>
  <c r="D131" i="10"/>
  <c r="H131" i="10" s="1"/>
  <c r="I130" i="10"/>
  <c r="H129" i="10"/>
  <c r="D128" i="10"/>
  <c r="H128" i="10" s="1"/>
  <c r="D127" i="10"/>
  <c r="H127" i="10" s="1"/>
  <c r="I125" i="10"/>
  <c r="H125" i="10"/>
  <c r="D125" i="10"/>
  <c r="I124" i="10"/>
  <c r="H124" i="10"/>
  <c r="D124" i="10"/>
  <c r="I123" i="10"/>
  <c r="H123" i="10"/>
  <c r="I122" i="10"/>
  <c r="H122" i="10"/>
  <c r="I121" i="10"/>
  <c r="H121" i="10"/>
  <c r="D120" i="10"/>
  <c r="H120" i="10" s="1"/>
  <c r="D119" i="10"/>
  <c r="H119" i="10" s="1"/>
  <c r="H118" i="10"/>
  <c r="I117" i="10"/>
  <c r="H117" i="10"/>
  <c r="D117" i="10"/>
  <c r="H116" i="10"/>
  <c r="I115" i="10"/>
  <c r="H115" i="10"/>
  <c r="I114" i="10"/>
  <c r="F114" i="10"/>
  <c r="C114" i="10"/>
  <c r="I113" i="10"/>
  <c r="D113" i="10"/>
  <c r="H113" i="10" s="1"/>
  <c r="I112" i="10"/>
  <c r="I111" i="10"/>
  <c r="H111" i="10"/>
  <c r="G111" i="10"/>
  <c r="I110" i="10"/>
  <c r="H110" i="10"/>
  <c r="G110" i="10"/>
  <c r="F110" i="10"/>
  <c r="I109" i="10"/>
  <c r="H109" i="10"/>
  <c r="G109" i="10"/>
  <c r="I108" i="10"/>
  <c r="D108" i="10"/>
  <c r="I107" i="10"/>
  <c r="D107" i="10"/>
  <c r="H106" i="10"/>
  <c r="G106" i="10"/>
  <c r="H105" i="10"/>
  <c r="G105" i="10"/>
  <c r="D105" i="10"/>
  <c r="D104" i="10"/>
  <c r="I103" i="10"/>
  <c r="H103" i="10"/>
  <c r="G103" i="10"/>
  <c r="I102" i="10"/>
  <c r="H102" i="10"/>
  <c r="G102" i="10"/>
  <c r="I101" i="10"/>
  <c r="H101" i="10"/>
  <c r="G101" i="10"/>
  <c r="F101" i="10"/>
  <c r="D100" i="10"/>
  <c r="I99" i="10"/>
  <c r="H99" i="10"/>
  <c r="G99" i="10"/>
  <c r="I98" i="10"/>
  <c r="H98" i="10"/>
  <c r="G98" i="10"/>
  <c r="I97" i="10"/>
  <c r="F97" i="10"/>
  <c r="C97" i="10"/>
  <c r="G97" i="10" s="1"/>
  <c r="H96" i="10"/>
  <c r="D96" i="10"/>
  <c r="I95" i="10"/>
  <c r="G95" i="10"/>
  <c r="D95" i="10"/>
  <c r="H95" i="10" s="1"/>
  <c r="I94" i="10"/>
  <c r="H94" i="10"/>
  <c r="G94" i="10"/>
  <c r="I93" i="10"/>
  <c r="H93" i="10"/>
  <c r="G93" i="10"/>
  <c r="H92" i="10"/>
  <c r="G92" i="10"/>
  <c r="I91" i="10"/>
  <c r="H91" i="10"/>
  <c r="G91" i="10"/>
  <c r="I90" i="10"/>
  <c r="H90" i="10"/>
  <c r="G90" i="10"/>
  <c r="I89" i="10"/>
  <c r="H89" i="10"/>
  <c r="G89" i="10"/>
  <c r="I88" i="10"/>
  <c r="H88" i="10"/>
  <c r="G88" i="10"/>
  <c r="I87" i="10"/>
  <c r="H87" i="10"/>
  <c r="G87" i="10"/>
  <c r="I86" i="10"/>
  <c r="H86" i="10"/>
  <c r="G86" i="10"/>
  <c r="I85" i="10"/>
  <c r="H85" i="10"/>
  <c r="G85" i="10"/>
  <c r="I84" i="10"/>
  <c r="H84" i="10"/>
  <c r="G84" i="10"/>
  <c r="I83" i="10"/>
  <c r="H83" i="10"/>
  <c r="G83" i="10"/>
  <c r="F83" i="10"/>
  <c r="D83" i="10"/>
  <c r="C83" i="10"/>
  <c r="I82" i="10"/>
  <c r="H82" i="10"/>
  <c r="G82" i="10"/>
  <c r="H81" i="10"/>
  <c r="I80" i="10"/>
  <c r="H80" i="10"/>
  <c r="G80" i="10"/>
  <c r="D80" i="10"/>
  <c r="I79" i="10"/>
  <c r="G79" i="10"/>
  <c r="D79" i="10"/>
  <c r="H79" i="10" s="1"/>
  <c r="I78" i="10"/>
  <c r="H78" i="10"/>
  <c r="G78" i="10"/>
  <c r="I77" i="10"/>
  <c r="H77" i="10"/>
  <c r="G77" i="10"/>
  <c r="I76" i="10"/>
  <c r="H76" i="10"/>
  <c r="G76" i="10"/>
  <c r="I75" i="10"/>
  <c r="D75" i="10"/>
  <c r="I74" i="10"/>
  <c r="H74" i="10"/>
  <c r="G74" i="10"/>
  <c r="I73" i="10"/>
  <c r="H73" i="10"/>
  <c r="G73" i="10"/>
  <c r="I72" i="10"/>
  <c r="H72" i="10"/>
  <c r="G72" i="10"/>
  <c r="I71" i="10"/>
  <c r="D71" i="10"/>
  <c r="H71" i="10" s="1"/>
  <c r="I70" i="10"/>
  <c r="H70" i="10"/>
  <c r="G70" i="10"/>
  <c r="I69" i="10"/>
  <c r="H69" i="10"/>
  <c r="G69" i="10"/>
  <c r="I68" i="10"/>
  <c r="I67" i="10"/>
  <c r="G67" i="10"/>
  <c r="F67" i="10"/>
  <c r="D67" i="10"/>
  <c r="C67" i="10"/>
  <c r="I66" i="10"/>
  <c r="F66" i="10"/>
  <c r="I64" i="10"/>
  <c r="H64" i="10"/>
  <c r="G64" i="10"/>
  <c r="I63" i="10"/>
  <c r="D63" i="10"/>
  <c r="H63" i="10" s="1"/>
  <c r="C63" i="10"/>
  <c r="G63" i="10" s="1"/>
  <c r="I62" i="10"/>
  <c r="H62" i="10"/>
  <c r="G62" i="10"/>
  <c r="D62" i="10"/>
  <c r="I61" i="10"/>
  <c r="H61" i="10"/>
  <c r="I59" i="10"/>
  <c r="I58" i="10"/>
  <c r="H58" i="10"/>
  <c r="G58" i="10"/>
  <c r="I57" i="10"/>
  <c r="G57" i="10"/>
  <c r="D57" i="10"/>
  <c r="H57" i="10" s="1"/>
  <c r="I56" i="10"/>
  <c r="H56" i="10"/>
  <c r="G56" i="10"/>
  <c r="I55" i="10"/>
  <c r="H55" i="10"/>
  <c r="G55" i="10"/>
  <c r="I54" i="10"/>
  <c r="G54" i="10"/>
  <c r="D54" i="10"/>
  <c r="H54" i="10" s="1"/>
  <c r="I53" i="10"/>
  <c r="H53" i="10"/>
  <c r="G53" i="10"/>
  <c r="D53" i="10"/>
  <c r="I52" i="10"/>
  <c r="G52" i="10"/>
  <c r="F52" i="10"/>
  <c r="D52" i="10"/>
  <c r="D32" i="10" s="1"/>
  <c r="C52" i="10"/>
  <c r="I51" i="10"/>
  <c r="H51" i="10"/>
  <c r="G51" i="10"/>
  <c r="I50" i="10"/>
  <c r="H50" i="10"/>
  <c r="G50" i="10"/>
  <c r="I49" i="10"/>
  <c r="H49" i="10"/>
  <c r="G49" i="10"/>
  <c r="I48" i="10"/>
  <c r="H48" i="10"/>
  <c r="G48" i="10"/>
  <c r="I47" i="10"/>
  <c r="H47" i="10"/>
  <c r="G47" i="10"/>
  <c r="I46" i="10"/>
  <c r="G46" i="10"/>
  <c r="D46" i="10"/>
  <c r="H46" i="10" s="1"/>
  <c r="I45" i="10"/>
  <c r="H45" i="10"/>
  <c r="G45" i="10"/>
  <c r="I44" i="10"/>
  <c r="F44" i="10"/>
  <c r="D44" i="10"/>
  <c r="H44" i="10" s="1"/>
  <c r="C44" i="10"/>
  <c r="G44" i="10" s="1"/>
  <c r="I43" i="10"/>
  <c r="H43" i="10"/>
  <c r="G43" i="10"/>
  <c r="I42" i="10"/>
  <c r="H42" i="10"/>
  <c r="I41" i="10"/>
  <c r="H41" i="10"/>
  <c r="G41" i="10"/>
  <c r="I40" i="10"/>
  <c r="H40" i="10"/>
  <c r="G40" i="10"/>
  <c r="I39" i="10"/>
  <c r="G39" i="10"/>
  <c r="D39" i="10"/>
  <c r="H39" i="10" s="1"/>
  <c r="C39" i="10"/>
  <c r="I38" i="10"/>
  <c r="H38" i="10"/>
  <c r="G38" i="10"/>
  <c r="D38" i="10"/>
  <c r="I37" i="10"/>
  <c r="G37" i="10"/>
  <c r="D37" i="10"/>
  <c r="H37" i="10" s="1"/>
  <c r="I36" i="10"/>
  <c r="G36" i="10"/>
  <c r="D36" i="10"/>
  <c r="H36" i="10" s="1"/>
  <c r="C36" i="10"/>
  <c r="I35" i="10"/>
  <c r="H35" i="10"/>
  <c r="D35" i="10"/>
  <c r="C35" i="10"/>
  <c r="G35" i="10" s="1"/>
  <c r="I34" i="10"/>
  <c r="D34" i="10"/>
  <c r="H34" i="10" s="1"/>
  <c r="C34" i="10"/>
  <c r="G34" i="10" s="1"/>
  <c r="I33" i="10"/>
  <c r="H33" i="10"/>
  <c r="D33" i="10"/>
  <c r="C33" i="10"/>
  <c r="G33" i="10" s="1"/>
  <c r="I32" i="10"/>
  <c r="I3" i="10" s="1"/>
  <c r="F32" i="10"/>
  <c r="F3" i="10" s="1"/>
  <c r="I30" i="10"/>
  <c r="E30" i="10"/>
  <c r="I29" i="10"/>
  <c r="F29" i="10"/>
  <c r="E29" i="10"/>
  <c r="I28" i="10"/>
  <c r="E28" i="10"/>
  <c r="I27" i="10"/>
  <c r="F27" i="10"/>
  <c r="E27" i="10"/>
  <c r="I26" i="10"/>
  <c r="F26" i="10"/>
  <c r="E26" i="10"/>
  <c r="F25" i="10"/>
  <c r="E25" i="10"/>
  <c r="I24" i="10"/>
  <c r="F24" i="10"/>
  <c r="E24" i="10"/>
  <c r="I23" i="10"/>
  <c r="F23" i="10"/>
  <c r="E23" i="10"/>
  <c r="I22" i="10"/>
  <c r="F22" i="10"/>
  <c r="E22" i="10"/>
  <c r="I21" i="10"/>
  <c r="E21" i="10"/>
  <c r="C21" i="10"/>
  <c r="I20" i="10"/>
  <c r="F20" i="10"/>
  <c r="E20" i="10"/>
  <c r="I19" i="10"/>
  <c r="F19" i="10"/>
  <c r="E19" i="10"/>
  <c r="H18" i="10"/>
  <c r="G18" i="10"/>
  <c r="F18" i="10"/>
  <c r="E18" i="10"/>
  <c r="D18" i="10"/>
  <c r="C18" i="10"/>
  <c r="I17" i="10"/>
  <c r="H17" i="10"/>
  <c r="F17" i="10"/>
  <c r="E17" i="10"/>
  <c r="D17" i="10"/>
  <c r="F16" i="10"/>
  <c r="E16" i="10"/>
  <c r="C16" i="10"/>
  <c r="I15" i="10"/>
  <c r="H15" i="10"/>
  <c r="G15" i="10"/>
  <c r="F15" i="10"/>
  <c r="E15" i="10"/>
  <c r="D15" i="10"/>
  <c r="C15" i="10"/>
  <c r="I14" i="10"/>
  <c r="E14" i="10"/>
  <c r="I13" i="10"/>
  <c r="F13" i="10"/>
  <c r="E13" i="10"/>
  <c r="I12" i="10"/>
  <c r="H12" i="10"/>
  <c r="G12" i="10"/>
  <c r="E11" i="10"/>
  <c r="I9" i="10"/>
  <c r="F9" i="10"/>
  <c r="E9" i="10"/>
  <c r="I8" i="10"/>
  <c r="E8" i="10"/>
  <c r="C8" i="10"/>
  <c r="I7" i="10"/>
  <c r="E7" i="10"/>
  <c r="I6" i="10"/>
  <c r="F6" i="10"/>
  <c r="E6" i="10"/>
  <c r="I5" i="10"/>
  <c r="F5" i="10"/>
  <c r="E5" i="10"/>
  <c r="I4" i="10"/>
  <c r="F4" i="10"/>
  <c r="E4" i="10"/>
  <c r="E3" i="10"/>
  <c r="I65" i="9"/>
  <c r="G65" i="9"/>
  <c r="I57" i="9"/>
  <c r="G57" i="9"/>
  <c r="I43" i="9"/>
  <c r="G43" i="9"/>
  <c r="G40" i="9"/>
  <c r="G42" i="9" s="1"/>
  <c r="G45" i="9" s="1"/>
  <c r="G55" i="9" s="1"/>
  <c r="G56" i="9" s="1"/>
  <c r="G59" i="9" s="1"/>
  <c r="I37" i="9"/>
  <c r="I40" i="9" s="1"/>
  <c r="I42" i="9" s="1"/>
  <c r="I45" i="9" s="1"/>
  <c r="I55" i="9" s="1"/>
  <c r="I56" i="9" s="1"/>
  <c r="I59" i="9" s="1"/>
  <c r="I30" i="9"/>
  <c r="G30" i="9"/>
  <c r="G28" i="9" s="1"/>
  <c r="L28" i="9"/>
  <c r="I28" i="9"/>
  <c r="I25" i="9"/>
  <c r="G25" i="9"/>
  <c r="I23" i="9"/>
  <c r="G23" i="9"/>
  <c r="E23" i="9"/>
  <c r="G17" i="9"/>
  <c r="I13" i="9"/>
  <c r="I17" i="9" s="1"/>
  <c r="G13" i="9"/>
  <c r="I985" i="8"/>
  <c r="H985" i="8"/>
  <c r="G985" i="8"/>
  <c r="F985" i="8"/>
  <c r="E985" i="8"/>
  <c r="D977" i="8"/>
  <c r="D976" i="8" s="1"/>
  <c r="C976" i="8"/>
  <c r="D972" i="8"/>
  <c r="D971" i="8"/>
  <c r="C971" i="8"/>
  <c r="D968" i="8"/>
  <c r="D967" i="8"/>
  <c r="C967" i="8"/>
  <c r="D960" i="8"/>
  <c r="D959" i="8"/>
  <c r="D957" i="8"/>
  <c r="C957" i="8"/>
  <c r="D953" i="8"/>
  <c r="C953" i="8"/>
  <c r="D948" i="8"/>
  <c r="D947" i="8" s="1"/>
  <c r="D28" i="8" s="1"/>
  <c r="C948" i="8"/>
  <c r="C947" i="8"/>
  <c r="D940" i="8"/>
  <c r="C940" i="8"/>
  <c r="D937" i="8"/>
  <c r="D936" i="8" s="1"/>
  <c r="C937" i="8"/>
  <c r="C936" i="8"/>
  <c r="D934" i="8"/>
  <c r="D931" i="8" s="1"/>
  <c r="C931" i="8"/>
  <c r="C926" i="8" s="1"/>
  <c r="D929" i="8"/>
  <c r="D926" i="8" s="1"/>
  <c r="D919" i="8"/>
  <c r="C919" i="8"/>
  <c r="D918" i="8"/>
  <c r="D913" i="8"/>
  <c r="D911" i="8" s="1"/>
  <c r="D906" i="8" s="1"/>
  <c r="C913" i="8"/>
  <c r="D912" i="8"/>
  <c r="C911" i="8"/>
  <c r="D909" i="8"/>
  <c r="C909" i="8"/>
  <c r="D907" i="8"/>
  <c r="C907" i="8"/>
  <c r="C906" i="8"/>
  <c r="D896" i="8"/>
  <c r="D894" i="8" s="1"/>
  <c r="C894" i="8"/>
  <c r="D889" i="8"/>
  <c r="C889" i="8"/>
  <c r="D880" i="8"/>
  <c r="C880" i="8"/>
  <c r="C879" i="8" s="1"/>
  <c r="D873" i="8"/>
  <c r="C873" i="8"/>
  <c r="D867" i="8"/>
  <c r="C867" i="8"/>
  <c r="D865" i="8"/>
  <c r="C865" i="8"/>
  <c r="D861" i="8"/>
  <c r="C861" i="8"/>
  <c r="D860" i="8"/>
  <c r="D859" i="8"/>
  <c r="C859" i="8"/>
  <c r="D854" i="8"/>
  <c r="C854" i="8"/>
  <c r="C853" i="8" s="1"/>
  <c r="C850" i="8" s="1"/>
  <c r="D853" i="8"/>
  <c r="D850" i="8" s="1"/>
  <c r="D851" i="8"/>
  <c r="C851" i="8"/>
  <c r="D846" i="8"/>
  <c r="C846" i="8"/>
  <c r="D844" i="8"/>
  <c r="D843" i="8"/>
  <c r="D842" i="8"/>
  <c r="C842" i="8"/>
  <c r="D840" i="8"/>
  <c r="C840" i="8"/>
  <c r="D839" i="8"/>
  <c r="C839" i="8"/>
  <c r="D838" i="8"/>
  <c r="D836" i="8" s="1"/>
  <c r="D837" i="8"/>
  <c r="C836" i="8"/>
  <c r="D835" i="8"/>
  <c r="D833" i="8" s="1"/>
  <c r="C833" i="8"/>
  <c r="D829" i="8"/>
  <c r="C829" i="8"/>
  <c r="C828" i="8"/>
  <c r="C827" i="8" s="1"/>
  <c r="C825" i="8" s="1"/>
  <c r="C27" i="8" s="1"/>
  <c r="D826" i="8"/>
  <c r="D823" i="8"/>
  <c r="D822" i="8" s="1"/>
  <c r="D800" i="8" s="1"/>
  <c r="D26" i="8" s="1"/>
  <c r="C822" i="8"/>
  <c r="D816" i="8"/>
  <c r="C816" i="8"/>
  <c r="D808" i="8"/>
  <c r="C808" i="8"/>
  <c r="C800" i="8"/>
  <c r="D797" i="8"/>
  <c r="C797" i="8"/>
  <c r="D796" i="8"/>
  <c r="C796" i="8"/>
  <c r="D795" i="8"/>
  <c r="C795" i="8"/>
  <c r="C794" i="8" s="1"/>
  <c r="C793" i="8" s="1"/>
  <c r="C25" i="8" s="1"/>
  <c r="D794" i="8"/>
  <c r="D793" i="8" s="1"/>
  <c r="D25" i="8" s="1"/>
  <c r="D790" i="8"/>
  <c r="D780" i="8"/>
  <c r="D779" i="8" s="1"/>
  <c r="C780" i="8"/>
  <c r="C779" i="8"/>
  <c r="D772" i="8"/>
  <c r="C772" i="8"/>
  <c r="D770" i="8"/>
  <c r="C770" i="8"/>
  <c r="D767" i="8"/>
  <c r="C767" i="8"/>
  <c r="D764" i="8"/>
  <c r="C764" i="8"/>
  <c r="C763" i="8" s="1"/>
  <c r="D760" i="8"/>
  <c r="C760" i="8"/>
  <c r="D759" i="8"/>
  <c r="C759" i="8"/>
  <c r="D758" i="8"/>
  <c r="C758" i="8"/>
  <c r="C757" i="8" s="1"/>
  <c r="C754" i="8" s="1"/>
  <c r="C23" i="8" s="1"/>
  <c r="D757" i="8"/>
  <c r="D754" i="8" s="1"/>
  <c r="D23" i="8" s="1"/>
  <c r="D756" i="8"/>
  <c r="C756" i="8"/>
  <c r="D752" i="8"/>
  <c r="C752" i="8"/>
  <c r="D751" i="8"/>
  <c r="C751" i="8"/>
  <c r="D747" i="8"/>
  <c r="C747" i="8"/>
  <c r="D746" i="8"/>
  <c r="C746" i="8"/>
  <c r="D742" i="8"/>
  <c r="C742" i="8"/>
  <c r="C740" i="8" s="1"/>
  <c r="D741" i="8"/>
  <c r="D740" i="8" s="1"/>
  <c r="C741" i="8"/>
  <c r="D739" i="8"/>
  <c r="C739" i="8"/>
  <c r="D734" i="8"/>
  <c r="C734" i="8"/>
  <c r="D733" i="8"/>
  <c r="C733" i="8"/>
  <c r="D730" i="8"/>
  <c r="D729" i="8" s="1"/>
  <c r="D728" i="8" s="1"/>
  <c r="D21" i="8" s="1"/>
  <c r="C730" i="8"/>
  <c r="C729" i="8"/>
  <c r="C728" i="8" s="1"/>
  <c r="C21" i="8" s="1"/>
  <c r="D726" i="8"/>
  <c r="D716" i="8" s="1"/>
  <c r="C726" i="8"/>
  <c r="D721" i="8"/>
  <c r="C716" i="8"/>
  <c r="C715" i="8" s="1"/>
  <c r="D715" i="8"/>
  <c r="D712" i="8"/>
  <c r="C712" i="8"/>
  <c r="D709" i="8"/>
  <c r="C709" i="8"/>
  <c r="D707" i="8"/>
  <c r="C707" i="8"/>
  <c r="D706" i="8"/>
  <c r="D705" i="8"/>
  <c r="D704" i="8" s="1"/>
  <c r="D702" i="8" s="1"/>
  <c r="C705" i="8"/>
  <c r="C704" i="8"/>
  <c r="C702" i="8" s="1"/>
  <c r="D700" i="8"/>
  <c r="D699" i="8" s="1"/>
  <c r="C700" i="8"/>
  <c r="C699" i="8" s="1"/>
  <c r="D693" i="8"/>
  <c r="C693" i="8"/>
  <c r="D691" i="8"/>
  <c r="D690" i="8" s="1"/>
  <c r="C691" i="8"/>
  <c r="C690" i="8"/>
  <c r="D687" i="8"/>
  <c r="C687" i="8"/>
  <c r="D686" i="8"/>
  <c r="D685" i="8" s="1"/>
  <c r="C686" i="8"/>
  <c r="D683" i="8"/>
  <c r="C683" i="8"/>
  <c r="D680" i="8"/>
  <c r="D679" i="8" s="1"/>
  <c r="D678" i="8" s="1"/>
  <c r="C679" i="8"/>
  <c r="C678" i="8"/>
  <c r="D675" i="8"/>
  <c r="C675" i="8"/>
  <c r="D674" i="8"/>
  <c r="C674" i="8"/>
  <c r="D671" i="8"/>
  <c r="D670" i="8"/>
  <c r="C670" i="8"/>
  <c r="D667" i="8"/>
  <c r="D666" i="8"/>
  <c r="C666" i="8"/>
  <c r="D663" i="8"/>
  <c r="C663" i="8"/>
  <c r="C662" i="8" s="1"/>
  <c r="D661" i="8"/>
  <c r="C661" i="8"/>
  <c r="D660" i="8"/>
  <c r="C660" i="8"/>
  <c r="D654" i="8"/>
  <c r="C654" i="8"/>
  <c r="D653" i="8"/>
  <c r="C653" i="8"/>
  <c r="D650" i="8"/>
  <c r="C650" i="8"/>
  <c r="C649" i="8" s="1"/>
  <c r="D646" i="8"/>
  <c r="C646" i="8"/>
  <c r="D645" i="8"/>
  <c r="C645" i="8"/>
  <c r="D644" i="8"/>
  <c r="C644" i="8"/>
  <c r="D643" i="8"/>
  <c r="C643" i="8"/>
  <c r="D634" i="8"/>
  <c r="C634" i="8"/>
  <c r="D630" i="8"/>
  <c r="C630" i="8"/>
  <c r="D623" i="8"/>
  <c r="D621" i="8" s="1"/>
  <c r="D17" i="8" s="1"/>
  <c r="C623" i="8"/>
  <c r="C621" i="8" s="1"/>
  <c r="C17" i="8" s="1"/>
  <c r="D619" i="8"/>
  <c r="C619" i="8"/>
  <c r="D616" i="8"/>
  <c r="C616" i="8"/>
  <c r="D615" i="8"/>
  <c r="D614" i="8" s="1"/>
  <c r="D16" i="8" s="1"/>
  <c r="C615" i="8"/>
  <c r="C614" i="8" s="1"/>
  <c r="C16" i="8" s="1"/>
  <c r="D611" i="8"/>
  <c r="C611" i="8"/>
  <c r="D608" i="8"/>
  <c r="C608" i="8"/>
  <c r="D606" i="8"/>
  <c r="C606" i="8"/>
  <c r="D601" i="8"/>
  <c r="C601" i="8"/>
  <c r="D597" i="8"/>
  <c r="C597" i="8"/>
  <c r="D595" i="8"/>
  <c r="C595" i="8"/>
  <c r="C588" i="8" s="1"/>
  <c r="D594" i="8"/>
  <c r="D593" i="8"/>
  <c r="D592" i="8"/>
  <c r="D591" i="8"/>
  <c r="D590" i="8"/>
  <c r="C589" i="8"/>
  <c r="D586" i="8"/>
  <c r="C586" i="8"/>
  <c r="D584" i="8"/>
  <c r="C584" i="8"/>
  <c r="D583" i="8"/>
  <c r="D577" i="8"/>
  <c r="C577" i="8"/>
  <c r="D571" i="8"/>
  <c r="D570" i="8"/>
  <c r="D566" i="8" s="1"/>
  <c r="D569" i="8"/>
  <c r="D568" i="8"/>
  <c r="C566" i="8"/>
  <c r="D565" i="8"/>
  <c r="D564" i="8"/>
  <c r="D562" i="8"/>
  <c r="D558" i="8"/>
  <c r="D557" i="8"/>
  <c r="D556" i="8"/>
  <c r="D553" i="8"/>
  <c r="D550" i="8"/>
  <c r="D549" i="8"/>
  <c r="C549" i="8"/>
  <c r="C543" i="8" s="1"/>
  <c r="D546" i="8"/>
  <c r="D545" i="8"/>
  <c r="D544" i="8" s="1"/>
  <c r="C544" i="8"/>
  <c r="D542" i="8"/>
  <c r="D541" i="8"/>
  <c r="C541" i="8"/>
  <c r="D539" i="8"/>
  <c r="D538" i="8"/>
  <c r="C538" i="8"/>
  <c r="D536" i="8"/>
  <c r="C536" i="8"/>
  <c r="D534" i="8"/>
  <c r="C534" i="8"/>
  <c r="D532" i="8"/>
  <c r="D531" i="8" s="1"/>
  <c r="C532" i="8"/>
  <c r="C531" i="8" s="1"/>
  <c r="D528" i="8"/>
  <c r="D527" i="8" s="1"/>
  <c r="D526" i="8" s="1"/>
  <c r="C527" i="8"/>
  <c r="C526" i="8"/>
  <c r="D521" i="8"/>
  <c r="C521" i="8"/>
  <c r="D519" i="8"/>
  <c r="C519" i="8"/>
  <c r="D515" i="8"/>
  <c r="D514" i="8"/>
  <c r="C514" i="8"/>
  <c r="C513" i="8" s="1"/>
  <c r="D513" i="8"/>
  <c r="D512" i="8"/>
  <c r="D507" i="8"/>
  <c r="C507" i="8"/>
  <c r="D506" i="8"/>
  <c r="D504" i="8"/>
  <c r="C504" i="8"/>
  <c r="D502" i="8"/>
  <c r="C502" i="8"/>
  <c r="D501" i="8"/>
  <c r="C501" i="8"/>
  <c r="D499" i="8"/>
  <c r="D498" i="8" s="1"/>
  <c r="C498" i="8"/>
  <c r="D496" i="8"/>
  <c r="C496" i="8"/>
  <c r="D493" i="8"/>
  <c r="D490" i="8"/>
  <c r="D488" i="8"/>
  <c r="D486" i="8"/>
  <c r="D485" i="8"/>
  <c r="D484" i="8"/>
  <c r="D483" i="8"/>
  <c r="C483" i="8"/>
  <c r="D481" i="8"/>
  <c r="D480" i="8"/>
  <c r="D478" i="8"/>
  <c r="D472" i="8" s="1"/>
  <c r="D476" i="8"/>
  <c r="C472" i="8"/>
  <c r="C471" i="8"/>
  <c r="D470" i="8"/>
  <c r="D467" i="8" s="1"/>
  <c r="D469" i="8"/>
  <c r="C467" i="8"/>
  <c r="D463" i="8"/>
  <c r="D458" i="8"/>
  <c r="D456" i="8"/>
  <c r="D452" i="8"/>
  <c r="D451" i="8"/>
  <c r="D446" i="8"/>
  <c r="D442" i="8"/>
  <c r="D441" i="8"/>
  <c r="D440" i="8"/>
  <c r="D438" i="8"/>
  <c r="D436" i="8"/>
  <c r="D435" i="8"/>
  <c r="D432" i="8" s="1"/>
  <c r="D434" i="8"/>
  <c r="D433" i="8"/>
  <c r="C432" i="8"/>
  <c r="D431" i="8"/>
  <c r="D419" i="8"/>
  <c r="D415" i="8"/>
  <c r="D413" i="8"/>
  <c r="D407" i="8"/>
  <c r="D405" i="8"/>
  <c r="C405" i="8"/>
  <c r="C404" i="8" s="1"/>
  <c r="D403" i="8"/>
  <c r="D402" i="8"/>
  <c r="D401" i="8"/>
  <c r="D396" i="8" s="1"/>
  <c r="D391" i="8" s="1"/>
  <c r="D400" i="8"/>
  <c r="D398" i="8"/>
  <c r="C396" i="8"/>
  <c r="C391" i="8" s="1"/>
  <c r="C390" i="8" s="1"/>
  <c r="C14" i="8" s="1"/>
  <c r="D392" i="8"/>
  <c r="C392" i="8"/>
  <c r="D388" i="8"/>
  <c r="C388" i="8"/>
  <c r="D385" i="8"/>
  <c r="C385" i="8"/>
  <c r="D383" i="8"/>
  <c r="C383" i="8"/>
  <c r="D381" i="8"/>
  <c r="C381" i="8"/>
  <c r="D380" i="8"/>
  <c r="C380" i="8"/>
  <c r="D379" i="8"/>
  <c r="D368" i="8"/>
  <c r="C368" i="8"/>
  <c r="C361" i="8" s="1"/>
  <c r="D361" i="8"/>
  <c r="D360" i="8"/>
  <c r="D354" i="8" s="1"/>
  <c r="D331" i="8" s="1"/>
  <c r="C354" i="8"/>
  <c r="D349" i="8"/>
  <c r="C349" i="8"/>
  <c r="D346" i="8"/>
  <c r="C346" i="8"/>
  <c r="D342" i="8"/>
  <c r="D341" i="8"/>
  <c r="D340" i="8"/>
  <c r="D337" i="8"/>
  <c r="C337" i="8"/>
  <c r="D332" i="8"/>
  <c r="C332" i="8"/>
  <c r="D323" i="8"/>
  <c r="D322" i="8"/>
  <c r="D321" i="8" s="1"/>
  <c r="C322" i="8"/>
  <c r="C321" i="8" s="1"/>
  <c r="D319" i="8"/>
  <c r="D314" i="8"/>
  <c r="D289" i="8" s="1"/>
  <c r="C314" i="8"/>
  <c r="D313" i="8"/>
  <c r="D305" i="8"/>
  <c r="D304" i="8" s="1"/>
  <c r="C305" i="8"/>
  <c r="C304" i="8" s="1"/>
  <c r="D301" i="8"/>
  <c r="D300" i="8"/>
  <c r="D299" i="8"/>
  <c r="D297" i="8"/>
  <c r="D296" i="8"/>
  <c r="D291" i="8"/>
  <c r="C291" i="8"/>
  <c r="D290" i="8"/>
  <c r="C290" i="8"/>
  <c r="C289" i="8" s="1"/>
  <c r="D286" i="8"/>
  <c r="C286" i="8"/>
  <c r="D283" i="8"/>
  <c r="D280" i="8" s="1"/>
  <c r="D282" i="8"/>
  <c r="C280" i="8"/>
  <c r="D276" i="8"/>
  <c r="C276" i="8"/>
  <c r="C275" i="8" s="1"/>
  <c r="D268" i="8"/>
  <c r="D264" i="8" s="1"/>
  <c r="D8" i="8" s="1"/>
  <c r="C268" i="8"/>
  <c r="D266" i="8"/>
  <c r="C266" i="8"/>
  <c r="D265" i="8"/>
  <c r="C265" i="8"/>
  <c r="C264" i="8"/>
  <c r="D256" i="8"/>
  <c r="D255" i="8"/>
  <c r="C255" i="8"/>
  <c r="D246" i="8"/>
  <c r="C246" i="8"/>
  <c r="D243" i="8"/>
  <c r="C243" i="8"/>
  <c r="C198" i="8" s="1"/>
  <c r="C6" i="8" s="1"/>
  <c r="D240" i="8"/>
  <c r="C240" i="8"/>
  <c r="D238" i="8"/>
  <c r="D237" i="8"/>
  <c r="D236" i="8"/>
  <c r="D235" i="8"/>
  <c r="D234" i="8"/>
  <c r="D230" i="8"/>
  <c r="D228" i="8"/>
  <c r="C228" i="8"/>
  <c r="D219" i="8"/>
  <c r="C219" i="8"/>
  <c r="D218" i="8"/>
  <c r="D217" i="8"/>
  <c r="D216" i="8"/>
  <c r="D215" i="8"/>
  <c r="D207" i="8" s="1"/>
  <c r="D198" i="8" s="1"/>
  <c r="D6" i="8" s="1"/>
  <c r="C207" i="8"/>
  <c r="D204" i="8"/>
  <c r="C204" i="8"/>
  <c r="D203" i="8"/>
  <c r="C203" i="8"/>
  <c r="D199" i="8"/>
  <c r="C199" i="8"/>
  <c r="D185" i="8"/>
  <c r="C185" i="8"/>
  <c r="D183" i="8"/>
  <c r="C183" i="8"/>
  <c r="D178" i="8"/>
  <c r="D176" i="8"/>
  <c r="D174" i="8" s="1"/>
  <c r="C174" i="8"/>
  <c r="D173" i="8"/>
  <c r="D172" i="8"/>
  <c r="C171" i="8"/>
  <c r="D169" i="8"/>
  <c r="C169" i="8"/>
  <c r="D168" i="8"/>
  <c r="D162" i="8"/>
  <c r="D151" i="8" s="1"/>
  <c r="D152" i="8"/>
  <c r="C151" i="8"/>
  <c r="D134" i="8"/>
  <c r="D132" i="8"/>
  <c r="C132" i="8"/>
  <c r="D131" i="8"/>
  <c r="C131" i="8"/>
  <c r="D124" i="8"/>
  <c r="D122" i="8"/>
  <c r="D121" i="8"/>
  <c r="D115" i="8"/>
  <c r="D112" i="8" s="1"/>
  <c r="C112" i="8"/>
  <c r="D97" i="8"/>
  <c r="C97" i="8"/>
  <c r="D83" i="8"/>
  <c r="C83" i="8"/>
  <c r="D81" i="8"/>
  <c r="D68" i="8"/>
  <c r="C68" i="8"/>
  <c r="D67" i="8"/>
  <c r="D4" i="8" s="1"/>
  <c r="D53" i="8"/>
  <c r="C53" i="8"/>
  <c r="D44" i="8"/>
  <c r="C44" i="8"/>
  <c r="D39" i="8"/>
  <c r="C39" i="8"/>
  <c r="D38" i="8"/>
  <c r="D36" i="8"/>
  <c r="C36" i="8"/>
  <c r="D35" i="8"/>
  <c r="C35" i="8"/>
  <c r="D34" i="8"/>
  <c r="C34" i="8"/>
  <c r="D33" i="8"/>
  <c r="D32" i="8" s="1"/>
  <c r="C33" i="8"/>
  <c r="C32" i="8" s="1"/>
  <c r="D29" i="8"/>
  <c r="C29" i="8"/>
  <c r="C28" i="8"/>
  <c r="C26" i="8"/>
  <c r="C24" i="8"/>
  <c r="D19" i="8"/>
  <c r="C19" i="8"/>
  <c r="D18" i="8"/>
  <c r="C18" i="8"/>
  <c r="D15" i="8"/>
  <c r="C15" i="8"/>
  <c r="F11" i="8"/>
  <c r="E11" i="8"/>
  <c r="C8" i="8"/>
  <c r="C5" i="8"/>
  <c r="I872" i="7"/>
  <c r="I870" i="7"/>
  <c r="I869" i="7"/>
  <c r="H869" i="7"/>
  <c r="G869" i="7"/>
  <c r="G868" i="7"/>
  <c r="D868" i="7"/>
  <c r="D867" i="7" s="1"/>
  <c r="I867" i="7"/>
  <c r="G867" i="7"/>
  <c r="F867" i="7"/>
  <c r="C867" i="7"/>
  <c r="H866" i="7"/>
  <c r="H865" i="7"/>
  <c r="H864" i="7"/>
  <c r="D864" i="7"/>
  <c r="I863" i="7"/>
  <c r="F863" i="7"/>
  <c r="D863" i="7"/>
  <c r="H863" i="7" s="1"/>
  <c r="C863" i="7"/>
  <c r="I862" i="7"/>
  <c r="H862" i="7"/>
  <c r="G862" i="7"/>
  <c r="I861" i="7"/>
  <c r="H861" i="7"/>
  <c r="G861" i="7"/>
  <c r="D861" i="7"/>
  <c r="I860" i="7"/>
  <c r="F860" i="7"/>
  <c r="D860" i="7"/>
  <c r="H860" i="7" s="1"/>
  <c r="C860" i="7"/>
  <c r="G860" i="7" s="1"/>
  <c r="I859" i="7"/>
  <c r="H859" i="7"/>
  <c r="G859" i="7"/>
  <c r="I858" i="7"/>
  <c r="H858" i="7"/>
  <c r="G858" i="7"/>
  <c r="I857" i="7"/>
  <c r="H857" i="7"/>
  <c r="G857" i="7"/>
  <c r="I856" i="7"/>
  <c r="H856" i="7"/>
  <c r="G856" i="7"/>
  <c r="H855" i="7"/>
  <c r="G855" i="7"/>
  <c r="H854" i="7"/>
  <c r="H853" i="7"/>
  <c r="I852" i="7"/>
  <c r="D852" i="7"/>
  <c r="H852" i="7" s="1"/>
  <c r="H851" i="7"/>
  <c r="D851" i="7"/>
  <c r="I850" i="7"/>
  <c r="F850" i="7"/>
  <c r="C850" i="7"/>
  <c r="G850" i="7" s="1"/>
  <c r="G29" i="7" s="1"/>
  <c r="H848" i="7"/>
  <c r="G848" i="7"/>
  <c r="I847" i="7"/>
  <c r="I846" i="7"/>
  <c r="D846" i="7"/>
  <c r="H846" i="7" s="1"/>
  <c r="C846" i="7"/>
  <c r="G846" i="7" s="1"/>
  <c r="H845" i="7"/>
  <c r="G845" i="7"/>
  <c r="H844" i="7"/>
  <c r="G844" i="7"/>
  <c r="H843" i="7"/>
  <c r="G843" i="7"/>
  <c r="H842" i="7"/>
  <c r="G842" i="7"/>
  <c r="D841" i="7"/>
  <c r="H841" i="7" s="1"/>
  <c r="C841" i="7"/>
  <c r="G841" i="7" s="1"/>
  <c r="I840" i="7"/>
  <c r="H838" i="7"/>
  <c r="G838" i="7"/>
  <c r="I837" i="7"/>
  <c r="H837" i="7"/>
  <c r="G837" i="7"/>
  <c r="I836" i="7"/>
  <c r="F836" i="7"/>
  <c r="D836" i="7"/>
  <c r="H836" i="7" s="1"/>
  <c r="C836" i="7"/>
  <c r="G836" i="7" s="1"/>
  <c r="I835" i="7"/>
  <c r="H835" i="7"/>
  <c r="G835" i="7"/>
  <c r="I834" i="7"/>
  <c r="H834" i="7"/>
  <c r="G834" i="7"/>
  <c r="I833" i="7"/>
  <c r="H833" i="7"/>
  <c r="F833" i="7"/>
  <c r="D833" i="7"/>
  <c r="C833" i="7"/>
  <c r="C832" i="7" s="1"/>
  <c r="G832" i="7" s="1"/>
  <c r="I832" i="7"/>
  <c r="H832" i="7"/>
  <c r="D832" i="7"/>
  <c r="I831" i="7"/>
  <c r="H831" i="7"/>
  <c r="G831" i="7"/>
  <c r="G830" i="7"/>
  <c r="D830" i="7"/>
  <c r="H829" i="7"/>
  <c r="G829" i="7"/>
  <c r="H828" i="7"/>
  <c r="G828" i="7"/>
  <c r="F827" i="7"/>
  <c r="D827" i="7"/>
  <c r="H827" i="7" s="1"/>
  <c r="C827" i="7"/>
  <c r="G827" i="7" s="1"/>
  <c r="H826" i="7"/>
  <c r="G826" i="7"/>
  <c r="I825" i="7"/>
  <c r="H825" i="7"/>
  <c r="G825" i="7"/>
  <c r="D825" i="7"/>
  <c r="I824" i="7"/>
  <c r="H824" i="7"/>
  <c r="G824" i="7"/>
  <c r="I823" i="7"/>
  <c r="H823" i="7"/>
  <c r="F823" i="7"/>
  <c r="D823" i="7"/>
  <c r="I822" i="7"/>
  <c r="H822" i="7"/>
  <c r="G822" i="7"/>
  <c r="H821" i="7"/>
  <c r="G821" i="7"/>
  <c r="I820" i="7"/>
  <c r="H820" i="7"/>
  <c r="G820" i="7"/>
  <c r="H819" i="7"/>
  <c r="G819" i="7"/>
  <c r="I818" i="7"/>
  <c r="H818" i="7"/>
  <c r="G818" i="7"/>
  <c r="I817" i="7"/>
  <c r="H817" i="7"/>
  <c r="G817" i="7"/>
  <c r="I816" i="7"/>
  <c r="H816" i="7"/>
  <c r="G816" i="7"/>
  <c r="F816" i="7"/>
  <c r="D816" i="7"/>
  <c r="C816" i="7"/>
  <c r="H815" i="7"/>
  <c r="D815" i="7"/>
  <c r="H814" i="7"/>
  <c r="G814" i="7"/>
  <c r="H813" i="7"/>
  <c r="G813" i="7"/>
  <c r="H812" i="7"/>
  <c r="G812" i="7"/>
  <c r="I811" i="7"/>
  <c r="H811" i="7"/>
  <c r="G811" i="7"/>
  <c r="F811" i="7"/>
  <c r="D811" i="7"/>
  <c r="C811" i="7"/>
  <c r="I810" i="7"/>
  <c r="H810" i="7"/>
  <c r="G810" i="7"/>
  <c r="D810" i="7"/>
  <c r="I809" i="7"/>
  <c r="H809" i="7"/>
  <c r="F809" i="7"/>
  <c r="D809" i="7"/>
  <c r="C809" i="7"/>
  <c r="G809" i="7" s="1"/>
  <c r="G808" i="7"/>
  <c r="D808" i="7"/>
  <c r="H808" i="7" s="1"/>
  <c r="C808" i="7"/>
  <c r="I807" i="7"/>
  <c r="C807" i="7"/>
  <c r="G807" i="7" s="1"/>
  <c r="I806" i="7"/>
  <c r="H806" i="7"/>
  <c r="G806" i="7"/>
  <c r="H805" i="7"/>
  <c r="G805" i="7"/>
  <c r="I804" i="7"/>
  <c r="H804" i="7"/>
  <c r="G804" i="7"/>
  <c r="I803" i="7"/>
  <c r="H803" i="7"/>
  <c r="G803" i="7"/>
  <c r="I802" i="7"/>
  <c r="H802" i="7"/>
  <c r="G802" i="7"/>
  <c r="H801" i="7"/>
  <c r="H800" i="7"/>
  <c r="G800" i="7"/>
  <c r="I799" i="7"/>
  <c r="H799" i="7"/>
  <c r="G799" i="7"/>
  <c r="D799" i="7"/>
  <c r="H798" i="7"/>
  <c r="G798" i="7"/>
  <c r="I797" i="7"/>
  <c r="F797" i="7"/>
  <c r="D797" i="7"/>
  <c r="H797" i="7" s="1"/>
  <c r="C797" i="7"/>
  <c r="G797" i="7" s="1"/>
  <c r="I796" i="7"/>
  <c r="H796" i="7"/>
  <c r="G796" i="7"/>
  <c r="I795" i="7"/>
  <c r="H795" i="7"/>
  <c r="G795" i="7"/>
  <c r="I794" i="7"/>
  <c r="H794" i="7"/>
  <c r="G794" i="7"/>
  <c r="I793" i="7"/>
  <c r="H793" i="7"/>
  <c r="G793" i="7"/>
  <c r="I792" i="7"/>
  <c r="F792" i="7"/>
  <c r="D792" i="7"/>
  <c r="H792" i="7" s="1"/>
  <c r="C792" i="7"/>
  <c r="G792" i="7" s="1"/>
  <c r="I791" i="7"/>
  <c r="H791" i="7"/>
  <c r="G791" i="7"/>
  <c r="H790" i="7"/>
  <c r="G790" i="7"/>
  <c r="H789" i="7"/>
  <c r="H788" i="7"/>
  <c r="G788" i="7"/>
  <c r="H787" i="7"/>
  <c r="G787" i="7"/>
  <c r="I786" i="7"/>
  <c r="F786" i="7"/>
  <c r="D786" i="7"/>
  <c r="H786" i="7" s="1"/>
  <c r="C786" i="7"/>
  <c r="G786" i="7" s="1"/>
  <c r="I785" i="7"/>
  <c r="F785" i="7"/>
  <c r="C785" i="7"/>
  <c r="G785" i="7" s="1"/>
  <c r="I784" i="7"/>
  <c r="H784" i="7"/>
  <c r="G784" i="7"/>
  <c r="I783" i="7"/>
  <c r="H783" i="7"/>
  <c r="G783" i="7"/>
  <c r="I782" i="7"/>
  <c r="H782" i="7"/>
  <c r="G782" i="7"/>
  <c r="I781" i="7"/>
  <c r="H781" i="7"/>
  <c r="G781" i="7"/>
  <c r="I780" i="7"/>
  <c r="H780" i="7"/>
  <c r="G780" i="7"/>
  <c r="F780" i="7"/>
  <c r="D780" i="7"/>
  <c r="C780" i="7"/>
  <c r="I779" i="7"/>
  <c r="H779" i="7"/>
  <c r="G779" i="7"/>
  <c r="I778" i="7"/>
  <c r="H778" i="7"/>
  <c r="G778" i="7"/>
  <c r="I777" i="7"/>
  <c r="H777" i="7"/>
  <c r="G777" i="7"/>
  <c r="I776" i="7"/>
  <c r="H776" i="7"/>
  <c r="G776" i="7"/>
  <c r="I775" i="7"/>
  <c r="H775" i="7"/>
  <c r="G775" i="7"/>
  <c r="I774" i="7"/>
  <c r="D774" i="7"/>
  <c r="H774" i="7" s="1"/>
  <c r="C774" i="7"/>
  <c r="G774" i="7" s="1"/>
  <c r="I773" i="7"/>
  <c r="H773" i="7"/>
  <c r="G773" i="7"/>
  <c r="D773" i="7"/>
  <c r="I772" i="7"/>
  <c r="D772" i="7"/>
  <c r="C772" i="7"/>
  <c r="G772" i="7" s="1"/>
  <c r="I771" i="7"/>
  <c r="H771" i="7"/>
  <c r="G771" i="7"/>
  <c r="H770" i="7"/>
  <c r="G770" i="7"/>
  <c r="I769" i="7"/>
  <c r="H769" i="7"/>
  <c r="G769" i="7"/>
  <c r="I768" i="7"/>
  <c r="F768" i="7"/>
  <c r="D768" i="7"/>
  <c r="H768" i="7" s="1"/>
  <c r="C768" i="7"/>
  <c r="G768" i="7" s="1"/>
  <c r="I767" i="7"/>
  <c r="F767" i="7"/>
  <c r="C767" i="7"/>
  <c r="G767" i="7" s="1"/>
  <c r="H766" i="7"/>
  <c r="G766" i="7"/>
  <c r="D765" i="7"/>
  <c r="H765" i="7" s="1"/>
  <c r="C765" i="7"/>
  <c r="G765" i="7" s="1"/>
  <c r="I764" i="7"/>
  <c r="C764" i="7"/>
  <c r="G764" i="7" s="1"/>
  <c r="H763" i="7"/>
  <c r="G763" i="7"/>
  <c r="H762" i="7"/>
  <c r="G762" i="7"/>
  <c r="H761" i="7"/>
  <c r="G761" i="7"/>
  <c r="F761" i="7"/>
  <c r="D761" i="7"/>
  <c r="C761" i="7"/>
  <c r="H760" i="7"/>
  <c r="G760" i="7"/>
  <c r="I759" i="7"/>
  <c r="D759" i="7"/>
  <c r="H759" i="7" s="1"/>
  <c r="I758" i="7"/>
  <c r="H758" i="7"/>
  <c r="G758" i="7"/>
  <c r="D758" i="7"/>
  <c r="D757" i="7" s="1"/>
  <c r="I757" i="7"/>
  <c r="F757" i="7"/>
  <c r="C757" i="7"/>
  <c r="G757" i="7" s="1"/>
  <c r="H756" i="7"/>
  <c r="G756" i="7"/>
  <c r="G755" i="7"/>
  <c r="D755" i="7"/>
  <c r="H755" i="7" s="1"/>
  <c r="C755" i="7"/>
  <c r="I754" i="7"/>
  <c r="C754" i="7"/>
  <c r="G754" i="7" s="1"/>
  <c r="I753" i="7"/>
  <c r="D753" i="7"/>
  <c r="H753" i="7" s="1"/>
  <c r="I752" i="7"/>
  <c r="H752" i="7"/>
  <c r="G752" i="7"/>
  <c r="D752" i="7"/>
  <c r="I751" i="7"/>
  <c r="F751" i="7"/>
  <c r="D751" i="7"/>
  <c r="H751" i="7" s="1"/>
  <c r="C751" i="7"/>
  <c r="G750" i="7"/>
  <c r="D750" i="7"/>
  <c r="D748" i="7" s="1"/>
  <c r="H749" i="7"/>
  <c r="G749" i="7"/>
  <c r="G748" i="7"/>
  <c r="F748" i="7"/>
  <c r="C748" i="7"/>
  <c r="H747" i="7"/>
  <c r="H746" i="7"/>
  <c r="H745" i="7"/>
  <c r="I744" i="7"/>
  <c r="H744" i="7"/>
  <c r="F744" i="7"/>
  <c r="D744" i="7"/>
  <c r="C744" i="7"/>
  <c r="I743" i="7"/>
  <c r="F743" i="7"/>
  <c r="I742" i="7"/>
  <c r="F742" i="7"/>
  <c r="I741" i="7"/>
  <c r="H741" i="7"/>
  <c r="G741" i="7"/>
  <c r="D741" i="7"/>
  <c r="I740" i="7"/>
  <c r="F740" i="7"/>
  <c r="H738" i="7"/>
  <c r="G738" i="7"/>
  <c r="D738" i="7"/>
  <c r="D737" i="7"/>
  <c r="H737" i="7" s="1"/>
  <c r="C737" i="7"/>
  <c r="G737" i="7" s="1"/>
  <c r="I736" i="7"/>
  <c r="H736" i="7"/>
  <c r="G736" i="7"/>
  <c r="H735" i="7"/>
  <c r="G735" i="7"/>
  <c r="I734" i="7"/>
  <c r="H734" i="7"/>
  <c r="G734" i="7"/>
  <c r="I733" i="7"/>
  <c r="H733" i="7"/>
  <c r="G733" i="7"/>
  <c r="H732" i="7"/>
  <c r="G732" i="7"/>
  <c r="I731" i="7"/>
  <c r="F731" i="7"/>
  <c r="D731" i="7"/>
  <c r="H731" i="7" s="1"/>
  <c r="C731" i="7"/>
  <c r="G731" i="7" s="1"/>
  <c r="H730" i="7"/>
  <c r="G730" i="7"/>
  <c r="H729" i="7"/>
  <c r="G729" i="7"/>
  <c r="I728" i="7"/>
  <c r="H728" i="7"/>
  <c r="G728" i="7"/>
  <c r="I727" i="7"/>
  <c r="H727" i="7"/>
  <c r="G727" i="7"/>
  <c r="H726" i="7"/>
  <c r="G726" i="7"/>
  <c r="I725" i="7"/>
  <c r="H725" i="7"/>
  <c r="G725" i="7"/>
  <c r="I724" i="7"/>
  <c r="G724" i="7"/>
  <c r="F724" i="7"/>
  <c r="D724" i="7"/>
  <c r="H724" i="7" s="1"/>
  <c r="C724" i="7"/>
  <c r="I723" i="7"/>
  <c r="H723" i="7"/>
  <c r="G723" i="7"/>
  <c r="I722" i="7"/>
  <c r="H722" i="7"/>
  <c r="G722" i="7"/>
  <c r="I721" i="7"/>
  <c r="H721" i="7"/>
  <c r="G721" i="7"/>
  <c r="I720" i="7"/>
  <c r="H720" i="7"/>
  <c r="G720" i="7"/>
  <c r="I719" i="7"/>
  <c r="H719" i="7"/>
  <c r="G719" i="7"/>
  <c r="I718" i="7"/>
  <c r="H718" i="7"/>
  <c r="G718" i="7"/>
  <c r="I717" i="7"/>
  <c r="H717" i="7"/>
  <c r="G717" i="7"/>
  <c r="I716" i="7"/>
  <c r="F716" i="7"/>
  <c r="D716" i="7"/>
  <c r="H716" i="7" s="1"/>
  <c r="C716" i="7"/>
  <c r="G716" i="7" s="1"/>
  <c r="I714" i="7"/>
  <c r="H714" i="7"/>
  <c r="G714" i="7"/>
  <c r="D714" i="7"/>
  <c r="C714" i="7"/>
  <c r="I713" i="7"/>
  <c r="H713" i="7"/>
  <c r="G713" i="7"/>
  <c r="D713" i="7"/>
  <c r="C713" i="7"/>
  <c r="I712" i="7"/>
  <c r="D712" i="7"/>
  <c r="C712" i="7"/>
  <c r="C711" i="7" s="1"/>
  <c r="I711" i="7"/>
  <c r="F711" i="7"/>
  <c r="I710" i="7"/>
  <c r="I708" i="7"/>
  <c r="H708" i="7"/>
  <c r="G708" i="7"/>
  <c r="I707" i="7"/>
  <c r="H707" i="7"/>
  <c r="D707" i="7"/>
  <c r="H706" i="7"/>
  <c r="G706" i="7"/>
  <c r="H705" i="7"/>
  <c r="G705" i="7"/>
  <c r="I704" i="7"/>
  <c r="H704" i="7"/>
  <c r="G704" i="7"/>
  <c r="I703" i="7"/>
  <c r="H703" i="7"/>
  <c r="G703" i="7"/>
  <c r="H702" i="7"/>
  <c r="G702" i="7"/>
  <c r="I701" i="7"/>
  <c r="H701" i="7"/>
  <c r="G701" i="7"/>
  <c r="H700" i="7"/>
  <c r="G700" i="7"/>
  <c r="I699" i="7"/>
  <c r="H699" i="7"/>
  <c r="G699" i="7"/>
  <c r="I698" i="7"/>
  <c r="F698" i="7"/>
  <c r="D698" i="7"/>
  <c r="H698" i="7" s="1"/>
  <c r="C698" i="7"/>
  <c r="G698" i="7" s="1"/>
  <c r="I697" i="7"/>
  <c r="G697" i="7"/>
  <c r="D697" i="7"/>
  <c r="H697" i="7" s="1"/>
  <c r="C697" i="7"/>
  <c r="I695" i="7"/>
  <c r="H695" i="7"/>
  <c r="G695" i="7"/>
  <c r="H694" i="7"/>
  <c r="G694" i="7"/>
  <c r="I693" i="7"/>
  <c r="H693" i="7"/>
  <c r="G693" i="7"/>
  <c r="I692" i="7"/>
  <c r="H692" i="7"/>
  <c r="G692" i="7"/>
  <c r="I691" i="7"/>
  <c r="H691" i="7"/>
  <c r="G691" i="7"/>
  <c r="I690" i="7"/>
  <c r="D690" i="7"/>
  <c r="H690" i="7" s="1"/>
  <c r="C690" i="7"/>
  <c r="G690" i="7" s="1"/>
  <c r="I689" i="7"/>
  <c r="H689" i="7"/>
  <c r="G689" i="7"/>
  <c r="I688" i="7"/>
  <c r="D688" i="7"/>
  <c r="H688" i="7" s="1"/>
  <c r="C688" i="7"/>
  <c r="G688" i="7" s="1"/>
  <c r="H687" i="7"/>
  <c r="G687" i="7"/>
  <c r="I686" i="7"/>
  <c r="H686" i="7"/>
  <c r="G686" i="7"/>
  <c r="I685" i="7"/>
  <c r="D685" i="7"/>
  <c r="H685" i="7" s="1"/>
  <c r="C685" i="7"/>
  <c r="G685" i="7" s="1"/>
  <c r="I684" i="7"/>
  <c r="H684" i="7"/>
  <c r="G684" i="7"/>
  <c r="I683" i="7"/>
  <c r="H683" i="7"/>
  <c r="G683" i="7"/>
  <c r="I682" i="7"/>
  <c r="F682" i="7"/>
  <c r="D682" i="7"/>
  <c r="D681" i="7" s="1"/>
  <c r="H681" i="7" s="1"/>
  <c r="H24" i="7" s="1"/>
  <c r="C682" i="7"/>
  <c r="C681" i="7" s="1"/>
  <c r="G681" i="7" s="1"/>
  <c r="I681" i="7"/>
  <c r="F681" i="7"/>
  <c r="I679" i="7"/>
  <c r="H679" i="7"/>
  <c r="G679" i="7"/>
  <c r="I678" i="7"/>
  <c r="H678" i="7"/>
  <c r="D678" i="7"/>
  <c r="C678" i="7"/>
  <c r="G678" i="7" s="1"/>
  <c r="I677" i="7"/>
  <c r="H677" i="7"/>
  <c r="D677" i="7"/>
  <c r="C677" i="7"/>
  <c r="G677" i="7" s="1"/>
  <c r="I676" i="7"/>
  <c r="D676" i="7"/>
  <c r="H676" i="7" s="1"/>
  <c r="C676" i="7"/>
  <c r="G676" i="7" s="1"/>
  <c r="I675" i="7"/>
  <c r="F675" i="7"/>
  <c r="I674" i="7"/>
  <c r="D674" i="7"/>
  <c r="H674" i="7" s="1"/>
  <c r="C674" i="7"/>
  <c r="G674" i="7" s="1"/>
  <c r="I673" i="7"/>
  <c r="H673" i="7"/>
  <c r="G673" i="7"/>
  <c r="I672" i="7"/>
  <c r="F672" i="7"/>
  <c r="H670" i="7"/>
  <c r="E670" i="7"/>
  <c r="I670" i="7" s="1"/>
  <c r="D670" i="7"/>
  <c r="C670" i="7"/>
  <c r="I669" i="7"/>
  <c r="E669" i="7"/>
  <c r="D669" i="7"/>
  <c r="H669" i="7" s="1"/>
  <c r="C669" i="7"/>
  <c r="G669" i="7" s="1"/>
  <c r="I668" i="7"/>
  <c r="H668" i="7"/>
  <c r="G668" i="7"/>
  <c r="I667" i="7"/>
  <c r="H667" i="7"/>
  <c r="G667" i="7"/>
  <c r="I666" i="7"/>
  <c r="H666" i="7"/>
  <c r="G666" i="7"/>
  <c r="I665" i="7"/>
  <c r="H665" i="7"/>
  <c r="G665" i="7"/>
  <c r="D665" i="7"/>
  <c r="C665" i="7"/>
  <c r="I664" i="7"/>
  <c r="F664" i="7"/>
  <c r="D664" i="7"/>
  <c r="H664" i="7" s="1"/>
  <c r="C664" i="7"/>
  <c r="G664" i="7" s="1"/>
  <c r="I663" i="7"/>
  <c r="H663" i="7"/>
  <c r="G663" i="7"/>
  <c r="I662" i="7"/>
  <c r="H662" i="7"/>
  <c r="G662" i="7"/>
  <c r="I661" i="7"/>
  <c r="H661" i="7"/>
  <c r="G661" i="7"/>
  <c r="I660" i="7"/>
  <c r="H660" i="7"/>
  <c r="D660" i="7"/>
  <c r="C660" i="7"/>
  <c r="G660" i="7" s="1"/>
  <c r="F659" i="7"/>
  <c r="E659" i="7"/>
  <c r="F658" i="7" s="1"/>
  <c r="D659" i="7"/>
  <c r="D658" i="7" s="1"/>
  <c r="C659" i="7"/>
  <c r="C658" i="7" s="1"/>
  <c r="G658" i="7" s="1"/>
  <c r="I658" i="7"/>
  <c r="I657" i="7"/>
  <c r="D657" i="7"/>
  <c r="H657" i="7" s="1"/>
  <c r="C657" i="7"/>
  <c r="G657" i="7" s="1"/>
  <c r="I656" i="7"/>
  <c r="H656" i="7"/>
  <c r="G656" i="7"/>
  <c r="H655" i="7"/>
  <c r="H654" i="7"/>
  <c r="G654" i="7"/>
  <c r="H653" i="7"/>
  <c r="G653" i="7"/>
  <c r="I652" i="7"/>
  <c r="G652" i="7"/>
  <c r="D652" i="7"/>
  <c r="H652" i="7" s="1"/>
  <c r="C652" i="7"/>
  <c r="I651" i="7"/>
  <c r="D651" i="7"/>
  <c r="H651" i="7" s="1"/>
  <c r="C651" i="7"/>
  <c r="I650" i="7"/>
  <c r="F650" i="7"/>
  <c r="I648" i="7"/>
  <c r="D648" i="7"/>
  <c r="H648" i="7" s="1"/>
  <c r="C648" i="7"/>
  <c r="G648" i="7" s="1"/>
  <c r="I647" i="7"/>
  <c r="C647" i="7"/>
  <c r="I646" i="7"/>
  <c r="I644" i="7"/>
  <c r="D644" i="7"/>
  <c r="H644" i="7" s="1"/>
  <c r="C644" i="7"/>
  <c r="G644" i="7" s="1"/>
  <c r="I643" i="7"/>
  <c r="H643" i="7"/>
  <c r="G643" i="7"/>
  <c r="I642" i="7"/>
  <c r="H642" i="7"/>
  <c r="G642" i="7"/>
  <c r="I641" i="7"/>
  <c r="H641" i="7"/>
  <c r="G641" i="7"/>
  <c r="I640" i="7"/>
  <c r="H640" i="7"/>
  <c r="G640" i="7"/>
  <c r="I639" i="7"/>
  <c r="G639" i="7"/>
  <c r="D639" i="7"/>
  <c r="H639" i="7" s="1"/>
  <c r="I638" i="7"/>
  <c r="H638" i="7"/>
  <c r="G638" i="7"/>
  <c r="I637" i="7"/>
  <c r="H637" i="7"/>
  <c r="G637" i="7"/>
  <c r="I636" i="7"/>
  <c r="H636" i="7"/>
  <c r="G636" i="7"/>
  <c r="I635" i="7"/>
  <c r="H635" i="7"/>
  <c r="G635" i="7"/>
  <c r="I634" i="7"/>
  <c r="F634" i="7"/>
  <c r="C634" i="7"/>
  <c r="G634" i="7" s="1"/>
  <c r="I633" i="7"/>
  <c r="C633" i="7"/>
  <c r="G633" i="7" s="1"/>
  <c r="H631" i="7"/>
  <c r="D630" i="7"/>
  <c r="H630" i="7" s="1"/>
  <c r="C630" i="7"/>
  <c r="I628" i="7"/>
  <c r="H628" i="7"/>
  <c r="G628" i="7"/>
  <c r="I627" i="7"/>
  <c r="D627" i="7"/>
  <c r="H627" i="7" s="1"/>
  <c r="C627" i="7"/>
  <c r="G627" i="7" s="1"/>
  <c r="H626" i="7"/>
  <c r="G626" i="7"/>
  <c r="H625" i="7"/>
  <c r="G625" i="7"/>
  <c r="D625" i="7"/>
  <c r="C625" i="7"/>
  <c r="H624" i="7"/>
  <c r="G624" i="7"/>
  <c r="D624" i="7"/>
  <c r="I623" i="7"/>
  <c r="G623" i="7"/>
  <c r="D623" i="7"/>
  <c r="H623" i="7" s="1"/>
  <c r="C623" i="7"/>
  <c r="I622" i="7"/>
  <c r="C622" i="7"/>
  <c r="I621" i="7"/>
  <c r="H621" i="7"/>
  <c r="G621" i="7"/>
  <c r="I620" i="7"/>
  <c r="I619" i="7"/>
  <c r="H619" i="7"/>
  <c r="G619" i="7"/>
  <c r="H618" i="7"/>
  <c r="G618" i="7"/>
  <c r="D618" i="7"/>
  <c r="D617" i="7" s="1"/>
  <c r="H617" i="7" s="1"/>
  <c r="C618" i="7"/>
  <c r="I617" i="7"/>
  <c r="C617" i="7"/>
  <c r="G617" i="7" s="1"/>
  <c r="I616" i="7"/>
  <c r="H616" i="7"/>
  <c r="G616" i="7"/>
  <c r="I615" i="7"/>
  <c r="H615" i="7"/>
  <c r="G615" i="7"/>
  <c r="I614" i="7"/>
  <c r="H614" i="7"/>
  <c r="G614" i="7"/>
  <c r="H613" i="7"/>
  <c r="G613" i="7"/>
  <c r="H612" i="7"/>
  <c r="G612" i="7"/>
  <c r="I611" i="7"/>
  <c r="D611" i="7"/>
  <c r="H611" i="7" s="1"/>
  <c r="C611" i="7"/>
  <c r="G611" i="7" s="1"/>
  <c r="I610" i="7"/>
  <c r="I609" i="7"/>
  <c r="D609" i="7"/>
  <c r="H609" i="7" s="1"/>
  <c r="C609" i="7"/>
  <c r="G609" i="7" s="1"/>
  <c r="I608" i="7"/>
  <c r="D608" i="7"/>
  <c r="H607" i="7"/>
  <c r="G607" i="7"/>
  <c r="H606" i="7"/>
  <c r="G606" i="7"/>
  <c r="I605" i="7"/>
  <c r="H605" i="7"/>
  <c r="D605" i="7"/>
  <c r="C605" i="7"/>
  <c r="G605" i="7" s="1"/>
  <c r="I604" i="7"/>
  <c r="D604" i="7"/>
  <c r="H604" i="7" s="1"/>
  <c r="C604" i="7"/>
  <c r="G604" i="7" s="1"/>
  <c r="I603" i="7"/>
  <c r="F603" i="7"/>
  <c r="I601" i="7"/>
  <c r="H601" i="7"/>
  <c r="D601" i="7"/>
  <c r="C601" i="7"/>
  <c r="G601" i="7" s="1"/>
  <c r="H600" i="7"/>
  <c r="G600" i="7"/>
  <c r="H599" i="7"/>
  <c r="G599" i="7"/>
  <c r="I598" i="7"/>
  <c r="H598" i="7"/>
  <c r="G598" i="7"/>
  <c r="D598" i="7"/>
  <c r="I597" i="7"/>
  <c r="H597" i="7"/>
  <c r="G597" i="7"/>
  <c r="F597" i="7"/>
  <c r="D597" i="7"/>
  <c r="C597" i="7"/>
  <c r="I596" i="7"/>
  <c r="D596" i="7"/>
  <c r="H596" i="7" s="1"/>
  <c r="C596" i="7"/>
  <c r="G596" i="7" s="1"/>
  <c r="I595" i="7"/>
  <c r="I594" i="7"/>
  <c r="H594" i="7"/>
  <c r="G594" i="7"/>
  <c r="I593" i="7"/>
  <c r="G593" i="7"/>
  <c r="D593" i="7"/>
  <c r="H593" i="7" s="1"/>
  <c r="C593" i="7"/>
  <c r="I592" i="7"/>
  <c r="F592" i="7"/>
  <c r="C592" i="7"/>
  <c r="G592" i="7" s="1"/>
  <c r="I591" i="7"/>
  <c r="H591" i="7"/>
  <c r="G591" i="7"/>
  <c r="I590" i="7"/>
  <c r="H590" i="7"/>
  <c r="G590" i="7"/>
  <c r="I589" i="7"/>
  <c r="H589" i="7"/>
  <c r="G589" i="7"/>
  <c r="D589" i="7"/>
  <c r="I588" i="7"/>
  <c r="H588" i="7"/>
  <c r="G588" i="7"/>
  <c r="F588" i="7"/>
  <c r="D588" i="7"/>
  <c r="C588" i="7"/>
  <c r="H587" i="7"/>
  <c r="G587" i="7"/>
  <c r="H586" i="7"/>
  <c r="G586" i="7"/>
  <c r="I585" i="7"/>
  <c r="G585" i="7"/>
  <c r="D585" i="7"/>
  <c r="H585" i="7" s="1"/>
  <c r="I584" i="7"/>
  <c r="G584" i="7"/>
  <c r="F584" i="7"/>
  <c r="C584" i="7"/>
  <c r="H582" i="7"/>
  <c r="G582" i="7"/>
  <c r="I581" i="7"/>
  <c r="D581" i="7"/>
  <c r="C581" i="7"/>
  <c r="G581" i="7" s="1"/>
  <c r="I580" i="7"/>
  <c r="F580" i="7"/>
  <c r="C580" i="7"/>
  <c r="G580" i="7" s="1"/>
  <c r="E579" i="7"/>
  <c r="I579" i="7" s="1"/>
  <c r="D579" i="7"/>
  <c r="C579" i="7"/>
  <c r="G578" i="7"/>
  <c r="E578" i="7"/>
  <c r="I578" i="7" s="1"/>
  <c r="D578" i="7"/>
  <c r="C578" i="7"/>
  <c r="E577" i="7"/>
  <c r="I577" i="7" s="1"/>
  <c r="C577" i="7"/>
  <c r="I576" i="7"/>
  <c r="H576" i="7"/>
  <c r="G576" i="7"/>
  <c r="F576" i="7"/>
  <c r="I575" i="7"/>
  <c r="G575" i="7"/>
  <c r="F575" i="7"/>
  <c r="C575" i="7"/>
  <c r="H574" i="7"/>
  <c r="G574" i="7"/>
  <c r="I573" i="7"/>
  <c r="H573" i="7"/>
  <c r="G573" i="7"/>
  <c r="I572" i="7"/>
  <c r="D572" i="7"/>
  <c r="H572" i="7" s="1"/>
  <c r="C572" i="7"/>
  <c r="G572" i="7" s="1"/>
  <c r="I571" i="7"/>
  <c r="G571" i="7"/>
  <c r="F571" i="7"/>
  <c r="D571" i="7"/>
  <c r="H571" i="7" s="1"/>
  <c r="C571" i="7"/>
  <c r="I569" i="7"/>
  <c r="H569" i="7"/>
  <c r="G569" i="7"/>
  <c r="I568" i="7"/>
  <c r="G568" i="7"/>
  <c r="D568" i="7"/>
  <c r="H568" i="7" s="1"/>
  <c r="C568" i="7"/>
  <c r="I567" i="7"/>
  <c r="F567" i="7"/>
  <c r="D567" i="7"/>
  <c r="H567" i="7" s="1"/>
  <c r="C567" i="7"/>
  <c r="G567" i="7" s="1"/>
  <c r="H565" i="7"/>
  <c r="G565" i="7"/>
  <c r="I564" i="7"/>
  <c r="H564" i="7"/>
  <c r="G564" i="7"/>
  <c r="D564" i="7"/>
  <c r="C564" i="7"/>
  <c r="I563" i="7"/>
  <c r="F563" i="7"/>
  <c r="D563" i="7"/>
  <c r="H563" i="7" s="1"/>
  <c r="C563" i="7"/>
  <c r="G563" i="7" s="1"/>
  <c r="G562" i="7"/>
  <c r="E562" i="7"/>
  <c r="D562" i="7"/>
  <c r="H562" i="7" s="1"/>
  <c r="C562" i="7"/>
  <c r="E561" i="7"/>
  <c r="I561" i="7" s="1"/>
  <c r="D561" i="7"/>
  <c r="C561" i="7"/>
  <c r="I560" i="7"/>
  <c r="F560" i="7"/>
  <c r="E560" i="7"/>
  <c r="D560" i="7"/>
  <c r="D559" i="7" s="1"/>
  <c r="C560" i="7"/>
  <c r="I559" i="7"/>
  <c r="F559" i="7"/>
  <c r="I558" i="7"/>
  <c r="F558" i="7"/>
  <c r="I557" i="7"/>
  <c r="F557" i="7"/>
  <c r="H555" i="7"/>
  <c r="G555" i="7"/>
  <c r="I554" i="7"/>
  <c r="H554" i="7"/>
  <c r="G554" i="7"/>
  <c r="D554" i="7"/>
  <c r="C554" i="7"/>
  <c r="I552" i="7"/>
  <c r="H552" i="7"/>
  <c r="G552" i="7"/>
  <c r="I551" i="7"/>
  <c r="H551" i="7"/>
  <c r="G551" i="7"/>
  <c r="I550" i="7"/>
  <c r="H550" i="7"/>
  <c r="G550" i="7"/>
  <c r="D550" i="7"/>
  <c r="C550" i="7"/>
  <c r="I548" i="7"/>
  <c r="H548" i="7"/>
  <c r="G548" i="7"/>
  <c r="I547" i="7"/>
  <c r="H547" i="7"/>
  <c r="G547" i="7"/>
  <c r="I546" i="7"/>
  <c r="H546" i="7"/>
  <c r="G546" i="7"/>
  <c r="I545" i="7"/>
  <c r="H545" i="7"/>
  <c r="G545" i="7"/>
  <c r="I544" i="7"/>
  <c r="H544" i="7"/>
  <c r="G544" i="7"/>
  <c r="I543" i="7"/>
  <c r="F543" i="7"/>
  <c r="D543" i="7"/>
  <c r="H543" i="7" s="1"/>
  <c r="C543" i="7"/>
  <c r="G543" i="7" s="1"/>
  <c r="I542" i="7"/>
  <c r="H542" i="7"/>
  <c r="G542" i="7"/>
  <c r="I541" i="7"/>
  <c r="F541" i="7"/>
  <c r="F17" i="7" s="1"/>
  <c r="D541" i="7"/>
  <c r="H541" i="7" s="1"/>
  <c r="H17" i="7" s="1"/>
  <c r="C541" i="7"/>
  <c r="G541" i="7" s="1"/>
  <c r="I539" i="7"/>
  <c r="D539" i="7"/>
  <c r="H539" i="7" s="1"/>
  <c r="C539" i="7"/>
  <c r="G539" i="7" s="1"/>
  <c r="I538" i="7"/>
  <c r="H538" i="7"/>
  <c r="G538" i="7"/>
  <c r="I537" i="7"/>
  <c r="D537" i="7"/>
  <c r="D535" i="7" s="1"/>
  <c r="H535" i="7" s="1"/>
  <c r="C537" i="7"/>
  <c r="C535" i="7" s="1"/>
  <c r="G535" i="7" s="1"/>
  <c r="I536" i="7"/>
  <c r="H536" i="7"/>
  <c r="G536" i="7"/>
  <c r="D536" i="7"/>
  <c r="C536" i="7"/>
  <c r="I535" i="7"/>
  <c r="F535" i="7"/>
  <c r="H533" i="7"/>
  <c r="G533" i="7"/>
  <c r="D532" i="7"/>
  <c r="H532" i="7" s="1"/>
  <c r="C532" i="7"/>
  <c r="G532" i="7" s="1"/>
  <c r="I530" i="7"/>
  <c r="H530" i="7"/>
  <c r="G530" i="7"/>
  <c r="I529" i="7"/>
  <c r="D529" i="7"/>
  <c r="H529" i="7" s="1"/>
  <c r="C529" i="7"/>
  <c r="G529" i="7" s="1"/>
  <c r="H528" i="7"/>
  <c r="G528" i="7"/>
  <c r="G527" i="7"/>
  <c r="D527" i="7"/>
  <c r="H527" i="7" s="1"/>
  <c r="C527" i="7"/>
  <c r="H526" i="7"/>
  <c r="G526" i="7"/>
  <c r="H525" i="7"/>
  <c r="G525" i="7"/>
  <c r="H524" i="7"/>
  <c r="G524" i="7"/>
  <c r="I523" i="7"/>
  <c r="G523" i="7"/>
  <c r="D523" i="7"/>
  <c r="H523" i="7" s="1"/>
  <c r="C523" i="7"/>
  <c r="H522" i="7"/>
  <c r="G522" i="7"/>
  <c r="I521" i="7"/>
  <c r="D521" i="7"/>
  <c r="H521" i="7" s="1"/>
  <c r="C521" i="7"/>
  <c r="G521" i="7" s="1"/>
  <c r="H520" i="7"/>
  <c r="G520" i="7"/>
  <c r="D519" i="7"/>
  <c r="H519" i="7" s="1"/>
  <c r="C519" i="7"/>
  <c r="G519" i="7" s="1"/>
  <c r="I518" i="7"/>
  <c r="H518" i="7"/>
  <c r="G518" i="7"/>
  <c r="D518" i="7"/>
  <c r="H517" i="7"/>
  <c r="G517" i="7"/>
  <c r="D517" i="7"/>
  <c r="I516" i="7"/>
  <c r="H516" i="7"/>
  <c r="G516" i="7"/>
  <c r="D516" i="7"/>
  <c r="I515" i="7"/>
  <c r="G515" i="7"/>
  <c r="D515" i="7"/>
  <c r="H515" i="7" s="1"/>
  <c r="I514" i="7"/>
  <c r="H514" i="7"/>
  <c r="G514" i="7"/>
  <c r="D514" i="7"/>
  <c r="I513" i="7"/>
  <c r="F513" i="7"/>
  <c r="D513" i="7"/>
  <c r="D512" i="7" s="1"/>
  <c r="H512" i="7" s="1"/>
  <c r="C513" i="7"/>
  <c r="I512" i="7"/>
  <c r="F512" i="7"/>
  <c r="H511" i="7"/>
  <c r="G511" i="7"/>
  <c r="D510" i="7"/>
  <c r="H510" i="7" s="1"/>
  <c r="C510" i="7"/>
  <c r="G510" i="7" s="1"/>
  <c r="H509" i="7"/>
  <c r="G509" i="7"/>
  <c r="D508" i="7"/>
  <c r="H508" i="7" s="1"/>
  <c r="C508" i="7"/>
  <c r="G508" i="7" s="1"/>
  <c r="H507" i="7"/>
  <c r="G507" i="7"/>
  <c r="D507" i="7"/>
  <c r="H506" i="7"/>
  <c r="G506" i="7"/>
  <c r="H505" i="7"/>
  <c r="G505" i="7"/>
  <c r="H504" i="7"/>
  <c r="G504" i="7"/>
  <c r="I503" i="7"/>
  <c r="H503" i="7"/>
  <c r="F503" i="7"/>
  <c r="D503" i="7"/>
  <c r="C503" i="7"/>
  <c r="G503" i="7" s="1"/>
  <c r="H502" i="7"/>
  <c r="G502" i="7"/>
  <c r="H501" i="7"/>
  <c r="G501" i="7"/>
  <c r="H500" i="7"/>
  <c r="G500" i="7"/>
  <c r="H499" i="7"/>
  <c r="G499" i="7"/>
  <c r="G498" i="7"/>
  <c r="D498" i="7"/>
  <c r="H498" i="7" s="1"/>
  <c r="H497" i="7"/>
  <c r="G497" i="7"/>
  <c r="D497" i="7"/>
  <c r="D496" i="7"/>
  <c r="I495" i="7"/>
  <c r="H495" i="7"/>
  <c r="G495" i="7"/>
  <c r="D495" i="7"/>
  <c r="H494" i="7"/>
  <c r="G494" i="7"/>
  <c r="I493" i="7"/>
  <c r="F493" i="7"/>
  <c r="C493" i="7"/>
  <c r="G493" i="7" s="1"/>
  <c r="G492" i="7"/>
  <c r="D492" i="7"/>
  <c r="G491" i="7"/>
  <c r="D491" i="7"/>
  <c r="H490" i="7"/>
  <c r="G490" i="7"/>
  <c r="D490" i="7"/>
  <c r="H489" i="7"/>
  <c r="G489" i="7"/>
  <c r="H488" i="7"/>
  <c r="G488" i="7"/>
  <c r="H487" i="7"/>
  <c r="G487" i="7"/>
  <c r="G486" i="7"/>
  <c r="D486" i="7"/>
  <c r="G485" i="7"/>
  <c r="D485" i="7"/>
  <c r="G484" i="7"/>
  <c r="D484" i="7"/>
  <c r="H483" i="7"/>
  <c r="G483" i="7"/>
  <c r="H482" i="7"/>
  <c r="G482" i="7"/>
  <c r="H481" i="7"/>
  <c r="G481" i="7"/>
  <c r="D481" i="7"/>
  <c r="H480" i="7"/>
  <c r="G480" i="7"/>
  <c r="D480" i="7"/>
  <c r="I479" i="7"/>
  <c r="F479" i="7"/>
  <c r="C479" i="7"/>
  <c r="H478" i="7"/>
  <c r="G478" i="7"/>
  <c r="H477" i="7"/>
  <c r="G477" i="7"/>
  <c r="H476" i="7"/>
  <c r="G476" i="7"/>
  <c r="D476" i="7"/>
  <c r="I475" i="7"/>
  <c r="G475" i="7"/>
  <c r="D475" i="7"/>
  <c r="H475" i="7" s="1"/>
  <c r="I474" i="7"/>
  <c r="F474" i="7"/>
  <c r="D474" i="7"/>
  <c r="H474" i="7" s="1"/>
  <c r="C474" i="7"/>
  <c r="G474" i="7" s="1"/>
  <c r="I473" i="7"/>
  <c r="F473" i="7"/>
  <c r="I472" i="7"/>
  <c r="G472" i="7"/>
  <c r="D472" i="7"/>
  <c r="H472" i="7" s="1"/>
  <c r="I471" i="7"/>
  <c r="H471" i="7"/>
  <c r="D471" i="7"/>
  <c r="C471" i="7"/>
  <c r="H470" i="7"/>
  <c r="G470" i="7"/>
  <c r="G469" i="7"/>
  <c r="D469" i="7"/>
  <c r="H469" i="7" s="1"/>
  <c r="F468" i="7"/>
  <c r="C468" i="7"/>
  <c r="G468" i="7" s="1"/>
  <c r="I467" i="7"/>
  <c r="H467" i="7"/>
  <c r="G467" i="7"/>
  <c r="I466" i="7"/>
  <c r="G466" i="7"/>
  <c r="D466" i="7"/>
  <c r="H466" i="7" s="1"/>
  <c r="C466" i="7"/>
  <c r="H465" i="7"/>
  <c r="G465" i="7"/>
  <c r="H464" i="7"/>
  <c r="G464" i="7"/>
  <c r="D464" i="7"/>
  <c r="C464" i="7"/>
  <c r="H463" i="7"/>
  <c r="G463" i="7"/>
  <c r="H462" i="7"/>
  <c r="D462" i="7"/>
  <c r="C462" i="7"/>
  <c r="G462" i="7" s="1"/>
  <c r="I461" i="7"/>
  <c r="F461" i="7"/>
  <c r="H460" i="7"/>
  <c r="I459" i="7"/>
  <c r="H459" i="7"/>
  <c r="G459" i="7"/>
  <c r="I458" i="7"/>
  <c r="G458" i="7"/>
  <c r="D458" i="7"/>
  <c r="H458" i="7" s="1"/>
  <c r="I457" i="7"/>
  <c r="F457" i="7"/>
  <c r="D457" i="7"/>
  <c r="H457" i="7" s="1"/>
  <c r="C457" i="7"/>
  <c r="G457" i="7" s="1"/>
  <c r="I456" i="7"/>
  <c r="D456" i="7"/>
  <c r="H456" i="7" s="1"/>
  <c r="C456" i="7"/>
  <c r="G456" i="7" s="1"/>
  <c r="I455" i="7"/>
  <c r="H455" i="7"/>
  <c r="G455" i="7"/>
  <c r="I454" i="7"/>
  <c r="H454" i="7"/>
  <c r="G454" i="7"/>
  <c r="I453" i="7"/>
  <c r="H453" i="7"/>
  <c r="G453" i="7"/>
  <c r="I452" i="7"/>
  <c r="F452" i="7"/>
  <c r="D452" i="7"/>
  <c r="H452" i="7" s="1"/>
  <c r="C452" i="7"/>
  <c r="G452" i="7" s="1"/>
  <c r="H451" i="7"/>
  <c r="G451" i="7"/>
  <c r="H450" i="7"/>
  <c r="G450" i="7"/>
  <c r="H449" i="7"/>
  <c r="G449" i="7"/>
  <c r="I448" i="7"/>
  <c r="G448" i="7"/>
  <c r="D448" i="7"/>
  <c r="I447" i="7"/>
  <c r="G447" i="7"/>
  <c r="F447" i="7"/>
  <c r="C447" i="7"/>
  <c r="I446" i="7"/>
  <c r="F446" i="7"/>
  <c r="C446" i="7"/>
  <c r="G446" i="7" s="1"/>
  <c r="H445" i="7"/>
  <c r="D445" i="7"/>
  <c r="I444" i="7"/>
  <c r="H444" i="7"/>
  <c r="G444" i="7"/>
  <c r="I443" i="7"/>
  <c r="H443" i="7"/>
  <c r="G443" i="7"/>
  <c r="D443" i="7"/>
  <c r="I442" i="7"/>
  <c r="H442" i="7"/>
  <c r="G442" i="7"/>
  <c r="I441" i="7"/>
  <c r="H441" i="7"/>
  <c r="G441" i="7"/>
  <c r="I440" i="7"/>
  <c r="F440" i="7"/>
  <c r="D440" i="7"/>
  <c r="C440" i="7"/>
  <c r="G440" i="7" s="1"/>
  <c r="I439" i="7"/>
  <c r="H439" i="7"/>
  <c r="G439" i="7"/>
  <c r="D439" i="7"/>
  <c r="I438" i="7"/>
  <c r="H438" i="7"/>
  <c r="G438" i="7"/>
  <c r="I437" i="7"/>
  <c r="G437" i="7"/>
  <c r="F437" i="7"/>
  <c r="D437" i="7"/>
  <c r="H437" i="7" s="1"/>
  <c r="C437" i="7"/>
  <c r="H436" i="7"/>
  <c r="G436" i="7"/>
  <c r="I435" i="7"/>
  <c r="H435" i="7"/>
  <c r="G435" i="7"/>
  <c r="F435" i="7"/>
  <c r="D435" i="7"/>
  <c r="C435" i="7"/>
  <c r="I434" i="7"/>
  <c r="F434" i="7"/>
  <c r="C434" i="7"/>
  <c r="G434" i="7" s="1"/>
  <c r="I433" i="7"/>
  <c r="G433" i="7"/>
  <c r="D433" i="7"/>
  <c r="I432" i="7"/>
  <c r="C432" i="7"/>
  <c r="G432" i="7" s="1"/>
  <c r="H431" i="7"/>
  <c r="G431" i="7"/>
  <c r="G430" i="7"/>
  <c r="D430" i="7"/>
  <c r="H430" i="7" s="1"/>
  <c r="H429" i="7"/>
  <c r="G429" i="7"/>
  <c r="G428" i="7"/>
  <c r="D428" i="7"/>
  <c r="H428" i="7" s="1"/>
  <c r="H427" i="7"/>
  <c r="G427" i="7"/>
  <c r="G426" i="7"/>
  <c r="D426" i="7"/>
  <c r="H426" i="7" s="1"/>
  <c r="H425" i="7"/>
  <c r="G425" i="7"/>
  <c r="G424" i="7"/>
  <c r="D424" i="7"/>
  <c r="H424" i="7" s="1"/>
  <c r="G423" i="7"/>
  <c r="D423" i="7"/>
  <c r="H423" i="7" s="1"/>
  <c r="H422" i="7"/>
  <c r="G422" i="7"/>
  <c r="D422" i="7"/>
  <c r="I421" i="7"/>
  <c r="F421" i="7"/>
  <c r="D421" i="7"/>
  <c r="H421" i="7" s="1"/>
  <c r="C421" i="7"/>
  <c r="G421" i="7" s="1"/>
  <c r="H420" i="7"/>
  <c r="G420" i="7"/>
  <c r="G419" i="7"/>
  <c r="D419" i="7"/>
  <c r="H419" i="7" s="1"/>
  <c r="G418" i="7"/>
  <c r="D418" i="7"/>
  <c r="H418" i="7" s="1"/>
  <c r="H417" i="7"/>
  <c r="G417" i="7"/>
  <c r="H416" i="7"/>
  <c r="G416" i="7"/>
  <c r="D416" i="7"/>
  <c r="I415" i="7"/>
  <c r="H415" i="7"/>
  <c r="G415" i="7"/>
  <c r="H414" i="7"/>
  <c r="G414" i="7"/>
  <c r="D414" i="7"/>
  <c r="H413" i="7"/>
  <c r="G413" i="7"/>
  <c r="H412" i="7"/>
  <c r="G412" i="7"/>
  <c r="I411" i="7"/>
  <c r="F411" i="7"/>
  <c r="D411" i="7"/>
  <c r="H411" i="7" s="1"/>
  <c r="C411" i="7"/>
  <c r="G411" i="7" s="1"/>
  <c r="I410" i="7"/>
  <c r="F410" i="7"/>
  <c r="C410" i="7"/>
  <c r="G410" i="7" s="1"/>
  <c r="G409" i="7"/>
  <c r="D409" i="7"/>
  <c r="G408" i="7"/>
  <c r="D408" i="7"/>
  <c r="H408" i="7" s="1"/>
  <c r="I407" i="7"/>
  <c r="G407" i="7"/>
  <c r="F407" i="7"/>
  <c r="D407" i="7"/>
  <c r="H407" i="7" s="1"/>
  <c r="C407" i="7"/>
  <c r="H406" i="7"/>
  <c r="G406" i="7"/>
  <c r="H405" i="7"/>
  <c r="G405" i="7"/>
  <c r="H404" i="7"/>
  <c r="G404" i="7"/>
  <c r="G403" i="7"/>
  <c r="D403" i="7"/>
  <c r="H403" i="7" s="1"/>
  <c r="H402" i="7"/>
  <c r="G402" i="7"/>
  <c r="I401" i="7"/>
  <c r="H401" i="7"/>
  <c r="G401" i="7"/>
  <c r="D401" i="7"/>
  <c r="I400" i="7"/>
  <c r="H400" i="7"/>
  <c r="G400" i="7"/>
  <c r="H399" i="7"/>
  <c r="G399" i="7"/>
  <c r="H398" i="7"/>
  <c r="G398" i="7"/>
  <c r="H397" i="7"/>
  <c r="G397" i="7"/>
  <c r="I396" i="7"/>
  <c r="H396" i="7"/>
  <c r="G396" i="7"/>
  <c r="D396" i="7"/>
  <c r="H395" i="7"/>
  <c r="G395" i="7"/>
  <c r="D395" i="7"/>
  <c r="H394" i="7"/>
  <c r="G394" i="7"/>
  <c r="I393" i="7"/>
  <c r="H393" i="7"/>
  <c r="D393" i="7"/>
  <c r="H392" i="7"/>
  <c r="G392" i="7"/>
  <c r="I391" i="7"/>
  <c r="D391" i="7"/>
  <c r="H391" i="7" s="1"/>
  <c r="I390" i="7"/>
  <c r="H390" i="7"/>
  <c r="D390" i="7"/>
  <c r="I389" i="7"/>
  <c r="H389" i="7"/>
  <c r="G389" i="7"/>
  <c r="D389" i="7"/>
  <c r="I388" i="7"/>
  <c r="H388" i="7"/>
  <c r="G388" i="7"/>
  <c r="G387" i="7"/>
  <c r="D387" i="7"/>
  <c r="H387" i="7" s="1"/>
  <c r="I386" i="7"/>
  <c r="H386" i="7"/>
  <c r="G386" i="7"/>
  <c r="I385" i="7"/>
  <c r="H385" i="7"/>
  <c r="G385" i="7"/>
  <c r="I384" i="7"/>
  <c r="H384" i="7"/>
  <c r="G384" i="7"/>
  <c r="G383" i="7"/>
  <c r="D383" i="7"/>
  <c r="H383" i="7" s="1"/>
  <c r="H382" i="7"/>
  <c r="G382" i="7"/>
  <c r="I381" i="7"/>
  <c r="H381" i="7"/>
  <c r="G381" i="7"/>
  <c r="I380" i="7"/>
  <c r="H380" i="7"/>
  <c r="D380" i="7"/>
  <c r="I379" i="7"/>
  <c r="G379" i="7"/>
  <c r="D379" i="7"/>
  <c r="H379" i="7" s="1"/>
  <c r="H378" i="7"/>
  <c r="G378" i="7"/>
  <c r="D378" i="7"/>
  <c r="H377" i="7"/>
  <c r="G377" i="7"/>
  <c r="D377" i="7"/>
  <c r="I376" i="7"/>
  <c r="F376" i="7"/>
  <c r="D376" i="7"/>
  <c r="H376" i="7" s="1"/>
  <c r="C376" i="7"/>
  <c r="G376" i="7" s="1"/>
  <c r="G375" i="7"/>
  <c r="D375" i="7"/>
  <c r="H375" i="7" s="1"/>
  <c r="H374" i="7"/>
  <c r="G374" i="7"/>
  <c r="I373" i="7"/>
  <c r="H373" i="7"/>
  <c r="G373" i="7"/>
  <c r="H372" i="7"/>
  <c r="G372" i="7"/>
  <c r="D372" i="7"/>
  <c r="G371" i="7"/>
  <c r="D371" i="7"/>
  <c r="H371" i="7" s="1"/>
  <c r="H370" i="7"/>
  <c r="G370" i="7"/>
  <c r="G369" i="7"/>
  <c r="D369" i="7"/>
  <c r="H368" i="7"/>
  <c r="G368" i="7"/>
  <c r="H367" i="7"/>
  <c r="G367" i="7"/>
  <c r="I366" i="7"/>
  <c r="H366" i="7"/>
  <c r="G366" i="7"/>
  <c r="H365" i="7"/>
  <c r="G365" i="7"/>
  <c r="H364" i="7"/>
  <c r="G364" i="7"/>
  <c r="H363" i="7"/>
  <c r="G363" i="7"/>
  <c r="H362" i="7"/>
  <c r="G362" i="7"/>
  <c r="H361" i="7"/>
  <c r="G361" i="7"/>
  <c r="I360" i="7"/>
  <c r="H360" i="7"/>
  <c r="G360" i="7"/>
  <c r="H359" i="7"/>
  <c r="G359" i="7"/>
  <c r="I358" i="7"/>
  <c r="H358" i="7"/>
  <c r="G358" i="7"/>
  <c r="G357" i="7"/>
  <c r="D357" i="7"/>
  <c r="H357" i="7" s="1"/>
  <c r="H356" i="7"/>
  <c r="G356" i="7"/>
  <c r="I355" i="7"/>
  <c r="F355" i="7"/>
  <c r="C355" i="7"/>
  <c r="G355" i="7" s="1"/>
  <c r="I354" i="7"/>
  <c r="F354" i="7"/>
  <c r="C354" i="7"/>
  <c r="G354" i="7" s="1"/>
  <c r="G353" i="7"/>
  <c r="D353" i="7"/>
  <c r="H353" i="7" s="1"/>
  <c r="H352" i="7"/>
  <c r="D352" i="7"/>
  <c r="H351" i="7"/>
  <c r="G351" i="7"/>
  <c r="D351" i="7"/>
  <c r="H350" i="7"/>
  <c r="G350" i="7"/>
  <c r="D350" i="7"/>
  <c r="H349" i="7"/>
  <c r="G349" i="7"/>
  <c r="G348" i="7"/>
  <c r="D348" i="7"/>
  <c r="H348" i="7" s="1"/>
  <c r="H347" i="7"/>
  <c r="G347" i="7"/>
  <c r="F346" i="7"/>
  <c r="D346" i="7"/>
  <c r="H346" i="7" s="1"/>
  <c r="C346" i="7"/>
  <c r="G346" i="7" s="1"/>
  <c r="H345" i="7"/>
  <c r="G345" i="7"/>
  <c r="H344" i="7"/>
  <c r="G344" i="7"/>
  <c r="H343" i="7"/>
  <c r="G343" i="7"/>
  <c r="F342" i="7"/>
  <c r="D342" i="7"/>
  <c r="H342" i="7" s="1"/>
  <c r="C342" i="7"/>
  <c r="G342" i="7" s="1"/>
  <c r="F341" i="7"/>
  <c r="D341" i="7"/>
  <c r="I340" i="7"/>
  <c r="F340" i="7"/>
  <c r="F872" i="7" s="1"/>
  <c r="I338" i="7"/>
  <c r="H338" i="7"/>
  <c r="G338" i="7"/>
  <c r="H337" i="7"/>
  <c r="G337" i="7"/>
  <c r="I336" i="7"/>
  <c r="F336" i="7"/>
  <c r="D336" i="7"/>
  <c r="H336" i="7" s="1"/>
  <c r="C336" i="7"/>
  <c r="G336" i="7" s="1"/>
  <c r="H335" i="7"/>
  <c r="G335" i="7"/>
  <c r="G334" i="7"/>
  <c r="D334" i="7"/>
  <c r="H334" i="7" s="1"/>
  <c r="C334" i="7"/>
  <c r="H333" i="7"/>
  <c r="G333" i="7"/>
  <c r="I332" i="7"/>
  <c r="G332" i="7"/>
  <c r="D332" i="7"/>
  <c r="D331" i="7" s="1"/>
  <c r="H331" i="7" s="1"/>
  <c r="C332" i="7"/>
  <c r="I331" i="7"/>
  <c r="F331" i="7"/>
  <c r="C331" i="7"/>
  <c r="G331" i="7" s="1"/>
  <c r="G330" i="7"/>
  <c r="D330" i="7"/>
  <c r="H330" i="7" s="1"/>
  <c r="H329" i="7"/>
  <c r="G329" i="7"/>
  <c r="H328" i="7"/>
  <c r="H327" i="7"/>
  <c r="G327" i="7"/>
  <c r="I326" i="7"/>
  <c r="G326" i="7"/>
  <c r="C326" i="7"/>
  <c r="I325" i="7"/>
  <c r="H325" i="7"/>
  <c r="G325" i="7"/>
  <c r="I324" i="7"/>
  <c r="H324" i="7"/>
  <c r="G324" i="7"/>
  <c r="I323" i="7"/>
  <c r="H323" i="7"/>
  <c r="G323" i="7"/>
  <c r="I322" i="7"/>
  <c r="H322" i="7"/>
  <c r="G322" i="7"/>
  <c r="I321" i="7"/>
  <c r="F321" i="7"/>
  <c r="C321" i="7"/>
  <c r="G321" i="7" s="1"/>
  <c r="I320" i="7"/>
  <c r="H320" i="7"/>
  <c r="G320" i="7"/>
  <c r="D320" i="7"/>
  <c r="H319" i="7"/>
  <c r="G319" i="7"/>
  <c r="I318" i="7"/>
  <c r="H318" i="7"/>
  <c r="G318" i="7"/>
  <c r="I317" i="7"/>
  <c r="H317" i="7"/>
  <c r="G317" i="7"/>
  <c r="H316" i="7"/>
  <c r="G316" i="7"/>
  <c r="H315" i="7"/>
  <c r="G315" i="7"/>
  <c r="I314" i="7"/>
  <c r="F314" i="7"/>
  <c r="D314" i="7"/>
  <c r="H314" i="7" s="1"/>
  <c r="C314" i="7"/>
  <c r="G314" i="7" s="1"/>
  <c r="H313" i="7"/>
  <c r="G313" i="7"/>
  <c r="H312" i="7"/>
  <c r="G312" i="7"/>
  <c r="H311" i="7"/>
  <c r="G311" i="7"/>
  <c r="I310" i="7"/>
  <c r="F310" i="7"/>
  <c r="D310" i="7"/>
  <c r="H310" i="7" s="1"/>
  <c r="C310" i="7"/>
  <c r="G310" i="7" s="1"/>
  <c r="H309" i="7"/>
  <c r="H308" i="7"/>
  <c r="G308" i="7"/>
  <c r="I307" i="7"/>
  <c r="G307" i="7"/>
  <c r="D307" i="7"/>
  <c r="H307" i="7" s="1"/>
  <c r="G306" i="7"/>
  <c r="D306" i="7"/>
  <c r="G305" i="7"/>
  <c r="D305" i="7"/>
  <c r="H305" i="7" s="1"/>
  <c r="H304" i="7"/>
  <c r="G304" i="7"/>
  <c r="I303" i="7"/>
  <c r="H303" i="7"/>
  <c r="G303" i="7"/>
  <c r="I302" i="7"/>
  <c r="F302" i="7"/>
  <c r="C302" i="7"/>
  <c r="G302" i="7" s="1"/>
  <c r="H301" i="7"/>
  <c r="G301" i="7"/>
  <c r="H300" i="7"/>
  <c r="G300" i="7"/>
  <c r="H299" i="7"/>
  <c r="F299" i="7"/>
  <c r="D299" i="7"/>
  <c r="C299" i="7"/>
  <c r="G299" i="7" s="1"/>
  <c r="I298" i="7"/>
  <c r="H298" i="7"/>
  <c r="G298" i="7"/>
  <c r="H297" i="7"/>
  <c r="G297" i="7"/>
  <c r="I296" i="7"/>
  <c r="H296" i="7"/>
  <c r="G296" i="7"/>
  <c r="I295" i="7"/>
  <c r="H295" i="7"/>
  <c r="G295" i="7"/>
  <c r="I294" i="7"/>
  <c r="F294" i="7"/>
  <c r="D294" i="7"/>
  <c r="H294" i="7" s="1"/>
  <c r="C294" i="7"/>
  <c r="G294" i="7" s="1"/>
  <c r="I293" i="7"/>
  <c r="F293" i="7"/>
  <c r="C293" i="7"/>
  <c r="G293" i="7" s="1"/>
  <c r="I292" i="7"/>
  <c r="H292" i="7"/>
  <c r="G292" i="7"/>
  <c r="I291" i="7"/>
  <c r="H291" i="7"/>
  <c r="G291" i="7"/>
  <c r="I290" i="7"/>
  <c r="H290" i="7"/>
  <c r="G290" i="7"/>
  <c r="I289" i="7"/>
  <c r="H289" i="7"/>
  <c r="G289" i="7"/>
  <c r="I288" i="7"/>
  <c r="H288" i="7"/>
  <c r="G288" i="7"/>
  <c r="I287" i="7"/>
  <c r="H287" i="7"/>
  <c r="G287" i="7"/>
  <c r="I286" i="7"/>
  <c r="H286" i="7"/>
  <c r="G286" i="7"/>
  <c r="D286" i="7"/>
  <c r="I285" i="7"/>
  <c r="D285" i="7"/>
  <c r="H285" i="7" s="1"/>
  <c r="C285" i="7"/>
  <c r="G285" i="7" s="1"/>
  <c r="I284" i="7"/>
  <c r="H284" i="7"/>
  <c r="D284" i="7"/>
  <c r="C284" i="7"/>
  <c r="G284" i="7" s="1"/>
  <c r="H283" i="7"/>
  <c r="G283" i="7"/>
  <c r="G282" i="7"/>
  <c r="D282" i="7"/>
  <c r="H282" i="7" s="1"/>
  <c r="H281" i="7"/>
  <c r="G281" i="7"/>
  <c r="H280" i="7"/>
  <c r="H279" i="7"/>
  <c r="H278" i="7"/>
  <c r="G278" i="7"/>
  <c r="H277" i="7"/>
  <c r="F277" i="7"/>
  <c r="D277" i="7"/>
  <c r="C277" i="7"/>
  <c r="G277" i="7" s="1"/>
  <c r="I276" i="7"/>
  <c r="H276" i="7"/>
  <c r="G276" i="7"/>
  <c r="D276" i="7"/>
  <c r="H275" i="7"/>
  <c r="G275" i="7"/>
  <c r="H274" i="7"/>
  <c r="G274" i="7"/>
  <c r="H273" i="7"/>
  <c r="G273" i="7"/>
  <c r="H272" i="7"/>
  <c r="H271" i="7"/>
  <c r="G270" i="7"/>
  <c r="F270" i="7"/>
  <c r="D270" i="7"/>
  <c r="D269" i="7" s="1"/>
  <c r="H269" i="7" s="1"/>
  <c r="C270" i="7"/>
  <c r="C269" i="7" s="1"/>
  <c r="I269" i="7"/>
  <c r="F269" i="7"/>
  <c r="I268" i="7"/>
  <c r="G268" i="7"/>
  <c r="D268" i="7"/>
  <c r="H268" i="7" s="1"/>
  <c r="H267" i="7"/>
  <c r="G267" i="7"/>
  <c r="D267" i="7"/>
  <c r="I266" i="7"/>
  <c r="G266" i="7"/>
  <c r="D266" i="7"/>
  <c r="I265" i="7"/>
  <c r="H265" i="7"/>
  <c r="G265" i="7"/>
  <c r="D265" i="7"/>
  <c r="H264" i="7"/>
  <c r="G264" i="7"/>
  <c r="D264" i="7"/>
  <c r="I263" i="7"/>
  <c r="H263" i="7"/>
  <c r="G263" i="7"/>
  <c r="I262" i="7"/>
  <c r="H262" i="7"/>
  <c r="G262" i="7"/>
  <c r="H261" i="7"/>
  <c r="D260" i="7"/>
  <c r="H260" i="7" s="1"/>
  <c r="C260" i="7"/>
  <c r="I259" i="7"/>
  <c r="F259" i="7"/>
  <c r="C259" i="7"/>
  <c r="G259" i="7" s="1"/>
  <c r="I258" i="7"/>
  <c r="F258" i="7"/>
  <c r="H257" i="7"/>
  <c r="G257" i="7"/>
  <c r="H256" i="7"/>
  <c r="G256" i="7"/>
  <c r="F255" i="7"/>
  <c r="D255" i="7"/>
  <c r="H255" i="7" s="1"/>
  <c r="C255" i="7"/>
  <c r="G255" i="7" s="1"/>
  <c r="H254" i="7"/>
  <c r="G254" i="7"/>
  <c r="H253" i="7"/>
  <c r="G253" i="7"/>
  <c r="I252" i="7"/>
  <c r="G252" i="7"/>
  <c r="D252" i="7"/>
  <c r="H252" i="7" s="1"/>
  <c r="I251" i="7"/>
  <c r="H251" i="7"/>
  <c r="G251" i="7"/>
  <c r="D251" i="7"/>
  <c r="I250" i="7"/>
  <c r="H250" i="7"/>
  <c r="G250" i="7"/>
  <c r="I249" i="7"/>
  <c r="F249" i="7"/>
  <c r="D249" i="7"/>
  <c r="H249" i="7" s="1"/>
  <c r="C249" i="7"/>
  <c r="G249" i="7" s="1"/>
  <c r="H248" i="7"/>
  <c r="G248" i="7"/>
  <c r="H247" i="7"/>
  <c r="G247" i="7"/>
  <c r="H246" i="7"/>
  <c r="G246" i="7"/>
  <c r="H245" i="7"/>
  <c r="D245" i="7"/>
  <c r="C245" i="7"/>
  <c r="G245" i="7" s="1"/>
  <c r="I244" i="7"/>
  <c r="F244" i="7"/>
  <c r="D244" i="7"/>
  <c r="H244" i="7" s="1"/>
  <c r="C244" i="7"/>
  <c r="G244" i="7" s="1"/>
  <c r="I243" i="7"/>
  <c r="F243" i="7"/>
  <c r="I241" i="7"/>
  <c r="F241" i="7"/>
  <c r="I239" i="7"/>
  <c r="I238" i="7"/>
  <c r="I237" i="7"/>
  <c r="F237" i="7"/>
  <c r="D237" i="7"/>
  <c r="C237" i="7"/>
  <c r="I236" i="7"/>
  <c r="G236" i="7"/>
  <c r="D236" i="7"/>
  <c r="H236" i="7" s="1"/>
  <c r="C236" i="7"/>
  <c r="I235" i="7"/>
  <c r="G235" i="7"/>
  <c r="D235" i="7"/>
  <c r="H235" i="7" s="1"/>
  <c r="C235" i="7"/>
  <c r="I234" i="7"/>
  <c r="F234" i="7"/>
  <c r="D234" i="7"/>
  <c r="H234" i="7" s="1"/>
  <c r="C234" i="7"/>
  <c r="G234" i="7" s="1"/>
  <c r="I232" i="7"/>
  <c r="G232" i="7"/>
  <c r="G7" i="7" s="1"/>
  <c r="F232" i="7"/>
  <c r="H230" i="7"/>
  <c r="G230" i="7"/>
  <c r="H229" i="7"/>
  <c r="G229" i="7"/>
  <c r="G228" i="7"/>
  <c r="D228" i="7"/>
  <c r="H228" i="7" s="1"/>
  <c r="I227" i="7"/>
  <c r="F227" i="7"/>
  <c r="C227" i="7"/>
  <c r="G227" i="7" s="1"/>
  <c r="H225" i="7"/>
  <c r="H224" i="7"/>
  <c r="H223" i="7"/>
  <c r="G223" i="7"/>
  <c r="H222" i="7"/>
  <c r="G222" i="7"/>
  <c r="H221" i="7"/>
  <c r="G221" i="7"/>
  <c r="I220" i="7"/>
  <c r="F220" i="7"/>
  <c r="D220" i="7"/>
  <c r="H220" i="7" s="1"/>
  <c r="C220" i="7"/>
  <c r="G220" i="7" s="1"/>
  <c r="H219" i="7"/>
  <c r="G219" i="7"/>
  <c r="H218" i="7"/>
  <c r="G218" i="7"/>
  <c r="D218" i="7"/>
  <c r="C218" i="7"/>
  <c r="I217" i="7"/>
  <c r="H217" i="7"/>
  <c r="G217" i="7"/>
  <c r="I216" i="7"/>
  <c r="F216" i="7"/>
  <c r="D216" i="7"/>
  <c r="H216" i="7" s="1"/>
  <c r="C216" i="7"/>
  <c r="G216" i="7" s="1"/>
  <c r="I215" i="7"/>
  <c r="H215" i="7"/>
  <c r="H214" i="7"/>
  <c r="D214" i="7"/>
  <c r="I213" i="7"/>
  <c r="H213" i="7"/>
  <c r="D213" i="7"/>
  <c r="I212" i="7"/>
  <c r="H212" i="7"/>
  <c r="D212" i="7"/>
  <c r="I211" i="7"/>
  <c r="H211" i="7"/>
  <c r="D211" i="7"/>
  <c r="I210" i="7"/>
  <c r="H210" i="7"/>
  <c r="D210" i="7"/>
  <c r="I209" i="7"/>
  <c r="H209" i="7"/>
  <c r="H208" i="7"/>
  <c r="H207" i="7"/>
  <c r="G207" i="7"/>
  <c r="I206" i="7"/>
  <c r="D206" i="7"/>
  <c r="H206" i="7" s="1"/>
  <c r="H205" i="7"/>
  <c r="I204" i="7"/>
  <c r="F204" i="7"/>
  <c r="D204" i="7"/>
  <c r="H204" i="7" s="1"/>
  <c r="C204" i="7"/>
  <c r="G204" i="7" s="1"/>
  <c r="I203" i="7"/>
  <c r="I202" i="7"/>
  <c r="H202" i="7"/>
  <c r="G202" i="7"/>
  <c r="I201" i="7"/>
  <c r="H201" i="7"/>
  <c r="G201" i="7"/>
  <c r="I200" i="7"/>
  <c r="H200" i="7"/>
  <c r="G200" i="7"/>
  <c r="I199" i="7"/>
  <c r="H199" i="7"/>
  <c r="G199" i="7"/>
  <c r="I198" i="7"/>
  <c r="H198" i="7"/>
  <c r="G198" i="7"/>
  <c r="I197" i="7"/>
  <c r="H197" i="7"/>
  <c r="G197" i="7"/>
  <c r="I196" i="7"/>
  <c r="H196" i="7"/>
  <c r="G196" i="7"/>
  <c r="I195" i="7"/>
  <c r="F195" i="7"/>
  <c r="D195" i="7"/>
  <c r="H195" i="7" s="1"/>
  <c r="C195" i="7"/>
  <c r="G195" i="7" s="1"/>
  <c r="H194" i="7"/>
  <c r="D194" i="7"/>
  <c r="D193" i="7"/>
  <c r="H193" i="7" s="1"/>
  <c r="H192" i="7"/>
  <c r="D192" i="7"/>
  <c r="D191" i="7"/>
  <c r="H190" i="7"/>
  <c r="H189" i="7"/>
  <c r="H188" i="7"/>
  <c r="G188" i="7"/>
  <c r="I187" i="7"/>
  <c r="H187" i="7"/>
  <c r="G187" i="7"/>
  <c r="H186" i="7"/>
  <c r="G186" i="7"/>
  <c r="I185" i="7"/>
  <c r="F185" i="7"/>
  <c r="C185" i="7"/>
  <c r="G185" i="7" s="1"/>
  <c r="H183" i="7"/>
  <c r="H182" i="7"/>
  <c r="G182" i="7"/>
  <c r="F181" i="7"/>
  <c r="D181" i="7"/>
  <c r="H181" i="7" s="1"/>
  <c r="C181" i="7"/>
  <c r="G181" i="7" s="1"/>
  <c r="I180" i="7"/>
  <c r="D180" i="7"/>
  <c r="H180" i="7" s="1"/>
  <c r="C180" i="7"/>
  <c r="C177" i="7" s="1"/>
  <c r="G177" i="7" s="1"/>
  <c r="H179" i="7"/>
  <c r="I178" i="7"/>
  <c r="D178" i="7"/>
  <c r="C178" i="7"/>
  <c r="I177" i="7"/>
  <c r="F177" i="7"/>
  <c r="H174" i="7"/>
  <c r="G174" i="7"/>
  <c r="H173" i="7"/>
  <c r="G173" i="7"/>
  <c r="H172" i="7"/>
  <c r="G172" i="7"/>
  <c r="H171" i="7"/>
  <c r="G171" i="7"/>
  <c r="H170" i="7"/>
  <c r="G170" i="7"/>
  <c r="D169" i="7"/>
  <c r="H169" i="7" s="1"/>
  <c r="C169" i="7"/>
  <c r="G169" i="7" s="1"/>
  <c r="I168" i="7"/>
  <c r="H168" i="7"/>
  <c r="G168" i="7"/>
  <c r="H167" i="7"/>
  <c r="G167" i="7"/>
  <c r="H166" i="7"/>
  <c r="G166" i="7"/>
  <c r="H165" i="7"/>
  <c r="G165" i="7"/>
  <c r="D165" i="7"/>
  <c r="H164" i="7"/>
  <c r="G164" i="7"/>
  <c r="D164" i="7"/>
  <c r="D162" i="7" s="1"/>
  <c r="H162" i="7" s="1"/>
  <c r="H163" i="7"/>
  <c r="G163" i="7"/>
  <c r="C162" i="7"/>
  <c r="G162" i="7" s="1"/>
  <c r="I161" i="7"/>
  <c r="G161" i="7"/>
  <c r="D161" i="7"/>
  <c r="H161" i="7" s="1"/>
  <c r="I160" i="7"/>
  <c r="G160" i="7"/>
  <c r="D160" i="7"/>
  <c r="I159" i="7"/>
  <c r="F159" i="7"/>
  <c r="C159" i="7"/>
  <c r="G159" i="7" s="1"/>
  <c r="I157" i="7"/>
  <c r="H157" i="7"/>
  <c r="D157" i="7"/>
  <c r="C157" i="7"/>
  <c r="G157" i="7" s="1"/>
  <c r="G156" i="7"/>
  <c r="D156" i="7"/>
  <c r="H155" i="7"/>
  <c r="G155" i="7"/>
  <c r="I154" i="7"/>
  <c r="G152" i="7"/>
  <c r="D152" i="7"/>
  <c r="I151" i="7"/>
  <c r="H151" i="7"/>
  <c r="G151" i="7"/>
  <c r="I150" i="7"/>
  <c r="H150" i="7"/>
  <c r="G150" i="7"/>
  <c r="I149" i="7"/>
  <c r="I148" i="7"/>
  <c r="H148" i="7"/>
  <c r="G148" i="7"/>
  <c r="I147" i="7"/>
  <c r="H147" i="7"/>
  <c r="G147" i="7"/>
  <c r="I146" i="7"/>
  <c r="H146" i="7"/>
  <c r="G146" i="7"/>
  <c r="H145" i="7"/>
  <c r="G145" i="7"/>
  <c r="G144" i="7"/>
  <c r="D144" i="7"/>
  <c r="D143" i="7" s="1"/>
  <c r="I143" i="7"/>
  <c r="F143" i="7"/>
  <c r="C143" i="7"/>
  <c r="G143" i="7" s="1"/>
  <c r="I142" i="7"/>
  <c r="I141" i="7"/>
  <c r="H141" i="7"/>
  <c r="G141" i="7"/>
  <c r="I140" i="7"/>
  <c r="I139" i="7"/>
  <c r="H139" i="7"/>
  <c r="G139" i="7"/>
  <c r="I138" i="7"/>
  <c r="H138" i="7"/>
  <c r="G138" i="7"/>
  <c r="I137" i="7"/>
  <c r="I136" i="7"/>
  <c r="H136" i="7"/>
  <c r="G136" i="7"/>
  <c r="I135" i="7"/>
  <c r="H135" i="7"/>
  <c r="G135" i="7"/>
  <c r="I132" i="7"/>
  <c r="H132" i="7"/>
  <c r="G132" i="7"/>
  <c r="I131" i="7"/>
  <c r="H131" i="7"/>
  <c r="G131" i="7"/>
  <c r="I129" i="7"/>
  <c r="H129" i="7"/>
  <c r="G129" i="7"/>
  <c r="I128" i="7"/>
  <c r="H128" i="7"/>
  <c r="I127" i="7"/>
  <c r="H127" i="7"/>
  <c r="G127" i="7"/>
  <c r="I126" i="7"/>
  <c r="H126" i="7"/>
  <c r="G126" i="7"/>
  <c r="I124" i="7"/>
  <c r="F124" i="7"/>
  <c r="D124" i="7"/>
  <c r="H124" i="7" s="1"/>
  <c r="C124" i="7"/>
  <c r="G124" i="7" s="1"/>
  <c r="I123" i="7"/>
  <c r="D123" i="7"/>
  <c r="H123" i="7" s="1"/>
  <c r="C123" i="7"/>
  <c r="G123" i="7" s="1"/>
  <c r="I122" i="7"/>
  <c r="H122" i="7"/>
  <c r="G122" i="7"/>
  <c r="I121" i="7"/>
  <c r="H120" i="7"/>
  <c r="H119" i="7"/>
  <c r="D119" i="7"/>
  <c r="I117" i="7"/>
  <c r="D117" i="7"/>
  <c r="H117" i="7" s="1"/>
  <c r="I116" i="7"/>
  <c r="D116" i="7"/>
  <c r="H116" i="7" s="1"/>
  <c r="I115" i="7"/>
  <c r="H115" i="7"/>
  <c r="I114" i="7"/>
  <c r="H114" i="7"/>
  <c r="I113" i="7"/>
  <c r="H113" i="7"/>
  <c r="H112" i="7"/>
  <c r="I111" i="7"/>
  <c r="H111" i="7"/>
  <c r="D111" i="7"/>
  <c r="H110" i="7"/>
  <c r="I109" i="7"/>
  <c r="H109" i="7"/>
  <c r="I108" i="7"/>
  <c r="F108" i="7"/>
  <c r="D108" i="7"/>
  <c r="H108" i="7" s="1"/>
  <c r="C108" i="7"/>
  <c r="I105" i="7"/>
  <c r="H105" i="7"/>
  <c r="G105" i="7"/>
  <c r="I104" i="7"/>
  <c r="H104" i="7"/>
  <c r="G104" i="7"/>
  <c r="F104" i="7"/>
  <c r="I103" i="7"/>
  <c r="H103" i="7"/>
  <c r="G103" i="7"/>
  <c r="H102" i="7"/>
  <c r="G102" i="7"/>
  <c r="H101" i="7"/>
  <c r="G101" i="7"/>
  <c r="I100" i="7"/>
  <c r="H100" i="7"/>
  <c r="G100" i="7"/>
  <c r="I99" i="7"/>
  <c r="H99" i="7"/>
  <c r="G99" i="7"/>
  <c r="I98" i="7"/>
  <c r="H98" i="7"/>
  <c r="G98" i="7"/>
  <c r="F98" i="7"/>
  <c r="H97" i="7"/>
  <c r="I96" i="7"/>
  <c r="H96" i="7"/>
  <c r="G96" i="7"/>
  <c r="I95" i="7"/>
  <c r="H95" i="7"/>
  <c r="G95" i="7"/>
  <c r="I94" i="7"/>
  <c r="F94" i="7"/>
  <c r="D94" i="7"/>
  <c r="H94" i="7" s="1"/>
  <c r="C94" i="7"/>
  <c r="G94" i="7" s="1"/>
  <c r="I92" i="7"/>
  <c r="H92" i="7"/>
  <c r="G92" i="7"/>
  <c r="I91" i="7"/>
  <c r="H91" i="7"/>
  <c r="G91" i="7"/>
  <c r="I90" i="7"/>
  <c r="H90" i="7"/>
  <c r="G90" i="7"/>
  <c r="H89" i="7"/>
  <c r="G89" i="7"/>
  <c r="I88" i="7"/>
  <c r="H88" i="7"/>
  <c r="G88" i="7"/>
  <c r="I87" i="7"/>
  <c r="H87" i="7"/>
  <c r="G87" i="7"/>
  <c r="I86" i="7"/>
  <c r="H86" i="7"/>
  <c r="G86" i="7"/>
  <c r="I85" i="7"/>
  <c r="H85" i="7"/>
  <c r="G85" i="7"/>
  <c r="I84" i="7"/>
  <c r="H84" i="7"/>
  <c r="G84" i="7"/>
  <c r="I83" i="7"/>
  <c r="H83" i="7"/>
  <c r="G83" i="7"/>
  <c r="I82" i="7"/>
  <c r="H82" i="7"/>
  <c r="G82" i="7"/>
  <c r="I81" i="7"/>
  <c r="H81" i="7"/>
  <c r="G81" i="7"/>
  <c r="I80" i="7"/>
  <c r="F80" i="7"/>
  <c r="D80" i="7"/>
  <c r="H80" i="7" s="1"/>
  <c r="C80" i="7"/>
  <c r="G80" i="7" s="1"/>
  <c r="I79" i="7"/>
  <c r="H79" i="7"/>
  <c r="G79" i="7"/>
  <c r="I78" i="7"/>
  <c r="G78" i="7"/>
  <c r="D78" i="7"/>
  <c r="H78" i="7" s="1"/>
  <c r="I77" i="7"/>
  <c r="H77" i="7"/>
  <c r="G77" i="7"/>
  <c r="I76" i="7"/>
  <c r="H76" i="7"/>
  <c r="G76" i="7"/>
  <c r="I75" i="7"/>
  <c r="H75" i="7"/>
  <c r="G75" i="7"/>
  <c r="I74" i="7"/>
  <c r="H74" i="7"/>
  <c r="G74" i="7"/>
  <c r="I73" i="7"/>
  <c r="I72" i="7"/>
  <c r="H72" i="7"/>
  <c r="G72" i="7"/>
  <c r="I71" i="7"/>
  <c r="H71" i="7"/>
  <c r="G71" i="7"/>
  <c r="I70" i="7"/>
  <c r="H70" i="7"/>
  <c r="G70" i="7"/>
  <c r="I69" i="7"/>
  <c r="H69" i="7"/>
  <c r="I68" i="7"/>
  <c r="H68" i="7"/>
  <c r="G68" i="7"/>
  <c r="I67" i="7"/>
  <c r="H67" i="7"/>
  <c r="G67" i="7"/>
  <c r="I66" i="7"/>
  <c r="H66" i="7"/>
  <c r="F66" i="7"/>
  <c r="D66" i="7"/>
  <c r="C66" i="7"/>
  <c r="G66" i="7" s="1"/>
  <c r="I65" i="7"/>
  <c r="F65" i="7"/>
  <c r="C65" i="7"/>
  <c r="G65" i="7" s="1"/>
  <c r="I63" i="7"/>
  <c r="H63" i="7"/>
  <c r="G63" i="7"/>
  <c r="I62" i="7"/>
  <c r="G62" i="7"/>
  <c r="E62" i="7"/>
  <c r="D62" i="7"/>
  <c r="C62" i="7"/>
  <c r="I61" i="7"/>
  <c r="H61" i="7"/>
  <c r="G61" i="7"/>
  <c r="I59" i="7"/>
  <c r="H59" i="7"/>
  <c r="G59" i="7"/>
  <c r="I58" i="7"/>
  <c r="H58" i="7"/>
  <c r="G58" i="7"/>
  <c r="I57" i="7"/>
  <c r="H57" i="7"/>
  <c r="G57" i="7"/>
  <c r="I56" i="7"/>
  <c r="H56" i="7"/>
  <c r="G56" i="7"/>
  <c r="I55" i="7"/>
  <c r="H55" i="7"/>
  <c r="G55" i="7"/>
  <c r="I54" i="7"/>
  <c r="H54" i="7"/>
  <c r="G54" i="7"/>
  <c r="I53" i="7"/>
  <c r="H53" i="7"/>
  <c r="F53" i="7"/>
  <c r="D53" i="7"/>
  <c r="C53" i="7"/>
  <c r="G53" i="7" s="1"/>
  <c r="I52" i="7"/>
  <c r="I51" i="7"/>
  <c r="H51" i="7"/>
  <c r="G51" i="7"/>
  <c r="I50" i="7"/>
  <c r="H50" i="7"/>
  <c r="G50" i="7"/>
  <c r="I49" i="7"/>
  <c r="H49" i="7"/>
  <c r="G49" i="7"/>
  <c r="I48" i="7"/>
  <c r="H48" i="7"/>
  <c r="G48" i="7"/>
  <c r="I47" i="7"/>
  <c r="H47" i="7"/>
  <c r="G47" i="7"/>
  <c r="I46" i="7"/>
  <c r="H46" i="7"/>
  <c r="G46" i="7"/>
  <c r="I45" i="7"/>
  <c r="H45" i="7"/>
  <c r="G45" i="7"/>
  <c r="I44" i="7"/>
  <c r="F44" i="7"/>
  <c r="D44" i="7"/>
  <c r="H44" i="7" s="1"/>
  <c r="C44" i="7"/>
  <c r="G44" i="7" s="1"/>
  <c r="I43" i="7"/>
  <c r="H43" i="7"/>
  <c r="G43" i="7"/>
  <c r="I42" i="7"/>
  <c r="H42" i="7"/>
  <c r="I41" i="7"/>
  <c r="H41" i="7"/>
  <c r="G41" i="7"/>
  <c r="I40" i="7"/>
  <c r="H40" i="7"/>
  <c r="G40" i="7"/>
  <c r="I39" i="7"/>
  <c r="D39" i="7"/>
  <c r="H39" i="7" s="1"/>
  <c r="C39" i="7"/>
  <c r="G39" i="7" s="1"/>
  <c r="I38" i="7"/>
  <c r="G38" i="7"/>
  <c r="D38" i="7"/>
  <c r="H38" i="7" s="1"/>
  <c r="I37" i="7"/>
  <c r="H37" i="7"/>
  <c r="G37" i="7"/>
  <c r="I36" i="7"/>
  <c r="D36" i="7"/>
  <c r="H36" i="7" s="1"/>
  <c r="C36" i="7"/>
  <c r="G36" i="7" s="1"/>
  <c r="I35" i="7"/>
  <c r="D35" i="7"/>
  <c r="H35" i="7" s="1"/>
  <c r="C35" i="7"/>
  <c r="G35" i="7" s="1"/>
  <c r="I34" i="7"/>
  <c r="D34" i="7"/>
  <c r="H34" i="7" s="1"/>
  <c r="C34" i="7"/>
  <c r="G34" i="7" s="1"/>
  <c r="I33" i="7"/>
  <c r="H33" i="7"/>
  <c r="F33" i="7"/>
  <c r="D33" i="7"/>
  <c r="C33" i="7"/>
  <c r="G33" i="7" s="1"/>
  <c r="I32" i="7"/>
  <c r="F32" i="7"/>
  <c r="C32" i="7"/>
  <c r="C232" i="7" s="1"/>
  <c r="C241" i="7" s="1"/>
  <c r="G241" i="7" s="1"/>
  <c r="G9" i="7" s="1"/>
  <c r="I30" i="7"/>
  <c r="E30" i="7"/>
  <c r="I29" i="7"/>
  <c r="F29" i="7"/>
  <c r="E29" i="7"/>
  <c r="C29" i="7"/>
  <c r="I28" i="7"/>
  <c r="F28" i="7"/>
  <c r="E28" i="7"/>
  <c r="I27" i="7"/>
  <c r="F27" i="7"/>
  <c r="E27" i="7"/>
  <c r="I26" i="7"/>
  <c r="H26" i="7"/>
  <c r="G26" i="7"/>
  <c r="F26" i="7"/>
  <c r="E26" i="7"/>
  <c r="D26" i="7"/>
  <c r="C26" i="7"/>
  <c r="I25" i="7"/>
  <c r="F25" i="7"/>
  <c r="E25" i="7"/>
  <c r="I24" i="7"/>
  <c r="G24" i="7"/>
  <c r="F24" i="7"/>
  <c r="E24" i="7"/>
  <c r="C24" i="7"/>
  <c r="I23" i="7"/>
  <c r="F23" i="7"/>
  <c r="E23" i="7"/>
  <c r="I22" i="7"/>
  <c r="F22" i="7"/>
  <c r="E22" i="7"/>
  <c r="I21" i="7"/>
  <c r="F21" i="7"/>
  <c r="E21" i="7"/>
  <c r="I20" i="7"/>
  <c r="F20" i="7"/>
  <c r="E20" i="7"/>
  <c r="I19" i="7"/>
  <c r="H19" i="7"/>
  <c r="G19" i="7"/>
  <c r="F19" i="7"/>
  <c r="E19" i="7"/>
  <c r="D19" i="7"/>
  <c r="C19" i="7"/>
  <c r="I18" i="7"/>
  <c r="H18" i="7"/>
  <c r="G18" i="7"/>
  <c r="F18" i="7"/>
  <c r="E18" i="7"/>
  <c r="D18" i="7"/>
  <c r="C18" i="7"/>
  <c r="I17" i="7"/>
  <c r="G17" i="7"/>
  <c r="E17" i="7"/>
  <c r="D17" i="7"/>
  <c r="C17" i="7"/>
  <c r="I16" i="7"/>
  <c r="H16" i="7"/>
  <c r="G16" i="7"/>
  <c r="F16" i="7"/>
  <c r="E16" i="7"/>
  <c r="D16" i="7"/>
  <c r="C16" i="7"/>
  <c r="I15" i="7"/>
  <c r="H15" i="7"/>
  <c r="G15" i="7"/>
  <c r="F15" i="7"/>
  <c r="E15" i="7"/>
  <c r="D15" i="7"/>
  <c r="C15" i="7"/>
  <c r="I14" i="7"/>
  <c r="F14" i="7"/>
  <c r="E14" i="7"/>
  <c r="I13" i="7"/>
  <c r="F13" i="7"/>
  <c r="E13" i="7"/>
  <c r="I12" i="7"/>
  <c r="H12" i="7"/>
  <c r="G12" i="7"/>
  <c r="E11" i="7"/>
  <c r="I11" i="7" s="1"/>
  <c r="I9" i="7"/>
  <c r="I876" i="7" s="1"/>
  <c r="F9" i="7"/>
  <c r="E9" i="7"/>
  <c r="E876" i="7" s="1"/>
  <c r="I8" i="7"/>
  <c r="H8" i="7"/>
  <c r="G8" i="7"/>
  <c r="F8" i="7"/>
  <c r="E8" i="7"/>
  <c r="D8" i="7"/>
  <c r="C8" i="7"/>
  <c r="I7" i="7"/>
  <c r="F7" i="7"/>
  <c r="E7" i="7"/>
  <c r="C7" i="7"/>
  <c r="I6" i="7"/>
  <c r="G6" i="7"/>
  <c r="F6" i="7"/>
  <c r="E6" i="7"/>
  <c r="C6" i="7"/>
  <c r="I5" i="7"/>
  <c r="G5" i="7"/>
  <c r="F5" i="7"/>
  <c r="E5" i="7"/>
  <c r="C5" i="7"/>
  <c r="I4" i="7"/>
  <c r="G4" i="7"/>
  <c r="F4" i="7"/>
  <c r="E4" i="7"/>
  <c r="C4" i="7"/>
  <c r="I3" i="7"/>
  <c r="F3" i="7"/>
  <c r="E3" i="7"/>
  <c r="C3" i="7"/>
  <c r="D958" i="6"/>
  <c r="D957" i="6"/>
  <c r="D956" i="6" s="1"/>
  <c r="C957" i="6"/>
  <c r="C956" i="6" s="1"/>
  <c r="I956" i="6"/>
  <c r="H956" i="6"/>
  <c r="G956" i="6"/>
  <c r="F956" i="6"/>
  <c r="E956" i="6"/>
  <c r="D954" i="6"/>
  <c r="D953" i="6"/>
  <c r="D951" i="6" s="1"/>
  <c r="D952" i="6"/>
  <c r="I951" i="6"/>
  <c r="H951" i="6"/>
  <c r="G951" i="6"/>
  <c r="F951" i="6"/>
  <c r="E951" i="6"/>
  <c r="C951" i="6"/>
  <c r="D948" i="6"/>
  <c r="D947" i="6" s="1"/>
  <c r="I947" i="6"/>
  <c r="H947" i="6"/>
  <c r="G947" i="6"/>
  <c r="F947" i="6"/>
  <c r="E947" i="6"/>
  <c r="C947" i="6"/>
  <c r="C939" i="6" s="1"/>
  <c r="C30" i="6" s="1"/>
  <c r="E946" i="6"/>
  <c r="E945" i="6"/>
  <c r="D945" i="6"/>
  <c r="F942" i="6"/>
  <c r="E942" i="6"/>
  <c r="E941" i="6" s="1"/>
  <c r="E939" i="6" s="1"/>
  <c r="E30" i="6" s="1"/>
  <c r="D942" i="6"/>
  <c r="D941" i="6" s="1"/>
  <c r="I941" i="6"/>
  <c r="I939" i="6" s="1"/>
  <c r="I30" i="6" s="1"/>
  <c r="H941" i="6"/>
  <c r="H939" i="6" s="1"/>
  <c r="H30" i="6" s="1"/>
  <c r="G941" i="6"/>
  <c r="G939" i="6" s="1"/>
  <c r="G30" i="6" s="1"/>
  <c r="F941" i="6"/>
  <c r="F939" i="6" s="1"/>
  <c r="F30" i="6" s="1"/>
  <c r="C941" i="6"/>
  <c r="I935" i="6"/>
  <c r="I929" i="6" s="1"/>
  <c r="I29" i="6" s="1"/>
  <c r="H935" i="6"/>
  <c r="H929" i="6" s="1"/>
  <c r="H29" i="6" s="1"/>
  <c r="G935" i="6"/>
  <c r="F935" i="6"/>
  <c r="F929" i="6" s="1"/>
  <c r="F29" i="6" s="1"/>
  <c r="E935" i="6"/>
  <c r="D935" i="6"/>
  <c r="C935" i="6"/>
  <c r="I930" i="6"/>
  <c r="H930" i="6"/>
  <c r="G930" i="6"/>
  <c r="G929" i="6" s="1"/>
  <c r="G29" i="6" s="1"/>
  <c r="F930" i="6"/>
  <c r="E930" i="6"/>
  <c r="E929" i="6" s="1"/>
  <c r="E29" i="6" s="1"/>
  <c r="D930" i="6"/>
  <c r="C930" i="6"/>
  <c r="D929" i="6"/>
  <c r="C929" i="6"/>
  <c r="C29" i="6" s="1"/>
  <c r="G922" i="6"/>
  <c r="F922" i="6"/>
  <c r="E922" i="6"/>
  <c r="D922" i="6"/>
  <c r="C922" i="6"/>
  <c r="G919" i="6"/>
  <c r="G918" i="6" s="1"/>
  <c r="F919" i="6"/>
  <c r="F918" i="6" s="1"/>
  <c r="E919" i="6"/>
  <c r="D919" i="6"/>
  <c r="C919" i="6"/>
  <c r="E918" i="6"/>
  <c r="D918" i="6"/>
  <c r="C918" i="6"/>
  <c r="G913" i="6"/>
  <c r="G908" i="6" s="1"/>
  <c r="F913" i="6"/>
  <c r="E913" i="6"/>
  <c r="D913" i="6"/>
  <c r="D908" i="6" s="1"/>
  <c r="C913" i="6"/>
  <c r="F908" i="6"/>
  <c r="E908" i="6"/>
  <c r="C908" i="6"/>
  <c r="G901" i="6"/>
  <c r="F901" i="6"/>
  <c r="E901" i="6"/>
  <c r="D901" i="6"/>
  <c r="C901" i="6"/>
  <c r="G896" i="6"/>
  <c r="G894" i="6" s="1"/>
  <c r="G889" i="6" s="1"/>
  <c r="F896" i="6"/>
  <c r="F894" i="6" s="1"/>
  <c r="F889" i="6" s="1"/>
  <c r="E896" i="6"/>
  <c r="D896" i="6"/>
  <c r="C896" i="6"/>
  <c r="C894" i="6" s="1"/>
  <c r="E894" i="6"/>
  <c r="E889" i="6" s="1"/>
  <c r="D894" i="6"/>
  <c r="G892" i="6"/>
  <c r="F892" i="6"/>
  <c r="E892" i="6"/>
  <c r="D892" i="6"/>
  <c r="D889" i="6" s="1"/>
  <c r="C892" i="6"/>
  <c r="G890" i="6"/>
  <c r="G877" i="6"/>
  <c r="F877" i="6"/>
  <c r="E877" i="6"/>
  <c r="D877" i="6"/>
  <c r="C877" i="6"/>
  <c r="G872" i="6"/>
  <c r="F872" i="6"/>
  <c r="E872" i="6"/>
  <c r="D872" i="6"/>
  <c r="C872" i="6"/>
  <c r="G863" i="6"/>
  <c r="G862" i="6" s="1"/>
  <c r="F863" i="6"/>
  <c r="F862" i="6" s="1"/>
  <c r="E863" i="6"/>
  <c r="E862" i="6" s="1"/>
  <c r="D863" i="6"/>
  <c r="C863" i="6"/>
  <c r="G856" i="6"/>
  <c r="F856" i="6"/>
  <c r="E856" i="6"/>
  <c r="D856" i="6"/>
  <c r="C856" i="6"/>
  <c r="G850" i="6"/>
  <c r="G848" i="6" s="1"/>
  <c r="F850" i="6"/>
  <c r="F848" i="6" s="1"/>
  <c r="F836" i="6" s="1"/>
  <c r="F833" i="6" s="1"/>
  <c r="E850" i="6"/>
  <c r="E848" i="6" s="1"/>
  <c r="D850" i="6"/>
  <c r="D848" i="6" s="1"/>
  <c r="C850" i="6"/>
  <c r="C848" i="6"/>
  <c r="G844" i="6"/>
  <c r="G842" i="6" s="1"/>
  <c r="G836" i="6" s="1"/>
  <c r="G833" i="6" s="1"/>
  <c r="F844" i="6"/>
  <c r="E844" i="6"/>
  <c r="D844" i="6"/>
  <c r="C844" i="6"/>
  <c r="F842" i="6"/>
  <c r="E842" i="6"/>
  <c r="D842" i="6"/>
  <c r="C842" i="6"/>
  <c r="G837" i="6"/>
  <c r="F837" i="6"/>
  <c r="E837" i="6"/>
  <c r="E836" i="6" s="1"/>
  <c r="E833" i="6" s="1"/>
  <c r="D837" i="6"/>
  <c r="C837" i="6"/>
  <c r="C836" i="6" s="1"/>
  <c r="G834" i="6"/>
  <c r="D834" i="6"/>
  <c r="C834" i="6"/>
  <c r="G829" i="6"/>
  <c r="F829" i="6"/>
  <c r="E829" i="6"/>
  <c r="D829" i="6"/>
  <c r="C829" i="6"/>
  <c r="C822" i="6" s="1"/>
  <c r="G825" i="6"/>
  <c r="F825" i="6"/>
  <c r="E825" i="6"/>
  <c r="D825" i="6"/>
  <c r="C825" i="6"/>
  <c r="G823" i="6"/>
  <c r="G822" i="6" s="1"/>
  <c r="F823" i="6"/>
  <c r="F822" i="6" s="1"/>
  <c r="E823" i="6"/>
  <c r="E822" i="6" s="1"/>
  <c r="D823" i="6"/>
  <c r="D822" i="6" s="1"/>
  <c r="C823" i="6"/>
  <c r="G819" i="6"/>
  <c r="F819" i="6"/>
  <c r="E819" i="6"/>
  <c r="D819" i="6"/>
  <c r="C819" i="6"/>
  <c r="G816" i="6"/>
  <c r="D816" i="6"/>
  <c r="C816" i="6"/>
  <c r="G814" i="6"/>
  <c r="G813" i="6" s="1"/>
  <c r="F814" i="6"/>
  <c r="F813" i="6" s="1"/>
  <c r="E814" i="6"/>
  <c r="D814" i="6"/>
  <c r="C814" i="6"/>
  <c r="C813" i="6" s="1"/>
  <c r="E813" i="6"/>
  <c r="D813" i="6"/>
  <c r="D812" i="6" s="1"/>
  <c r="I810" i="6"/>
  <c r="H810" i="6"/>
  <c r="I807" i="6"/>
  <c r="H807" i="6"/>
  <c r="G807" i="6"/>
  <c r="F807" i="6"/>
  <c r="E807" i="6"/>
  <c r="D807" i="6"/>
  <c r="C807" i="6"/>
  <c r="I801" i="6"/>
  <c r="H801" i="6"/>
  <c r="H785" i="6" s="1"/>
  <c r="H27" i="6" s="1"/>
  <c r="G801" i="6"/>
  <c r="F801" i="6"/>
  <c r="F785" i="6" s="1"/>
  <c r="F27" i="6" s="1"/>
  <c r="E801" i="6"/>
  <c r="D801" i="6"/>
  <c r="C801" i="6"/>
  <c r="I793" i="6"/>
  <c r="H793" i="6"/>
  <c r="G793" i="6"/>
  <c r="G785" i="6" s="1"/>
  <c r="G27" i="6" s="1"/>
  <c r="F793" i="6"/>
  <c r="E793" i="6"/>
  <c r="E785" i="6" s="1"/>
  <c r="E27" i="6" s="1"/>
  <c r="D793" i="6"/>
  <c r="C793" i="6"/>
  <c r="I785" i="6"/>
  <c r="D785" i="6"/>
  <c r="C785" i="6"/>
  <c r="C27" i="6" s="1"/>
  <c r="F783" i="6"/>
  <c r="G782" i="6"/>
  <c r="D782" i="6"/>
  <c r="F782" i="6" s="1"/>
  <c r="G781" i="6"/>
  <c r="G779" i="6" s="1"/>
  <c r="G778" i="6" s="1"/>
  <c r="G26" i="6" s="1"/>
  <c r="D781" i="6"/>
  <c r="F781" i="6" s="1"/>
  <c r="G780" i="6"/>
  <c r="F780" i="6"/>
  <c r="D780" i="6"/>
  <c r="E779" i="6"/>
  <c r="E778" i="6" s="1"/>
  <c r="E26" i="6" s="1"/>
  <c r="C779" i="6"/>
  <c r="C778" i="6" s="1"/>
  <c r="C26" i="6" s="1"/>
  <c r="I778" i="6"/>
  <c r="I26" i="6" s="1"/>
  <c r="H778" i="6"/>
  <c r="I765" i="6"/>
  <c r="I764" i="6" s="1"/>
  <c r="H765" i="6"/>
  <c r="G765" i="6"/>
  <c r="F765" i="6"/>
  <c r="E765" i="6"/>
  <c r="E764" i="6" s="1"/>
  <c r="D765" i="6"/>
  <c r="D764" i="6" s="1"/>
  <c r="C765" i="6"/>
  <c r="C764" i="6" s="1"/>
  <c r="H764" i="6"/>
  <c r="G764" i="6"/>
  <c r="F764" i="6"/>
  <c r="D763" i="6"/>
  <c r="I757" i="6"/>
  <c r="H757" i="6"/>
  <c r="G757" i="6"/>
  <c r="F757" i="6"/>
  <c r="E757" i="6"/>
  <c r="D757" i="6"/>
  <c r="C757" i="6"/>
  <c r="I755" i="6"/>
  <c r="I749" i="6" s="1"/>
  <c r="H755" i="6"/>
  <c r="G755" i="6"/>
  <c r="G749" i="6" s="1"/>
  <c r="G748" i="6" s="1"/>
  <c r="G25" i="6" s="1"/>
  <c r="F755" i="6"/>
  <c r="E755" i="6"/>
  <c r="D755" i="6"/>
  <c r="C755" i="6"/>
  <c r="I752" i="6"/>
  <c r="H752" i="6"/>
  <c r="H749" i="6" s="1"/>
  <c r="H748" i="6" s="1"/>
  <c r="H25" i="6" s="1"/>
  <c r="G752" i="6"/>
  <c r="F752" i="6"/>
  <c r="F749" i="6" s="1"/>
  <c r="F748" i="6" s="1"/>
  <c r="F25" i="6" s="1"/>
  <c r="E752" i="6"/>
  <c r="D752" i="6"/>
  <c r="C752" i="6"/>
  <c r="E749" i="6"/>
  <c r="E748" i="6" s="1"/>
  <c r="E25" i="6" s="1"/>
  <c r="D749" i="6"/>
  <c r="D748" i="6" s="1"/>
  <c r="D25" i="6" s="1"/>
  <c r="C749" i="6"/>
  <c r="C748" i="6" s="1"/>
  <c r="C25" i="6" s="1"/>
  <c r="G745" i="6"/>
  <c r="E745" i="6"/>
  <c r="D745" i="6"/>
  <c r="C745" i="6"/>
  <c r="G744" i="6"/>
  <c r="G742" i="6" s="1"/>
  <c r="G739" i="6" s="1"/>
  <c r="G24" i="6" s="1"/>
  <c r="E744" i="6"/>
  <c r="D744" i="6"/>
  <c r="C744" i="6"/>
  <c r="C742" i="6" s="1"/>
  <c r="G743" i="6"/>
  <c r="E743" i="6"/>
  <c r="D743" i="6"/>
  <c r="D742" i="6" s="1"/>
  <c r="D739" i="6" s="1"/>
  <c r="D24" i="6" s="1"/>
  <c r="C743" i="6"/>
  <c r="F742" i="6"/>
  <c r="E742" i="6"/>
  <c r="G741" i="6"/>
  <c r="E741" i="6"/>
  <c r="D741" i="6"/>
  <c r="C741" i="6"/>
  <c r="F739" i="6"/>
  <c r="E739" i="6"/>
  <c r="E24" i="6" s="1"/>
  <c r="I737" i="6"/>
  <c r="H737" i="6"/>
  <c r="G737" i="6"/>
  <c r="I736" i="6"/>
  <c r="H736" i="6"/>
  <c r="G736" i="6"/>
  <c r="H733" i="6"/>
  <c r="H731" i="6" s="1"/>
  <c r="G732" i="6"/>
  <c r="G731" i="6"/>
  <c r="I730" i="6"/>
  <c r="I726" i="6" s="1"/>
  <c r="I725" i="6" s="1"/>
  <c r="H729" i="6"/>
  <c r="H728" i="6"/>
  <c r="H726" i="6" s="1"/>
  <c r="H725" i="6" s="1"/>
  <c r="H727" i="6"/>
  <c r="G727" i="6"/>
  <c r="G726" i="6"/>
  <c r="G725" i="6"/>
  <c r="F725" i="6"/>
  <c r="E725" i="6"/>
  <c r="D725" i="6"/>
  <c r="C725" i="6"/>
  <c r="I724" i="6"/>
  <c r="H724" i="6"/>
  <c r="G724" i="6"/>
  <c r="I720" i="6"/>
  <c r="H720" i="6"/>
  <c r="H718" i="6" s="1"/>
  <c r="H23" i="6" s="1"/>
  <c r="G720" i="6"/>
  <c r="I719" i="6"/>
  <c r="H719" i="6"/>
  <c r="G719" i="6"/>
  <c r="G718" i="6"/>
  <c r="F718" i="6"/>
  <c r="E718" i="6"/>
  <c r="D718" i="6"/>
  <c r="C718" i="6"/>
  <c r="G716" i="6"/>
  <c r="F716" i="6"/>
  <c r="C716" i="6"/>
  <c r="C715" i="6" s="1"/>
  <c r="C714" i="6" s="1"/>
  <c r="C22" i="6" s="1"/>
  <c r="G715" i="6"/>
  <c r="G714" i="6" s="1"/>
  <c r="G22" i="6" s="1"/>
  <c r="F715" i="6"/>
  <c r="F714" i="6" s="1"/>
  <c r="F22" i="6" s="1"/>
  <c r="E715" i="6"/>
  <c r="D715" i="6"/>
  <c r="E714" i="6"/>
  <c r="D714" i="6"/>
  <c r="G712" i="6"/>
  <c r="G702" i="6" s="1"/>
  <c r="G701" i="6" s="1"/>
  <c r="D712" i="6"/>
  <c r="C712" i="6"/>
  <c r="D709" i="6"/>
  <c r="D708" i="6"/>
  <c r="C708" i="6"/>
  <c r="D705" i="6"/>
  <c r="D702" i="6" s="1"/>
  <c r="D701" i="6" s="1"/>
  <c r="C705" i="6"/>
  <c r="C702" i="6" s="1"/>
  <c r="C701" i="6" s="1"/>
  <c r="I702" i="6"/>
  <c r="I701" i="6" s="1"/>
  <c r="H702" i="6"/>
  <c r="F702" i="6"/>
  <c r="F701" i="6" s="1"/>
  <c r="E702" i="6"/>
  <c r="E701" i="6" s="1"/>
  <c r="H701" i="6"/>
  <c r="I698" i="6"/>
  <c r="H698" i="6"/>
  <c r="H674" i="6" s="1"/>
  <c r="G698" i="6"/>
  <c r="F698" i="6"/>
  <c r="E698" i="6"/>
  <c r="D698" i="6"/>
  <c r="C698" i="6"/>
  <c r="G696" i="6"/>
  <c r="G694" i="6"/>
  <c r="G693" i="6" s="1"/>
  <c r="G691" i="6" s="1"/>
  <c r="D694" i="6"/>
  <c r="I693" i="6"/>
  <c r="H693" i="6"/>
  <c r="F693" i="6"/>
  <c r="F691" i="6" s="1"/>
  <c r="F674" i="6" s="1"/>
  <c r="E693" i="6"/>
  <c r="E691" i="6" s="1"/>
  <c r="D693" i="6"/>
  <c r="D691" i="6" s="1"/>
  <c r="C693" i="6"/>
  <c r="C691" i="6" s="1"/>
  <c r="C674" i="6" s="1"/>
  <c r="I691" i="6"/>
  <c r="H691" i="6"/>
  <c r="G689" i="6"/>
  <c r="G688" i="6" s="1"/>
  <c r="D689" i="6"/>
  <c r="I688" i="6"/>
  <c r="I674" i="6" s="1"/>
  <c r="H688" i="6"/>
  <c r="F688" i="6"/>
  <c r="E688" i="6"/>
  <c r="D688" i="6"/>
  <c r="C688" i="6"/>
  <c r="D687" i="6"/>
  <c r="D682" i="6" s="1"/>
  <c r="D686" i="6"/>
  <c r="I682" i="6"/>
  <c r="H682" i="6"/>
  <c r="G682" i="6"/>
  <c r="F682" i="6"/>
  <c r="E682" i="6"/>
  <c r="C682" i="6"/>
  <c r="G680" i="6"/>
  <c r="G679" i="6" s="1"/>
  <c r="I679" i="6"/>
  <c r="H679" i="6"/>
  <c r="F679" i="6"/>
  <c r="E679" i="6"/>
  <c r="D679" i="6"/>
  <c r="C679" i="6"/>
  <c r="G676" i="6"/>
  <c r="D676" i="6"/>
  <c r="I675" i="6"/>
  <c r="H675" i="6"/>
  <c r="G675" i="6"/>
  <c r="F675" i="6"/>
  <c r="E675" i="6"/>
  <c r="E674" i="6" s="1"/>
  <c r="D675" i="6"/>
  <c r="C675" i="6"/>
  <c r="G672" i="6"/>
  <c r="D672" i="6"/>
  <c r="D669" i="6"/>
  <c r="I668" i="6"/>
  <c r="H668" i="6"/>
  <c r="H667" i="6" s="1"/>
  <c r="G668" i="6"/>
  <c r="F668" i="6"/>
  <c r="F667" i="6" s="1"/>
  <c r="E668" i="6"/>
  <c r="D668" i="6"/>
  <c r="C668" i="6"/>
  <c r="I667" i="6"/>
  <c r="G667" i="6"/>
  <c r="E667" i="6"/>
  <c r="D667" i="6"/>
  <c r="C667" i="6"/>
  <c r="D665" i="6"/>
  <c r="G664" i="6"/>
  <c r="I663" i="6"/>
  <c r="H663" i="6"/>
  <c r="G663" i="6"/>
  <c r="F663" i="6"/>
  <c r="E663" i="6"/>
  <c r="D663" i="6"/>
  <c r="C663" i="6"/>
  <c r="D662" i="6"/>
  <c r="F660" i="6"/>
  <c r="F659" i="6" s="1"/>
  <c r="E660" i="6"/>
  <c r="E659" i="6" s="1"/>
  <c r="D660" i="6"/>
  <c r="D659" i="6" s="1"/>
  <c r="I659" i="6"/>
  <c r="H659" i="6"/>
  <c r="G659" i="6"/>
  <c r="C659" i="6"/>
  <c r="D656" i="6"/>
  <c r="D655" i="6" s="1"/>
  <c r="I655" i="6"/>
  <c r="H655" i="6"/>
  <c r="G655" i="6"/>
  <c r="F655" i="6"/>
  <c r="E655" i="6"/>
  <c r="C655" i="6"/>
  <c r="D653" i="6"/>
  <c r="D649" i="6" s="1"/>
  <c r="G652" i="6"/>
  <c r="G651" i="6" s="1"/>
  <c r="D652" i="6"/>
  <c r="D651" i="6" s="1"/>
  <c r="I651" i="6"/>
  <c r="H651" i="6"/>
  <c r="F651" i="6"/>
  <c r="E651" i="6"/>
  <c r="C651" i="6"/>
  <c r="I650" i="6"/>
  <c r="H650" i="6"/>
  <c r="G650" i="6"/>
  <c r="F650" i="6"/>
  <c r="E650" i="6"/>
  <c r="D650" i="6"/>
  <c r="C650" i="6"/>
  <c r="I649" i="6"/>
  <c r="I646" i="6" s="1"/>
  <c r="H649" i="6"/>
  <c r="H646" i="6" s="1"/>
  <c r="G649" i="6"/>
  <c r="F649" i="6"/>
  <c r="E649" i="6"/>
  <c r="C649" i="6"/>
  <c r="C646" i="6" s="1"/>
  <c r="I648" i="6"/>
  <c r="H648" i="6"/>
  <c r="F648" i="6"/>
  <c r="F646" i="6" s="1"/>
  <c r="C648" i="6"/>
  <c r="D647" i="6"/>
  <c r="G643" i="6"/>
  <c r="G642" i="6" s="1"/>
  <c r="D643" i="6"/>
  <c r="D642" i="6" s="1"/>
  <c r="I642" i="6"/>
  <c r="H642" i="6"/>
  <c r="F642" i="6"/>
  <c r="E642" i="6"/>
  <c r="C642" i="6"/>
  <c r="G639" i="6"/>
  <c r="G638" i="6" s="1"/>
  <c r="D639" i="6"/>
  <c r="D631" i="6" s="1"/>
  <c r="D630" i="6" s="1"/>
  <c r="C639" i="6"/>
  <c r="C631" i="6" s="1"/>
  <c r="C630" i="6" s="1"/>
  <c r="I638" i="6"/>
  <c r="H638" i="6"/>
  <c r="F638" i="6"/>
  <c r="E638" i="6"/>
  <c r="G635" i="6"/>
  <c r="I634" i="6"/>
  <c r="H634" i="6"/>
  <c r="G634" i="6"/>
  <c r="F634" i="6"/>
  <c r="E634" i="6"/>
  <c r="D634" i="6"/>
  <c r="C634" i="6"/>
  <c r="I633" i="6"/>
  <c r="H633" i="6"/>
  <c r="G633" i="6"/>
  <c r="F633" i="6"/>
  <c r="E633" i="6"/>
  <c r="D633" i="6"/>
  <c r="C633" i="6"/>
  <c r="I632" i="6"/>
  <c r="H632" i="6"/>
  <c r="G632" i="6"/>
  <c r="F632" i="6"/>
  <c r="E632" i="6"/>
  <c r="D632" i="6"/>
  <c r="C632" i="6"/>
  <c r="I631" i="6"/>
  <c r="I630" i="6" s="1"/>
  <c r="I629" i="6" s="1"/>
  <c r="H631" i="6"/>
  <c r="H630" i="6" s="1"/>
  <c r="G631" i="6"/>
  <c r="G630" i="6" s="1"/>
  <c r="F631" i="6"/>
  <c r="F630" i="6" s="1"/>
  <c r="E631" i="6"/>
  <c r="E630" i="6"/>
  <c r="D626" i="6"/>
  <c r="I623" i="6"/>
  <c r="H623" i="6"/>
  <c r="G623" i="6"/>
  <c r="F623" i="6"/>
  <c r="E623" i="6"/>
  <c r="D623" i="6"/>
  <c r="D20" i="6" s="1"/>
  <c r="C623" i="6"/>
  <c r="I619" i="6"/>
  <c r="H619" i="6"/>
  <c r="G619" i="6"/>
  <c r="F619" i="6"/>
  <c r="E619" i="6"/>
  <c r="D619" i="6"/>
  <c r="C619" i="6"/>
  <c r="I612" i="6"/>
  <c r="H612" i="6"/>
  <c r="G612" i="6"/>
  <c r="G610" i="6" s="1"/>
  <c r="G18" i="6" s="1"/>
  <c r="F612" i="6"/>
  <c r="E612" i="6"/>
  <c r="E610" i="6" s="1"/>
  <c r="E18" i="6" s="1"/>
  <c r="D612" i="6"/>
  <c r="D610" i="6" s="1"/>
  <c r="D18" i="6" s="1"/>
  <c r="C612" i="6"/>
  <c r="C610" i="6" s="1"/>
  <c r="C18" i="6" s="1"/>
  <c r="I610" i="6"/>
  <c r="I18" i="6" s="1"/>
  <c r="H610" i="6"/>
  <c r="F610" i="6"/>
  <c r="I608" i="6"/>
  <c r="H608" i="6"/>
  <c r="G608" i="6"/>
  <c r="D608" i="6"/>
  <c r="I605" i="6"/>
  <c r="H605" i="6"/>
  <c r="G605" i="6"/>
  <c r="I604" i="6"/>
  <c r="I603" i="6" s="1"/>
  <c r="I17" i="6" s="1"/>
  <c r="H604" i="6"/>
  <c r="H603" i="6" s="1"/>
  <c r="H17" i="6" s="1"/>
  <c r="G604" i="6"/>
  <c r="G603" i="6" s="1"/>
  <c r="G17" i="6" s="1"/>
  <c r="F603" i="6"/>
  <c r="E603" i="6"/>
  <c r="D603" i="6"/>
  <c r="C603" i="6"/>
  <c r="I600" i="6"/>
  <c r="H600" i="6"/>
  <c r="G600" i="6"/>
  <c r="F600" i="6"/>
  <c r="E600" i="6"/>
  <c r="D600" i="6"/>
  <c r="C600" i="6"/>
  <c r="G597" i="6"/>
  <c r="F597" i="6"/>
  <c r="E597" i="6"/>
  <c r="D597" i="6"/>
  <c r="C597" i="6"/>
  <c r="G595" i="6"/>
  <c r="F595" i="6"/>
  <c r="E595" i="6"/>
  <c r="D595" i="6"/>
  <c r="C595" i="6"/>
  <c r="I594" i="6"/>
  <c r="H594" i="6"/>
  <c r="I590" i="6"/>
  <c r="H590" i="6"/>
  <c r="G590" i="6"/>
  <c r="F590" i="6"/>
  <c r="E590" i="6"/>
  <c r="E577" i="6" s="1"/>
  <c r="D590" i="6"/>
  <c r="C590" i="6"/>
  <c r="I588" i="6"/>
  <c r="H588" i="6"/>
  <c r="G586" i="6"/>
  <c r="F586" i="6"/>
  <c r="E586" i="6"/>
  <c r="D586" i="6"/>
  <c r="D577" i="6" s="1"/>
  <c r="C586" i="6"/>
  <c r="G584" i="6"/>
  <c r="F584" i="6"/>
  <c r="E584" i="6"/>
  <c r="D584" i="6"/>
  <c r="C584" i="6"/>
  <c r="I578" i="6"/>
  <c r="I577" i="6" s="1"/>
  <c r="H578" i="6"/>
  <c r="H577" i="6" s="1"/>
  <c r="G578" i="6"/>
  <c r="G577" i="6" s="1"/>
  <c r="F578" i="6"/>
  <c r="F577" i="6" s="1"/>
  <c r="E578" i="6"/>
  <c r="D578" i="6"/>
  <c r="C578" i="6"/>
  <c r="C577" i="6" s="1"/>
  <c r="I575" i="6"/>
  <c r="H575" i="6"/>
  <c r="G575" i="6"/>
  <c r="F575" i="6"/>
  <c r="E575" i="6"/>
  <c r="D575" i="6"/>
  <c r="C575" i="6"/>
  <c r="I573" i="6"/>
  <c r="H573" i="6"/>
  <c r="G573" i="6"/>
  <c r="F573" i="6"/>
  <c r="E573" i="6"/>
  <c r="D573" i="6"/>
  <c r="C573" i="6"/>
  <c r="I566" i="6"/>
  <c r="H566" i="6"/>
  <c r="G566" i="6"/>
  <c r="F566" i="6"/>
  <c r="E566" i="6"/>
  <c r="D566" i="6"/>
  <c r="D533" i="6" s="1"/>
  <c r="C566" i="6"/>
  <c r="I556" i="6"/>
  <c r="H556" i="6"/>
  <c r="G556" i="6"/>
  <c r="F556" i="6"/>
  <c r="E556" i="6"/>
  <c r="E533" i="6" s="1"/>
  <c r="D556" i="6"/>
  <c r="C556" i="6"/>
  <c r="C533" i="6" s="1"/>
  <c r="G539" i="6"/>
  <c r="F539" i="6"/>
  <c r="E539" i="6"/>
  <c r="D539" i="6"/>
  <c r="C539" i="6"/>
  <c r="I538" i="6"/>
  <c r="I532" i="6" s="1"/>
  <c r="H538" i="6"/>
  <c r="H532" i="6" s="1"/>
  <c r="G534" i="6"/>
  <c r="G533" i="6" s="1"/>
  <c r="F534" i="6"/>
  <c r="F533" i="6" s="1"/>
  <c r="E534" i="6"/>
  <c r="D534" i="6"/>
  <c r="C534" i="6"/>
  <c r="I533" i="6"/>
  <c r="H533" i="6"/>
  <c r="G531" i="6"/>
  <c r="F531" i="6"/>
  <c r="F521" i="6" s="1"/>
  <c r="E531" i="6"/>
  <c r="D531" i="6"/>
  <c r="C531" i="6"/>
  <c r="I530" i="6"/>
  <c r="H530" i="6"/>
  <c r="G528" i="6"/>
  <c r="F528" i="6"/>
  <c r="E528" i="6"/>
  <c r="D528" i="6"/>
  <c r="C528" i="6"/>
  <c r="I527" i="6"/>
  <c r="H527" i="6"/>
  <c r="G526" i="6"/>
  <c r="F526" i="6"/>
  <c r="E526" i="6"/>
  <c r="E521" i="6" s="1"/>
  <c r="D526" i="6"/>
  <c r="C526" i="6"/>
  <c r="I525" i="6"/>
  <c r="H525" i="6"/>
  <c r="G524" i="6"/>
  <c r="F524" i="6"/>
  <c r="E524" i="6"/>
  <c r="D524" i="6"/>
  <c r="D521" i="6" s="1"/>
  <c r="C524" i="6"/>
  <c r="I523" i="6"/>
  <c r="H523" i="6"/>
  <c r="G522" i="6"/>
  <c r="F522" i="6"/>
  <c r="E522" i="6"/>
  <c r="D522" i="6"/>
  <c r="C522" i="6"/>
  <c r="C521" i="6" s="1"/>
  <c r="I521" i="6"/>
  <c r="I520" i="6" s="1"/>
  <c r="H521" i="6"/>
  <c r="H520" i="6" s="1"/>
  <c r="G521" i="6"/>
  <c r="G517" i="6"/>
  <c r="G516" i="6" s="1"/>
  <c r="F517" i="6"/>
  <c r="E517" i="6"/>
  <c r="D517" i="6"/>
  <c r="C517" i="6"/>
  <c r="I516" i="6"/>
  <c r="H516" i="6"/>
  <c r="H515" i="6" s="1"/>
  <c r="F516" i="6"/>
  <c r="E516" i="6"/>
  <c r="D516" i="6"/>
  <c r="C516" i="6"/>
  <c r="I515" i="6"/>
  <c r="G511" i="6"/>
  <c r="F511" i="6"/>
  <c r="E511" i="6"/>
  <c r="D511" i="6"/>
  <c r="C511" i="6"/>
  <c r="I510" i="6"/>
  <c r="H510" i="6"/>
  <c r="G509" i="6"/>
  <c r="F509" i="6"/>
  <c r="E509" i="6"/>
  <c r="D509" i="6"/>
  <c r="C509" i="6"/>
  <c r="I508" i="6"/>
  <c r="H508" i="6"/>
  <c r="I504" i="6"/>
  <c r="I503" i="6" s="1"/>
  <c r="H504" i="6"/>
  <c r="G504" i="6"/>
  <c r="G503" i="6" s="1"/>
  <c r="F504" i="6"/>
  <c r="E504" i="6"/>
  <c r="E503" i="6" s="1"/>
  <c r="D504" i="6"/>
  <c r="C504" i="6"/>
  <c r="H503" i="6"/>
  <c r="F503" i="6"/>
  <c r="D503" i="6"/>
  <c r="C503" i="6"/>
  <c r="I497" i="6"/>
  <c r="H497" i="6"/>
  <c r="G497" i="6"/>
  <c r="F497" i="6"/>
  <c r="E497" i="6"/>
  <c r="D497" i="6"/>
  <c r="C497" i="6"/>
  <c r="I494" i="6"/>
  <c r="H494" i="6"/>
  <c r="G494" i="6"/>
  <c r="F494" i="6"/>
  <c r="E494" i="6"/>
  <c r="D494" i="6"/>
  <c r="C494" i="6"/>
  <c r="I492" i="6"/>
  <c r="I491" i="6" s="1"/>
  <c r="H492" i="6"/>
  <c r="H491" i="6" s="1"/>
  <c r="G492" i="6"/>
  <c r="G491" i="6" s="1"/>
  <c r="F492" i="6"/>
  <c r="E492" i="6"/>
  <c r="E491" i="6" s="1"/>
  <c r="D492" i="6"/>
  <c r="D491" i="6" s="1"/>
  <c r="C492" i="6"/>
  <c r="C491" i="6" s="1"/>
  <c r="F491" i="6"/>
  <c r="I488" i="6"/>
  <c r="I461" i="6" s="1"/>
  <c r="H488" i="6"/>
  <c r="G488" i="6"/>
  <c r="F488" i="6"/>
  <c r="E488" i="6"/>
  <c r="D488" i="6"/>
  <c r="C488" i="6"/>
  <c r="I486" i="6"/>
  <c r="H486" i="6"/>
  <c r="G486" i="6"/>
  <c r="F486" i="6"/>
  <c r="F461" i="6" s="1"/>
  <c r="E486" i="6"/>
  <c r="D486" i="6"/>
  <c r="C486" i="6"/>
  <c r="I473" i="6"/>
  <c r="H473" i="6"/>
  <c r="G473" i="6"/>
  <c r="G461" i="6" s="1"/>
  <c r="F473" i="6"/>
  <c r="E473" i="6"/>
  <c r="E461" i="6" s="1"/>
  <c r="D473" i="6"/>
  <c r="C473" i="6"/>
  <c r="I462" i="6"/>
  <c r="H462" i="6"/>
  <c r="G462" i="6"/>
  <c r="F462" i="6"/>
  <c r="E462" i="6"/>
  <c r="D462" i="6"/>
  <c r="D461" i="6" s="1"/>
  <c r="C462" i="6"/>
  <c r="H461" i="6"/>
  <c r="C461" i="6"/>
  <c r="I457" i="6"/>
  <c r="H457" i="6"/>
  <c r="G457" i="6"/>
  <c r="F457" i="6"/>
  <c r="E457" i="6"/>
  <c r="D457" i="6"/>
  <c r="C457" i="6"/>
  <c r="G422" i="6"/>
  <c r="F422" i="6"/>
  <c r="E422" i="6"/>
  <c r="D422" i="6"/>
  <c r="C422" i="6"/>
  <c r="I421" i="6"/>
  <c r="I394" i="6" s="1"/>
  <c r="H421" i="6"/>
  <c r="I395" i="6"/>
  <c r="H395" i="6"/>
  <c r="H394" i="6" s="1"/>
  <c r="G395" i="6"/>
  <c r="G394" i="6" s="1"/>
  <c r="F395" i="6"/>
  <c r="E395" i="6"/>
  <c r="D395" i="6"/>
  <c r="C395" i="6"/>
  <c r="F394" i="6"/>
  <c r="E394" i="6"/>
  <c r="D394" i="6"/>
  <c r="C394" i="6"/>
  <c r="I386" i="6"/>
  <c r="H386" i="6"/>
  <c r="H381" i="6" s="1"/>
  <c r="H380" i="6" s="1"/>
  <c r="H15" i="6" s="1"/>
  <c r="G386" i="6"/>
  <c r="F386" i="6"/>
  <c r="F381" i="6" s="1"/>
  <c r="E386" i="6"/>
  <c r="D386" i="6"/>
  <c r="C386" i="6"/>
  <c r="I382" i="6"/>
  <c r="H382" i="6"/>
  <c r="G382" i="6"/>
  <c r="F382" i="6"/>
  <c r="E382" i="6"/>
  <c r="E381" i="6" s="1"/>
  <c r="D382" i="6"/>
  <c r="C382" i="6"/>
  <c r="I381" i="6"/>
  <c r="G381" i="6"/>
  <c r="G380" i="6" s="1"/>
  <c r="G15" i="6" s="1"/>
  <c r="D381" i="6"/>
  <c r="D380" i="6" s="1"/>
  <c r="D15" i="6" s="1"/>
  <c r="C381" i="6"/>
  <c r="C380" i="6" s="1"/>
  <c r="C15" i="6" s="1"/>
  <c r="I378" i="6"/>
  <c r="H378" i="6"/>
  <c r="G378" i="6"/>
  <c r="F378" i="6"/>
  <c r="E378" i="6"/>
  <c r="D378" i="6"/>
  <c r="C378" i="6"/>
  <c r="I375" i="6"/>
  <c r="H375" i="6"/>
  <c r="G375" i="6"/>
  <c r="F375" i="6"/>
  <c r="E375" i="6"/>
  <c r="D375" i="6"/>
  <c r="C375" i="6"/>
  <c r="I373" i="6"/>
  <c r="H373" i="6"/>
  <c r="G373" i="6"/>
  <c r="F373" i="6"/>
  <c r="E373" i="6"/>
  <c r="D373" i="6"/>
  <c r="C373" i="6"/>
  <c r="C370" i="6"/>
  <c r="C365" i="6" s="1"/>
  <c r="I365" i="6"/>
  <c r="H365" i="6"/>
  <c r="G365" i="6"/>
  <c r="F365" i="6"/>
  <c r="E365" i="6"/>
  <c r="D365" i="6"/>
  <c r="H353" i="6"/>
  <c r="G353" i="6"/>
  <c r="F353" i="6"/>
  <c r="F346" i="6" s="1"/>
  <c r="F317" i="6" s="1"/>
  <c r="E353" i="6"/>
  <c r="D353" i="6"/>
  <c r="C353" i="6"/>
  <c r="I346" i="6"/>
  <c r="H346" i="6"/>
  <c r="G346" i="6"/>
  <c r="E346" i="6"/>
  <c r="D346" i="6"/>
  <c r="C346" i="6"/>
  <c r="I339" i="6"/>
  <c r="H339" i="6"/>
  <c r="G339" i="6"/>
  <c r="F339" i="6"/>
  <c r="E339" i="6"/>
  <c r="D339" i="6"/>
  <c r="D317" i="6" s="1"/>
  <c r="C339" i="6"/>
  <c r="I334" i="6"/>
  <c r="H334" i="6"/>
  <c r="G334" i="6"/>
  <c r="F334" i="6"/>
  <c r="E334" i="6"/>
  <c r="E317" i="6" s="1"/>
  <c r="D334" i="6"/>
  <c r="C334" i="6"/>
  <c r="I331" i="6"/>
  <c r="H331" i="6"/>
  <c r="G331" i="6"/>
  <c r="F331" i="6"/>
  <c r="E331" i="6"/>
  <c r="D331" i="6"/>
  <c r="C331" i="6"/>
  <c r="I323" i="6"/>
  <c r="H323" i="6"/>
  <c r="G323" i="6"/>
  <c r="F323" i="6"/>
  <c r="E323" i="6"/>
  <c r="D323" i="6"/>
  <c r="C323" i="6"/>
  <c r="I318" i="6"/>
  <c r="I317" i="6" s="1"/>
  <c r="H318" i="6"/>
  <c r="H317" i="6" s="1"/>
  <c r="G318" i="6"/>
  <c r="G317" i="6" s="1"/>
  <c r="F318" i="6"/>
  <c r="E318" i="6"/>
  <c r="D318" i="6"/>
  <c r="C318" i="6"/>
  <c r="I308" i="6"/>
  <c r="I307" i="6" s="1"/>
  <c r="H308" i="6"/>
  <c r="H307" i="6" s="1"/>
  <c r="G308" i="6"/>
  <c r="G307" i="6" s="1"/>
  <c r="F308" i="6"/>
  <c r="F307" i="6" s="1"/>
  <c r="E308" i="6"/>
  <c r="E307" i="6" s="1"/>
  <c r="D308" i="6"/>
  <c r="D307" i="6" s="1"/>
  <c r="C308" i="6"/>
  <c r="C307" i="6"/>
  <c r="I302" i="6"/>
  <c r="H302" i="6"/>
  <c r="G302" i="6"/>
  <c r="F302" i="6"/>
  <c r="E302" i="6"/>
  <c r="D302" i="6"/>
  <c r="C302" i="6"/>
  <c r="H293" i="6"/>
  <c r="H292" i="6" s="1"/>
  <c r="H277" i="6" s="1"/>
  <c r="G293" i="6"/>
  <c r="F293" i="6"/>
  <c r="E293" i="6"/>
  <c r="D293" i="6"/>
  <c r="C293" i="6"/>
  <c r="I292" i="6"/>
  <c r="G292" i="6"/>
  <c r="F292" i="6"/>
  <c r="E292" i="6"/>
  <c r="D292" i="6"/>
  <c r="C292" i="6"/>
  <c r="C288" i="6"/>
  <c r="C281" i="6"/>
  <c r="C279" i="6" s="1"/>
  <c r="I279" i="6"/>
  <c r="H279" i="6"/>
  <c r="G279" i="6"/>
  <c r="F279" i="6"/>
  <c r="E279" i="6"/>
  <c r="D279" i="6"/>
  <c r="I278" i="6"/>
  <c r="I277" i="6" s="1"/>
  <c r="H278" i="6"/>
  <c r="G278" i="6"/>
  <c r="F278" i="6"/>
  <c r="F277" i="6" s="1"/>
  <c r="E278" i="6"/>
  <c r="E277" i="6" s="1"/>
  <c r="D278" i="6"/>
  <c r="D277" i="6" s="1"/>
  <c r="G277" i="6"/>
  <c r="I274" i="6"/>
  <c r="H274" i="6"/>
  <c r="G274" i="6"/>
  <c r="F274" i="6"/>
  <c r="E274" i="6"/>
  <c r="D274" i="6"/>
  <c r="C274" i="6"/>
  <c r="I268" i="6"/>
  <c r="H268" i="6"/>
  <c r="H263" i="6" s="1"/>
  <c r="H262" i="6" s="1"/>
  <c r="G268" i="6"/>
  <c r="F268" i="6"/>
  <c r="F263" i="6" s="1"/>
  <c r="F262" i="6" s="1"/>
  <c r="E268" i="6"/>
  <c r="D268" i="6"/>
  <c r="C268" i="6"/>
  <c r="I264" i="6"/>
  <c r="H264" i="6"/>
  <c r="G264" i="6"/>
  <c r="G263" i="6" s="1"/>
  <c r="F264" i="6"/>
  <c r="E264" i="6"/>
  <c r="E263" i="6" s="1"/>
  <c r="D264" i="6"/>
  <c r="C264" i="6"/>
  <c r="I263" i="6"/>
  <c r="D263" i="6"/>
  <c r="C263" i="6"/>
  <c r="I256" i="6"/>
  <c r="I252" i="6" s="1"/>
  <c r="I9" i="6" s="1"/>
  <c r="H256" i="6"/>
  <c r="G256" i="6"/>
  <c r="F256" i="6"/>
  <c r="E256" i="6"/>
  <c r="D256" i="6"/>
  <c r="C256" i="6"/>
  <c r="D255" i="6"/>
  <c r="C255" i="6"/>
  <c r="I254" i="6"/>
  <c r="H254" i="6"/>
  <c r="H252" i="6" s="1"/>
  <c r="H9" i="6" s="1"/>
  <c r="G254" i="6"/>
  <c r="F254" i="6"/>
  <c r="D254" i="6"/>
  <c r="C254" i="6"/>
  <c r="G253" i="6"/>
  <c r="D253" i="6"/>
  <c r="D252" i="6" s="1"/>
  <c r="D9" i="6" s="1"/>
  <c r="C253" i="6"/>
  <c r="C252" i="6" s="1"/>
  <c r="C9" i="6" s="1"/>
  <c r="G252" i="6"/>
  <c r="F252" i="6"/>
  <c r="E252" i="6"/>
  <c r="I243" i="6"/>
  <c r="H243" i="6"/>
  <c r="G243" i="6"/>
  <c r="F243" i="6"/>
  <c r="E243" i="6"/>
  <c r="D243" i="6"/>
  <c r="C243" i="6"/>
  <c r="D235" i="6"/>
  <c r="I234" i="6"/>
  <c r="H234" i="6"/>
  <c r="G234" i="6"/>
  <c r="F234" i="6"/>
  <c r="E234" i="6"/>
  <c r="D234" i="6"/>
  <c r="C234" i="6"/>
  <c r="I231" i="6"/>
  <c r="H231" i="6"/>
  <c r="G231" i="6"/>
  <c r="F231" i="6"/>
  <c r="E231" i="6"/>
  <c r="D231" i="6"/>
  <c r="C231" i="6"/>
  <c r="I228" i="6"/>
  <c r="H228" i="6"/>
  <c r="G228" i="6"/>
  <c r="F228" i="6"/>
  <c r="E228" i="6"/>
  <c r="D228" i="6"/>
  <c r="C228" i="6"/>
  <c r="D225" i="6"/>
  <c r="D224" i="6"/>
  <c r="D223" i="6"/>
  <c r="D222" i="6"/>
  <c r="D220" i="6"/>
  <c r="D218" i="6" s="1"/>
  <c r="I218" i="6"/>
  <c r="H218" i="6"/>
  <c r="G218" i="6"/>
  <c r="F218" i="6"/>
  <c r="E218" i="6"/>
  <c r="C218" i="6"/>
  <c r="I209" i="6"/>
  <c r="H209" i="6"/>
  <c r="G209" i="6"/>
  <c r="F209" i="6"/>
  <c r="E209" i="6"/>
  <c r="D209" i="6"/>
  <c r="C209" i="6"/>
  <c r="D205" i="6"/>
  <c r="D202" i="6" s="1"/>
  <c r="D194" i="6" s="1"/>
  <c r="D7" i="6" s="1"/>
  <c r="I202" i="6"/>
  <c r="H202" i="6"/>
  <c r="G202" i="6"/>
  <c r="F202" i="6"/>
  <c r="E202" i="6"/>
  <c r="C202" i="6"/>
  <c r="I200" i="6"/>
  <c r="I194" i="6" s="1"/>
  <c r="I7" i="6" s="1"/>
  <c r="H200" i="6"/>
  <c r="G200" i="6"/>
  <c r="F200" i="6"/>
  <c r="E200" i="6"/>
  <c r="D200" i="6"/>
  <c r="C200" i="6"/>
  <c r="I199" i="6"/>
  <c r="H199" i="6"/>
  <c r="H194" i="6" s="1"/>
  <c r="H7" i="6" s="1"/>
  <c r="G199" i="6"/>
  <c r="G194" i="6" s="1"/>
  <c r="G7" i="6" s="1"/>
  <c r="F199" i="6"/>
  <c r="D199" i="6"/>
  <c r="C199" i="6"/>
  <c r="I195" i="6"/>
  <c r="H195" i="6"/>
  <c r="G195" i="6"/>
  <c r="F195" i="6"/>
  <c r="F194" i="6" s="1"/>
  <c r="F7" i="6" s="1"/>
  <c r="E195" i="6"/>
  <c r="D195" i="6"/>
  <c r="C195" i="6"/>
  <c r="E194" i="6"/>
  <c r="C194" i="6"/>
  <c r="C7" i="6" s="1"/>
  <c r="D189" i="6"/>
  <c r="D188" i="6"/>
  <c r="D186" i="6"/>
  <c r="H181" i="6"/>
  <c r="G181" i="6"/>
  <c r="F181" i="6"/>
  <c r="F167" i="6" s="1"/>
  <c r="F6" i="6" s="1"/>
  <c r="E181" i="6"/>
  <c r="D181" i="6"/>
  <c r="C181" i="6"/>
  <c r="I179" i="6"/>
  <c r="H179" i="6"/>
  <c r="G179" i="6"/>
  <c r="F179" i="6"/>
  <c r="E179" i="6"/>
  <c r="E167" i="6" s="1"/>
  <c r="E6" i="6" s="1"/>
  <c r="D179" i="6"/>
  <c r="C179" i="6"/>
  <c r="C167" i="6" s="1"/>
  <c r="C6" i="6" s="1"/>
  <c r="I170" i="6"/>
  <c r="H170" i="6"/>
  <c r="G170" i="6"/>
  <c r="F170" i="6"/>
  <c r="E170" i="6"/>
  <c r="D170" i="6"/>
  <c r="D167" i="6" s="1"/>
  <c r="D6" i="6" s="1"/>
  <c r="C170" i="6"/>
  <c r="I167" i="6"/>
  <c r="H167" i="6"/>
  <c r="G167" i="6"/>
  <c r="G165" i="6"/>
  <c r="G147" i="6" s="1"/>
  <c r="G68" i="6" s="1"/>
  <c r="G5" i="6" s="1"/>
  <c r="D164" i="6"/>
  <c r="D147" i="6" s="1"/>
  <c r="D154" i="6"/>
  <c r="I147" i="6"/>
  <c r="H147" i="6"/>
  <c r="F147" i="6"/>
  <c r="E147" i="6"/>
  <c r="C147" i="6"/>
  <c r="D139" i="6"/>
  <c r="D134" i="6"/>
  <c r="I129" i="6"/>
  <c r="H129" i="6"/>
  <c r="G129" i="6"/>
  <c r="F129" i="6"/>
  <c r="E129" i="6"/>
  <c r="D129" i="6"/>
  <c r="C129" i="6"/>
  <c r="G128" i="6"/>
  <c r="F128" i="6"/>
  <c r="E128" i="6"/>
  <c r="D121" i="6"/>
  <c r="D119" i="6"/>
  <c r="D115" i="6"/>
  <c r="D113" i="6" s="1"/>
  <c r="D68" i="6" s="1"/>
  <c r="D5" i="6" s="1"/>
  <c r="I113" i="6"/>
  <c r="H113" i="6"/>
  <c r="G113" i="6"/>
  <c r="F113" i="6"/>
  <c r="E113" i="6"/>
  <c r="C113" i="6"/>
  <c r="E109" i="6"/>
  <c r="E104" i="6"/>
  <c r="E98" i="6" s="1"/>
  <c r="E68" i="6" s="1"/>
  <c r="E5" i="6" s="1"/>
  <c r="I98" i="6"/>
  <c r="H98" i="6"/>
  <c r="G98" i="6"/>
  <c r="F98" i="6"/>
  <c r="D98" i="6"/>
  <c r="C98" i="6"/>
  <c r="D93" i="6"/>
  <c r="I84" i="6"/>
  <c r="H84" i="6"/>
  <c r="G84" i="6"/>
  <c r="F84" i="6"/>
  <c r="E84" i="6"/>
  <c r="D84" i="6"/>
  <c r="C84" i="6"/>
  <c r="C68" i="6" s="1"/>
  <c r="C5" i="6" s="1"/>
  <c r="F82" i="6"/>
  <c r="D82" i="6"/>
  <c r="C82" i="6"/>
  <c r="I69" i="6"/>
  <c r="H69" i="6"/>
  <c r="G69" i="6"/>
  <c r="F69" i="6"/>
  <c r="F68" i="6" s="1"/>
  <c r="F5" i="6" s="1"/>
  <c r="E69" i="6"/>
  <c r="D69" i="6"/>
  <c r="C69" i="6"/>
  <c r="I68" i="6"/>
  <c r="H68" i="6"/>
  <c r="D62" i="6"/>
  <c r="E60" i="6"/>
  <c r="J54" i="6"/>
  <c r="I54" i="6"/>
  <c r="H54" i="6"/>
  <c r="G54" i="6"/>
  <c r="F54" i="6"/>
  <c r="E54" i="6"/>
  <c r="D54" i="6"/>
  <c r="C54" i="6"/>
  <c r="J45" i="6"/>
  <c r="I45" i="6"/>
  <c r="I33" i="6" s="1"/>
  <c r="H45" i="6"/>
  <c r="G45" i="6"/>
  <c r="F45" i="6"/>
  <c r="F33" i="6" s="1"/>
  <c r="E45" i="6"/>
  <c r="E33" i="6" s="1"/>
  <c r="D45" i="6"/>
  <c r="C45" i="6"/>
  <c r="D43" i="6"/>
  <c r="G40" i="6"/>
  <c r="D39" i="6"/>
  <c r="D38" i="6"/>
  <c r="D33" i="6" s="1"/>
  <c r="C38" i="6"/>
  <c r="G37" i="6"/>
  <c r="G36" i="6"/>
  <c r="G35" i="6"/>
  <c r="G34" i="6"/>
  <c r="J33" i="6"/>
  <c r="H33" i="6"/>
  <c r="H250" i="6" s="1"/>
  <c r="G33" i="6"/>
  <c r="G250" i="6" s="1"/>
  <c r="C33" i="6"/>
  <c r="C250" i="6" s="1"/>
  <c r="J31" i="6"/>
  <c r="E31" i="6"/>
  <c r="J30" i="6"/>
  <c r="J29" i="6"/>
  <c r="D29" i="6"/>
  <c r="J28" i="6"/>
  <c r="I28" i="6"/>
  <c r="H28" i="6"/>
  <c r="J27" i="6"/>
  <c r="I27" i="6"/>
  <c r="D27" i="6"/>
  <c r="J26" i="6"/>
  <c r="H26" i="6"/>
  <c r="J25" i="6"/>
  <c r="J24" i="6"/>
  <c r="I24" i="6"/>
  <c r="H24" i="6"/>
  <c r="F24" i="6"/>
  <c r="J23" i="6"/>
  <c r="G23" i="6"/>
  <c r="F23" i="6"/>
  <c r="E23" i="6"/>
  <c r="D23" i="6"/>
  <c r="C23" i="6"/>
  <c r="J22" i="6"/>
  <c r="I22" i="6"/>
  <c r="H22" i="6"/>
  <c r="E22" i="6"/>
  <c r="D22" i="6"/>
  <c r="J21" i="6"/>
  <c r="J20" i="6"/>
  <c r="I20" i="6"/>
  <c r="H20" i="6"/>
  <c r="G20" i="6"/>
  <c r="F20" i="6"/>
  <c r="E20" i="6"/>
  <c r="C20" i="6"/>
  <c r="J19" i="6"/>
  <c r="I19" i="6"/>
  <c r="H19" i="6"/>
  <c r="G19" i="6"/>
  <c r="F19" i="6"/>
  <c r="E19" i="6"/>
  <c r="D19" i="6"/>
  <c r="C19" i="6"/>
  <c r="J18" i="6"/>
  <c r="H18" i="6"/>
  <c r="F18" i="6"/>
  <c r="J17" i="6"/>
  <c r="F17" i="6"/>
  <c r="E17" i="6"/>
  <c r="D17" i="6"/>
  <c r="C17" i="6"/>
  <c r="J16" i="6"/>
  <c r="I16" i="6"/>
  <c r="H16" i="6"/>
  <c r="G16" i="6"/>
  <c r="F16" i="6"/>
  <c r="E16" i="6"/>
  <c r="D16" i="6"/>
  <c r="C16" i="6"/>
  <c r="J15" i="6"/>
  <c r="J14" i="6"/>
  <c r="E12" i="6"/>
  <c r="J10" i="6"/>
  <c r="J9" i="6"/>
  <c r="G9" i="6"/>
  <c r="F9" i="6"/>
  <c r="E9" i="6"/>
  <c r="J8" i="6"/>
  <c r="J7" i="6"/>
  <c r="E7" i="6"/>
  <c r="J6" i="6"/>
  <c r="I6" i="6"/>
  <c r="H6" i="6"/>
  <c r="G6" i="6"/>
  <c r="J5" i="6"/>
  <c r="I5" i="6"/>
  <c r="H5" i="6"/>
  <c r="J4" i="6"/>
  <c r="H4" i="6"/>
  <c r="C4" i="6"/>
  <c r="G41" i="5"/>
  <c r="F41" i="5"/>
  <c r="E41" i="5"/>
  <c r="D39" i="5"/>
  <c r="D38" i="5"/>
  <c r="D37" i="5"/>
  <c r="D35" i="5"/>
  <c r="D34" i="5"/>
  <c r="D33" i="5"/>
  <c r="D32" i="5"/>
  <c r="D31" i="5"/>
  <c r="D30" i="5"/>
  <c r="D29" i="5"/>
  <c r="D28" i="5"/>
  <c r="D27" i="5"/>
  <c r="D26" i="5"/>
  <c r="D25" i="5"/>
  <c r="D24" i="5"/>
  <c r="D23" i="5"/>
  <c r="D22" i="5"/>
  <c r="D20" i="5"/>
  <c r="D18" i="5"/>
  <c r="D16" i="5"/>
  <c r="D15" i="5"/>
  <c r="D14" i="5"/>
  <c r="D13" i="5"/>
  <c r="D12" i="5"/>
  <c r="D11" i="5"/>
  <c r="D10" i="5"/>
  <c r="D9" i="5"/>
  <c r="D7" i="5"/>
  <c r="D41" i="5" s="1"/>
  <c r="I31" i="4"/>
  <c r="H31" i="4"/>
  <c r="G31" i="4"/>
  <c r="F31" i="4"/>
  <c r="E31" i="4"/>
  <c r="D31" i="4"/>
  <c r="C964" i="3"/>
  <c r="I963" i="3"/>
  <c r="H963" i="3"/>
  <c r="G963" i="3"/>
  <c r="F963" i="3"/>
  <c r="E963" i="3"/>
  <c r="D963" i="3"/>
  <c r="C963" i="3"/>
  <c r="C956" i="3"/>
  <c r="I953" i="3"/>
  <c r="H953" i="3"/>
  <c r="G953" i="3"/>
  <c r="F953" i="3"/>
  <c r="E953" i="3"/>
  <c r="D953" i="3"/>
  <c r="C953" i="3"/>
  <c r="E952" i="3"/>
  <c r="I951" i="3"/>
  <c r="I943" i="3" s="1"/>
  <c r="I968" i="3" s="1"/>
  <c r="H951" i="3"/>
  <c r="H943" i="3" s="1"/>
  <c r="H968" i="3" s="1"/>
  <c r="G951" i="3"/>
  <c r="F951" i="3"/>
  <c r="E951" i="3"/>
  <c r="D951" i="3"/>
  <c r="C945" i="3"/>
  <c r="G943" i="3"/>
  <c r="G968" i="3" s="1"/>
  <c r="F943" i="3"/>
  <c r="F968" i="3" s="1"/>
  <c r="E943" i="3"/>
  <c r="E968" i="3" s="1"/>
  <c r="D943" i="3"/>
  <c r="D968" i="3" s="1"/>
  <c r="C943" i="3"/>
  <c r="C940" i="3"/>
  <c r="C938" i="3"/>
  <c r="C933" i="3"/>
  <c r="C932" i="3" s="1"/>
  <c r="C924" i="3"/>
  <c r="C921" i="3"/>
  <c r="C920" i="3" s="1"/>
  <c r="C916" i="3"/>
  <c r="C911" i="3"/>
  <c r="C904" i="3"/>
  <c r="C897" i="3"/>
  <c r="C895" i="3"/>
  <c r="C893" i="3"/>
  <c r="C891" i="3"/>
  <c r="C888" i="3" s="1"/>
  <c r="C858" i="3" s="1"/>
  <c r="C876" i="3"/>
  <c r="C871" i="3"/>
  <c r="C859" i="3"/>
  <c r="C852" i="3"/>
  <c r="C839" i="3"/>
  <c r="C837" i="3"/>
  <c r="C833" i="3"/>
  <c r="C831" i="3" s="1"/>
  <c r="C825" i="3" s="1"/>
  <c r="C822" i="3" s="1"/>
  <c r="C826" i="3"/>
  <c r="C823" i="3"/>
  <c r="C817" i="3"/>
  <c r="C814" i="3"/>
  <c r="C811" i="3"/>
  <c r="C810" i="3" s="1"/>
  <c r="C806" i="3"/>
  <c r="C798" i="3"/>
  <c r="C794" i="3"/>
  <c r="C793" i="3" s="1"/>
  <c r="C792" i="3" s="1"/>
  <c r="C786" i="3"/>
  <c r="C780" i="3"/>
  <c r="C773" i="3"/>
  <c r="C765" i="3"/>
  <c r="C759" i="3"/>
  <c r="C758" i="3"/>
  <c r="C744" i="3"/>
  <c r="C743" i="3" s="1"/>
  <c r="C735" i="3"/>
  <c r="C733" i="3"/>
  <c r="C730" i="3"/>
  <c r="C727" i="3" s="1"/>
  <c r="C726" i="3" s="1"/>
  <c r="C723" i="3"/>
  <c r="C722" i="3"/>
  <c r="C721" i="3"/>
  <c r="C720" i="3" s="1"/>
  <c r="C719" i="3"/>
  <c r="C717" i="3" s="1"/>
  <c r="C706" i="3"/>
  <c r="C698" i="3" s="1"/>
  <c r="C696" i="3"/>
  <c r="C695" i="3" s="1"/>
  <c r="C694" i="3" s="1"/>
  <c r="C692" i="3"/>
  <c r="C688" i="3"/>
  <c r="C682" i="3" s="1"/>
  <c r="C681" i="3" s="1"/>
  <c r="C685" i="3"/>
  <c r="C678" i="3"/>
  <c r="C673" i="3"/>
  <c r="C671" i="3"/>
  <c r="C668" i="3"/>
  <c r="C662" i="3"/>
  <c r="C659" i="3"/>
  <c r="C655" i="3"/>
  <c r="C654" i="3" s="1"/>
  <c r="C648" i="3"/>
  <c r="C647" i="3" s="1"/>
  <c r="C643" i="3"/>
  <c r="C639" i="3"/>
  <c r="C636" i="3"/>
  <c r="C632" i="3"/>
  <c r="C631" i="3"/>
  <c r="C630" i="3"/>
  <c r="C629" i="3"/>
  <c r="C627" i="3" s="1"/>
  <c r="C623" i="3"/>
  <c r="C620" i="3"/>
  <c r="C619" i="3"/>
  <c r="C615" i="3"/>
  <c r="C614" i="3"/>
  <c r="C613" i="3"/>
  <c r="C612" i="3"/>
  <c r="C611" i="3" s="1"/>
  <c r="C604" i="3"/>
  <c r="C600" i="3"/>
  <c r="C593" i="3"/>
  <c r="C591" i="3"/>
  <c r="C585" i="3"/>
  <c r="C582" i="3"/>
  <c r="C579" i="3"/>
  <c r="C576" i="3"/>
  <c r="C571" i="3"/>
  <c r="C565" i="3"/>
  <c r="C563" i="3"/>
  <c r="C555" i="3"/>
  <c r="C554" i="3" s="1"/>
  <c r="C542" i="3"/>
  <c r="C530" i="3"/>
  <c r="C515" i="3"/>
  <c r="C508" i="3" s="1"/>
  <c r="C509" i="3"/>
  <c r="C506" i="3"/>
  <c r="C503" i="3"/>
  <c r="C501" i="3"/>
  <c r="C499" i="3"/>
  <c r="C496" i="3"/>
  <c r="C495" i="3" s="1"/>
  <c r="C489" i="3"/>
  <c r="C488" i="3" s="1"/>
  <c r="C481" i="3"/>
  <c r="C477" i="3"/>
  <c r="C476" i="3" s="1"/>
  <c r="C467" i="3"/>
  <c r="C464" i="3"/>
  <c r="C463" i="3" s="1"/>
  <c r="C461" i="3"/>
  <c r="C458" i="3"/>
  <c r="C447" i="3"/>
  <c r="C437" i="3"/>
  <c r="C436" i="3" s="1"/>
  <c r="C432" i="3"/>
  <c r="C394" i="3"/>
  <c r="C373" i="3"/>
  <c r="C372" i="3" s="1"/>
  <c r="C364" i="3"/>
  <c r="C361" i="3"/>
  <c r="C360" i="3"/>
  <c r="C355" i="3"/>
  <c r="C352" i="3"/>
  <c r="C350" i="3"/>
  <c r="C345" i="3"/>
  <c r="C344" i="3" s="1"/>
  <c r="C334" i="3"/>
  <c r="C327" i="3" s="1"/>
  <c r="C318" i="3"/>
  <c r="C309" i="3"/>
  <c r="C304" i="3"/>
  <c r="C294" i="3"/>
  <c r="C293" i="3"/>
  <c r="C289" i="3"/>
  <c r="C288" i="3"/>
  <c r="C279" i="3"/>
  <c r="C278" i="3" s="1"/>
  <c r="C273" i="3"/>
  <c r="C266" i="3"/>
  <c r="C263" i="3" s="1"/>
  <c r="C258" i="3"/>
  <c r="C253" i="3"/>
  <c r="C247" i="3"/>
  <c r="C246" i="3" s="1"/>
  <c r="C240" i="3"/>
  <c r="I239" i="3"/>
  <c r="H239" i="3"/>
  <c r="G239" i="3"/>
  <c r="G236" i="3" s="1"/>
  <c r="D239" i="3"/>
  <c r="C239" i="3"/>
  <c r="I238" i="3"/>
  <c r="H238" i="3"/>
  <c r="G238" i="3"/>
  <c r="F238" i="3"/>
  <c r="F236" i="3" s="1"/>
  <c r="D238" i="3"/>
  <c r="C238" i="3"/>
  <c r="D237" i="3"/>
  <c r="C237" i="3"/>
  <c r="I236" i="3"/>
  <c r="H236" i="3"/>
  <c r="E236" i="3"/>
  <c r="D236" i="3"/>
  <c r="C236" i="3"/>
  <c r="I227" i="3"/>
  <c r="H227" i="3"/>
  <c r="G227" i="3"/>
  <c r="F227" i="3"/>
  <c r="E227" i="3"/>
  <c r="D227" i="3"/>
  <c r="C227" i="3"/>
  <c r="C218" i="3"/>
  <c r="I211" i="3"/>
  <c r="H211" i="3"/>
  <c r="G211" i="3"/>
  <c r="F211" i="3"/>
  <c r="E211" i="3"/>
  <c r="D211" i="3"/>
  <c r="C211" i="3"/>
  <c r="D207" i="3"/>
  <c r="C207" i="3"/>
  <c r="I195" i="3"/>
  <c r="H195" i="3"/>
  <c r="G195" i="3"/>
  <c r="F195" i="3"/>
  <c r="E195" i="3"/>
  <c r="D195" i="3"/>
  <c r="C195" i="3"/>
  <c r="C164" i="3" s="1"/>
  <c r="I187" i="3"/>
  <c r="H187" i="3"/>
  <c r="G187" i="3"/>
  <c r="F187" i="3"/>
  <c r="E187" i="3"/>
  <c r="D187" i="3"/>
  <c r="C187" i="3"/>
  <c r="I170" i="3"/>
  <c r="H170" i="3"/>
  <c r="G170" i="3"/>
  <c r="F170" i="3"/>
  <c r="E170" i="3"/>
  <c r="D170" i="3"/>
  <c r="C170" i="3"/>
  <c r="C169" i="3"/>
  <c r="I165" i="3"/>
  <c r="I164" i="3" s="1"/>
  <c r="H165" i="3"/>
  <c r="H164" i="3" s="1"/>
  <c r="G165" i="3"/>
  <c r="F165" i="3"/>
  <c r="E165" i="3"/>
  <c r="D165" i="3"/>
  <c r="C165" i="3"/>
  <c r="G164" i="3"/>
  <c r="F164" i="3"/>
  <c r="E164" i="3"/>
  <c r="D164" i="3"/>
  <c r="I153" i="3"/>
  <c r="H153" i="3"/>
  <c r="G153" i="3"/>
  <c r="G137" i="3" s="1"/>
  <c r="F153" i="3"/>
  <c r="E153" i="3"/>
  <c r="D153" i="3"/>
  <c r="C153" i="3"/>
  <c r="C151" i="3"/>
  <c r="I148" i="3"/>
  <c r="H148" i="3"/>
  <c r="G148" i="3"/>
  <c r="F148" i="3"/>
  <c r="E148" i="3"/>
  <c r="D148" i="3"/>
  <c r="C148" i="3"/>
  <c r="I140" i="3"/>
  <c r="H140" i="3"/>
  <c r="G140" i="3"/>
  <c r="F140" i="3"/>
  <c r="F137" i="3" s="1"/>
  <c r="E140" i="3"/>
  <c r="E137" i="3" s="1"/>
  <c r="D140" i="3"/>
  <c r="C140" i="3"/>
  <c r="I137" i="3"/>
  <c r="H137" i="3"/>
  <c r="D137" i="3"/>
  <c r="C137" i="3"/>
  <c r="I117" i="3"/>
  <c r="H117" i="3"/>
  <c r="G117" i="3"/>
  <c r="F117" i="3"/>
  <c r="E117" i="3"/>
  <c r="D117" i="3"/>
  <c r="C117" i="3"/>
  <c r="I97" i="3"/>
  <c r="H97" i="3"/>
  <c r="G97" i="3"/>
  <c r="F97" i="3"/>
  <c r="E97" i="3"/>
  <c r="D97" i="3"/>
  <c r="C97" i="3"/>
  <c r="C82" i="3"/>
  <c r="C68" i="3"/>
  <c r="I55" i="3"/>
  <c r="H55" i="3"/>
  <c r="G55" i="3"/>
  <c r="F55" i="3"/>
  <c r="E55" i="3"/>
  <c r="D55" i="3"/>
  <c r="D39" i="3" s="1"/>
  <c r="C55" i="3"/>
  <c r="C53" i="3"/>
  <c r="I40" i="3"/>
  <c r="H40" i="3"/>
  <c r="G40" i="3"/>
  <c r="F40" i="3"/>
  <c r="E40" i="3"/>
  <c r="D40" i="3"/>
  <c r="C40" i="3"/>
  <c r="I39" i="3"/>
  <c r="H39" i="3"/>
  <c r="G39" i="3"/>
  <c r="F39" i="3"/>
  <c r="E39" i="3"/>
  <c r="C39" i="3"/>
  <c r="E31" i="3"/>
  <c r="E25" i="3" s="1"/>
  <c r="E4" i="3" s="1"/>
  <c r="J25" i="3"/>
  <c r="I25" i="3"/>
  <c r="H25" i="3"/>
  <c r="G25" i="3"/>
  <c r="F25" i="3"/>
  <c r="D25" i="3"/>
  <c r="C25" i="3"/>
  <c r="J16" i="3"/>
  <c r="J4" i="3" s="1"/>
  <c r="I16" i="3"/>
  <c r="H16" i="3"/>
  <c r="G16" i="3"/>
  <c r="F16" i="3"/>
  <c r="E16" i="3"/>
  <c r="D16" i="3"/>
  <c r="D4" i="3" s="1"/>
  <c r="D234" i="3" s="1"/>
  <c r="D243" i="3" s="1"/>
  <c r="C16" i="3"/>
  <c r="G11" i="3"/>
  <c r="G9" i="3"/>
  <c r="C9" i="3"/>
  <c r="G8" i="3"/>
  <c r="G7" i="3"/>
  <c r="G6" i="3"/>
  <c r="G5" i="3"/>
  <c r="I4" i="3"/>
  <c r="H4" i="3"/>
  <c r="G4" i="3"/>
  <c r="G234" i="3" s="1"/>
  <c r="G243" i="3" s="1"/>
  <c r="F4" i="3"/>
  <c r="F234" i="3" s="1"/>
  <c r="F243" i="3" s="1"/>
  <c r="C4" i="3"/>
  <c r="C234" i="3" s="1"/>
  <c r="C243" i="3" s="1"/>
  <c r="O31" i="2"/>
  <c r="N31" i="2"/>
  <c r="M31" i="2"/>
  <c r="L31" i="2"/>
  <c r="K31" i="2"/>
  <c r="J31" i="2"/>
  <c r="F31" i="2"/>
  <c r="E31" i="2"/>
  <c r="D31" i="2"/>
  <c r="C31" i="2"/>
  <c r="C12" i="2" s="1"/>
  <c r="I30" i="2"/>
  <c r="H30" i="2"/>
  <c r="I29" i="2"/>
  <c r="H29" i="2"/>
  <c r="I28" i="2"/>
  <c r="H28" i="2"/>
  <c r="I27" i="2"/>
  <c r="H27" i="2"/>
  <c r="I26" i="2"/>
  <c r="H26" i="2"/>
  <c r="I25" i="2"/>
  <c r="H25" i="2"/>
  <c r="I24" i="2"/>
  <c r="H24" i="2"/>
  <c r="I23" i="2"/>
  <c r="H23" i="2"/>
  <c r="I22" i="2"/>
  <c r="H22" i="2"/>
  <c r="G22" i="2"/>
  <c r="I21" i="2"/>
  <c r="H21" i="2"/>
  <c r="G21" i="2"/>
  <c r="I20" i="2"/>
  <c r="H20" i="2"/>
  <c r="I19" i="2"/>
  <c r="H19" i="2"/>
  <c r="I18" i="2"/>
  <c r="H18" i="2"/>
  <c r="I17" i="2"/>
  <c r="H17" i="2"/>
  <c r="I16" i="2"/>
  <c r="H16" i="2"/>
  <c r="I15" i="2"/>
  <c r="H15" i="2"/>
  <c r="I14" i="2"/>
  <c r="I31" i="2" s="1"/>
  <c r="H14" i="2"/>
  <c r="H31" i="2" s="1"/>
  <c r="G14" i="2"/>
  <c r="G31" i="2" s="1"/>
  <c r="G12" i="2" s="1"/>
  <c r="F12" i="2"/>
  <c r="E12" i="2"/>
  <c r="D12" i="2"/>
  <c r="L10" i="2"/>
  <c r="K10" i="2"/>
  <c r="F10" i="2"/>
  <c r="C10" i="2"/>
  <c r="I9" i="2"/>
  <c r="H9" i="2"/>
  <c r="G9" i="2"/>
  <c r="F9" i="2"/>
  <c r="E9" i="2"/>
  <c r="D9" i="2"/>
  <c r="O8" i="2"/>
  <c r="O10" i="2" s="1"/>
  <c r="N8" i="2"/>
  <c r="N10" i="2" s="1"/>
  <c r="M8" i="2"/>
  <c r="M10" i="2" s="1"/>
  <c r="L8" i="2"/>
  <c r="K8" i="2"/>
  <c r="J8" i="2"/>
  <c r="J10" i="2" s="1"/>
  <c r="I8" i="2"/>
  <c r="I10" i="2" s="1"/>
  <c r="F8" i="2"/>
  <c r="E8" i="2"/>
  <c r="E10" i="2" s="1"/>
  <c r="D8" i="2"/>
  <c r="D10" i="2" s="1"/>
  <c r="C8" i="2"/>
  <c r="I7" i="2"/>
  <c r="H7" i="2"/>
  <c r="I6" i="2"/>
  <c r="H6" i="2"/>
  <c r="I5" i="2"/>
  <c r="H5" i="2"/>
  <c r="G5" i="2"/>
  <c r="G8" i="2" s="1"/>
  <c r="G10" i="2" s="1"/>
  <c r="I4" i="2"/>
  <c r="H4" i="2"/>
  <c r="H8" i="2" s="1"/>
  <c r="H10" i="2" s="1"/>
  <c r="G921" i="1"/>
  <c r="G919" i="1" s="1"/>
  <c r="C920" i="1"/>
  <c r="F919" i="1"/>
  <c r="E919" i="1"/>
  <c r="D919" i="1"/>
  <c r="C919" i="1"/>
  <c r="G913" i="1"/>
  <c r="F913" i="1"/>
  <c r="E913" i="1"/>
  <c r="D913" i="1"/>
  <c r="C913" i="1"/>
  <c r="G910" i="1"/>
  <c r="F910" i="1"/>
  <c r="E910" i="1"/>
  <c r="D910" i="1"/>
  <c r="C910" i="1"/>
  <c r="C907" i="1"/>
  <c r="G906" i="1"/>
  <c r="F906" i="1"/>
  <c r="E906" i="1"/>
  <c r="D906" i="1"/>
  <c r="C906" i="1"/>
  <c r="F902" i="1"/>
  <c r="E902" i="1"/>
  <c r="D902" i="1"/>
  <c r="G901" i="1"/>
  <c r="F901" i="1"/>
  <c r="F899" i="1" s="1"/>
  <c r="F49" i="1" s="1"/>
  <c r="E901" i="1"/>
  <c r="E899" i="1" s="1"/>
  <c r="E49" i="1" s="1"/>
  <c r="D901" i="1"/>
  <c r="D899" i="1" s="1"/>
  <c r="D49" i="1" s="1"/>
  <c r="C901" i="1"/>
  <c r="C899" i="1" s="1"/>
  <c r="C49" i="1" s="1"/>
  <c r="G891" i="1"/>
  <c r="G885" i="1" s="1"/>
  <c r="G47" i="1" s="1"/>
  <c r="F891" i="1"/>
  <c r="E891" i="1"/>
  <c r="D891" i="1"/>
  <c r="C891" i="1"/>
  <c r="F886" i="1"/>
  <c r="E886" i="1"/>
  <c r="E885" i="1" s="1"/>
  <c r="E47" i="1" s="1"/>
  <c r="D886" i="1"/>
  <c r="D885" i="1" s="1"/>
  <c r="D47" i="1" s="1"/>
  <c r="C886" i="1"/>
  <c r="C885" i="1" s="1"/>
  <c r="C47" i="1" s="1"/>
  <c r="F885" i="1"/>
  <c r="C880" i="1"/>
  <c r="G879" i="1"/>
  <c r="F879" i="1"/>
  <c r="E879" i="1"/>
  <c r="D879" i="1"/>
  <c r="C879" i="1"/>
  <c r="D878" i="1"/>
  <c r="G876" i="1"/>
  <c r="F876" i="1"/>
  <c r="F875" i="1" s="1"/>
  <c r="E876" i="1"/>
  <c r="E875" i="1" s="1"/>
  <c r="D876" i="1"/>
  <c r="D875" i="1" s="1"/>
  <c r="C876" i="1"/>
  <c r="C875" i="1" s="1"/>
  <c r="G875" i="1"/>
  <c r="E872" i="1"/>
  <c r="D872" i="1"/>
  <c r="C872" i="1"/>
  <c r="D862" i="1"/>
  <c r="D861" i="1"/>
  <c r="D860" i="1"/>
  <c r="D858" i="1"/>
  <c r="D854" i="1" s="1"/>
  <c r="D849" i="1" s="1"/>
  <c r="G854" i="1"/>
  <c r="G849" i="1" s="1"/>
  <c r="F854" i="1"/>
  <c r="F849" i="1" s="1"/>
  <c r="E854" i="1"/>
  <c r="E849" i="1" s="1"/>
  <c r="C854" i="1"/>
  <c r="C849" i="1" s="1"/>
  <c r="D848" i="1"/>
  <c r="C848" i="1"/>
  <c r="D847" i="1"/>
  <c r="D843" i="1" s="1"/>
  <c r="D845" i="1"/>
  <c r="D844" i="1"/>
  <c r="G843" i="1"/>
  <c r="F843" i="1"/>
  <c r="E843" i="1"/>
  <c r="C843" i="1"/>
  <c r="D842" i="1"/>
  <c r="D836" i="1"/>
  <c r="D835" i="1"/>
  <c r="C835" i="1"/>
  <c r="D833" i="1"/>
  <c r="G831" i="1"/>
  <c r="G829" i="1" s="1"/>
  <c r="F831" i="1"/>
  <c r="E831" i="1"/>
  <c r="D831" i="1"/>
  <c r="C831" i="1"/>
  <c r="F829" i="1"/>
  <c r="E829" i="1"/>
  <c r="D829" i="1"/>
  <c r="C829" i="1"/>
  <c r="D821" i="1"/>
  <c r="D820" i="1" s="1"/>
  <c r="D818" i="1" s="1"/>
  <c r="D816" i="1" s="1"/>
  <c r="C821" i="1"/>
  <c r="G820" i="1"/>
  <c r="F820" i="1"/>
  <c r="E820" i="1"/>
  <c r="C820" i="1"/>
  <c r="C818" i="1" s="1"/>
  <c r="C816" i="1" s="1"/>
  <c r="C782" i="1" s="1"/>
  <c r="G818" i="1"/>
  <c r="F818" i="1"/>
  <c r="E818" i="1"/>
  <c r="F816" i="1"/>
  <c r="E816" i="1"/>
  <c r="F811" i="1"/>
  <c r="D811" i="1"/>
  <c r="D808" i="1"/>
  <c r="C808" i="1"/>
  <c r="D805" i="1"/>
  <c r="G803" i="1"/>
  <c r="F803" i="1"/>
  <c r="E803" i="1"/>
  <c r="D803" i="1"/>
  <c r="C803" i="1"/>
  <c r="G798" i="1"/>
  <c r="F798" i="1"/>
  <c r="E798" i="1"/>
  <c r="D798" i="1"/>
  <c r="D782" i="1" s="1"/>
  <c r="C798" i="1"/>
  <c r="D790" i="1"/>
  <c r="D787" i="1"/>
  <c r="D786" i="1"/>
  <c r="D784" i="1"/>
  <c r="C784" i="1"/>
  <c r="G783" i="1"/>
  <c r="F783" i="1"/>
  <c r="F782" i="1" s="1"/>
  <c r="E783" i="1"/>
  <c r="E782" i="1" s="1"/>
  <c r="D783" i="1"/>
  <c r="C783" i="1"/>
  <c r="F779" i="1"/>
  <c r="D778" i="1"/>
  <c r="D776" i="1"/>
  <c r="D773" i="1"/>
  <c r="D772" i="1"/>
  <c r="D771" i="1"/>
  <c r="D770" i="1"/>
  <c r="G768" i="1"/>
  <c r="G766" i="1" s="1"/>
  <c r="F768" i="1"/>
  <c r="F766" i="1" s="1"/>
  <c r="E768" i="1"/>
  <c r="D768" i="1"/>
  <c r="C768" i="1"/>
  <c r="C766" i="1" s="1"/>
  <c r="E766" i="1"/>
  <c r="D766" i="1"/>
  <c r="F764" i="1"/>
  <c r="E764" i="1"/>
  <c r="D764" i="1"/>
  <c r="C764" i="1"/>
  <c r="D760" i="1"/>
  <c r="F759" i="1"/>
  <c r="G758" i="1"/>
  <c r="G756" i="1" s="1"/>
  <c r="E758" i="1"/>
  <c r="D758" i="1"/>
  <c r="C758" i="1"/>
  <c r="C756" i="1" s="1"/>
  <c r="D757" i="1"/>
  <c r="F756" i="1"/>
  <c r="E756" i="1"/>
  <c r="D756" i="1"/>
  <c r="G753" i="1"/>
  <c r="G751" i="1" s="1"/>
  <c r="F753" i="1"/>
  <c r="F751" i="1" s="1"/>
  <c r="D753" i="1"/>
  <c r="C753" i="1"/>
  <c r="E751" i="1"/>
  <c r="D751" i="1"/>
  <c r="C751" i="1"/>
  <c r="G747" i="1"/>
  <c r="F747" i="1"/>
  <c r="F746" i="1" s="1"/>
  <c r="F734" i="1" s="1"/>
  <c r="E747" i="1"/>
  <c r="E746" i="1" s="1"/>
  <c r="E734" i="1" s="1"/>
  <c r="D747" i="1"/>
  <c r="D746" i="1" s="1"/>
  <c r="C747" i="1"/>
  <c r="C746" i="1" s="1"/>
  <c r="C738" i="1"/>
  <c r="D737" i="1"/>
  <c r="D736" i="1"/>
  <c r="C736" i="1"/>
  <c r="G735" i="1"/>
  <c r="F735" i="1"/>
  <c r="E735" i="1"/>
  <c r="D735" i="1"/>
  <c r="C735" i="1"/>
  <c r="G730" i="1"/>
  <c r="F730" i="1"/>
  <c r="D730" i="1"/>
  <c r="C730" i="1"/>
  <c r="D727" i="1"/>
  <c r="C727" i="1"/>
  <c r="G726" i="1"/>
  <c r="F726" i="1"/>
  <c r="D726" i="1"/>
  <c r="C726" i="1"/>
  <c r="D724" i="1"/>
  <c r="G723" i="1"/>
  <c r="G722" i="1" s="1"/>
  <c r="F723" i="1"/>
  <c r="F722" i="1" s="1"/>
  <c r="D723" i="1"/>
  <c r="D722" i="1" s="1"/>
  <c r="C723" i="1"/>
  <c r="C722" i="1" s="1"/>
  <c r="E722" i="1"/>
  <c r="D719" i="1"/>
  <c r="C719" i="1"/>
  <c r="G718" i="1"/>
  <c r="F718" i="1"/>
  <c r="E718" i="1"/>
  <c r="D718" i="1"/>
  <c r="C718" i="1"/>
  <c r="D712" i="1"/>
  <c r="D711" i="1" s="1"/>
  <c r="D705" i="1" s="1"/>
  <c r="G711" i="1"/>
  <c r="G705" i="1" s="1"/>
  <c r="F711" i="1"/>
  <c r="F705" i="1" s="1"/>
  <c r="E711" i="1"/>
  <c r="C711" i="1"/>
  <c r="D708" i="1"/>
  <c r="E707" i="1"/>
  <c r="D707" i="1"/>
  <c r="G706" i="1"/>
  <c r="F706" i="1"/>
  <c r="E706" i="1"/>
  <c r="E705" i="1" s="1"/>
  <c r="E704" i="1" s="1"/>
  <c r="D706" i="1"/>
  <c r="C706" i="1"/>
  <c r="C705" i="1"/>
  <c r="C704" i="1" s="1"/>
  <c r="G698" i="1"/>
  <c r="G694" i="1" s="1"/>
  <c r="G679" i="1" s="1"/>
  <c r="G45" i="1" s="1"/>
  <c r="D697" i="1"/>
  <c r="D696" i="1"/>
  <c r="D694" i="1" s="1"/>
  <c r="F694" i="1"/>
  <c r="F679" i="1" s="1"/>
  <c r="F45" i="1" s="1"/>
  <c r="E694" i="1"/>
  <c r="E679" i="1" s="1"/>
  <c r="E45" i="1" s="1"/>
  <c r="C694" i="1"/>
  <c r="D690" i="1"/>
  <c r="G689" i="1"/>
  <c r="D688" i="1"/>
  <c r="G687" i="1"/>
  <c r="F687" i="1"/>
  <c r="E687" i="1"/>
  <c r="D687" i="1"/>
  <c r="D679" i="1" s="1"/>
  <c r="D45" i="1" s="1"/>
  <c r="C687" i="1"/>
  <c r="C679" i="1"/>
  <c r="C45" i="1" s="1"/>
  <c r="E677" i="1"/>
  <c r="E44" i="1" s="1"/>
  <c r="E676" i="1"/>
  <c r="E675" i="1"/>
  <c r="E674" i="1" s="1"/>
  <c r="E673" i="1" s="1"/>
  <c r="E41" i="1" s="1"/>
  <c r="G674" i="1"/>
  <c r="G673" i="1" s="1"/>
  <c r="G41" i="1" s="1"/>
  <c r="C674" i="1"/>
  <c r="C673" i="1"/>
  <c r="G663" i="1"/>
  <c r="G662" i="1" s="1"/>
  <c r="F663" i="1"/>
  <c r="E663" i="1"/>
  <c r="D663" i="1"/>
  <c r="D662" i="1" s="1"/>
  <c r="D40" i="1" s="1"/>
  <c r="C663" i="1"/>
  <c r="C662" i="1" s="1"/>
  <c r="C40" i="1" s="1"/>
  <c r="F662" i="1"/>
  <c r="F40" i="1" s="1"/>
  <c r="E662" i="1"/>
  <c r="E40" i="1" s="1"/>
  <c r="G655" i="1"/>
  <c r="F655" i="1"/>
  <c r="E655" i="1"/>
  <c r="D655" i="1"/>
  <c r="C655" i="1"/>
  <c r="G653" i="1"/>
  <c r="F653" i="1"/>
  <c r="E653" i="1"/>
  <c r="D653" i="1"/>
  <c r="C653" i="1"/>
  <c r="G651" i="1"/>
  <c r="F651" i="1"/>
  <c r="E651" i="1"/>
  <c r="E634" i="1" s="1"/>
  <c r="D651" i="1"/>
  <c r="C651" i="1"/>
  <c r="G649" i="1"/>
  <c r="F649" i="1"/>
  <c r="E649" i="1"/>
  <c r="D649" i="1"/>
  <c r="C649" i="1"/>
  <c r="G646" i="1"/>
  <c r="F646" i="1"/>
  <c r="E646" i="1"/>
  <c r="D646" i="1"/>
  <c r="C646" i="1"/>
  <c r="G644" i="1"/>
  <c r="F644" i="1"/>
  <c r="E644" i="1"/>
  <c r="D644" i="1"/>
  <c r="C644" i="1"/>
  <c r="C634" i="1" s="1"/>
  <c r="G642" i="1"/>
  <c r="F642" i="1"/>
  <c r="E642" i="1"/>
  <c r="D642" i="1"/>
  <c r="C642" i="1"/>
  <c r="G638" i="1"/>
  <c r="F638" i="1"/>
  <c r="E638" i="1"/>
  <c r="D638" i="1"/>
  <c r="D634" i="1" s="1"/>
  <c r="C638" i="1"/>
  <c r="G634" i="1"/>
  <c r="F634" i="1"/>
  <c r="F633" i="1" s="1"/>
  <c r="F38" i="1" s="1"/>
  <c r="G630" i="1"/>
  <c r="C630" i="1"/>
  <c r="C629" i="1"/>
  <c r="C628" i="1"/>
  <c r="G627" i="1"/>
  <c r="F627" i="1"/>
  <c r="E627" i="1"/>
  <c r="E625" i="1" s="1"/>
  <c r="E37" i="1" s="1"/>
  <c r="D627" i="1"/>
  <c r="D625" i="1" s="1"/>
  <c r="D37" i="1" s="1"/>
  <c r="C627" i="1"/>
  <c r="C626" i="1"/>
  <c r="C625" i="1" s="1"/>
  <c r="C37" i="1" s="1"/>
  <c r="G625" i="1"/>
  <c r="G37" i="1" s="1"/>
  <c r="F625" i="1"/>
  <c r="F37" i="1" s="1"/>
  <c r="C623" i="1"/>
  <c r="C622" i="1"/>
  <c r="G619" i="1"/>
  <c r="C619" i="1"/>
  <c r="C618" i="1"/>
  <c r="C617" i="1"/>
  <c r="C616" i="1"/>
  <c r="G615" i="1"/>
  <c r="G614" i="1" s="1"/>
  <c r="G608" i="1" s="1"/>
  <c r="G36" i="1" s="1"/>
  <c r="C615" i="1"/>
  <c r="C614" i="1" s="1"/>
  <c r="C608" i="1" s="1"/>
  <c r="C36" i="1" s="1"/>
  <c r="F614" i="1"/>
  <c r="F608" i="1" s="1"/>
  <c r="F36" i="1" s="1"/>
  <c r="E614" i="1"/>
  <c r="E608" i="1" s="1"/>
  <c r="E36" i="1" s="1"/>
  <c r="D614" i="1"/>
  <c r="D608" i="1" s="1"/>
  <c r="D36" i="1" s="1"/>
  <c r="C613" i="1"/>
  <c r="C611" i="1"/>
  <c r="C610" i="1"/>
  <c r="C609" i="1"/>
  <c r="G606" i="1"/>
  <c r="G605" i="1" s="1"/>
  <c r="C606" i="1"/>
  <c r="C605" i="1" s="1"/>
  <c r="G604" i="1"/>
  <c r="C604" i="1"/>
  <c r="C35" i="1" s="1"/>
  <c r="G603" i="1"/>
  <c r="G591" i="1" s="1"/>
  <c r="G590" i="1" s="1"/>
  <c r="C603" i="1"/>
  <c r="F591" i="1"/>
  <c r="E591" i="1"/>
  <c r="D591" i="1"/>
  <c r="C591" i="1"/>
  <c r="F590" i="1"/>
  <c r="E590" i="1"/>
  <c r="D590" i="1"/>
  <c r="C590" i="1"/>
  <c r="G588" i="1"/>
  <c r="F588" i="1"/>
  <c r="E588" i="1"/>
  <c r="D588" i="1"/>
  <c r="D565" i="1" s="1"/>
  <c r="C588" i="1"/>
  <c r="G587" i="1"/>
  <c r="C584" i="1"/>
  <c r="G583" i="1"/>
  <c r="F583" i="1"/>
  <c r="E583" i="1"/>
  <c r="D583" i="1"/>
  <c r="C583" i="1"/>
  <c r="C581" i="1" s="1"/>
  <c r="G581" i="1"/>
  <c r="F581" i="1"/>
  <c r="E581" i="1"/>
  <c r="D581" i="1"/>
  <c r="G578" i="1"/>
  <c r="F578" i="1"/>
  <c r="E578" i="1"/>
  <c r="D578" i="1"/>
  <c r="C578" i="1"/>
  <c r="C577" i="1"/>
  <c r="G573" i="1"/>
  <c r="F573" i="1"/>
  <c r="E573" i="1"/>
  <c r="D573" i="1"/>
  <c r="C573" i="1"/>
  <c r="G571" i="1"/>
  <c r="G570" i="1"/>
  <c r="F570" i="1"/>
  <c r="F565" i="1" s="1"/>
  <c r="E570" i="1"/>
  <c r="E565" i="1" s="1"/>
  <c r="D570" i="1"/>
  <c r="C570" i="1"/>
  <c r="C569" i="1"/>
  <c r="C566" i="1" s="1"/>
  <c r="C565" i="1" s="1"/>
  <c r="G568" i="1"/>
  <c r="G566" i="1" s="1"/>
  <c r="G565" i="1" s="1"/>
  <c r="C568" i="1"/>
  <c r="C567" i="1"/>
  <c r="F566" i="1"/>
  <c r="E566" i="1"/>
  <c r="D566" i="1"/>
  <c r="G563" i="1"/>
  <c r="G560" i="1" s="1"/>
  <c r="G559" i="1" s="1"/>
  <c r="C563" i="1"/>
  <c r="C562" i="1"/>
  <c r="C561" i="1"/>
  <c r="C560" i="1" s="1"/>
  <c r="C559" i="1" s="1"/>
  <c r="F560" i="1"/>
  <c r="E560" i="1"/>
  <c r="D560" i="1"/>
  <c r="F559" i="1"/>
  <c r="E559" i="1"/>
  <c r="D559" i="1"/>
  <c r="G557" i="1"/>
  <c r="G537" i="1" s="1"/>
  <c r="C557" i="1"/>
  <c r="C537" i="1" s="1"/>
  <c r="C555" i="1"/>
  <c r="C554" i="1" s="1"/>
  <c r="F554" i="1"/>
  <c r="E554" i="1"/>
  <c r="D554" i="1"/>
  <c r="G552" i="1"/>
  <c r="G551" i="1"/>
  <c r="G549" i="1" s="1"/>
  <c r="C550" i="1"/>
  <c r="F549" i="1"/>
  <c r="E549" i="1"/>
  <c r="D549" i="1"/>
  <c r="C549" i="1"/>
  <c r="C545" i="1"/>
  <c r="C535" i="1" s="1"/>
  <c r="C533" i="1" s="1"/>
  <c r="G544" i="1"/>
  <c r="F544" i="1"/>
  <c r="E544" i="1"/>
  <c r="D544" i="1"/>
  <c r="C544" i="1"/>
  <c r="G542" i="1"/>
  <c r="C542" i="1"/>
  <c r="C540" i="1"/>
  <c r="G539" i="1"/>
  <c r="F539" i="1"/>
  <c r="E539" i="1"/>
  <c r="D539" i="1"/>
  <c r="C539" i="1"/>
  <c r="F537" i="1"/>
  <c r="E537" i="1"/>
  <c r="D537" i="1"/>
  <c r="G536" i="1"/>
  <c r="G533" i="1" s="1"/>
  <c r="F536" i="1"/>
  <c r="E536" i="1"/>
  <c r="E533" i="1" s="1"/>
  <c r="D536" i="1"/>
  <c r="C536" i="1"/>
  <c r="G535" i="1"/>
  <c r="F535" i="1"/>
  <c r="F533" i="1" s="1"/>
  <c r="E535" i="1"/>
  <c r="D535" i="1"/>
  <c r="C534" i="1"/>
  <c r="D533" i="1"/>
  <c r="C531" i="1"/>
  <c r="G530" i="1"/>
  <c r="G528" i="1" s="1"/>
  <c r="C530" i="1"/>
  <c r="C528" i="1" s="1"/>
  <c r="C529" i="1"/>
  <c r="F528" i="1"/>
  <c r="E528" i="1"/>
  <c r="D528" i="1"/>
  <c r="C524" i="1"/>
  <c r="G523" i="1"/>
  <c r="F523" i="1"/>
  <c r="E523" i="1"/>
  <c r="D523" i="1"/>
  <c r="C523" i="1"/>
  <c r="G521" i="1"/>
  <c r="G520" i="1"/>
  <c r="G518" i="1" s="1"/>
  <c r="C520" i="1"/>
  <c r="C515" i="1" s="1"/>
  <c r="C519" i="1"/>
  <c r="C514" i="1" s="1"/>
  <c r="C513" i="1" s="1"/>
  <c r="F518" i="1"/>
  <c r="E518" i="1"/>
  <c r="D518" i="1"/>
  <c r="G516" i="1"/>
  <c r="F516" i="1"/>
  <c r="E516" i="1"/>
  <c r="D516" i="1"/>
  <c r="C516" i="1"/>
  <c r="F515" i="1"/>
  <c r="F513" i="1" s="1"/>
  <c r="E515" i="1"/>
  <c r="E513" i="1" s="1"/>
  <c r="D515" i="1"/>
  <c r="G514" i="1"/>
  <c r="F514" i="1"/>
  <c r="E514" i="1"/>
  <c r="D514" i="1"/>
  <c r="D513" i="1"/>
  <c r="D512" i="1"/>
  <c r="D511" i="1" s="1"/>
  <c r="D31" i="1" s="1"/>
  <c r="G507" i="1"/>
  <c r="F507" i="1"/>
  <c r="E507" i="1"/>
  <c r="D507" i="1"/>
  <c r="C507" i="1"/>
  <c r="G503" i="1"/>
  <c r="E503" i="1"/>
  <c r="C503" i="1"/>
  <c r="G496" i="1"/>
  <c r="G492" i="1" s="1"/>
  <c r="G28" i="1" s="1"/>
  <c r="E496" i="1"/>
  <c r="E492" i="1" s="1"/>
  <c r="E28" i="1" s="1"/>
  <c r="D496" i="1"/>
  <c r="C496" i="1"/>
  <c r="C493" i="1"/>
  <c r="C492" i="1" s="1"/>
  <c r="C28" i="1" s="1"/>
  <c r="F492" i="1"/>
  <c r="D492" i="1"/>
  <c r="C490" i="1"/>
  <c r="C487" i="1"/>
  <c r="G486" i="1"/>
  <c r="E486" i="1"/>
  <c r="C486" i="1"/>
  <c r="G481" i="1"/>
  <c r="F481" i="1"/>
  <c r="E481" i="1"/>
  <c r="D481" i="1"/>
  <c r="C481" i="1"/>
  <c r="C26" i="1" s="1"/>
  <c r="G476" i="1"/>
  <c r="G25" i="1" s="1"/>
  <c r="F476" i="1"/>
  <c r="E476" i="1"/>
  <c r="D476" i="1"/>
  <c r="C476" i="1"/>
  <c r="G472" i="1"/>
  <c r="F472" i="1"/>
  <c r="E472" i="1"/>
  <c r="D472" i="1"/>
  <c r="C472" i="1"/>
  <c r="G469" i="1"/>
  <c r="F469" i="1"/>
  <c r="E469" i="1"/>
  <c r="D469" i="1"/>
  <c r="C469" i="1"/>
  <c r="G455" i="1"/>
  <c r="G445" i="1" s="1"/>
  <c r="F455" i="1"/>
  <c r="F445" i="1" s="1"/>
  <c r="F24" i="1" s="1"/>
  <c r="E455" i="1"/>
  <c r="D455" i="1"/>
  <c r="C455" i="1"/>
  <c r="G449" i="1"/>
  <c r="F449" i="1"/>
  <c r="E449" i="1"/>
  <c r="D449" i="1"/>
  <c r="C449" i="1"/>
  <c r="G446" i="1"/>
  <c r="F446" i="1"/>
  <c r="E446" i="1"/>
  <c r="D446" i="1"/>
  <c r="C446" i="1"/>
  <c r="E445" i="1"/>
  <c r="E24" i="1" s="1"/>
  <c r="D445" i="1"/>
  <c r="C445" i="1"/>
  <c r="G435" i="1"/>
  <c r="F435" i="1"/>
  <c r="E435" i="1"/>
  <c r="D435" i="1"/>
  <c r="C435" i="1"/>
  <c r="G433" i="1"/>
  <c r="F433" i="1"/>
  <c r="E433" i="1"/>
  <c r="D433" i="1"/>
  <c r="C433" i="1"/>
  <c r="G432" i="1"/>
  <c r="F432" i="1"/>
  <c r="E432" i="1"/>
  <c r="E23" i="1" s="1"/>
  <c r="D432" i="1"/>
  <c r="D23" i="1" s="1"/>
  <c r="C432" i="1"/>
  <c r="G427" i="1"/>
  <c r="F427" i="1"/>
  <c r="E427" i="1"/>
  <c r="D427" i="1"/>
  <c r="C427" i="1"/>
  <c r="G392" i="1"/>
  <c r="F392" i="1"/>
  <c r="E392" i="1"/>
  <c r="D392" i="1"/>
  <c r="C392" i="1"/>
  <c r="G383" i="1"/>
  <c r="G371" i="1"/>
  <c r="G370" i="1" s="1"/>
  <c r="F371" i="1"/>
  <c r="F370" i="1" s="1"/>
  <c r="F22" i="1" s="1"/>
  <c r="E371" i="1"/>
  <c r="E370" i="1" s="1"/>
  <c r="E22" i="1" s="1"/>
  <c r="D371" i="1"/>
  <c r="D370" i="1" s="1"/>
  <c r="D22" i="1" s="1"/>
  <c r="C371" i="1"/>
  <c r="C370" i="1" s="1"/>
  <c r="C22" i="1" s="1"/>
  <c r="G368" i="1"/>
  <c r="F368" i="1"/>
  <c r="E368" i="1"/>
  <c r="D368" i="1"/>
  <c r="C368" i="1"/>
  <c r="G361" i="1"/>
  <c r="F361" i="1"/>
  <c r="E361" i="1"/>
  <c r="D361" i="1"/>
  <c r="C361" i="1"/>
  <c r="G356" i="1"/>
  <c r="G355" i="1" s="1"/>
  <c r="F356" i="1"/>
  <c r="F355" i="1" s="1"/>
  <c r="E356" i="1"/>
  <c r="E355" i="1" s="1"/>
  <c r="D356" i="1"/>
  <c r="D355" i="1" s="1"/>
  <c r="C356" i="1"/>
  <c r="C355" i="1" s="1"/>
  <c r="G351" i="1"/>
  <c r="F351" i="1"/>
  <c r="E351" i="1"/>
  <c r="D351" i="1"/>
  <c r="C351" i="1"/>
  <c r="G348" i="1"/>
  <c r="F348" i="1"/>
  <c r="E348" i="1"/>
  <c r="D348" i="1"/>
  <c r="C348" i="1"/>
  <c r="G339" i="1"/>
  <c r="F339" i="1"/>
  <c r="E339" i="1"/>
  <c r="D339" i="1"/>
  <c r="C339" i="1"/>
  <c r="G338" i="1"/>
  <c r="F338" i="1"/>
  <c r="E338" i="1"/>
  <c r="D338" i="1"/>
  <c r="C338" i="1"/>
  <c r="G333" i="1"/>
  <c r="F333" i="1"/>
  <c r="E333" i="1"/>
  <c r="D333" i="1"/>
  <c r="C333" i="1"/>
  <c r="G325" i="1"/>
  <c r="F325" i="1"/>
  <c r="E325" i="1"/>
  <c r="D325" i="1"/>
  <c r="C325" i="1"/>
  <c r="G319" i="1"/>
  <c r="F319" i="1"/>
  <c r="E319" i="1"/>
  <c r="E315" i="1" s="1"/>
  <c r="E19" i="1" s="1"/>
  <c r="D319" i="1"/>
  <c r="D315" i="1" s="1"/>
  <c r="D19" i="1" s="1"/>
  <c r="C319" i="1"/>
  <c r="C315" i="1" s="1"/>
  <c r="C19" i="1" s="1"/>
  <c r="G316" i="1"/>
  <c r="G315" i="1" s="1"/>
  <c r="G19" i="1" s="1"/>
  <c r="F316" i="1"/>
  <c r="F315" i="1" s="1"/>
  <c r="F19" i="1" s="1"/>
  <c r="E316" i="1"/>
  <c r="D316" i="1"/>
  <c r="C316" i="1"/>
  <c r="G302" i="1"/>
  <c r="G301" i="1" s="1"/>
  <c r="G18" i="1" s="1"/>
  <c r="F302" i="1"/>
  <c r="F301" i="1" s="1"/>
  <c r="F18" i="1" s="1"/>
  <c r="E302" i="1"/>
  <c r="E301" i="1" s="1"/>
  <c r="E18" i="1" s="1"/>
  <c r="D302" i="1"/>
  <c r="D301" i="1" s="1"/>
  <c r="D18" i="1" s="1"/>
  <c r="C302" i="1"/>
  <c r="C301" i="1" s="1"/>
  <c r="C18" i="1" s="1"/>
  <c r="G298" i="1"/>
  <c r="F298" i="1"/>
  <c r="E298" i="1"/>
  <c r="D298" i="1"/>
  <c r="C298" i="1"/>
  <c r="G293" i="1"/>
  <c r="F293" i="1"/>
  <c r="E293" i="1"/>
  <c r="D293" i="1"/>
  <c r="C293" i="1"/>
  <c r="G282" i="1"/>
  <c r="G281" i="1" s="1"/>
  <c r="G280" i="1" s="1"/>
  <c r="G17" i="1" s="1"/>
  <c r="F282" i="1"/>
  <c r="F281" i="1" s="1"/>
  <c r="F280" i="1" s="1"/>
  <c r="F17" i="1" s="1"/>
  <c r="D282" i="1"/>
  <c r="D281" i="1" s="1"/>
  <c r="D280" i="1" s="1"/>
  <c r="D17" i="1" s="1"/>
  <c r="C282" i="1"/>
  <c r="C281" i="1" s="1"/>
  <c r="C280" i="1" s="1"/>
  <c r="C17" i="1" s="1"/>
  <c r="E281" i="1"/>
  <c r="E280" i="1" s="1"/>
  <c r="E17" i="1" s="1"/>
  <c r="G277" i="1"/>
  <c r="F277" i="1"/>
  <c r="F267" i="1" s="1"/>
  <c r="E277" i="1"/>
  <c r="D277" i="1"/>
  <c r="C277" i="1"/>
  <c r="C274" i="1"/>
  <c r="G272" i="1"/>
  <c r="F272" i="1"/>
  <c r="E272" i="1"/>
  <c r="D272" i="1"/>
  <c r="C272" i="1"/>
  <c r="C270" i="1"/>
  <c r="G268" i="1"/>
  <c r="F268" i="1"/>
  <c r="E268" i="1"/>
  <c r="D268" i="1"/>
  <c r="D267" i="1" s="1"/>
  <c r="C268" i="1"/>
  <c r="C267" i="1" s="1"/>
  <c r="G267" i="1"/>
  <c r="G16" i="1" s="1"/>
  <c r="E267" i="1"/>
  <c r="F261" i="1"/>
  <c r="F259" i="1" s="1"/>
  <c r="F254" i="1" s="1"/>
  <c r="F9" i="1" s="1"/>
  <c r="G259" i="1"/>
  <c r="E259" i="1"/>
  <c r="E254" i="1" s="1"/>
  <c r="D259" i="1"/>
  <c r="C259" i="1"/>
  <c r="G255" i="1"/>
  <c r="G254" i="1" s="1"/>
  <c r="D255" i="1"/>
  <c r="C255" i="1"/>
  <c r="D254" i="1"/>
  <c r="C254" i="1"/>
  <c r="G246" i="1"/>
  <c r="F246" i="1"/>
  <c r="E246" i="1"/>
  <c r="D246" i="1"/>
  <c r="C246" i="1"/>
  <c r="G235" i="1"/>
  <c r="F235" i="1"/>
  <c r="E235" i="1"/>
  <c r="D235" i="1"/>
  <c r="C235" i="1"/>
  <c r="G230" i="1"/>
  <c r="F230" i="1"/>
  <c r="E230" i="1"/>
  <c r="D230" i="1"/>
  <c r="C230" i="1"/>
  <c r="C198" i="1" s="1"/>
  <c r="C7" i="1" s="1"/>
  <c r="F227" i="1"/>
  <c r="F223" i="1" s="1"/>
  <c r="E227" i="1"/>
  <c r="G223" i="1"/>
  <c r="E223" i="1"/>
  <c r="D223" i="1"/>
  <c r="C223" i="1"/>
  <c r="G215" i="1"/>
  <c r="F215" i="1"/>
  <c r="E215" i="1"/>
  <c r="D215" i="1"/>
  <c r="C215" i="1"/>
  <c r="G203" i="1"/>
  <c r="F203" i="1"/>
  <c r="E203" i="1"/>
  <c r="E198" i="1" s="1"/>
  <c r="D203" i="1"/>
  <c r="D198" i="1" s="1"/>
  <c r="D7" i="1" s="1"/>
  <c r="C203" i="1"/>
  <c r="G202" i="1"/>
  <c r="G198" i="1" s="1"/>
  <c r="E202" i="1"/>
  <c r="D202" i="1"/>
  <c r="C202" i="1"/>
  <c r="G199" i="1"/>
  <c r="F199" i="1"/>
  <c r="E199" i="1"/>
  <c r="D199" i="1"/>
  <c r="C199" i="1"/>
  <c r="G192" i="1"/>
  <c r="F192" i="1"/>
  <c r="E192" i="1"/>
  <c r="D192" i="1"/>
  <c r="C192" i="1"/>
  <c r="G182" i="1"/>
  <c r="G179" i="1" s="1"/>
  <c r="F179" i="1"/>
  <c r="E179" i="1"/>
  <c r="D179" i="1"/>
  <c r="C179" i="1"/>
  <c r="G178" i="1"/>
  <c r="G177" i="1" s="1"/>
  <c r="G6" i="1" s="1"/>
  <c r="F177" i="1"/>
  <c r="E177" i="1"/>
  <c r="D177" i="1"/>
  <c r="D6" i="1" s="1"/>
  <c r="C177" i="1"/>
  <c r="C6" i="1" s="1"/>
  <c r="G163" i="1"/>
  <c r="F163" i="1"/>
  <c r="E163" i="1"/>
  <c r="D163" i="1"/>
  <c r="C163" i="1"/>
  <c r="F150" i="1"/>
  <c r="G145" i="1"/>
  <c r="F145" i="1"/>
  <c r="E145" i="1"/>
  <c r="D145" i="1"/>
  <c r="C145" i="1"/>
  <c r="F144" i="1"/>
  <c r="E144" i="1"/>
  <c r="G129" i="1"/>
  <c r="F129" i="1"/>
  <c r="E129" i="1"/>
  <c r="D129" i="1"/>
  <c r="C129" i="1"/>
  <c r="G117" i="1"/>
  <c r="F117" i="1"/>
  <c r="E117" i="1"/>
  <c r="D117" i="1"/>
  <c r="C117" i="1"/>
  <c r="F114" i="1"/>
  <c r="G112" i="1"/>
  <c r="D112" i="1"/>
  <c r="C112" i="1"/>
  <c r="G110" i="1"/>
  <c r="G104" i="1"/>
  <c r="F104" i="1"/>
  <c r="E104" i="1"/>
  <c r="D104" i="1"/>
  <c r="C104" i="1"/>
  <c r="C87" i="1" s="1"/>
  <c r="C5" i="1" s="1"/>
  <c r="G88" i="1"/>
  <c r="G87" i="1" s="1"/>
  <c r="F88" i="1"/>
  <c r="F87" i="1" s="1"/>
  <c r="F5" i="1" s="1"/>
  <c r="E88" i="1"/>
  <c r="E87" i="1" s="1"/>
  <c r="D88" i="1"/>
  <c r="D87" i="1" s="1"/>
  <c r="D5" i="1" s="1"/>
  <c r="C88" i="1"/>
  <c r="E85" i="1"/>
  <c r="D85" i="1"/>
  <c r="C85" i="1"/>
  <c r="F82" i="1"/>
  <c r="F76" i="1" s="1"/>
  <c r="F53" i="1" s="1"/>
  <c r="D82" i="1"/>
  <c r="D76" i="1" s="1"/>
  <c r="C78" i="1"/>
  <c r="C76" i="1" s="1"/>
  <c r="G76" i="1"/>
  <c r="E76" i="1"/>
  <c r="G70" i="1"/>
  <c r="F70" i="1"/>
  <c r="E70" i="1"/>
  <c r="D70" i="1"/>
  <c r="C70" i="1"/>
  <c r="G66" i="1"/>
  <c r="F66" i="1"/>
  <c r="E66" i="1"/>
  <c r="D66" i="1"/>
  <c r="C66" i="1"/>
  <c r="G60" i="1"/>
  <c r="E60" i="1"/>
  <c r="D60" i="1"/>
  <c r="C60" i="1"/>
  <c r="G58" i="1"/>
  <c r="E58" i="1"/>
  <c r="D58" i="1"/>
  <c r="C58" i="1"/>
  <c r="E57" i="1"/>
  <c r="D57" i="1"/>
  <c r="C57" i="1"/>
  <c r="G56" i="1"/>
  <c r="C56" i="1"/>
  <c r="G55" i="1"/>
  <c r="C55" i="1"/>
  <c r="G54" i="1"/>
  <c r="G53" i="1" s="1"/>
  <c r="E54" i="1"/>
  <c r="E53" i="1" s="1"/>
  <c r="E252" i="1" s="1"/>
  <c r="E263" i="1" s="1"/>
  <c r="D54" i="1"/>
  <c r="C54" i="1"/>
  <c r="G48" i="1"/>
  <c r="F48" i="1"/>
  <c r="E48" i="1"/>
  <c r="D48" i="1"/>
  <c r="C48" i="1"/>
  <c r="F47" i="1"/>
  <c r="G44" i="1"/>
  <c r="F44" i="1"/>
  <c r="D44" i="1"/>
  <c r="C44" i="1"/>
  <c r="G43" i="1"/>
  <c r="F43" i="1"/>
  <c r="E43" i="1"/>
  <c r="D43" i="1"/>
  <c r="C43" i="1"/>
  <c r="G42" i="1"/>
  <c r="F42" i="1"/>
  <c r="E42" i="1"/>
  <c r="D42" i="1"/>
  <c r="C42" i="1"/>
  <c r="F41" i="1"/>
  <c r="D41" i="1"/>
  <c r="C41" i="1"/>
  <c r="G39" i="1"/>
  <c r="F39" i="1"/>
  <c r="G35" i="1"/>
  <c r="F35" i="1"/>
  <c r="E35" i="1"/>
  <c r="D35" i="1"/>
  <c r="F34" i="1"/>
  <c r="D34" i="1"/>
  <c r="F33" i="1"/>
  <c r="D33" i="1"/>
  <c r="D32" i="1"/>
  <c r="G31" i="1"/>
  <c r="G30" i="1"/>
  <c r="F30" i="1"/>
  <c r="E30" i="1"/>
  <c r="D30" i="1"/>
  <c r="C30" i="1"/>
  <c r="G29" i="1"/>
  <c r="F29" i="1"/>
  <c r="E29" i="1"/>
  <c r="D29" i="1"/>
  <c r="C29" i="1"/>
  <c r="F28" i="1"/>
  <c r="D28" i="1"/>
  <c r="C27" i="1"/>
  <c r="G26" i="1"/>
  <c r="F26" i="1"/>
  <c r="E26" i="1"/>
  <c r="D26" i="1"/>
  <c r="F25" i="1"/>
  <c r="E25" i="1"/>
  <c r="D25" i="1"/>
  <c r="C25" i="1"/>
  <c r="D24" i="1"/>
  <c r="C24" i="1"/>
  <c r="G23" i="1"/>
  <c r="F23" i="1"/>
  <c r="C23" i="1"/>
  <c r="E16" i="1"/>
  <c r="G12" i="1"/>
  <c r="E12" i="1"/>
  <c r="D9" i="1"/>
  <c r="C9" i="1"/>
  <c r="F6" i="1"/>
  <c r="C16" i="1" l="1"/>
  <c r="C266" i="1"/>
  <c r="F21" i="1"/>
  <c r="F354" i="1"/>
  <c r="F20" i="1" s="1"/>
  <c r="E250" i="6"/>
  <c r="E4" i="6"/>
  <c r="I748" i="6"/>
  <c r="I25" i="6" s="1"/>
  <c r="D836" i="6"/>
  <c r="D833" i="6" s="1"/>
  <c r="C260" i="6"/>
  <c r="C10" i="6" s="1"/>
  <c r="C8" i="6"/>
  <c r="F14" i="6"/>
  <c r="D646" i="6"/>
  <c r="D629" i="6" s="1"/>
  <c r="D628" i="6" s="1"/>
  <c r="D21" i="6" s="1"/>
  <c r="C702" i="1"/>
  <c r="C46" i="1" s="1"/>
  <c r="C790" i="3"/>
  <c r="G260" i="6"/>
  <c r="G10" i="6" s="1"/>
  <c r="G8" i="6"/>
  <c r="C889" i="6"/>
  <c r="C862" i="6" s="1"/>
  <c r="I250" i="6"/>
  <c r="I4" i="6"/>
  <c r="I380" i="6"/>
  <c r="I15" i="6" s="1"/>
  <c r="I718" i="6"/>
  <c r="I23" i="6" s="1"/>
  <c r="E702" i="1"/>
  <c r="G816" i="1"/>
  <c r="G782" i="1" s="1"/>
  <c r="C359" i="3"/>
  <c r="D262" i="6"/>
  <c r="G252" i="1"/>
  <c r="G263" i="1" s="1"/>
  <c r="C512" i="1"/>
  <c r="H234" i="3"/>
  <c r="H243" i="3" s="1"/>
  <c r="I262" i="6"/>
  <c r="G674" i="6"/>
  <c r="C734" i="1"/>
  <c r="I234" i="3"/>
  <c r="I243" i="3" s="1"/>
  <c r="E380" i="6"/>
  <c r="E15" i="6" s="1"/>
  <c r="C629" i="6"/>
  <c r="C628" i="6" s="1"/>
  <c r="C21" i="6" s="1"/>
  <c r="C833" i="6"/>
  <c r="H260" i="6"/>
  <c r="H10" i="6" s="1"/>
  <c r="H8" i="6"/>
  <c r="H961" i="6"/>
  <c r="H31" i="6" s="1"/>
  <c r="H14" i="6"/>
  <c r="F779" i="6"/>
  <c r="F778" i="6" s="1"/>
  <c r="F26" i="6" s="1"/>
  <c r="F4" i="1"/>
  <c r="F198" i="1"/>
  <c r="F7" i="1" s="1"/>
  <c r="C633" i="1"/>
  <c r="C38" i="1" s="1"/>
  <c r="C39" i="1"/>
  <c r="D734" i="1"/>
  <c r="E633" i="1"/>
  <c r="E38" i="1" s="1"/>
  <c r="E39" i="1"/>
  <c r="G899" i="1"/>
  <c r="G49" i="1" s="1"/>
  <c r="C610" i="3"/>
  <c r="C609" i="3" s="1"/>
  <c r="E262" i="6"/>
  <c r="E14" i="6" s="1"/>
  <c r="F629" i="6"/>
  <c r="F628" i="6" s="1"/>
  <c r="F21" i="6" s="1"/>
  <c r="D674" i="6"/>
  <c r="F250" i="6"/>
  <c r="F4" i="6"/>
  <c r="G629" i="6"/>
  <c r="G746" i="1"/>
  <c r="G734" i="1" s="1"/>
  <c r="G262" i="6"/>
  <c r="H629" i="6"/>
  <c r="H628" i="6" s="1"/>
  <c r="H21" i="6" s="1"/>
  <c r="C812" i="6"/>
  <c r="E512" i="1"/>
  <c r="G40" i="1"/>
  <c r="G633" i="1"/>
  <c r="G38" i="1" s="1"/>
  <c r="I628" i="6"/>
  <c r="I21" i="6" s="1"/>
  <c r="E812" i="6"/>
  <c r="E810" i="6" s="1"/>
  <c r="E28" i="6" s="1"/>
  <c r="C354" i="1"/>
  <c r="C20" i="1" s="1"/>
  <c r="C21" i="1"/>
  <c r="F512" i="1"/>
  <c r="F704" i="1"/>
  <c r="F702" i="1" s="1"/>
  <c r="F46" i="1" s="1"/>
  <c r="C317" i="6"/>
  <c r="G21" i="1"/>
  <c r="G20" i="1" s="1"/>
  <c r="G354" i="1"/>
  <c r="C53" i="1"/>
  <c r="D53" i="1"/>
  <c r="D4" i="6"/>
  <c r="D250" i="6"/>
  <c r="E266" i="1"/>
  <c r="D21" i="1"/>
  <c r="D354" i="1"/>
  <c r="D20" i="1" s="1"/>
  <c r="G704" i="1"/>
  <c r="E234" i="3"/>
  <c r="E243" i="3" s="1"/>
  <c r="C303" i="3"/>
  <c r="C739" i="6"/>
  <c r="C24" i="6" s="1"/>
  <c r="F812" i="6"/>
  <c r="F810" i="6" s="1"/>
  <c r="F28" i="6" s="1"/>
  <c r="D862" i="6"/>
  <c r="D810" i="6" s="1"/>
  <c r="D28" i="6" s="1"/>
  <c r="D939" i="6"/>
  <c r="D30" i="6" s="1"/>
  <c r="D16" i="1"/>
  <c r="D266" i="1"/>
  <c r="F16" i="1"/>
  <c r="F266" i="1"/>
  <c r="E21" i="1"/>
  <c r="E354" i="1"/>
  <c r="E20" i="1" s="1"/>
  <c r="D39" i="1"/>
  <c r="D633" i="1"/>
  <c r="D38" i="1" s="1"/>
  <c r="D704" i="1"/>
  <c r="D702" i="1" s="1"/>
  <c r="D46" i="1" s="1"/>
  <c r="F380" i="6"/>
  <c r="F15" i="6" s="1"/>
  <c r="G812" i="6"/>
  <c r="G810" i="6" s="1"/>
  <c r="G28" i="6" s="1"/>
  <c r="G711" i="7"/>
  <c r="C710" i="7"/>
  <c r="D662" i="8"/>
  <c r="D659" i="8"/>
  <c r="D657" i="8" s="1"/>
  <c r="C685" i="8"/>
  <c r="D302" i="7"/>
  <c r="H306" i="7"/>
  <c r="D711" i="7"/>
  <c r="H712" i="7"/>
  <c r="H32" i="10"/>
  <c r="H3" i="10" s="1"/>
  <c r="D3" i="10"/>
  <c r="G554" i="1"/>
  <c r="C262" i="3"/>
  <c r="C261" i="3" s="1"/>
  <c r="C245" i="3" s="1"/>
  <c r="C968" i="3" s="1"/>
  <c r="C343" i="3"/>
  <c r="G269" i="7"/>
  <c r="C258" i="7"/>
  <c r="G258" i="7" s="1"/>
  <c r="C461" i="7"/>
  <c r="G461" i="7" s="1"/>
  <c r="G471" i="7"/>
  <c r="D493" i="7"/>
  <c r="H493" i="7" s="1"/>
  <c r="H496" i="7"/>
  <c r="C559" i="7"/>
  <c r="G560" i="7"/>
  <c r="H608" i="7"/>
  <c r="C646" i="7"/>
  <c r="G647" i="7"/>
  <c r="D589" i="8"/>
  <c r="D588" i="8" s="1"/>
  <c r="D536" i="10"/>
  <c r="H536" i="10" s="1"/>
  <c r="H540" i="10"/>
  <c r="H703" i="10"/>
  <c r="D702" i="10"/>
  <c r="H702" i="10" s="1"/>
  <c r="D779" i="6"/>
  <c r="D778" i="6" s="1"/>
  <c r="D26" i="6" s="1"/>
  <c r="D447" i="7"/>
  <c r="H448" i="7"/>
  <c r="H559" i="7"/>
  <c r="D558" i="7"/>
  <c r="C665" i="10"/>
  <c r="G666" i="10"/>
  <c r="G4" i="6"/>
  <c r="C278" i="6"/>
  <c r="C277" i="6" s="1"/>
  <c r="C262" i="6" s="1"/>
  <c r="D185" i="7"/>
  <c r="H185" i="7" s="1"/>
  <c r="H191" i="7"/>
  <c r="E875" i="7"/>
  <c r="G515" i="1"/>
  <c r="G513" i="1" s="1"/>
  <c r="G512" i="1" s="1"/>
  <c r="G511" i="1" s="1"/>
  <c r="D24" i="7"/>
  <c r="D65" i="7"/>
  <c r="H143" i="7"/>
  <c r="C620" i="7"/>
  <c r="G620" i="7" s="1"/>
  <c r="G622" i="7"/>
  <c r="D767" i="7"/>
  <c r="H767" i="7" s="1"/>
  <c r="H772" i="7"/>
  <c r="D471" i="8"/>
  <c r="D390" i="8" s="1"/>
  <c r="D14" i="8" s="1"/>
  <c r="C6" i="10"/>
  <c r="G193" i="10"/>
  <c r="G6" i="10" s="1"/>
  <c r="D648" i="6"/>
  <c r="H484" i="7"/>
  <c r="D479" i="7"/>
  <c r="D580" i="7"/>
  <c r="H580" i="7" s="1"/>
  <c r="D577" i="7"/>
  <c r="D575" i="7" s="1"/>
  <c r="H575" i="7" s="1"/>
  <c r="H581" i="7"/>
  <c r="C3" i="8"/>
  <c r="C262" i="8"/>
  <c r="C67" i="8"/>
  <c r="C4" i="8" s="1"/>
  <c r="D649" i="8"/>
  <c r="D642" i="8"/>
  <c r="D641" i="8" s="1"/>
  <c r="D453" i="10"/>
  <c r="H453" i="10" s="1"/>
  <c r="H454" i="10"/>
  <c r="E648" i="6"/>
  <c r="E646" i="6" s="1"/>
  <c r="E629" i="6" s="1"/>
  <c r="E628" i="6" s="1"/>
  <c r="E21" i="6" s="1"/>
  <c r="D159" i="7"/>
  <c r="H160" i="7"/>
  <c r="D259" i="7"/>
  <c r="H266" i="7"/>
  <c r="H748" i="7"/>
  <c r="D743" i="7"/>
  <c r="D3" i="8"/>
  <c r="D879" i="8"/>
  <c r="H556" i="10"/>
  <c r="D555" i="10"/>
  <c r="H555" i="10" s="1"/>
  <c r="F876" i="7"/>
  <c r="F30" i="7"/>
  <c r="F11" i="7" s="1"/>
  <c r="C512" i="7"/>
  <c r="G512" i="7" s="1"/>
  <c r="D828" i="8"/>
  <c r="D827" i="8" s="1"/>
  <c r="D825" i="8" s="1"/>
  <c r="D27" i="8" s="1"/>
  <c r="D66" i="10"/>
  <c r="H821" i="10"/>
  <c r="D816" i="10"/>
  <c r="G648" i="6"/>
  <c r="G646" i="6" s="1"/>
  <c r="C9" i="7"/>
  <c r="C473" i="7"/>
  <c r="G473" i="7" s="1"/>
  <c r="G479" i="7"/>
  <c r="C650" i="7"/>
  <c r="G651" i="7"/>
  <c r="C743" i="7"/>
  <c r="G751" i="7"/>
  <c r="D543" i="8"/>
  <c r="D763" i="8"/>
  <c r="D24" i="8" s="1"/>
  <c r="C638" i="6"/>
  <c r="H341" i="7"/>
  <c r="D434" i="7"/>
  <c r="H434" i="7" s="1"/>
  <c r="H440" i="7"/>
  <c r="D404" i="8"/>
  <c r="D8" i="10"/>
  <c r="H264" i="10"/>
  <c r="H8" i="10" s="1"/>
  <c r="D489" i="10"/>
  <c r="H489" i="10" s="1"/>
  <c r="G266" i="1"/>
  <c r="C518" i="1"/>
  <c r="D638" i="6"/>
  <c r="D177" i="7"/>
  <c r="H178" i="7"/>
  <c r="D355" i="7"/>
  <c r="H369" i="7"/>
  <c r="C274" i="8"/>
  <c r="D757" i="10"/>
  <c r="H758" i="10"/>
  <c r="H658" i="7"/>
  <c r="D650" i="7"/>
  <c r="D850" i="7"/>
  <c r="H867" i="7"/>
  <c r="D275" i="8"/>
  <c r="D274" i="8" s="1"/>
  <c r="C331" i="8"/>
  <c r="C732" i="8"/>
  <c r="C22" i="8" s="1"/>
  <c r="H752" i="10"/>
  <c r="D743" i="10"/>
  <c r="D754" i="7"/>
  <c r="H754" i="7" s="1"/>
  <c r="H757" i="7"/>
  <c r="D171" i="8"/>
  <c r="D5" i="8" s="1"/>
  <c r="D732" i="8"/>
  <c r="D22" i="8" s="1"/>
  <c r="H512" i="10"/>
  <c r="D504" i="10"/>
  <c r="H504" i="10" s="1"/>
  <c r="C17" i="10"/>
  <c r="G585" i="10"/>
  <c r="G17" i="10" s="1"/>
  <c r="H679" i="10"/>
  <c r="D677" i="10"/>
  <c r="D32" i="7"/>
  <c r="H62" i="7"/>
  <c r="D432" i="7"/>
  <c r="H433" i="7"/>
  <c r="C675" i="7"/>
  <c r="G675" i="7" s="1"/>
  <c r="G729" i="10"/>
  <c r="C726" i="10"/>
  <c r="C243" i="7"/>
  <c r="D326" i="7"/>
  <c r="C341" i="7"/>
  <c r="C608" i="7"/>
  <c r="G670" i="7"/>
  <c r="H750" i="7"/>
  <c r="G833" i="7"/>
  <c r="G758" i="10"/>
  <c r="C757" i="10"/>
  <c r="H860" i="10"/>
  <c r="D859" i="10"/>
  <c r="D227" i="7"/>
  <c r="H227" i="7" s="1"/>
  <c r="H578" i="7"/>
  <c r="D622" i="7"/>
  <c r="D647" i="7"/>
  <c r="G659" i="7"/>
  <c r="D675" i="7"/>
  <c r="H675" i="7" s="1"/>
  <c r="G682" i="7"/>
  <c r="G712" i="7"/>
  <c r="D764" i="7"/>
  <c r="H764" i="7" s="1"/>
  <c r="H266" i="10"/>
  <c r="H391" i="10"/>
  <c r="H474" i="10"/>
  <c r="G478" i="10"/>
  <c r="H637" i="10"/>
  <c r="G718" i="10"/>
  <c r="D726" i="10"/>
  <c r="H729" i="10"/>
  <c r="C593" i="11"/>
  <c r="C592" i="11" s="1"/>
  <c r="C20" i="11" s="1"/>
  <c r="H659" i="7"/>
  <c r="C672" i="7"/>
  <c r="H682" i="7"/>
  <c r="H67" i="10"/>
  <c r="D97" i="10"/>
  <c r="H97" i="10" s="1"/>
  <c r="G275" i="10"/>
  <c r="D336" i="10"/>
  <c r="H336" i="10" s="1"/>
  <c r="D621" i="10"/>
  <c r="G703" i="10"/>
  <c r="D716" i="10"/>
  <c r="H718" i="10"/>
  <c r="C803" i="10"/>
  <c r="G803" i="10" s="1"/>
  <c r="G804" i="10"/>
  <c r="C816" i="10"/>
  <c r="G817" i="10"/>
  <c r="D836" i="10"/>
  <c r="H838" i="10"/>
  <c r="D65" i="11"/>
  <c r="D4" i="11" s="1"/>
  <c r="D388" i="11"/>
  <c r="D374" i="11" s="1"/>
  <c r="D14" i="11" s="1"/>
  <c r="D594" i="11"/>
  <c r="C824" i="11"/>
  <c r="C777" i="11" s="1"/>
  <c r="C27" i="11" s="1"/>
  <c r="G537" i="7"/>
  <c r="I659" i="7"/>
  <c r="C840" i="7"/>
  <c r="C642" i="8"/>
  <c r="C641" i="8" s="1"/>
  <c r="H100" i="10"/>
  <c r="G196" i="10"/>
  <c r="D291" i="10"/>
  <c r="H559" i="10"/>
  <c r="H621" i="10"/>
  <c r="G621" i="10"/>
  <c r="H666" i="10"/>
  <c r="C694" i="10"/>
  <c r="H891" i="10"/>
  <c r="D890" i="10"/>
  <c r="D824" i="11"/>
  <c r="D777" i="11" s="1"/>
  <c r="D27" i="11" s="1"/>
  <c r="H332" i="7"/>
  <c r="G513" i="7"/>
  <c r="H537" i="7"/>
  <c r="D807" i="7"/>
  <c r="D840" i="7"/>
  <c r="H52" i="10"/>
  <c r="C327" i="10"/>
  <c r="G327" i="10" s="1"/>
  <c r="H338" i="10"/>
  <c r="D419" i="10"/>
  <c r="H419" i="10" s="1"/>
  <c r="G500" i="10"/>
  <c r="G517" i="10"/>
  <c r="D522" i="10"/>
  <c r="G612" i="10"/>
  <c r="H617" i="10"/>
  <c r="I621" i="10"/>
  <c r="D622" i="10"/>
  <c r="H622" i="10" s="1"/>
  <c r="H690" i="10"/>
  <c r="H21" i="10" s="1"/>
  <c r="D319" i="11"/>
  <c r="H270" i="7"/>
  <c r="H513" i="7"/>
  <c r="H560" i="7"/>
  <c r="D592" i="7"/>
  <c r="H592" i="7" s="1"/>
  <c r="D634" i="7"/>
  <c r="H868" i="7"/>
  <c r="H292" i="10"/>
  <c r="H500" i="10"/>
  <c r="G598" i="10"/>
  <c r="G19" i="10" s="1"/>
  <c r="G695" i="10"/>
  <c r="D185" i="11"/>
  <c r="D6" i="11" s="1"/>
  <c r="G180" i="7"/>
  <c r="G579" i="7"/>
  <c r="C32" i="10"/>
  <c r="D257" i="10"/>
  <c r="H257" i="10" s="1"/>
  <c r="D276" i="10"/>
  <c r="H421" i="10"/>
  <c r="G587" i="10"/>
  <c r="H598" i="10"/>
  <c r="H19" i="10" s="1"/>
  <c r="H630" i="10"/>
  <c r="D663" i="10"/>
  <c r="H663" i="10" s="1"/>
  <c r="H695" i="10"/>
  <c r="D112" i="11"/>
  <c r="D468" i="7"/>
  <c r="H579" i="7"/>
  <c r="D584" i="7"/>
  <c r="H584" i="7" s="1"/>
  <c r="C659" i="8"/>
  <c r="C657" i="8" s="1"/>
  <c r="D175" i="10"/>
  <c r="H328" i="10"/>
  <c r="G333" i="10"/>
  <c r="D385" i="10"/>
  <c r="H388" i="10"/>
  <c r="H587" i="10"/>
  <c r="C604" i="10"/>
  <c r="C607" i="10"/>
  <c r="G607" i="10" s="1"/>
  <c r="G720" i="10"/>
  <c r="C719" i="10"/>
  <c r="G719" i="10" s="1"/>
  <c r="C266" i="11"/>
  <c r="D230" i="10"/>
  <c r="H230" i="10" s="1"/>
  <c r="D604" i="10"/>
  <c r="D607" i="10"/>
  <c r="H607" i="10" s="1"/>
  <c r="C789" i="10"/>
  <c r="G790" i="10"/>
  <c r="H869" i="10"/>
  <c r="D866" i="10"/>
  <c r="H866" i="10" s="1"/>
  <c r="D889" i="11"/>
  <c r="D29" i="11" s="1"/>
  <c r="G32" i="7"/>
  <c r="G3" i="7" s="1"/>
  <c r="H177" i="10"/>
  <c r="D364" i="10"/>
  <c r="H364" i="10" s="1"/>
  <c r="D398" i="10"/>
  <c r="H573" i="10"/>
  <c r="D578" i="10"/>
  <c r="G608" i="10"/>
  <c r="H635" i="10"/>
  <c r="C857" i="10"/>
  <c r="G857" i="10" s="1"/>
  <c r="D167" i="11"/>
  <c r="D5" i="11" s="1"/>
  <c r="D546" i="11"/>
  <c r="G561" i="7"/>
  <c r="G577" i="7"/>
  <c r="C823" i="7"/>
  <c r="G823" i="7" s="1"/>
  <c r="C66" i="10"/>
  <c r="G364" i="10"/>
  <c r="F925" i="10"/>
  <c r="F14" i="10"/>
  <c r="D477" i="10"/>
  <c r="H477" i="10" s="1"/>
  <c r="G579" i="10"/>
  <c r="H608" i="10"/>
  <c r="G677" i="10"/>
  <c r="C26" i="10"/>
  <c r="G763" i="10"/>
  <c r="G26" i="10" s="1"/>
  <c r="D32" i="11"/>
  <c r="D610" i="11"/>
  <c r="H561" i="7"/>
  <c r="H577" i="7"/>
  <c r="G178" i="10"/>
  <c r="C175" i="10"/>
  <c r="D784" i="10"/>
  <c r="H784" i="10" s="1"/>
  <c r="H785" i="10"/>
  <c r="C255" i="11"/>
  <c r="C3" i="11"/>
  <c r="C374" i="11"/>
  <c r="C14" i="11" s="1"/>
  <c r="D507" i="11"/>
  <c r="D114" i="10"/>
  <c r="H114" i="10" s="1"/>
  <c r="D359" i="10"/>
  <c r="H359" i="10" s="1"/>
  <c r="C397" i="10"/>
  <c r="G397" i="10" s="1"/>
  <c r="H519" i="10"/>
  <c r="G623" i="10"/>
  <c r="D647" i="10"/>
  <c r="H647" i="10" s="1"/>
  <c r="C882" i="10"/>
  <c r="G882" i="10" s="1"/>
  <c r="G883" i="10"/>
  <c r="I11" i="10"/>
  <c r="D221" i="10"/>
  <c r="H221" i="10" s="1"/>
  <c r="C453" i="10"/>
  <c r="G453" i="10" s="1"/>
  <c r="F620" i="10"/>
  <c r="H623" i="10"/>
  <c r="D628" i="10"/>
  <c r="H628" i="10" s="1"/>
  <c r="C652" i="10"/>
  <c r="D763" i="10"/>
  <c r="H808" i="10"/>
  <c r="D806" i="10"/>
  <c r="D882" i="10"/>
  <c r="H882" i="10" s="1"/>
  <c r="H883" i="10"/>
  <c r="C555" i="10"/>
  <c r="G555" i="10" s="1"/>
  <c r="D615" i="10"/>
  <c r="H615" i="10" s="1"/>
  <c r="G847" i="10"/>
  <c r="D266" i="11"/>
  <c r="C716" i="11"/>
  <c r="C24" i="11" s="1"/>
  <c r="C900" i="10"/>
  <c r="D900" i="10"/>
  <c r="D596" i="11"/>
  <c r="H759" i="10"/>
  <c r="D796" i="10"/>
  <c r="H887" i="10"/>
  <c r="H772" i="10"/>
  <c r="H800" i="10"/>
  <c r="H831" i="10"/>
  <c r="H875" i="10"/>
  <c r="H921" i="10"/>
  <c r="G861" i="10"/>
  <c r="H915" i="10"/>
  <c r="D778" i="10"/>
  <c r="H778" i="10" s="1"/>
  <c r="H844" i="10"/>
  <c r="D612" i="11"/>
  <c r="H764" i="10"/>
  <c r="C890" i="10"/>
  <c r="C742" i="10"/>
  <c r="G742" i="10" s="1"/>
  <c r="C14" i="6" l="1"/>
  <c r="D922" i="1"/>
  <c r="D50" i="1" s="1"/>
  <c r="D12" i="1" s="1"/>
  <c r="D15" i="1"/>
  <c r="I961" i="6"/>
  <c r="I31" i="6" s="1"/>
  <c r="I14" i="6"/>
  <c r="G789" i="10"/>
  <c r="C603" i="7"/>
  <c r="G603" i="7" s="1"/>
  <c r="G608" i="7"/>
  <c r="H757" i="10"/>
  <c r="H25" i="10" s="1"/>
  <c r="D25" i="10"/>
  <c r="G665" i="10"/>
  <c r="C663" i="10"/>
  <c r="G663" i="10" s="1"/>
  <c r="G559" i="7"/>
  <c r="C558" i="7"/>
  <c r="H302" i="7"/>
  <c r="F252" i="1"/>
  <c r="G14" i="6"/>
  <c r="D593" i="11"/>
  <c r="D592" i="11" s="1"/>
  <c r="D20" i="11" s="1"/>
  <c r="C340" i="7"/>
  <c r="G341" i="7"/>
  <c r="C13" i="8"/>
  <c r="D640" i="8"/>
  <c r="D639" i="8" s="1"/>
  <c r="D20" i="8" s="1"/>
  <c r="H558" i="7"/>
  <c r="G628" i="6"/>
  <c r="G21" i="6" s="1"/>
  <c r="C511" i="1"/>
  <c r="C31" i="1" s="1"/>
  <c r="C32" i="1"/>
  <c r="H890" i="10"/>
  <c r="H28" i="10" s="1"/>
  <c r="D28" i="10"/>
  <c r="H604" i="10"/>
  <c r="D603" i="10"/>
  <c r="C23" i="7"/>
  <c r="G672" i="7"/>
  <c r="G23" i="7" s="1"/>
  <c r="G243" i="7"/>
  <c r="G13" i="7" s="1"/>
  <c r="C13" i="7"/>
  <c r="D354" i="7"/>
  <c r="H355" i="7"/>
  <c r="F32" i="1"/>
  <c r="F511" i="1"/>
  <c r="F31" i="1" s="1"/>
  <c r="F260" i="6"/>
  <c r="F10" i="6" s="1"/>
  <c r="F8" i="6"/>
  <c r="D14" i="6"/>
  <c r="D961" i="6"/>
  <c r="D31" i="6" s="1"/>
  <c r="D12" i="6" s="1"/>
  <c r="F961" i="6"/>
  <c r="F31" i="6" s="1"/>
  <c r="F12" i="6" s="1"/>
  <c r="G652" i="10"/>
  <c r="H578" i="10"/>
  <c r="H16" i="10" s="1"/>
  <c r="D16" i="10"/>
  <c r="D461" i="7"/>
  <c r="H461" i="7" s="1"/>
  <c r="H468" i="7"/>
  <c r="D646" i="7"/>
  <c r="H647" i="7"/>
  <c r="C725" i="10"/>
  <c r="G726" i="10"/>
  <c r="H447" i="7"/>
  <c r="D446" i="7"/>
  <c r="H446" i="7" s="1"/>
  <c r="G710" i="7"/>
  <c r="G25" i="7" s="1"/>
  <c r="C25" i="7"/>
  <c r="H66" i="10"/>
  <c r="H4" i="10" s="1"/>
  <c r="D4" i="10"/>
  <c r="C262" i="10"/>
  <c r="G32" i="10"/>
  <c r="G3" i="10" s="1"/>
  <c r="C3" i="10"/>
  <c r="D619" i="10"/>
  <c r="H619" i="10" s="1"/>
  <c r="C13" i="11"/>
  <c r="C914" i="11"/>
  <c r="H836" i="10"/>
  <c r="D620" i="7"/>
  <c r="H622" i="7"/>
  <c r="H743" i="10"/>
  <c r="D742" i="10"/>
  <c r="H742" i="10" s="1"/>
  <c r="H177" i="7"/>
  <c r="H6" i="7" s="1"/>
  <c r="D6" i="7"/>
  <c r="G743" i="7"/>
  <c r="C742" i="7"/>
  <c r="C272" i="8"/>
  <c r="C9" i="8" s="1"/>
  <c r="C7" i="8"/>
  <c r="H65" i="7"/>
  <c r="H4" i="7" s="1"/>
  <c r="D4" i="7"/>
  <c r="H398" i="10"/>
  <c r="D397" i="10"/>
  <c r="H397" i="10" s="1"/>
  <c r="C252" i="1"/>
  <c r="C263" i="1" s="1"/>
  <c r="C10" i="1" s="1"/>
  <c r="C4" i="1"/>
  <c r="H175" i="10"/>
  <c r="H5" i="10" s="1"/>
  <c r="D5" i="10"/>
  <c r="H522" i="10"/>
  <c r="D516" i="10"/>
  <c r="H516" i="10" s="1"/>
  <c r="G900" i="10"/>
  <c r="G29" i="10" s="1"/>
  <c r="C29" i="10"/>
  <c r="G816" i="10"/>
  <c r="C813" i="10"/>
  <c r="G813" i="10" s="1"/>
  <c r="H726" i="10"/>
  <c r="D694" i="10"/>
  <c r="G650" i="7"/>
  <c r="G22" i="7" s="1"/>
  <c r="C22" i="7"/>
  <c r="G702" i="1"/>
  <c r="G922" i="1" s="1"/>
  <c r="H634" i="7"/>
  <c r="D633" i="7"/>
  <c r="H633" i="7" s="1"/>
  <c r="D290" i="10"/>
  <c r="H290" i="10" s="1"/>
  <c r="H291" i="10"/>
  <c r="C716" i="10"/>
  <c r="D857" i="10"/>
  <c r="H857" i="10" s="1"/>
  <c r="H859" i="10"/>
  <c r="H432" i="7"/>
  <c r="D410" i="7"/>
  <c r="H410" i="7" s="1"/>
  <c r="G15" i="1"/>
  <c r="H743" i="7"/>
  <c r="D742" i="7"/>
  <c r="H900" i="10"/>
  <c r="H29" i="10" s="1"/>
  <c r="D29" i="10"/>
  <c r="E260" i="6"/>
  <c r="E10" i="6" s="1"/>
  <c r="E964" i="6" s="1"/>
  <c r="E8" i="6"/>
  <c r="D255" i="11"/>
  <c r="D3" i="11"/>
  <c r="H796" i="10"/>
  <c r="D790" i="10"/>
  <c r="D321" i="7"/>
  <c r="H321" i="7" s="1"/>
  <c r="H326" i="7"/>
  <c r="C22" i="10"/>
  <c r="G694" i="10"/>
  <c r="G22" i="10" s="1"/>
  <c r="C835" i="10"/>
  <c r="G835" i="10" s="1"/>
  <c r="G604" i="10"/>
  <c r="C603" i="10"/>
  <c r="G757" i="10"/>
  <c r="G25" i="10" s="1"/>
  <c r="C25" i="10"/>
  <c r="D232" i="7"/>
  <c r="H32" i="7"/>
  <c r="H3" i="7" s="1"/>
  <c r="D3" i="7"/>
  <c r="D981" i="8"/>
  <c r="D13" i="8"/>
  <c r="D473" i="7"/>
  <c r="H473" i="7" s="1"/>
  <c r="H479" i="7"/>
  <c r="E922" i="1"/>
  <c r="E15" i="1"/>
  <c r="E511" i="1"/>
  <c r="E31" i="1" s="1"/>
  <c r="E32" i="1"/>
  <c r="D803" i="10"/>
  <c r="H803" i="10" s="1"/>
  <c r="H806" i="10"/>
  <c r="D26" i="10"/>
  <c r="H763" i="10"/>
  <c r="H26" i="10" s="1"/>
  <c r="G890" i="10"/>
  <c r="G28" i="10" s="1"/>
  <c r="C28" i="10"/>
  <c r="C4" i="10"/>
  <c r="G66" i="10"/>
  <c r="G4" i="10" s="1"/>
  <c r="H840" i="7"/>
  <c r="H28" i="7" s="1"/>
  <c r="D28" i="7"/>
  <c r="C640" i="8"/>
  <c r="C639" i="8" s="1"/>
  <c r="C20" i="8" s="1"/>
  <c r="H716" i="10"/>
  <c r="H23" i="10" s="1"/>
  <c r="D23" i="10"/>
  <c r="D676" i="10"/>
  <c r="H676" i="10" s="1"/>
  <c r="H677" i="10"/>
  <c r="H259" i="7"/>
  <c r="D258" i="7"/>
  <c r="D8" i="6"/>
  <c r="D260" i="6"/>
  <c r="D10" i="6" s="1"/>
  <c r="D964" i="6" s="1"/>
  <c r="I260" i="6"/>
  <c r="I10" i="6" s="1"/>
  <c r="I8" i="6"/>
  <c r="D262" i="8"/>
  <c r="D193" i="10"/>
  <c r="C264" i="11"/>
  <c r="C9" i="11" s="1"/>
  <c r="C7" i="11"/>
  <c r="D327" i="10"/>
  <c r="H327" i="10" s="1"/>
  <c r="G175" i="10"/>
  <c r="G5" i="10" s="1"/>
  <c r="C5" i="10"/>
  <c r="H807" i="7"/>
  <c r="D785" i="7"/>
  <c r="H785" i="7" s="1"/>
  <c r="G840" i="7"/>
  <c r="G28" i="7" s="1"/>
  <c r="C28" i="7"/>
  <c r="C274" i="10"/>
  <c r="D29" i="7"/>
  <c r="H850" i="7"/>
  <c r="H29" i="7" s="1"/>
  <c r="H816" i="10"/>
  <c r="D813" i="10"/>
  <c r="H813" i="10" s="1"/>
  <c r="G646" i="7"/>
  <c r="G21" i="7" s="1"/>
  <c r="C21" i="7"/>
  <c r="C810" i="6"/>
  <c r="C28" i="6" s="1"/>
  <c r="C15" i="1"/>
  <c r="H711" i="7"/>
  <c r="D710" i="7"/>
  <c r="C383" i="10"/>
  <c r="D13" i="11"/>
  <c r="D914" i="11"/>
  <c r="F30" i="10"/>
  <c r="F11" i="10" s="1"/>
  <c r="D384" i="10"/>
  <c r="H385" i="10"/>
  <c r="H276" i="10"/>
  <c r="D275" i="10"/>
  <c r="D672" i="7"/>
  <c r="H650" i="7"/>
  <c r="H22" i="7" s="1"/>
  <c r="D22" i="7"/>
  <c r="H159" i="7"/>
  <c r="H5" i="7" s="1"/>
  <c r="D5" i="7"/>
  <c r="F922" i="1"/>
  <c r="F50" i="1" s="1"/>
  <c r="F12" i="1" s="1"/>
  <c r="F15" i="1"/>
  <c r="D4" i="1"/>
  <c r="D252" i="1"/>
  <c r="C557" i="7" l="1"/>
  <c r="G558" i="7"/>
  <c r="G716" i="10"/>
  <c r="G23" i="10" s="1"/>
  <c r="C23" i="10"/>
  <c r="D30" i="8"/>
  <c r="D11" i="8" s="1"/>
  <c r="D985" i="8"/>
  <c r="D835" i="10"/>
  <c r="H835" i="10" s="1"/>
  <c r="H354" i="7"/>
  <c r="D340" i="7"/>
  <c r="D6" i="10"/>
  <c r="H193" i="10"/>
  <c r="H6" i="10" s="1"/>
  <c r="H646" i="7"/>
  <c r="H21" i="7" s="1"/>
  <c r="D21" i="7"/>
  <c r="C981" i="8"/>
  <c r="H275" i="10"/>
  <c r="D274" i="10"/>
  <c r="D241" i="7"/>
  <c r="H232" i="7"/>
  <c r="H7" i="7" s="1"/>
  <c r="D7" i="7"/>
  <c r="C30" i="11"/>
  <c r="C11" i="11" s="1"/>
  <c r="C918" i="11"/>
  <c r="C787" i="10"/>
  <c r="G725" i="10"/>
  <c r="G24" i="10" s="1"/>
  <c r="C24" i="10"/>
  <c r="G340" i="7"/>
  <c r="G14" i="7" s="1"/>
  <c r="C14" i="7"/>
  <c r="H790" i="10"/>
  <c r="D789" i="10"/>
  <c r="H620" i="7"/>
  <c r="D603" i="7"/>
  <c r="D262" i="10"/>
  <c r="H672" i="7"/>
  <c r="H23" i="7" s="1"/>
  <c r="D23" i="7"/>
  <c r="D272" i="8"/>
  <c r="D9" i="8" s="1"/>
  <c r="D7" i="8"/>
  <c r="D740" i="7"/>
  <c r="H742" i="7"/>
  <c r="D22" i="10"/>
  <c r="H694" i="10"/>
  <c r="H22" i="10" s="1"/>
  <c r="D25" i="7"/>
  <c r="H710" i="7"/>
  <c r="H25" i="7" s="1"/>
  <c r="H384" i="10"/>
  <c r="D383" i="10"/>
  <c r="G603" i="10"/>
  <c r="C602" i="10"/>
  <c r="D725" i="10"/>
  <c r="D602" i="10"/>
  <c r="H603" i="10"/>
  <c r="G961" i="6"/>
  <c r="G31" i="6" s="1"/>
  <c r="G12" i="6" s="1"/>
  <c r="C922" i="1"/>
  <c r="C50" i="1" s="1"/>
  <c r="C12" i="1" s="1"/>
  <c r="G274" i="10"/>
  <c r="G13" i="10" s="1"/>
  <c r="C13" i="10"/>
  <c r="H258" i="7"/>
  <c r="D243" i="7"/>
  <c r="C272" i="10"/>
  <c r="C7" i="10"/>
  <c r="G262" i="10"/>
  <c r="G7" i="10" s="1"/>
  <c r="C647" i="10"/>
  <c r="G647" i="10" s="1"/>
  <c r="F8" i="1"/>
  <c r="F263" i="1"/>
  <c r="F10" i="1" s="1"/>
  <c r="G383" i="10"/>
  <c r="G14" i="10" s="1"/>
  <c r="C14" i="10"/>
  <c r="C740" i="7"/>
  <c r="G742" i="7"/>
  <c r="D293" i="7"/>
  <c r="H293" i="7" s="1"/>
  <c r="C961" i="6"/>
  <c r="D7" i="11"/>
  <c r="D264" i="11"/>
  <c r="D9" i="11" s="1"/>
  <c r="D30" i="11"/>
  <c r="D11" i="11" s="1"/>
  <c r="D918" i="11"/>
  <c r="D8" i="1"/>
  <c r="D263" i="1"/>
  <c r="D10" i="1" s="1"/>
  <c r="D601" i="10" l="1"/>
  <c r="H602" i="10"/>
  <c r="H725" i="10"/>
  <c r="H24" i="10" s="1"/>
  <c r="D24" i="10"/>
  <c r="C30" i="8"/>
  <c r="C11" i="8" s="1"/>
  <c r="C985" i="8"/>
  <c r="D872" i="7"/>
  <c r="H243" i="7"/>
  <c r="H13" i="7" s="1"/>
  <c r="D13" i="7"/>
  <c r="D272" i="10"/>
  <c r="D7" i="10"/>
  <c r="H262" i="10"/>
  <c r="H7" i="10" s="1"/>
  <c r="C601" i="10"/>
  <c r="G602" i="10"/>
  <c r="H383" i="10"/>
  <c r="H14" i="10" s="1"/>
  <c r="D14" i="10"/>
  <c r="H740" i="7"/>
  <c r="H27" i="7" s="1"/>
  <c r="D27" i="7"/>
  <c r="G740" i="7"/>
  <c r="G27" i="7" s="1"/>
  <c r="C27" i="7"/>
  <c r="H603" i="7"/>
  <c r="D557" i="7"/>
  <c r="H789" i="10"/>
  <c r="D787" i="10"/>
  <c r="G272" i="10"/>
  <c r="G9" i="10" s="1"/>
  <c r="C9" i="10"/>
  <c r="G787" i="10"/>
  <c r="G27" i="10" s="1"/>
  <c r="C27" i="10"/>
  <c r="C31" i="6"/>
  <c r="C12" i="6" s="1"/>
  <c r="C964" i="6"/>
  <c r="D925" i="10"/>
  <c r="H274" i="10"/>
  <c r="H13" i="10" s="1"/>
  <c r="D13" i="10"/>
  <c r="H340" i="7"/>
  <c r="H14" i="7" s="1"/>
  <c r="D14" i="7"/>
  <c r="H241" i="7"/>
  <c r="H9" i="7" s="1"/>
  <c r="D9" i="7"/>
  <c r="G557" i="7"/>
  <c r="G20" i="7" s="1"/>
  <c r="C20" i="7"/>
  <c r="C872" i="7"/>
  <c r="H925" i="10" l="1"/>
  <c r="D30" i="10"/>
  <c r="D11" i="10" s="1"/>
  <c r="H11" i="10" s="1"/>
  <c r="G601" i="10"/>
  <c r="G20" i="10" s="1"/>
  <c r="C20" i="10"/>
  <c r="C925" i="10"/>
  <c r="H272" i="10"/>
  <c r="H9" i="10" s="1"/>
  <c r="D9" i="10"/>
  <c r="H787" i="10"/>
  <c r="H27" i="10" s="1"/>
  <c r="D27" i="10"/>
  <c r="H872" i="7"/>
  <c r="D876" i="7"/>
  <c r="D30" i="7"/>
  <c r="D11" i="7" s="1"/>
  <c r="H11" i="7" s="1"/>
  <c r="H557" i="7"/>
  <c r="H20" i="7" s="1"/>
  <c r="D20" i="7"/>
  <c r="G872" i="7"/>
  <c r="C876" i="7"/>
  <c r="C30" i="7"/>
  <c r="C11" i="7" s="1"/>
  <c r="G11" i="7" s="1"/>
  <c r="H601" i="10"/>
  <c r="H20" i="10" s="1"/>
  <c r="D20" i="10"/>
  <c r="H876" i="7" l="1"/>
  <c r="H30" i="7"/>
  <c r="G876" i="7"/>
  <c r="G30" i="7"/>
  <c r="G925" i="10"/>
  <c r="C30" i="10"/>
  <c r="C11" i="10" s="1"/>
  <c r="G11" i="10" s="1"/>
  <c r="H30" i="10"/>
  <c r="G30" i="10" l="1"/>
</calcChain>
</file>

<file path=xl/comments1.xml><?xml version="1.0" encoding="utf-8"?>
<comments xmlns="http://schemas.openxmlformats.org/spreadsheetml/2006/main">
  <authors>
    <author>tc={00130011-0075-4A27-A755-002500EA0091}</author>
    <author>tc={007C00E2-0052-4A52-AD88-007300480008}</author>
    <author>tc={007C00F7-003F-4ADD-9C0E-0059007100A5}</author>
  </authors>
  <commentList>
    <comment ref="H628" authorId="0" shapeId="0">
      <text>
        <r>
          <rPr>
            <b/>
            <sz val="9"/>
            <rFont val="Tahoma"/>
          </rPr>
          <t xml:space="preserve"> :</t>
        </r>
        <r>
          <rPr>
            <sz val="9"/>
            <rFont val="Tahoma"/>
          </rPr>
          <t xml:space="preserve">
Jana Holíková:
0381 019 6171:
50xx  43.827.695
5424     247.607
5167     507.759,10
5173     122.275
5192-5     0
------------------------
cel     44.952.943,10
</t>
        </r>
      </text>
    </comment>
    <comment ref="D767" authorId="1" shapeId="0">
      <text>
        <r>
          <rPr>
            <b/>
            <sz val="9"/>
            <rFont val="Tahoma"/>
          </rPr>
          <t xml:space="preserve"> :</t>
        </r>
        <r>
          <rPr>
            <sz val="9"/>
            <rFont val="Tahoma"/>
          </rPr>
          <t xml:space="preserve">
Gabriela Vlčková:
+391 tis. dotace
</t>
        </r>
      </text>
    </comment>
    <comment ref="D812" authorId="2" shapeId="0">
      <text>
        <r>
          <rPr>
            <b/>
            <sz val="9"/>
            <rFont val="Tahoma"/>
          </rPr>
          <t xml:space="preserve"> :</t>
        </r>
        <r>
          <rPr>
            <sz val="9"/>
            <rFont val="Tahoma"/>
          </rPr>
          <t xml:space="preserve">
Gabriela Vlčková:
+10.450 mimoř. Př.
</t>
        </r>
      </text>
    </comment>
  </commentList>
</comments>
</file>

<file path=xl/comments2.xml><?xml version="1.0" encoding="utf-8"?>
<comments xmlns="http://schemas.openxmlformats.org/spreadsheetml/2006/main">
  <authors>
    <author>tc={00170084-0017-479F-A2BF-008C009C0065}</author>
    <author>tc={007400AA-00C0-4F2F-B5E1-00EC00B800FD}</author>
    <author>tc={002F0018-00B1-4231-BF9A-002D001A0062}</author>
    <author>tc={00310071-0014-47A4-9D09-00A60061002C}</author>
    <author>tc={00D100B3-0065-4D9E-A731-0044009D00D0}</author>
    <author>tc={0034005F-0024-4988-812F-00380098001E}</author>
    <author>tc={007F00A4-002D-46ED-B9AF-001F00840006}</author>
    <author>tc={00460052-0082-413E-9E92-007100C90017}</author>
    <author>tc={00BC0099-0037-4117-9BC2-005500C500CB}</author>
    <author>tc={00370001-0092-4131-99D3-009B00F200A8}</author>
    <author>tc={00650082-00C3-464E-9B27-001F00210016}</author>
    <author>tc={00410011-00F6-4776-A694-00A400F3008C}</author>
    <author>tc={0045008F-00F7-499D-ADAA-005E006600BB}</author>
    <author>tc={00D20051-00CC-4BBC-8F5D-00CB002A00E9}</author>
    <author>tc={00C000A1-0058-4A33-8CCF-00D5007000ED}</author>
    <author>tc={00F60002-009C-403B-8ADC-008B0045004B}</author>
    <author>tc={004000E6-0057-4957-B216-00C800600003}</author>
    <author>tc={006B000F-00AC-487D-8630-005A00B10081}</author>
    <author>tc={00880010-0047-4A3D-BAA4-00A600E5001C}</author>
    <author>tc={003A00BD-004C-4137-A009-004A009B008C}</author>
    <author>tc={005F0045-00C1-49DD-B0B7-00DB008600AD}</author>
    <author>tc={0068005A-00AC-414B-9E67-009C009F0072}</author>
    <author>tc={00D50056-00C8-4148-9A47-00B800010091}</author>
    <author>tc={009A00D5-005A-4EED-BA0B-009C00A00063}</author>
    <author>tc={00E3001C-00E3-4F71-A6B1-009E00B000E0}</author>
    <author>tc={00F60036-002D-4165-A68B-00D200B90083}</author>
    <author>tc={0019004B-001A-40B6-94A3-00C400EE002E}</author>
    <author>tc={00220042-0089-4D42-85F4-00B400E800BB}</author>
    <author>tc={0047008D-00FC-45C4-895F-00DF00E00039}</author>
    <author>tc={00BA0010-004C-408C-BD75-0015005F00B5}</author>
    <author>tc={00A9000A-007C-40EE-BC75-003100D4003A}</author>
    <author>tc={008000C8-0093-4047-8615-005100BE0064}</author>
    <author>tc={0059007F-00B7-4EA4-9816-002A00A80074}</author>
    <author>tc={001B005E-0083-42E0-93BE-007300940017}</author>
    <author>tc={007000EF-0016-450B-88D1-000C008F0057}</author>
    <author>tc={0048009D-00DF-41D4-A50C-0016004000D5}</author>
    <author>tc={00960084-00FF-497F-8CBB-008000C70087}</author>
    <author>tc={00D1008F-0097-437A-8652-003900F70093}</author>
    <author>tc={008600A2-0005-47B1-A439-0016009B0026}</author>
    <author>tc={001E0062-0040-4197-9B05-00A300B80046}</author>
    <author>tc={0074001C-00CD-41E1-B59C-004900E20007}</author>
    <author>tc={0014000F-0077-47ED-87AE-00E8005600C4}</author>
    <author>tc={0071004A-00E8-412B-B3DD-004600260012}</author>
    <author>tc={00350056-00ED-4F2D-A275-008B00ED00A0}</author>
    <author>tc={00320025-00D8-496D-AD4A-00BB00A000CF}</author>
    <author>tc={0097002F-0080-4785-B5B4-0070000D002E}</author>
    <author>tc={00FE0043-00A6-4F5D-85BD-005B007500A6}</author>
    <author>tc={008B00F6-008C-46BC-8FD3-003600CE0093}</author>
    <author>tc={00B700CC-0061-4A89-AE3E-003C00B1002C}</author>
    <author>tc={0062008B-0002-4CBC-A764-00D3003C006E}</author>
    <author>tc={002000D3-0077-488C-8CA0-003400E60078}</author>
    <author>tc={00C2008D-00D7-4596-A33D-00E100090045}</author>
    <author>tc={009800C9-0028-422A-9A84-005C00C90088}</author>
    <author>tc={00EA0022-0003-4E62-A3E5-0076008B00C9}</author>
    <author>tc={000C008E-00C6-42A7-B7FE-00FC007E00CC}</author>
    <author>tc={008E000D-0063-44C5-BF6C-00B900050069}</author>
    <author>tc={0052003A-0010-4486-B438-00EE008300EE}</author>
    <author>tc={005F0041-00D6-4CFD-B750-00480037008E}</author>
    <author>tc={008A0051-0079-4520-A06D-0061006F00F1}</author>
    <author>tc={005B00D2-002F-406D-A37F-0022000A007E}</author>
    <author>tc={005E008A-00E6-45D0-8FCF-00AB00C000B2}</author>
    <author>tc={009A0079-00D5-41A9-9AFD-009400D2001D}</author>
    <author>tc={00D200EF-000E-4054-A40A-00BC00DA0044}</author>
    <author>tc={00F300E1-00E8-4741-A3F7-001600110018}</author>
    <author>tc={009000D6-00B6-4F73-A609-002C008D00A8}</author>
    <author>tc={008400CC-0023-4040-893B-00AA006A0089}</author>
    <author>tc={00AF0024-00D8-4A96-942A-00E9008800FE}</author>
    <author>tc={00CA001E-0016-4622-B903-0035003A00EA}</author>
    <author>tc={008A00A6-0019-4C01-8271-0042004A00A3}</author>
    <author>tc={00720048-0088-4074-96E9-00BC00500083}</author>
    <author>tc={00F40056-00E8-480A-AD20-00C400310010}</author>
    <author>tc={00450010-003D-47A1-8106-001F008B0023}</author>
    <author>tc={00EF0013-0002-4E6B-AA30-005B00520088}</author>
    <author>tc={00670038-00FA-4257-8D7A-00B200CF0052}</author>
    <author>tc={0008002A-0064-4EE5-8729-000E00FC002C}</author>
    <author>tc={000E00D6-005D-4086-8896-004D004900EF}</author>
    <author>tc={0086000A-00AA-4433-A8B8-0097003100B0}</author>
    <author>tc={00E30038-0085-40B7-A4AF-004C00BD0079}</author>
    <author>tc={009A006E-0043-41AB-BB8A-001900460081}</author>
    <author>tc={00C90021-0001-4F19-8BF9-002B00BC008C}</author>
    <author>tc={00DD00EC-00EF-4063-A9C0-00E500B90033}</author>
    <author>tc={003F0047-00E5-48BE-9DE5-00AD003900AC}</author>
    <author>tc={001E005B-00E0-4EF2-96A6-0098000C005D}</author>
    <author>tc={00E60016-0066-4015-A52F-00F500010041}</author>
    <author>tc={00DE0073-0083-4FC0-8E2A-00D0005A0003}</author>
    <author>tc={002D00D8-00BF-43D0-8CF1-006000AB001C}</author>
    <author>tc={009200DC-00A4-4051-9CE1-0049007100CC}</author>
    <author>tc={003B00A0-008E-4737-9C2E-007700D100A5}</author>
    <author>tc={00100087-0050-40F4-B50B-00DD007000E8}</author>
    <author>tc={007300F9-008C-47A7-AC4A-00B400E700FC}</author>
  </authors>
  <commentList>
    <comment ref="D39" authorId="0" shapeId="0">
      <text>
        <r>
          <rPr>
            <b/>
            <sz val="9"/>
            <rFont val="Tahoma"/>
          </rPr>
          <t>Jana Holíková:</t>
        </r>
        <r>
          <rPr>
            <sz val="9"/>
            <rFont val="Tahoma"/>
          </rPr>
          <t xml:space="preserve">
24049/04 +16.435.050
</t>
        </r>
      </text>
    </comment>
    <comment ref="D43" authorId="1" shapeId="0">
      <text>
        <r>
          <rPr>
            <b/>
            <sz val="9"/>
            <rFont val="Tahoma"/>
          </rPr>
          <t>Jana Holíková:</t>
        </r>
        <r>
          <rPr>
            <sz val="9"/>
            <rFont val="Tahoma"/>
          </rPr>
          <t xml:space="preserve">
24045.03 +32.200
</t>
        </r>
      </text>
    </comment>
    <comment ref="D62" authorId="2" shapeId="0">
      <text>
        <r>
          <rPr>
            <b/>
            <sz val="9"/>
            <rFont val="Tahoma"/>
          </rPr>
          <t>Jana Holíková:</t>
        </r>
        <r>
          <rPr>
            <sz val="9"/>
            <rFont val="Tahoma"/>
          </rPr>
          <t xml:space="preserve">
24045/03 +3.000.000
</t>
        </r>
      </text>
    </comment>
    <comment ref="D82" authorId="3" shapeId="0">
      <text>
        <r>
          <rPr>
            <b/>
            <sz val="9"/>
            <rFont val="Tahoma"/>
          </rPr>
          <t>Jana Holíková:</t>
        </r>
        <r>
          <rPr>
            <sz val="9"/>
            <rFont val="Tahoma"/>
          </rPr>
          <t xml:space="preserve">
24012/01 +192.228 (309)
24046/04
+1.009.024,72 (0501)
+ 835.189,98 (0504)
24048/04 -1.196
</t>
        </r>
      </text>
    </comment>
    <comment ref="D93" authorId="4" shapeId="0">
      <text>
        <r>
          <rPr>
            <b/>
            <sz val="9"/>
            <rFont val="Tahoma"/>
          </rPr>
          <t>Jana Holíková:</t>
        </r>
        <r>
          <rPr>
            <sz val="9"/>
            <rFont val="Tahoma"/>
          </rPr>
          <t xml:space="preserve">
24017/02 +289.333
</t>
        </r>
      </text>
    </comment>
    <comment ref="D94" authorId="5" shapeId="0">
      <text>
        <r>
          <rPr>
            <b/>
            <sz val="9"/>
            <rFont val="Tahoma"/>
          </rPr>
          <t>Jana Holíková:</t>
        </r>
        <r>
          <rPr>
            <sz val="9"/>
            <rFont val="Tahoma"/>
          </rPr>
          <t xml:space="preserve">
24017/02 +289.333
</t>
        </r>
      </text>
    </comment>
    <comment ref="D108" authorId="6" shapeId="0">
      <text>
        <r>
          <rPr>
            <b/>
            <sz val="9"/>
            <rFont val="Tahoma"/>
          </rPr>
          <t>Jana Holíková:</t>
        </r>
        <r>
          <rPr>
            <sz val="9"/>
            <rFont val="Tahoma"/>
          </rPr>
          <t xml:space="preserve">
24045/03 +50.700
</t>
        </r>
      </text>
    </comment>
    <comment ref="D114" authorId="7" shapeId="0">
      <text>
        <r>
          <rPr>
            <b/>
            <sz val="9"/>
            <rFont val="Tahoma"/>
          </rPr>
          <t>Jana Holíková:</t>
        </r>
        <r>
          <rPr>
            <sz val="9"/>
            <rFont val="Tahoma"/>
          </rPr>
          <t xml:space="preserve">
24045/03 +1.600.000
</t>
        </r>
      </text>
    </comment>
    <comment ref="D115" authorId="8" shapeId="0">
      <text>
        <r>
          <rPr>
            <b/>
            <sz val="9"/>
            <rFont val="Tahoma"/>
          </rPr>
          <t>Jana Holíková:</t>
        </r>
        <r>
          <rPr>
            <sz val="9"/>
            <rFont val="Tahoma"/>
          </rPr>
          <t xml:space="preserve">
24015/02 
+13.779,02 (0309)
+87.878,61 (0305)
+201.127,47 (0307)
</t>
        </r>
      </text>
    </comment>
    <comment ref="D116" authorId="9" shapeId="0">
      <text>
        <r>
          <rPr>
            <b/>
            <sz val="9"/>
            <rFont val="Tahoma"/>
          </rPr>
          <t>Jana Holíková:</t>
        </r>
        <r>
          <rPr>
            <sz val="9"/>
            <rFont val="Tahoma"/>
          </rPr>
          <t xml:space="preserve">
24015/02 +236.709,36
</t>
        </r>
      </text>
    </comment>
    <comment ref="D117" authorId="10" shapeId="0">
      <text>
        <r>
          <rPr>
            <b/>
            <sz val="9"/>
            <rFont val="Tahoma"/>
          </rPr>
          <t>Jana Holíková:</t>
        </r>
        <r>
          <rPr>
            <sz val="9"/>
            <rFont val="Tahoma"/>
          </rPr>
          <t xml:space="preserve">
24015/02 +159.713,55
</t>
        </r>
      </text>
    </comment>
    <comment ref="D118" authorId="11" shapeId="0">
      <text>
        <r>
          <rPr>
            <b/>
            <sz val="9"/>
            <rFont val="Tahoma"/>
          </rPr>
          <t>Jana Holíková:</t>
        </r>
        <r>
          <rPr>
            <sz val="9"/>
            <rFont val="Tahoma"/>
          </rPr>
          <t xml:space="preserve">
24015/02 +391.374,39
</t>
        </r>
      </text>
    </comment>
    <comment ref="D119" authorId="12" shapeId="0">
      <text>
        <r>
          <rPr>
            <b/>
            <sz val="9"/>
            <rFont val="Tahoma"/>
          </rPr>
          <t>Jana Holíková:</t>
        </r>
        <r>
          <rPr>
            <sz val="9"/>
            <rFont val="Tahoma"/>
          </rPr>
          <t xml:space="preserve">
24026.03 +3.226.272,84
</t>
        </r>
      </text>
    </comment>
    <comment ref="D121" authorId="13" shapeId="0">
      <text>
        <r>
          <rPr>
            <b/>
            <sz val="9"/>
            <rFont val="Tahoma"/>
          </rPr>
          <t>Jana Holíková:</t>
        </r>
        <r>
          <rPr>
            <sz val="9"/>
            <rFont val="Tahoma"/>
          </rPr>
          <t xml:space="preserve">
24045/03 org 1180
+74.693,50  § 3111
+40.293      § 3113
</t>
        </r>
      </text>
    </comment>
    <comment ref="D122" authorId="14" shapeId="0">
      <text>
        <r>
          <rPr>
            <b/>
            <sz val="9"/>
            <rFont val="Tahoma"/>
          </rPr>
          <t>Jana Holíková:</t>
        </r>
        <r>
          <rPr>
            <sz val="9"/>
            <rFont val="Tahoma"/>
          </rPr>
          <t xml:space="preserve">
24045/03 +900.000
</t>
        </r>
      </text>
    </comment>
    <comment ref="D127" authorId="15" shapeId="0">
      <text>
        <r>
          <rPr>
            <b/>
            <sz val="9"/>
            <rFont val="Tahoma"/>
          </rPr>
          <t>Jana Holíková:</t>
        </r>
        <r>
          <rPr>
            <sz val="9"/>
            <rFont val="Tahoma"/>
          </rPr>
          <t xml:space="preserve">
24014/02 
-50.000 (741)
+50.000 (528)
24023/02 
-50.000 (741)
+50.000 (416)
</t>
        </r>
      </text>
    </comment>
    <comment ref="D128" authorId="16" shapeId="0">
      <text>
        <r>
          <rPr>
            <b/>
            <sz val="9"/>
            <rFont val="Tahoma"/>
          </rPr>
          <t>Jana Holíková:</t>
        </r>
        <r>
          <rPr>
            <sz val="9"/>
            <rFont val="Tahoma"/>
          </rPr>
          <t xml:space="preserve">
24052/04 +112.397
24074/06 +186.860
</t>
        </r>
      </text>
    </comment>
    <comment ref="D134" authorId="17" shapeId="0">
      <text>
        <r>
          <rPr>
            <b/>
            <sz val="9"/>
            <rFont val="Tahoma"/>
          </rPr>
          <t>Jana Holíková:</t>
        </r>
        <r>
          <rPr>
            <sz val="9"/>
            <rFont val="Tahoma"/>
          </rPr>
          <t xml:space="preserve">
24045/03 +180.000
</t>
        </r>
      </text>
    </comment>
    <comment ref="D137" authorId="18" shapeId="0">
      <text>
        <r>
          <rPr>
            <b/>
            <sz val="9"/>
            <rFont val="Tahoma"/>
          </rPr>
          <t>Jana Holíková:</t>
        </r>
        <r>
          <rPr>
            <sz val="9"/>
            <rFont val="Tahoma"/>
          </rPr>
          <t xml:space="preserve">
24005/01 +250.000
</t>
        </r>
      </text>
    </comment>
    <comment ref="D139" authorId="19" shapeId="0">
      <text>
        <r>
          <rPr>
            <b/>
            <sz val="9"/>
            <rFont val="Tahoma"/>
          </rPr>
          <t>Jana Holíková:</t>
        </r>
        <r>
          <rPr>
            <sz val="9"/>
            <rFont val="Tahoma"/>
          </rPr>
          <t xml:space="preserve">
24044/03 -3.000.000
</t>
        </r>
      </text>
    </comment>
    <comment ref="D140" authorId="20" shapeId="0">
      <text>
        <r>
          <rPr>
            <b/>
            <sz val="9"/>
            <rFont val="Tahoma"/>
          </rPr>
          <t>Jana Holíková:</t>
        </r>
        <r>
          <rPr>
            <sz val="9"/>
            <rFont val="Tahoma"/>
          </rPr>
          <t xml:space="preserve">
24044/03 +3.000.000
</t>
        </r>
      </text>
    </comment>
    <comment ref="D141" authorId="21" shapeId="0">
      <text>
        <r>
          <rPr>
            <b/>
            <sz val="9"/>
            <rFont val="Tahoma"/>
          </rPr>
          <t>Jana Holíková:</t>
        </r>
        <r>
          <rPr>
            <sz val="9"/>
            <rFont val="Tahoma"/>
          </rPr>
          <t xml:space="preserve">
24045/03 +1.000
</t>
        </r>
      </text>
    </comment>
    <comment ref="D151" authorId="22" shapeId="0">
      <text>
        <r>
          <rPr>
            <b/>
            <sz val="9"/>
            <rFont val="Tahoma"/>
          </rPr>
          <t>Jana Holíková:</t>
        </r>
        <r>
          <rPr>
            <sz val="9"/>
            <rFont val="Tahoma"/>
          </rPr>
          <t xml:space="preserve">
24045/03 +250.000
</t>
        </r>
      </text>
    </comment>
    <comment ref="D154" authorId="23" shapeId="0">
      <text>
        <r>
          <rPr>
            <b/>
            <sz val="9"/>
            <rFont val="Tahoma"/>
          </rPr>
          <t>Jana Holíková:</t>
        </r>
        <r>
          <rPr>
            <sz val="9"/>
            <rFont val="Tahoma"/>
          </rPr>
          <t xml:space="preserve">
24045/03 -250.000 chata Jič
</t>
        </r>
      </text>
    </comment>
    <comment ref="D159" authorId="24" shapeId="0">
      <text>
        <r>
          <rPr>
            <b/>
            <sz val="9"/>
            <rFont val="Tahoma"/>
          </rPr>
          <t>Jana Holíková:</t>
        </r>
        <r>
          <rPr>
            <sz val="9"/>
            <rFont val="Tahoma"/>
          </rPr>
          <t xml:space="preserve">
24018/02 +625.431,35
</t>
        </r>
      </text>
    </comment>
    <comment ref="D164" authorId="25" shapeId="0">
      <text>
        <r>
          <rPr>
            <b/>
            <sz val="9"/>
            <rFont val="Tahoma"/>
          </rPr>
          <t>Jana Holíková:</t>
        </r>
        <r>
          <rPr>
            <sz val="9"/>
            <rFont val="Tahoma"/>
          </rPr>
          <t xml:space="preserve">
24065/05 -500.000 EP 
</t>
        </r>
      </text>
    </comment>
    <comment ref="D165" authorId="26" shapeId="0">
      <text>
        <r>
          <rPr>
            <b/>
            <sz val="9"/>
            <rFont val="Tahoma"/>
          </rPr>
          <t>Jana Holíková:</t>
        </r>
        <r>
          <rPr>
            <sz val="9"/>
            <rFont val="Tahoma"/>
          </rPr>
          <t xml:space="preserve">
24073/06 +16.164.266,27 
</t>
        </r>
      </text>
    </comment>
    <comment ref="D186" authorId="27" shapeId="0">
      <text>
        <r>
          <rPr>
            <b/>
            <sz val="9"/>
            <rFont val="Tahoma"/>
          </rPr>
          <t>Jana Holíková:</t>
        </r>
        <r>
          <rPr>
            <sz val="9"/>
            <rFont val="Tahoma"/>
          </rPr>
          <t xml:space="preserve">
24005/01 -522.932
</t>
        </r>
      </text>
    </comment>
    <comment ref="D188" authorId="28" shapeId="0">
      <text>
        <r>
          <rPr>
            <b/>
            <sz val="9"/>
            <rFont val="Tahoma"/>
          </rPr>
          <t>Jana Holíková:</t>
        </r>
        <r>
          <rPr>
            <sz val="9"/>
            <rFont val="Tahoma"/>
          </rPr>
          <t xml:space="preserve">
24062/05-400.000
</t>
        </r>
      </text>
    </comment>
    <comment ref="D189" authorId="29" shapeId="0">
      <text>
        <r>
          <rPr>
            <b/>
            <sz val="9"/>
            <rFont val="Tahoma"/>
          </rPr>
          <t>Jana Holíková:</t>
        </r>
        <r>
          <rPr>
            <sz val="9"/>
            <rFont val="Tahoma"/>
          </rPr>
          <t xml:space="preserve">
24072/05 -1.002.336,01
</t>
        </r>
      </text>
    </comment>
    <comment ref="D196" authorId="30" shapeId="0">
      <text>
        <r>
          <rPr>
            <b/>
            <sz val="9"/>
            <rFont val="Tahoma"/>
          </rPr>
          <t>Jana Holíková:</t>
        </r>
        <r>
          <rPr>
            <sz val="9"/>
            <rFont val="Tahoma"/>
          </rPr>
          <t xml:space="preserve">
24018/02 +124.612,64
24050/04 +-124.612,64
</t>
        </r>
      </text>
    </comment>
    <comment ref="D197" authorId="31" shapeId="0">
      <text>
        <r>
          <rPr>
            <b/>
            <sz val="9"/>
            <rFont val="Tahoma"/>
          </rPr>
          <t>Jana Holíková:</t>
        </r>
        <r>
          <rPr>
            <sz val="9"/>
            <rFont val="Tahoma"/>
          </rPr>
          <t xml:space="preserve">
24065/05 +724.000
</t>
        </r>
      </text>
    </comment>
    <comment ref="D203" authorId="32" shapeId="0">
      <text>
        <r>
          <rPr>
            <b/>
            <sz val="9"/>
            <rFont val="Tahoma"/>
          </rPr>
          <t>Jana Holíková:</t>
        </r>
        <r>
          <rPr>
            <sz val="9"/>
            <rFont val="Tahoma"/>
          </rPr>
          <t xml:space="preserve">
24018/02 +625.431,35
</t>
        </r>
      </text>
    </comment>
    <comment ref="D205" authorId="33" shapeId="0">
      <text>
        <r>
          <rPr>
            <b/>
            <sz val="9"/>
            <rFont val="Tahoma"/>
          </rPr>
          <t>Jana Holíková:</t>
        </r>
        <r>
          <rPr>
            <sz val="9"/>
            <rFont val="Tahoma"/>
          </rPr>
          <t xml:space="preserve">
24066/05 
+   261.245,45 úz17084 1491
+4.441.172,63 úz17085 1495
</t>
        </r>
      </text>
    </comment>
    <comment ref="D206" authorId="34" shapeId="0">
      <text>
        <r>
          <rPr>
            <b/>
            <sz val="9"/>
            <rFont val="Tahoma"/>
          </rPr>
          <t>Jana Holíková:</t>
        </r>
        <r>
          <rPr>
            <sz val="9"/>
            <rFont val="Tahoma"/>
          </rPr>
          <t xml:space="preserve">
24072/05 
+   61.704,81 úz17085 1495
</t>
        </r>
      </text>
    </comment>
    <comment ref="D207" authorId="35" shapeId="0">
      <text>
        <r>
          <rPr>
            <b/>
            <sz val="9"/>
            <rFont val="Tahoma"/>
          </rPr>
          <t>Jana Holíková:</t>
        </r>
        <r>
          <rPr>
            <sz val="9"/>
            <rFont val="Tahoma"/>
          </rPr>
          <t xml:space="preserve">
24062/05 +400.000
</t>
        </r>
      </text>
    </comment>
    <comment ref="D214" authorId="36" shapeId="0">
      <text>
        <r>
          <rPr>
            <b/>
            <sz val="9"/>
            <rFont val="Tahoma"/>
          </rPr>
          <t>Jana Holíková:</t>
        </r>
        <r>
          <rPr>
            <sz val="9"/>
            <rFont val="Tahoma"/>
          </rPr>
          <t xml:space="preserve">
24041/03 -+ 354.926
z ORJ 541 na 029
</t>
        </r>
      </text>
    </comment>
    <comment ref="D219" authorId="37" shapeId="0">
      <text>
        <r>
          <rPr>
            <b/>
            <sz val="9"/>
            <rFont val="Tahoma"/>
          </rPr>
          <t>Jana Holíková:</t>
        </r>
        <r>
          <rPr>
            <sz val="9"/>
            <rFont val="Tahoma"/>
          </rPr>
          <t xml:space="preserve">
24001/01 +4.743.000
</t>
        </r>
      </text>
    </comment>
    <comment ref="D220" authorId="38" shapeId="0">
      <text>
        <r>
          <rPr>
            <b/>
            <sz val="9"/>
            <rFont val="Tahoma"/>
          </rPr>
          <t>Jana Holíková:</t>
        </r>
        <r>
          <rPr>
            <sz val="9"/>
            <rFont val="Tahoma"/>
          </rPr>
          <t xml:space="preserve">
24056/04 +80.000
</t>
        </r>
      </text>
    </comment>
    <comment ref="D221" authorId="39" shapeId="0">
      <text>
        <r>
          <rPr>
            <b/>
            <sz val="9"/>
            <rFont val="Tahoma"/>
          </rPr>
          <t>Jana Holíková:</t>
        </r>
        <r>
          <rPr>
            <sz val="9"/>
            <rFont val="Tahoma"/>
          </rPr>
          <t xml:space="preserve">
24055/04 +210.200
</t>
        </r>
      </text>
    </comment>
    <comment ref="D222" authorId="40" shapeId="0">
      <text>
        <r>
          <rPr>
            <b/>
            <sz val="9"/>
            <rFont val="Tahoma"/>
          </rPr>
          <t>Jana Holíková:</t>
        </r>
        <r>
          <rPr>
            <sz val="9"/>
            <rFont val="Tahoma"/>
          </rPr>
          <t xml:space="preserve">
24030/03 
+ 3.419,60  úz253 1441
+30.776,40 úz911 1445
</t>
        </r>
      </text>
    </comment>
    <comment ref="D223" authorId="41" shapeId="0">
      <text>
        <r>
          <rPr>
            <b/>
            <sz val="9"/>
            <rFont val="Tahoma"/>
          </rPr>
          <t>Jana Holíková:</t>
        </r>
        <r>
          <rPr>
            <sz val="9"/>
            <rFont val="Tahoma"/>
          </rPr>
          <t xml:space="preserve">
24027/03 
+ 4.890  úz253 1441
+44.010 úz911 1445
</t>
        </r>
      </text>
    </comment>
    <comment ref="D224" authorId="42" shapeId="0">
      <text>
        <r>
          <rPr>
            <b/>
            <sz val="9"/>
            <rFont val="Tahoma"/>
          </rPr>
          <t>Jana Holíková:</t>
        </r>
        <r>
          <rPr>
            <sz val="9"/>
            <rFont val="Tahoma"/>
          </rPr>
          <t xml:space="preserve">
24027/03 
+ 7.519  úz253 1441
+67.671 úz911 1445
</t>
        </r>
      </text>
    </comment>
    <comment ref="D225" authorId="43" shapeId="0">
      <text>
        <r>
          <rPr>
            <b/>
            <sz val="9"/>
            <rFont val="Tahoma"/>
          </rPr>
          <t>Jana Holíková:</t>
        </r>
        <r>
          <rPr>
            <sz val="9"/>
            <rFont val="Tahoma"/>
          </rPr>
          <t xml:space="preserve">
24029/03 
+ 6.180  úz253 1441
+55.620 úz911 1445
</t>
        </r>
      </text>
    </comment>
    <comment ref="D227" authorId="44" shapeId="0">
      <text>
        <r>
          <rPr>
            <b/>
            <sz val="9"/>
            <rFont val="Tahoma"/>
          </rPr>
          <t>Jana Holíková:</t>
        </r>
        <r>
          <rPr>
            <sz val="9"/>
            <rFont val="Tahoma"/>
          </rPr>
          <t xml:space="preserve">
24031/03 +4.573.000
24570/05
oprava úz na 914
</t>
        </r>
      </text>
    </comment>
    <comment ref="D235" authorId="45" shapeId="0">
      <text>
        <r>
          <rPr>
            <b/>
            <sz val="9"/>
            <rFont val="Tahoma"/>
          </rPr>
          <t>Jana Holíková:</t>
        </r>
        <r>
          <rPr>
            <sz val="9"/>
            <rFont val="Tahoma"/>
          </rPr>
          <t xml:space="preserve">
24066/05 
+  336.616,61 úz17518 1491
+5.722.482,44 úz17519 1495
</t>
        </r>
      </text>
    </comment>
    <comment ref="D236" authorId="46" shapeId="0">
      <text>
        <r>
          <rPr>
            <b/>
            <sz val="9"/>
            <rFont val="Tahoma"/>
          </rPr>
          <t>Jana Holíková:</t>
        </r>
        <r>
          <rPr>
            <sz val="9"/>
            <rFont val="Tahoma"/>
          </rPr>
          <t xml:space="preserve">
24066/05 
+  336.616,61 úz17518 1491
+5.722.482,44 úz17519 1495
</t>
        </r>
      </text>
    </comment>
    <comment ref="D237" authorId="47" shapeId="0">
      <text>
        <r>
          <rPr>
            <b/>
            <sz val="9"/>
            <rFont val="Tahoma"/>
          </rPr>
          <t>Jana Holíková:</t>
        </r>
        <r>
          <rPr>
            <sz val="9"/>
            <rFont val="Tahoma"/>
          </rPr>
          <t xml:space="preserve">
24066/05 
+  336.616,61 úz17518 1491
+5.722.482,44 úz17519 1495
</t>
        </r>
      </text>
    </comment>
    <comment ref="D238" authorId="48" shapeId="0">
      <text>
        <r>
          <rPr>
            <b/>
            <sz val="9"/>
            <rFont val="Tahoma"/>
          </rPr>
          <t>Jana Holíková:</t>
        </r>
        <r>
          <rPr>
            <sz val="9"/>
            <rFont val="Tahoma"/>
          </rPr>
          <t xml:space="preserve">
24066/05 
+  336.616,61 úz17518 1491
+5.722.482,44 úz17519 1495
</t>
        </r>
      </text>
    </comment>
    <comment ref="D239" authorId="49" shapeId="0">
      <text>
        <r>
          <rPr>
            <b/>
            <sz val="9"/>
            <rFont val="Tahoma"/>
          </rPr>
          <t>Jana Holíková:</t>
        </r>
        <r>
          <rPr>
            <sz val="9"/>
            <rFont val="Tahoma"/>
          </rPr>
          <t xml:space="preserve">
24072/05 
+  881.497,39 úz17519 1495
</t>
        </r>
      </text>
    </comment>
    <comment ref="D241" authorId="50" shapeId="0">
      <text>
        <r>
          <rPr>
            <b/>
            <sz val="9"/>
            <rFont val="Tahoma"/>
          </rPr>
          <t>Jana Holíková:</t>
        </r>
        <r>
          <rPr>
            <sz val="9"/>
            <rFont val="Tahoma"/>
          </rPr>
          <t xml:space="preserve">
24035/03 + 5.514.060
</t>
        </r>
      </text>
    </comment>
    <comment ref="D244" authorId="51" shapeId="0">
      <text>
        <r>
          <rPr>
            <b/>
            <sz val="9"/>
            <rFont val="Tahoma"/>
          </rPr>
          <t>Jana Holíková:</t>
        </r>
        <r>
          <rPr>
            <sz val="9"/>
            <rFont val="Tahoma"/>
          </rPr>
          <t xml:space="preserve">
24057/04 +300.000
</t>
        </r>
      </text>
    </comment>
    <comment ref="D253" authorId="52" shapeId="0">
      <text>
        <r>
          <rPr>
            <b/>
            <sz val="9"/>
            <rFont val="Tahoma"/>
          </rPr>
          <t>Jana Holíková:</t>
        </r>
        <r>
          <rPr>
            <sz val="9"/>
            <rFont val="Tahoma"/>
          </rPr>
          <t xml:space="preserve">
24073 -+16.164.266,27
</t>
        </r>
      </text>
    </comment>
    <comment ref="D605" authorId="53" shapeId="0">
      <text>
        <r>
          <rPr>
            <b/>
            <sz val="9"/>
            <rFont val="Tahoma"/>
          </rPr>
          <t>Jana Holíková:</t>
        </r>
        <r>
          <rPr>
            <sz val="9"/>
            <rFont val="Tahoma"/>
          </rPr>
          <t xml:space="preserve">
24538/03 +-231.352,61 
dopl. Úz 15501 NáZ 1481,5
245051/04 
+196.649,72 úz 15501 1485
+ 34.702,89 1481
24053/04 -535.000
24056/04 +80.000 úz673
24057/04 +300.000 úz392
24554/04 +-231.352,61 zpět
</t>
        </r>
      </text>
    </comment>
    <comment ref="D608" authorId="54" shapeId="0">
      <text>
        <r>
          <rPr>
            <b/>
            <sz val="9"/>
            <rFont val="Tahoma"/>
          </rPr>
          <t>Jana Holíková:</t>
        </r>
        <r>
          <rPr>
            <sz val="9"/>
            <rFont val="Tahoma"/>
          </rPr>
          <t xml:space="preserve">
24053/04 +535.000
</t>
        </r>
      </text>
    </comment>
    <comment ref="D626" authorId="55" shapeId="0">
      <text>
        <r>
          <rPr>
            <b/>
            <sz val="9"/>
            <rFont val="Tahoma"/>
          </rPr>
          <t>Jana Holíková:</t>
        </r>
        <r>
          <rPr>
            <sz val="9"/>
            <rFont val="Tahoma"/>
          </rPr>
          <t xml:space="preserve">
24065/05 
+724.000 úz98348
-500.000 bez úz
</t>
        </r>
      </text>
    </comment>
    <comment ref="D643" authorId="56" shapeId="0">
      <text>
        <r>
          <rPr>
            <b/>
            <sz val="9"/>
            <rFont val="Tahoma"/>
          </rPr>
          <t>Jana Holíková:</t>
        </r>
        <r>
          <rPr>
            <sz val="9"/>
            <rFont val="Tahoma"/>
          </rPr>
          <t xml:space="preserve">
24011/01 +192.228
24030/03 
 +3.419,60 úz253 1441
+30.776,40 úz911 1445
24047/04 -1.284
24048/04 -1.196
</t>
        </r>
      </text>
    </comment>
    <comment ref="D652" authorId="57" shapeId="0">
      <text>
        <r>
          <rPr>
            <b/>
            <sz val="9"/>
            <rFont val="Tahoma"/>
          </rPr>
          <t>Jana Holíková:</t>
        </r>
        <r>
          <rPr>
            <sz val="9"/>
            <rFont val="Tahoma"/>
          </rPr>
          <t xml:space="preserve">
24016/02 +90.488 odpisy
24027/03 
+ 4.890 úz253 1441
+44.010 úz911 1445 
</t>
        </r>
      </text>
    </comment>
    <comment ref="D653" authorId="58" shapeId="0">
      <text>
        <r>
          <rPr>
            <b/>
            <sz val="9"/>
            <rFont val="Tahoma"/>
          </rPr>
          <t>Jana Holíková:</t>
        </r>
        <r>
          <rPr>
            <sz val="9"/>
            <rFont val="Tahoma"/>
          </rPr>
          <t xml:space="preserve">
24052/04 +72.208
</t>
        </r>
      </text>
    </comment>
    <comment ref="D656" authorId="59" shapeId="0">
      <text>
        <r>
          <rPr>
            <b/>
            <sz val="9"/>
            <rFont val="Tahoma"/>
          </rPr>
          <t>Jana Holíková:</t>
        </r>
        <r>
          <rPr>
            <sz val="9"/>
            <rFont val="Tahoma"/>
          </rPr>
          <t xml:space="preserve">
24028/03
 +7.519 ÚZ253 1441
+67.671 úz911 1445
</t>
        </r>
      </text>
    </comment>
    <comment ref="D660" authorId="60" shapeId="0">
      <text>
        <r>
          <rPr>
            <b/>
            <sz val="9"/>
            <rFont val="Tahoma"/>
          </rPr>
          <t>Jana Holíková:</t>
        </r>
        <r>
          <rPr>
            <sz val="9"/>
            <rFont val="Tahoma"/>
          </rPr>
          <t xml:space="preserve">
24029/03
 +6.180 ÚZ253 1441
+55.620 úz911 1445
24064/05 +313.948
24066/05 
+  261.245,45 úz 17084 1491
+4.441.172,63 úz 17085 1495
24077/06 -13.443,03
</t>
        </r>
      </text>
    </comment>
    <comment ref="D662" authorId="61" shapeId="0">
      <text>
        <r>
          <rPr>
            <b/>
            <sz val="9"/>
            <rFont val="Tahoma"/>
          </rPr>
          <t>Jana Holíková:</t>
        </r>
        <r>
          <rPr>
            <sz val="9"/>
            <rFont val="Tahoma"/>
          </rPr>
          <t xml:space="preserve">
24066/05 
+  336.616,61 úz17518 1491
+5.722.482,44 úz 17519 1491
</t>
        </r>
      </text>
    </comment>
    <comment ref="D665" authorId="62" shapeId="0">
      <text>
        <r>
          <rPr>
            <b/>
            <sz val="9"/>
            <rFont val="Tahoma"/>
          </rPr>
          <t>Jana Holíková:</t>
        </r>
        <r>
          <rPr>
            <sz val="9"/>
            <rFont val="Tahoma"/>
          </rPr>
          <t xml:space="preserve">
24007/01 +850.000
</t>
        </r>
      </text>
    </comment>
    <comment ref="D669" authorId="63" shapeId="0">
      <text>
        <r>
          <rPr>
            <b/>
            <sz val="9"/>
            <rFont val="Tahoma"/>
          </rPr>
          <t>Jana Holíková:</t>
        </r>
        <r>
          <rPr>
            <sz val="9"/>
            <rFont val="Tahoma"/>
          </rPr>
          <t xml:space="preserve">
24055/04 +210.200 úz 833
</t>
        </r>
      </text>
    </comment>
    <comment ref="D672" authorId="64" shapeId="0">
      <text>
        <r>
          <rPr>
            <b/>
            <sz val="9"/>
            <rFont val="Tahoma"/>
          </rPr>
          <t>Jana Holíková:</t>
        </r>
        <r>
          <rPr>
            <sz val="9"/>
            <rFont val="Tahoma"/>
          </rPr>
          <t xml:space="preserve">
24059/05 +134.310
</t>
        </r>
      </text>
    </comment>
    <comment ref="D676" authorId="65" shapeId="0">
      <text>
        <r>
          <rPr>
            <b/>
            <sz val="9"/>
            <rFont val="Tahoma"/>
          </rPr>
          <t>Jana Holíková:</t>
        </r>
        <r>
          <rPr>
            <sz val="9"/>
            <rFont val="Tahoma"/>
          </rPr>
          <t xml:space="preserve">
24043/03 -1.548
</t>
        </r>
      </text>
    </comment>
    <comment ref="D686" authorId="66" shapeId="0">
      <text>
        <r>
          <rPr>
            <b/>
            <sz val="9"/>
            <rFont val="Tahoma"/>
          </rPr>
          <t>Jana Holíková:</t>
        </r>
        <r>
          <rPr>
            <sz val="9"/>
            <rFont val="Tahoma"/>
          </rPr>
          <t xml:space="preserve">
24021/02 -25.000
</t>
        </r>
      </text>
    </comment>
    <comment ref="D687" authorId="67" shapeId="0">
      <text>
        <r>
          <rPr>
            <b/>
            <sz val="9"/>
            <rFont val="Tahoma"/>
          </rPr>
          <t>Jana Holíková:</t>
        </r>
        <r>
          <rPr>
            <sz val="9"/>
            <rFont val="Tahoma"/>
          </rPr>
          <t xml:space="preserve">
24021/02 -170.000
</t>
        </r>
      </text>
    </comment>
    <comment ref="D689" authorId="68" shapeId="0">
      <text>
        <r>
          <rPr>
            <b/>
            <sz val="9"/>
            <rFont val="Tahoma"/>
          </rPr>
          <t>Jana Holíková:</t>
        </r>
        <r>
          <rPr>
            <sz val="9"/>
            <rFont val="Tahoma"/>
          </rPr>
          <t xml:space="preserve">
24021/02 +195.000
</t>
        </r>
      </text>
    </comment>
    <comment ref="D694" authorId="69" shapeId="0">
      <text>
        <r>
          <rPr>
            <b/>
            <sz val="9"/>
            <rFont val="Tahoma"/>
          </rPr>
          <t>Jana Holíková:</t>
        </r>
        <r>
          <rPr>
            <sz val="9"/>
            <rFont val="Tahoma"/>
          </rPr>
          <t xml:space="preserve">
24001.01 +4.743.000
24023/02 +- 50.000 dar NJKL
24052/04 +18.200
24083/06 +150.000 slavnost
</t>
        </r>
      </text>
    </comment>
    <comment ref="D709" authorId="70" shapeId="0">
      <text>
        <r>
          <rPr>
            <b/>
            <sz val="9"/>
            <rFont val="Tahoma"/>
          </rPr>
          <t>Jana Holíková:</t>
        </r>
        <r>
          <rPr>
            <sz val="9"/>
            <rFont val="Tahoma"/>
          </rPr>
          <t xml:space="preserve">
24002/01 -30.000 
24069/05 +30.000
</t>
        </r>
      </text>
    </comment>
    <comment ref="D712" authorId="71" shapeId="0">
      <text>
        <r>
          <rPr>
            <b/>
            <sz val="9"/>
            <rFont val="Tahoma"/>
          </rPr>
          <t>Jana Holíková:</t>
        </r>
        <r>
          <rPr>
            <sz val="9"/>
            <rFont val="Tahoma"/>
          </rPr>
          <t xml:space="preserve">
24002/01 +30.000
24003/01 +10.000
24004/01 +15.000
24032/03 +70.000
24058/04 +80.000
24067/05 +10.000
24068/05 +150.000
24069/05 +36.900
24070/05 +5.000
24071/05 +40.000
24084/06 +250.000
24085/06 +147.000
</t>
        </r>
      </text>
    </comment>
    <comment ref="D741" authorId="72" shapeId="0">
      <text>
        <r>
          <rPr>
            <b/>
            <sz val="9"/>
            <rFont val="Tahoma"/>
          </rPr>
          <t>Jana Holíková:</t>
        </r>
        <r>
          <rPr>
            <sz val="9"/>
            <rFont val="Tahoma"/>
          </rPr>
          <t xml:space="preserve">
24025.03
+320.000 +28.800
</t>
        </r>
      </text>
    </comment>
    <comment ref="D743" authorId="73" shapeId="0">
      <text>
        <r>
          <rPr>
            <b/>
            <sz val="9"/>
            <rFont val="Tahoma"/>
          </rPr>
          <t>Jana Holíková:</t>
        </r>
        <r>
          <rPr>
            <sz val="9"/>
            <rFont val="Tahoma"/>
          </rPr>
          <t xml:space="preserve">
24018/02
+563.940,99 (5011)
+135.346 (5031)
+ 50.757 (5032)
</t>
        </r>
      </text>
    </comment>
    <comment ref="D754" authorId="74" shapeId="0">
      <text>
        <r>
          <rPr>
            <b/>
            <sz val="9"/>
            <rFont val="Tahoma"/>
          </rPr>
          <t>Jana Holíková:</t>
        </r>
        <r>
          <rPr>
            <sz val="9"/>
            <rFont val="Tahoma"/>
          </rPr>
          <t xml:space="preserve">
24014/02 +-50.000
</t>
        </r>
      </text>
    </comment>
    <comment ref="D763" authorId="75" shapeId="0">
      <text>
        <r>
          <rPr>
            <b/>
            <sz val="9"/>
            <rFont val="Tahoma"/>
          </rPr>
          <t>Jana Holíková:</t>
        </r>
        <r>
          <rPr>
            <sz val="9"/>
            <rFont val="Tahoma"/>
          </rPr>
          <t xml:space="preserve">
24013/02 -50.000
24075/06 -4.745
</t>
        </r>
      </text>
    </comment>
    <comment ref="D768" authorId="76" shapeId="0">
      <text>
        <r>
          <rPr>
            <b/>
            <sz val="9"/>
            <rFont val="Tahoma"/>
          </rPr>
          <t>Jana Holíková:</t>
        </r>
        <r>
          <rPr>
            <sz val="9"/>
            <rFont val="Tahoma"/>
          </rPr>
          <t xml:space="preserve">
24034/03 -360.000
</t>
        </r>
      </text>
    </comment>
    <comment ref="D775" authorId="77" shapeId="0">
      <text>
        <r>
          <rPr>
            <b/>
            <sz val="9"/>
            <rFont val="Tahoma"/>
          </rPr>
          <t>Jana Holíková:</t>
        </r>
        <r>
          <rPr>
            <sz val="9"/>
            <rFont val="Tahoma"/>
          </rPr>
          <t xml:space="preserve">
24013/02 +50.000
24033/03 +59.000
24024/03 +75.000
24075/06 +4.745
</t>
        </r>
      </text>
    </comment>
    <comment ref="D780" authorId="78" shapeId="0">
      <text>
        <r>
          <rPr>
            <b/>
            <sz val="9"/>
            <rFont val="Tahoma"/>
          </rPr>
          <t>Jana Holíková:</t>
        </r>
        <r>
          <rPr>
            <sz val="9"/>
            <rFont val="Tahoma"/>
          </rPr>
          <t xml:space="preserve">
24031/03 +2.980.000 úz
24570/05 dopl.úz:
+419.000 (0390)
+181.000 (0390)
+   2.000 (0390)
+ 161.000 (2390)
+2.217.000 (2390)
-2.980.000 (0390)
</t>
        </r>
      </text>
    </comment>
    <comment ref="D781" authorId="79" shapeId="0">
      <text>
        <r>
          <rPr>
            <b/>
            <sz val="9"/>
            <rFont val="Tahoma"/>
          </rPr>
          <t>Jana Holíková:</t>
        </r>
        <r>
          <rPr>
            <sz val="9"/>
            <rFont val="Tahoma"/>
          </rPr>
          <t xml:space="preserve">
24031/04 +559.000 úz
24570/05 dopl úz914:
+492.000 (2391)
+36.000 (2391)
+ 31.000 (1391)
-559.000 (1391)
</t>
        </r>
      </text>
    </comment>
    <comment ref="D782" authorId="80" shapeId="0">
      <text>
        <r>
          <rPr>
            <b/>
            <sz val="9"/>
            <rFont val="Tahoma"/>
          </rPr>
          <t>Jana Holíková:</t>
        </r>
        <r>
          <rPr>
            <sz val="9"/>
            <rFont val="Tahoma"/>
          </rPr>
          <t xml:space="preserve">
24031/04 +1.034.000
24570/05 dopl.úz914
+978.000 (2393)
+ 56.000 (1393)
-1.037.000 (1393)
</t>
        </r>
      </text>
    </comment>
    <comment ref="D783" authorId="81" shapeId="0">
      <text>
        <r>
          <rPr>
            <b/>
            <sz val="9"/>
            <rFont val="Tahoma"/>
          </rPr>
          <t>Jana Holíková:</t>
        </r>
        <r>
          <rPr>
            <sz val="9"/>
            <rFont val="Tahoma"/>
          </rPr>
          <t xml:space="preserve">
24507/01 -+2.400.000
změna org
</t>
        </r>
      </text>
    </comment>
    <comment ref="D932" authorId="82" shapeId="0">
      <text>
        <r>
          <rPr>
            <b/>
            <sz val="9"/>
            <rFont val="Tahoma"/>
          </rPr>
          <t>Jana Holíková:</t>
        </r>
        <r>
          <rPr>
            <sz val="9"/>
            <rFont val="Tahoma"/>
          </rPr>
          <t xml:space="preserve">
24042/03 -45.000
</t>
        </r>
      </text>
    </comment>
    <comment ref="D936" authorId="83" shapeId="0">
      <text>
        <r>
          <rPr>
            <b/>
            <sz val="9"/>
            <rFont val="Tahoma"/>
          </rPr>
          <t>Jana Holíková:</t>
        </r>
        <r>
          <rPr>
            <sz val="9"/>
            <rFont val="Tahoma"/>
          </rPr>
          <t xml:space="preserve">
24042/03 +45.000
</t>
        </r>
      </text>
    </comment>
    <comment ref="D948" authorId="84" shapeId="0">
      <text>
        <r>
          <rPr>
            <b/>
            <sz val="9"/>
            <rFont val="Tahoma"/>
          </rPr>
          <t>Jana Holíková:</t>
        </r>
        <r>
          <rPr>
            <sz val="9"/>
            <rFont val="Tahoma"/>
          </rPr>
          <t xml:space="preserve">
24049/04 +16.435.050
</t>
        </r>
      </text>
    </comment>
    <comment ref="D952" authorId="85" shapeId="0">
      <text>
        <r>
          <rPr>
            <b/>
            <sz val="9"/>
            <rFont val="Tahoma"/>
          </rPr>
          <t>Jana Holíková:</t>
        </r>
        <r>
          <rPr>
            <sz val="9"/>
            <rFont val="Tahoma"/>
          </rPr>
          <t xml:space="preserve">
24039/03  0322
+ 5.068,40  253 1441
+45.615,60  911 1445
</t>
        </r>
      </text>
    </comment>
    <comment ref="D953" authorId="86" shapeId="0">
      <text>
        <r>
          <rPr>
            <b/>
            <sz val="9"/>
            <rFont val="Tahoma"/>
          </rPr>
          <t>Jana Holíková:</t>
        </r>
        <r>
          <rPr>
            <sz val="9"/>
            <rFont val="Tahoma"/>
          </rPr>
          <t xml:space="preserve">
24040/03  0323
+ 4.089  253 1441
+36.801  911 1445
</t>
        </r>
      </text>
    </comment>
    <comment ref="D954" authorId="87" shapeId="0">
      <text>
        <r>
          <rPr>
            <b/>
            <sz val="9"/>
            <rFont val="Tahoma"/>
          </rPr>
          <t>Jana Holíková:</t>
        </r>
        <r>
          <rPr>
            <sz val="9"/>
            <rFont val="Tahoma"/>
          </rPr>
          <t xml:space="preserve">
24022/02  0321
+ 1.835,40  253 1441
+16.518,60 911 1445
</t>
        </r>
      </text>
    </comment>
    <comment ref="D957" authorId="88" shapeId="0">
      <text>
        <r>
          <rPr>
            <b/>
            <sz val="9"/>
            <rFont val="Tahoma"/>
          </rPr>
          <t>Jana Holíková:</t>
        </r>
        <r>
          <rPr>
            <sz val="9"/>
            <rFont val="Tahoma"/>
          </rPr>
          <t xml:space="preserve">
24003/01 -10.000
24004/01 -15.000
24005/01 -272.932
24006/01 -3.337.434
24011/01 -192.228
24012/01 +192.228
24015/02 +319.987,99
24016/02 -90.488
24017/02 +289.333
24019/02 -266.805
24020/02 -96.558
24024/03 +400.000
24025.03 -348.800
24026.03 +3.226.272,84
24032/03 -70.000
24033/03 -59.000
24035/03 +5.514.060
24043/03 +1.548
24045/03 +5.904.137,50
24046/04 +1.844.214,70
24047/04 +1.284
24051/04 -231.352,61
24052/04 +21.989
24058/04 -80.000
24059/05 -134.310
24063/05 +8.862
24064/05 -313.948
24067/05 -10.000
24068/05 -150.000
24069/05
-36.900 -30.000
24070/05 -5.000
24071/05 -40.000
24072/05 
-1.002.336,01 +943.202,20
24073/06 +16.164.266,27
24077/06 +13.443,03
24083/06 -150.000
24084/06 -250.000
24085/06 -147.000
24587/06 -75.000
</t>
        </r>
      </text>
    </comment>
    <comment ref="D958" authorId="89" shapeId="0">
      <text>
        <r>
          <rPr>
            <b/>
            <sz val="9"/>
            <rFont val="Tahoma"/>
          </rPr>
          <t>Jana Holíková:</t>
        </r>
        <r>
          <rPr>
            <sz val="9"/>
            <rFont val="Tahoma"/>
          </rPr>
          <t xml:space="preserve">
24587/06 +75.000
</t>
        </r>
      </text>
    </comment>
  </commentList>
</comments>
</file>

<file path=xl/comments3.xml><?xml version="1.0" encoding="utf-8"?>
<comments xmlns="http://schemas.openxmlformats.org/spreadsheetml/2006/main">
  <authors>
    <author>tc={004B00E0-00EB-4FBC-BAA6-00B70008006D}</author>
    <author>tc={00A0001C-007E-45D6-B7F1-00DD002100FB}</author>
    <author>tc={0014001B-00D3-4A96-9E54-0010001400FD}</author>
    <author>tc={005800D6-006E-4879-9CBC-00CC00D8007C}</author>
    <author>tc={00A40003-0053-4CB0-A151-007000690042}</author>
    <author>tc={008B00E0-000D-4CE6-9287-0031004200FD}</author>
    <author>tc={00CE0050-00E6-45E6-8B54-0046005800DE}</author>
    <author>tc={007A005B-00FE-4D7E-B3BF-0077002D0057}</author>
    <author>tc={009900FF-003F-419B-9799-0046000F00E5}</author>
    <author>tc={001B00F4-00C8-4F3D-82AE-00E700300082}</author>
    <author>tc={007700D4-0081-4520-8D2A-0031003A0020}</author>
    <author>tc={002F00A7-001D-4549-BE24-00C2004B00AF}</author>
    <author>tc={00AE0061-00BB-4E2C-B669-00BB00ED002C}</author>
    <author>tc={00300044-000B-4F10-BDF5-0017004800EB}</author>
    <author>tc={00A600DD-000B-44F7-9E7F-003600750045}</author>
    <author>tc={00E900CF-007A-4DBD-976B-00D3009F0056}</author>
    <author>tc={00310042-0012-4E45-9F6B-00B1008A0067}</author>
    <author>tc={00A9009C-009E-4A64-B3F7-005A0059005B}</author>
    <author>tc={003400B1-00EB-42DD-84D2-000E00D20014}</author>
    <author>tc={00650031-00A3-4DFE-9BAC-00D40084008B}</author>
    <author>tc={005000A4-003A-40F5-956F-00F800E3002D}</author>
    <author>tc={00B000A0-0058-4D9C-877A-00BC00FE0093}</author>
    <author>tc={0025003C-006C-4D9A-B120-00BB00AF002A}</author>
    <author>tc={00E00053-009F-4AB3-AA4B-006D001000F0}</author>
    <author>tc={001A00C8-00F7-4586-BE93-0053004C0082}</author>
    <author>tc={00060042-00B2-46DC-A55C-0011008400F5}</author>
    <author>tc={005B0021-004A-426A-A2C5-000E00FE0061}</author>
    <author>tc={00AF00EE-009D-4B2D-AF2E-0049008E005A}</author>
    <author>tc={002E0089-00EF-4339-B9FE-0027004100E9}</author>
    <author>tc={00AE0055-0003-4B4D-A9EE-00C0009B0073}</author>
    <author>tc={000900C6-00CA-47AE-BF71-00A900640001}</author>
    <author>tc={00960036-0004-4BAD-8472-001600100059}</author>
    <author>tc={00BF00AD-008F-424C-9506-0005005D0046}</author>
    <author>tc={00720025-0063-4371-AFAE-000E006E002A}</author>
    <author>tc={00F2007F-00A4-4799-9A69-00DD00CE00C7}</author>
    <author>tc={00E000F7-00AE-4D9A-9DF4-0078009500B4}</author>
    <author>tc={00B50016-000C-4B8B-9B99-005F00FC000B}</author>
    <author>tc={004F005D-0051-4388-8494-002C0024007A}</author>
    <author>tc={009300AB-0044-4ADF-B01C-00C5003B0020}</author>
    <author>tc={00DD0054-00EB-40D2-A105-00F4002300DA}</author>
    <author>tc={003A0028-004B-41BF-88F9-003500B300E7}</author>
    <author>tc={00C60047-0083-4FA6-BF1A-002500550070}</author>
    <author>tc={002B0030-002A-4451-B814-007F000D00BE}</author>
    <author>tc={00F600FD-00F3-4D0F-86ED-009F0024004E}</author>
    <author>tc={00EE00A0-0092-487E-8900-0069003200A6}</author>
    <author>tc={00060054-002D-4948-A1E3-00E600C500E7}</author>
    <author>tc={004C00B7-00D3-43FE-B2B0-00A300D3003A}</author>
    <author>tc={00F100FD-0069-4B4A-9992-006C005700F7}</author>
    <author>tc={00DF0008-00F7-4CF8-898F-00570066009C}</author>
    <author>tc={0056000B-00C1-461B-889E-006D00EE00BC}</author>
    <author>tc={007A00DE-0099-4E82-B448-00E200AF0094}</author>
    <author>tc={0050002C-007D-46B4-A1E8-0080004A00F0}</author>
    <author>tc={003600BC-0072-4F7A-8FD2-006A008300E4}</author>
    <author>tc={007E00D1-0047-44EA-8CBF-003B00290060}</author>
    <author>tc={003D00F2-00EF-494D-8B3D-001100B300F6}</author>
    <author>tc={00D4003E-00A4-4EF0-AF04-00780073003A}</author>
    <author>tc={007A00D8-006D-411A-B08D-00B100A80027}</author>
    <author>tc={005000FE-00C7-415A-8C32-00F500130096}</author>
    <author>tc={00390005-00BB-4CFF-8457-00C9000F007A}</author>
    <author>tc={004900F3-0065-4422-86F5-0027007D002E}</author>
    <author>tc={00A700A1-00C3-4211-A4A1-00EB00A4000D}</author>
    <author>tc={00D80081-0026-485D-A8E1-0027009600D6}</author>
    <author>tc={0034006D-00A4-4D06-9A6D-009F004A0035}</author>
    <author>tc={0006008D-0047-42F9-A4A8-005300940022}</author>
    <author>tc={001200A4-00CE-403B-9755-002D007800EB}</author>
    <author>tc={0027009A-00C4-4FF2-808D-004300CC0065}</author>
    <author>tc={00000049-00C9-4CDE-B477-005C003A000F}</author>
    <author>tc={00CF005E-00D2-48E4-AB66-0044009D005E}</author>
    <author>tc={00BF0098-0071-465A-8495-00CC008B004A}</author>
    <author>tc={00AE0056-001C-4B9F-BC14-008100DB003D}</author>
    <author>tc={00DA0035-000D-467C-A2B1-00C300B20056}</author>
    <author>tc={0096005D-008F-494B-A235-0031007900AA}</author>
    <author>tc={00D80034-00B4-449B-853E-001C002A001B}</author>
    <author>tc={002700DD-005D-42D1-B466-000700B5008F}</author>
    <author>tc={00570066-0091-48AD-B7D3-005C00A00010}</author>
    <author>tc={004200EC-0043-4C27-9900-00E50097000A}</author>
    <author>tc={00540099-0056-4644-9397-007900E700A0}</author>
    <author>tc={009100FC-0046-4886-AF6A-00E000F500F7}</author>
    <author>tc={00910047-00D3-4D24-8FE3-00E700E100DE}</author>
    <author>tc={008900E2-0079-43E9-9763-009900FE00DB}</author>
    <author>tc={00A900F9-0095-48B2-ABD4-00FB005B0060}</author>
    <author>tc={00FE00A2-0049-4320-80A1-004D00DA008A}</author>
    <author>tc={003700E1-004A-435C-8161-00030089002B}</author>
    <author>tc={005400BB-00B0-45F4-B3F3-00CE007A0048}</author>
    <author>tc={00D60066-00F3-464B-BDD9-00F900B6000B}</author>
    <author>tc={002800EC-0089-4FFD-A184-00E700B400CD}</author>
    <author>tc={008200A5-0059-433A-A072-007800EF0012}</author>
    <author>tc={002E001C-006F-4523-9C7E-00B4007300D3}</author>
    <author>tc={00D50047-0052-4608-BF9A-00EC00150025}</author>
    <author>tc={00C9002C-00AF-4BB7-9C2C-00C3002E0006}</author>
    <author>tc={00D1005B-00DC-4DFD-BE21-003700A4009E}</author>
    <author>tc={00A300A0-00B4-4A7E-A805-0098000F004F}</author>
    <author>tc={00E500A8-005B-49DF-A2CE-0014008C00CA}</author>
    <author>tc={00B80009-0016-4E1A-BF54-00E9006B0089}</author>
    <author>tc={006B0089-00EC-481C-87AE-0091004000BA}</author>
    <author>tc={001600CF-001A-408C-9B9A-00720031000A}</author>
    <author>tc={00890058-0060-4CCE-8B36-005600B80085}</author>
    <author>tc={00D00028-00CA-40D5-9BCF-004100E900A0}</author>
    <author>tc={008E0061-0065-4C84-A5AB-0049000600EB}</author>
    <author>tc={00740039-0047-44EE-9ADA-007800D40096}</author>
    <author>tc={00900057-006B-45EF-915B-0013008F00FF}</author>
    <author>tc={004D00F9-0075-4B62-B3C7-004D00980054}</author>
    <author>tc={003E008E-0070-4DA8-957D-000F0042007B}</author>
    <author>tc={004C00A7-009A-4D4D-A9D6-006100060044}</author>
    <author>tc={007A00A9-0071-4026-B93D-001A00BA002A}</author>
    <author>tc={00E700B9-009D-446C-8D28-00A400F60009}</author>
    <author>tc={007D00C6-0075-4638-9332-00E700C800E0}</author>
    <author>tc={00EC0014-0057-4CC2-BA79-00B00028007B}</author>
    <author>tc={00AA00B2-00AF-4BA0-B933-0006002F0011}</author>
    <author>tc={00D300F9-00CE-45F3-A189-0015005600A6}</author>
    <author>tc={00D0004C-0022-4155-B398-005B00E00096}</author>
    <author>tc={006400F9-00AD-4553-AC38-009800FC004A}</author>
    <author>tc={00540026-004E-4CAE-A03C-009C00FF00DC}</author>
    <author>tc={00A1006B-0060-4F0A-B285-0066003C00A4}</author>
    <author>tc={00320066-00BC-42E8-842B-007000C60040}</author>
    <author>tc={0088006F-0038-43AC-8F2F-003F00FF00B8}</author>
    <author>tc={00FD003A-002B-4A59-95AC-0004000B0037}</author>
    <author>tc={00410012-0000-4100-AB32-009500A00067}</author>
    <author>tc={00F600E1-003D-423E-AE2F-00D7008200C6}</author>
    <author>tc={008F0070-0071-4B58-B309-00010020003C}</author>
    <author>tc={000700D3-00AF-40A0-ABC4-00750075007C}</author>
    <author>tc={002F0091-008B-4768-86E4-00780068004F}</author>
    <author>tc={00E20042-00BF-4DA5-8351-00DE0068000D}</author>
    <author>tc={003100C8-003B-40B5-BBD3-00CA004400E0}</author>
    <author>tc={003B0057-00DB-48EC-B146-0007003D00B0}</author>
    <author>tc={006800DB-001C-4A5A-B88E-008B00CF0043}</author>
    <author>tc={0058000C-00F6-4778-8C57-00B400B90084}</author>
    <author>tc={00C10021-0059-4F11-B1DC-009100D6003A}</author>
    <author>tc={004700BD-0068-4A03-8BAF-001100280096}</author>
    <author>tc={00EA00FA-00CE-4065-960C-00F300490038}</author>
    <author>tc={00DF0058-0020-47A5-B5BD-001400AE0087}</author>
    <author>tc={00D800C9-00F0-4742-AB38-00CF00E900F6}</author>
    <author>tc={007B0063-0017-4A43-9FC2-005A00DB0018}</author>
    <author>tc={00AB00B0-0008-4424-AC13-000E00560060}</author>
    <author>tc={00DA003B-0002-41E4-8F93-00AA00C400B7}</author>
    <author>tc={00130005-00AC-4BFA-A764-00E2000A00EB}</author>
    <author>tc={00D70046-0092-4D77-9CBC-002F005F0087}</author>
    <author>tc={001300B7-004D-485C-9A06-009D005400E8}</author>
    <author>tc={004F00D0-00AB-4E64-8F35-006F00610011}</author>
    <author>tc={00E500C3-0082-425E-A043-007D00B200B5}</author>
    <author>tc={006C0030-00F6-4A84-8D28-00B000F200E2}</author>
    <author>tc={002D00BA-002F-431B-A6D5-007800CE004A}</author>
    <author>tc={008A0044-00F2-43D4-A622-002200290090}</author>
    <author>tc={002500E9-00FD-4343-8E43-003A00C100A5}</author>
    <author>tc={00D900DF-00AF-478F-970C-007E009900EF}</author>
    <author>tc={001600C5-0039-4A86-80AB-007F0057007D}</author>
    <author>tc={007F00C1-004F-44DA-94B2-000B00E80063}</author>
    <author>tc={00E70079-006C-49F8-83CD-008300FB0010}</author>
    <author>tc={0023006D-0039-4FA6-851E-005A00F70005}</author>
    <author>tc={0089002D-0081-4126-A6AD-00BC00EC0090}</author>
    <author>tc={009700C3-0082-4D87-97E2-00C000380069}</author>
    <author>tc={00B7005D-0063-4CB2-9313-00EA0046007D}</author>
    <author>tc={00820025-00B8-4CF1-99FD-004B00B8005B}</author>
    <author>tc={00CC0054-00C5-4362-95A8-009800E100A5}</author>
    <author>tc={00C40084-00E7-4B69-A7EE-008A0006001A}</author>
    <author>tc={002D0013-00EB-4188-8EC4-00C600CF009F}</author>
    <author>tc={006E00FA-004C-4471-8F1B-00F800AB00CC}</author>
    <author>tc={00F8000B-000E-48DE-82CD-00F3000A0060}</author>
    <author>tc={001C0042-0048-427C-9795-00C400950014}</author>
    <author>tc={00BF00CD-00C0-44F3-9053-00AD00080018}</author>
    <author>tc={0071004B-00E8-4F11-B9E0-00EE00C5006B}</author>
    <author>tc={006100C9-0073-4B4C-99CD-0068003E00F3}</author>
    <author>tc={00EE00A1-0021-41D6-833A-00DF008D0008}</author>
    <author>tc={007900DD-005B-460E-9B33-008E004E002A}</author>
    <author>tc={00A600A2-00A1-43B3-BC8C-005600CB0020}</author>
    <author>tc={0087008C-0040-4C7E-8091-0077000B00DF}</author>
    <author>tc={00B70092-00AD-4B8D-9F7D-000C006B00CE}</author>
    <author>tc={009B0082-00B1-417B-B153-00D4002000FB}</author>
    <author>tc={005C007F-0010-4F8E-A81A-0084004E0079}</author>
    <author>tc={003300C0-0092-4F38-BE8C-0000008B007C}</author>
    <author>tc={00C200C8-00BE-4846-B58C-003C009400B2}</author>
    <author>tc={007C0069-00C9-4503-98A7-00F200940097}</author>
    <author>tc={00790002-00F3-4CFD-8F04-007400ED0017}</author>
    <author>tc={004700E9-0042-4E95-B963-00820002007E}</author>
    <author>tc={007B00DF-003D-42E4-8A35-0075002500D7}</author>
    <author>tc={00B20051-00F4-439B-819E-008B00D200D2}</author>
    <author>tc={00380058-0059-4EB9-A342-005700C600E1}</author>
    <author>tc={00F40038-00D8-4B1D-8B3F-00EE00DB005C}</author>
    <author>tc={00BD005C-00F1-4BEB-B5D5-001100AD00FD}</author>
    <author>tc={00BE0010-00E3-4CDC-9F1E-009200E800C3}</author>
    <author>tc={001D009B-00F5-42C1-B603-009D006700A9}</author>
    <author>tc={005F00E2-0046-4561-A074-000E008900D0}</author>
    <author>tc={00A8009C-009D-48E5-BA53-004000F400F4}</author>
    <author>tc={00BB001F-0016-4711-A2B9-0006002E0085}</author>
    <author>tc={0082005B-00B9-49B2-956D-001E00BC007D}</author>
  </authors>
  <commentList>
    <comment ref="D38" authorId="0" shapeId="0">
      <text>
        <r>
          <rPr>
            <b/>
            <sz val="9"/>
            <rFont val="Tahoma"/>
          </rPr>
          <t>Jana Holíková:</t>
        </r>
        <r>
          <rPr>
            <sz val="9"/>
            <rFont val="Tahoma"/>
          </rPr>
          <t xml:space="preserve">
25057/04 +25.564.110
</t>
        </r>
      </text>
    </comment>
    <comment ref="D42" authorId="1" shapeId="0">
      <text>
        <r>
          <rPr>
            <b/>
            <sz val="9"/>
            <rFont val="Tahoma"/>
          </rPr>
          <t>Jana Holíková:</t>
        </r>
        <r>
          <rPr>
            <sz val="9"/>
            <rFont val="Tahoma"/>
          </rPr>
          <t xml:space="preserve">
25031/03 +32.200
</t>
        </r>
      </text>
    </comment>
    <comment ref="D69" authorId="2" shapeId="0">
      <text>
        <r>
          <rPr>
            <b/>
            <sz val="9"/>
            <rFont val="Tahoma"/>
          </rPr>
          <t>Jana Holíková:</t>
        </r>
        <r>
          <rPr>
            <sz val="9"/>
            <rFont val="Tahoma"/>
          </rPr>
          <t xml:space="preserve">
25089/05 +10.000
</t>
        </r>
      </text>
    </comment>
    <comment ref="D78" authorId="3" shapeId="0">
      <text>
        <r>
          <rPr>
            <b/>
            <sz val="9"/>
            <rFont val="Tahoma"/>
          </rPr>
          <t>Jana Holíková:</t>
        </r>
        <r>
          <rPr>
            <sz val="9"/>
            <rFont val="Tahoma"/>
          </rPr>
          <t xml:space="preserve">
25002/01 +99.036 (321)
25009/01 +145.092 (322)
25035/03 -10.990 (305)
25071/04 
+545.328,75 (321)
+160.990 (325)
25077/05 +54.671,25 (321)
</t>
        </r>
      </text>
    </comment>
    <comment ref="D97" authorId="4" shapeId="0">
      <text>
        <r>
          <rPr>
            <b/>
            <sz val="9"/>
            <rFont val="Tahoma"/>
          </rPr>
          <t>Jana Holíková:</t>
        </r>
        <r>
          <rPr>
            <sz val="9"/>
            <rFont val="Tahoma"/>
          </rPr>
          <t xml:space="preserve">
25090/05 +10.000
</t>
        </r>
      </text>
    </comment>
    <comment ref="D109" authorId="5" shapeId="0">
      <text>
        <r>
          <rPr>
            <b/>
            <sz val="9"/>
            <rFont val="Tahoma"/>
          </rPr>
          <t>Jana Holíková:</t>
        </r>
        <r>
          <rPr>
            <sz val="9"/>
            <rFont val="Tahoma"/>
          </rPr>
          <t xml:space="preserve">
25031/02 +700.000
</t>
        </r>
      </text>
    </comment>
    <comment ref="D110" authorId="6" shapeId="0">
      <text>
        <r>
          <rPr>
            <b/>
            <sz val="9"/>
            <rFont val="Tahoma"/>
          </rPr>
          <t>Jana Holíková:</t>
        </r>
        <r>
          <rPr>
            <sz val="9"/>
            <rFont val="Tahoma"/>
          </rPr>
          <t xml:space="preserve">
25028/02 +463.363
</t>
        </r>
      </text>
    </comment>
    <comment ref="D111" authorId="7" shapeId="0">
      <text>
        <r>
          <rPr>
            <b/>
            <sz val="9"/>
            <rFont val="Tahoma"/>
          </rPr>
          <t>Jana Holíková:</t>
        </r>
        <r>
          <rPr>
            <sz val="9"/>
            <rFont val="Tahoma"/>
          </rPr>
          <t xml:space="preserve">
25024/02 +62.538,16
</t>
        </r>
      </text>
    </comment>
    <comment ref="D112" authorId="8" shapeId="0">
      <text>
        <r>
          <rPr>
            <b/>
            <sz val="9"/>
            <rFont val="Tahoma"/>
          </rPr>
          <t>Jana Holíková:</t>
        </r>
        <r>
          <rPr>
            <sz val="9"/>
            <rFont val="Tahoma"/>
          </rPr>
          <t xml:space="preserve">
25024/02 +129.480,70
</t>
        </r>
      </text>
    </comment>
    <comment ref="D113" authorId="9" shapeId="0">
      <text>
        <r>
          <rPr>
            <b/>
            <sz val="9"/>
            <rFont val="Tahoma"/>
          </rPr>
          <t>Jana Holíková:</t>
        </r>
        <r>
          <rPr>
            <sz val="9"/>
            <rFont val="Tahoma"/>
          </rPr>
          <t xml:space="preserve">
25024/02 +169.544,53
</t>
        </r>
      </text>
    </comment>
    <comment ref="D114" authorId="10" shapeId="0">
      <text>
        <r>
          <rPr>
            <b/>
            <sz val="9"/>
            <rFont val="Tahoma"/>
          </rPr>
          <t>Jana Holíková:</t>
        </r>
        <r>
          <rPr>
            <sz val="9"/>
            <rFont val="Tahoma"/>
          </rPr>
          <t xml:space="preserve">
25024/02 +70.270,33
</t>
        </r>
      </text>
    </comment>
    <comment ref="D115" authorId="11" shapeId="0">
      <text>
        <r>
          <rPr>
            <b/>
            <sz val="9"/>
            <rFont val="Tahoma"/>
          </rPr>
          <t>Jana Holíková:</t>
        </r>
        <r>
          <rPr>
            <sz val="9"/>
            <rFont val="Tahoma"/>
          </rPr>
          <t xml:space="preserve">
25042/03 +2.743.942,28
</t>
        </r>
      </text>
    </comment>
    <comment ref="D116" authorId="12" shapeId="0">
      <text>
        <r>
          <rPr>
            <b/>
            <sz val="9"/>
            <rFont val="Tahoma"/>
          </rPr>
          <t>Jana Holíková:</t>
        </r>
        <r>
          <rPr>
            <sz val="9"/>
            <rFont val="Tahoma"/>
          </rPr>
          <t xml:space="preserve">
25031/02 
+37.912,80  1180
+ 6.500   1131
+455.819,41  1134
25088/05 +30.000
</t>
        </r>
      </text>
    </comment>
    <comment ref="D117" authorId="13" shapeId="0">
      <text>
        <r>
          <rPr>
            <b/>
            <sz val="9"/>
            <rFont val="Tahoma"/>
          </rPr>
          <t>Jana Holíková:</t>
        </r>
        <r>
          <rPr>
            <sz val="9"/>
            <rFont val="Tahoma"/>
          </rPr>
          <t xml:space="preserve">
25062/04 +23.725
25063/04 +4.745
25082/05 +40.000
25091/06 +10.000
</t>
        </r>
      </text>
    </comment>
    <comment ref="D119" authorId="14" shapeId="0">
      <text>
        <r>
          <rPr>
            <b/>
            <sz val="9"/>
            <rFont val="Tahoma"/>
          </rPr>
          <t>Jana Holíková:</t>
        </r>
        <r>
          <rPr>
            <sz val="9"/>
            <rFont val="Tahoma"/>
          </rPr>
          <t xml:space="preserve">
25004/01 úz 33092
+ 913,14 (1431)
+3.011,86 (1435)
</t>
        </r>
      </text>
    </comment>
    <comment ref="D120" authorId="15" shapeId="0">
      <text>
        <r>
          <rPr>
            <b/>
            <sz val="9"/>
            <rFont val="Tahoma"/>
          </rPr>
          <t>Jana Holíková:</t>
        </r>
        <r>
          <rPr>
            <sz val="9"/>
            <rFont val="Tahoma"/>
          </rPr>
          <t xml:space="preserve">
25026/02 +3.730
</t>
        </r>
      </text>
    </comment>
    <comment ref="D122" authorId="16" shapeId="0">
      <text>
        <r>
          <rPr>
            <b/>
            <sz val="9"/>
            <rFont val="Tahoma"/>
          </rPr>
          <t>Jana Holíková:</t>
        </r>
        <r>
          <rPr>
            <sz val="9"/>
            <rFont val="Tahoma"/>
          </rPr>
          <t xml:space="preserve">
25032/03
-50.000 741
+50.000 528
25033/03
-50.000 741
+50.000 416
</t>
        </r>
      </text>
    </comment>
    <comment ref="D123" authorId="17" shapeId="0">
      <text>
        <r>
          <rPr>
            <b/>
            <sz val="9"/>
            <rFont val="Tahoma"/>
          </rPr>
          <t>Jana Holíková:</t>
        </r>
        <r>
          <rPr>
            <sz val="9"/>
            <rFont val="Tahoma"/>
          </rPr>
          <t xml:space="preserve">
25068/04 +240.187
</t>
        </r>
      </text>
    </comment>
    <comment ref="D128" authorId="18" shapeId="0">
      <text>
        <r>
          <rPr>
            <b/>
            <sz val="9"/>
            <rFont val="Tahoma"/>
          </rPr>
          <t>Jana Holíková:</t>
        </r>
        <r>
          <rPr>
            <sz val="9"/>
            <rFont val="Tahoma"/>
          </rPr>
          <t xml:space="preserve">
25031/03 +15.000
</t>
        </r>
      </text>
    </comment>
    <comment ref="D144" authorId="19" shapeId="0">
      <text>
        <r>
          <rPr>
            <b/>
            <sz val="9"/>
            <rFont val="Tahoma"/>
          </rPr>
          <t>Jana Holíková:</t>
        </r>
        <r>
          <rPr>
            <sz val="9"/>
            <rFont val="Tahoma"/>
          </rPr>
          <t xml:space="preserve">
25074/04 -200.000
</t>
        </r>
      </text>
    </comment>
    <comment ref="D152" authorId="20" shapeId="0">
      <text>
        <r>
          <rPr>
            <b/>
            <sz val="9"/>
            <rFont val="Tahoma"/>
          </rPr>
          <t>Jana Holíková:</t>
        </r>
        <r>
          <rPr>
            <sz val="9"/>
            <rFont val="Tahoma"/>
          </rPr>
          <t xml:space="preserve">
25061/04 -5000000
</t>
        </r>
      </text>
    </comment>
    <comment ref="D156" authorId="21" shapeId="0">
      <text>
        <r>
          <rPr>
            <b/>
            <sz val="9"/>
            <rFont val="Tahoma"/>
          </rPr>
          <t>Jana Holíková:</t>
        </r>
        <r>
          <rPr>
            <sz val="9"/>
            <rFont val="Tahoma"/>
          </rPr>
          <t xml:space="preserve">
25047/03 -500.000
</t>
        </r>
      </text>
    </comment>
    <comment ref="D160" authorId="22" shapeId="0">
      <text>
        <r>
          <rPr>
            <b/>
            <sz val="9"/>
            <rFont val="Tahoma"/>
          </rPr>
          <t>Jana Holíková:</t>
        </r>
        <r>
          <rPr>
            <sz val="9"/>
            <rFont val="Tahoma"/>
          </rPr>
          <t xml:space="preserve">
25058/04 +5.889.660
</t>
        </r>
      </text>
    </comment>
    <comment ref="D161" authorId="23" shapeId="0">
      <text>
        <r>
          <rPr>
            <b/>
            <sz val="9"/>
            <rFont val="Tahoma"/>
          </rPr>
          <t>Jana Holíková:</t>
        </r>
        <r>
          <rPr>
            <sz val="9"/>
            <rFont val="Tahoma"/>
          </rPr>
          <t xml:space="preserve">
25094/06 +5.424.450
</t>
        </r>
      </text>
    </comment>
    <comment ref="D164" authorId="24" shapeId="0">
      <text>
        <r>
          <rPr>
            <b/>
            <sz val="9"/>
            <rFont val="Tahoma"/>
          </rPr>
          <t>Jana Holíková:</t>
        </r>
        <r>
          <rPr>
            <sz val="9"/>
            <rFont val="Tahoma"/>
          </rPr>
          <t xml:space="preserve">
25093/06 +748.448
</t>
        </r>
      </text>
    </comment>
    <comment ref="D165" authorId="25" shapeId="0">
      <text>
        <r>
          <rPr>
            <b/>
            <sz val="9"/>
            <rFont val="Tahoma"/>
          </rPr>
          <t>Jana Holíková:</t>
        </r>
        <r>
          <rPr>
            <sz val="9"/>
            <rFont val="Tahoma"/>
          </rPr>
          <t xml:space="preserve">
25093/06 +62.329
</t>
        </r>
      </text>
    </comment>
    <comment ref="D180" authorId="26" shapeId="0">
      <text>
        <r>
          <rPr>
            <b/>
            <sz val="9"/>
            <rFont val="Tahoma"/>
          </rPr>
          <t>Jana Holíková:</t>
        </r>
        <r>
          <rPr>
            <sz val="9"/>
            <rFont val="Tahoma"/>
          </rPr>
          <t xml:space="preserve">
25003/01 -432.200
</t>
        </r>
      </text>
    </comment>
    <comment ref="D188" authorId="27" shapeId="0">
      <text>
        <r>
          <rPr>
            <b/>
            <sz val="9"/>
            <rFont val="Tahoma"/>
          </rPr>
          <t>Jana Holíková:</t>
        </r>
        <r>
          <rPr>
            <sz val="9"/>
            <rFont val="Tahoma"/>
          </rPr>
          <t xml:space="preserve">
25055/03
-+ 25.723 
</t>
        </r>
      </text>
    </comment>
    <comment ref="D190" authorId="28" shapeId="0">
      <text>
        <r>
          <rPr>
            <b/>
            <sz val="9"/>
            <rFont val="Tahoma"/>
          </rPr>
          <t>Jana Holíková:</t>
        </r>
        <r>
          <rPr>
            <sz val="9"/>
            <rFont val="Tahoma"/>
          </rPr>
          <t xml:space="preserve">
25072/04 +71.563,93
</t>
        </r>
      </text>
    </comment>
    <comment ref="D191" authorId="29" shapeId="0">
      <text>
        <r>
          <rPr>
            <b/>
            <sz val="9"/>
            <rFont val="Tahoma"/>
          </rPr>
          <t>Jana Holíková:</t>
        </r>
        <r>
          <rPr>
            <sz val="9"/>
            <rFont val="Tahoma"/>
          </rPr>
          <t xml:space="preserve">
25051/04 úz 33092
+117.955,01 1431
+495.553,09  1435
</t>
        </r>
      </text>
    </comment>
    <comment ref="D192" authorId="30" shapeId="0">
      <text>
        <r>
          <rPr>
            <b/>
            <sz val="9"/>
            <rFont val="Tahoma"/>
          </rPr>
          <t>Jana Holíková:</t>
        </r>
        <r>
          <rPr>
            <sz val="9"/>
            <rFont val="Tahoma"/>
          </rPr>
          <t xml:space="preserve">
25052/04 úz 33092
+138.438,27 1431
+581.607,57  1435
</t>
        </r>
      </text>
    </comment>
    <comment ref="D193" authorId="31" shapeId="0">
      <text>
        <r>
          <rPr>
            <b/>
            <sz val="9"/>
            <rFont val="Tahoma"/>
          </rPr>
          <t>Jana Holíková:</t>
        </r>
        <r>
          <rPr>
            <sz val="9"/>
            <rFont val="Tahoma"/>
          </rPr>
          <t xml:space="preserve">
25041/03 úz 33092
+108.476,76 1431
+455.733  1435
</t>
        </r>
      </text>
    </comment>
    <comment ref="D194" authorId="32" shapeId="0">
      <text>
        <r>
          <rPr>
            <b/>
            <sz val="9"/>
            <rFont val="Tahoma"/>
          </rPr>
          <t>Jana Holíková:</t>
        </r>
        <r>
          <rPr>
            <sz val="9"/>
            <rFont val="Tahoma"/>
          </rPr>
          <t xml:space="preserve">
25048/03 úz33092
+ 280.004,26 1441
+1.176.355,23 1445
</t>
        </r>
      </text>
    </comment>
    <comment ref="D205" authorId="33" shapeId="0">
      <text>
        <r>
          <rPr>
            <b/>
            <sz val="9"/>
            <rFont val="Tahoma"/>
          </rPr>
          <t>Jana Holíková:</t>
        </r>
        <r>
          <rPr>
            <sz val="9"/>
            <rFont val="Tahoma"/>
          </rPr>
          <t xml:space="preserve">
25085/05 +110.000
</t>
        </r>
      </text>
    </comment>
    <comment ref="D206" authorId="34" shapeId="0">
      <text>
        <r>
          <rPr>
            <b/>
            <sz val="9"/>
            <rFont val="Tahoma"/>
          </rPr>
          <t>Jana Holíková:</t>
        </r>
        <r>
          <rPr>
            <sz val="9"/>
            <rFont val="Tahoma"/>
          </rPr>
          <t xml:space="preserve">
25010/01 +4.737.000
</t>
        </r>
      </text>
    </comment>
    <comment ref="D208" authorId="35" shapeId="0">
      <text>
        <r>
          <rPr>
            <b/>
            <sz val="9"/>
            <rFont val="Tahoma"/>
          </rPr>
          <t>Jana Holíková:</t>
        </r>
        <r>
          <rPr>
            <sz val="9"/>
            <rFont val="Tahoma"/>
          </rPr>
          <t xml:space="preserve">
25073/04 +140.000
</t>
        </r>
      </text>
    </comment>
    <comment ref="D209" authorId="36" shapeId="0">
      <text>
        <r>
          <rPr>
            <b/>
            <sz val="9"/>
            <rFont val="Tahoma"/>
          </rPr>
          <t>Jana Holíková:</t>
        </r>
        <r>
          <rPr>
            <sz val="9"/>
            <rFont val="Tahoma"/>
          </rPr>
          <t xml:space="preserve">
25053/03 +239.800
</t>
        </r>
      </text>
    </comment>
    <comment ref="D210" authorId="37" shapeId="0">
      <text>
        <r>
          <rPr>
            <b/>
            <sz val="9"/>
            <rFont val="Tahoma"/>
          </rPr>
          <t>Jana Holíková:</t>
        </r>
        <r>
          <rPr>
            <sz val="9"/>
            <rFont val="Tahoma"/>
          </rPr>
          <t xml:space="preserve">
25037/03
+ 12.834 úz 253 1441
+115.506 úz 911 1445
</t>
        </r>
      </text>
    </comment>
    <comment ref="D211" authorId="38" shapeId="0">
      <text>
        <r>
          <rPr>
            <b/>
            <sz val="9"/>
            <rFont val="Tahoma"/>
          </rPr>
          <t>Jana Holíková:</t>
        </r>
        <r>
          <rPr>
            <sz val="9"/>
            <rFont val="Tahoma"/>
          </rPr>
          <t xml:space="preserve">
25038/03 
+ 9.850 úz 253 1441
+88.650 úz911 1445
</t>
        </r>
      </text>
    </comment>
    <comment ref="D212" authorId="39" shapeId="0">
      <text>
        <r>
          <rPr>
            <b/>
            <sz val="9"/>
            <rFont val="Tahoma"/>
          </rPr>
          <t>Jana Holíková:</t>
        </r>
        <r>
          <rPr>
            <sz val="9"/>
            <rFont val="Tahoma"/>
          </rPr>
          <t xml:space="preserve">
25040/03
+ 17.098,20 úz253 1441
+153.883,80 úz911 1445
</t>
        </r>
      </text>
    </comment>
    <comment ref="D213" authorId="40" shapeId="0">
      <text>
        <r>
          <rPr>
            <b/>
            <sz val="9"/>
            <rFont val="Tahoma"/>
          </rPr>
          <t>Jana Holíková:</t>
        </r>
        <r>
          <rPr>
            <sz val="9"/>
            <rFont val="Tahoma"/>
          </rPr>
          <t xml:space="preserve">
25046/03
 +9.159,75 úz253 1441
+82.437,75 úz911 1445
</t>
        </r>
      </text>
    </comment>
    <comment ref="D214" authorId="41" shapeId="0">
      <text>
        <r>
          <rPr>
            <b/>
            <sz val="9"/>
            <rFont val="Tahoma"/>
          </rPr>
          <t>Jana Holíková:</t>
        </r>
        <r>
          <rPr>
            <sz val="9"/>
            <rFont val="Tahoma"/>
          </rPr>
          <t xml:space="preserve">
25039/03 
+ 11.663,45 úz 253 1441
+104.971,05 úz911 1445
</t>
        </r>
      </text>
    </comment>
    <comment ref="D215" authorId="42" shapeId="0">
      <text>
        <r>
          <rPr>
            <b/>
            <sz val="9"/>
            <rFont val="Tahoma"/>
          </rPr>
          <t>Jana Holíková:</t>
        </r>
        <r>
          <rPr>
            <sz val="9"/>
            <rFont val="Tahoma"/>
          </rPr>
          <t xml:space="preserve">
25061/04 +4.631.000
</t>
        </r>
      </text>
    </comment>
    <comment ref="D224" authorId="43" shapeId="0">
      <text>
        <r>
          <rPr>
            <b/>
            <sz val="9"/>
            <rFont val="Tahoma"/>
          </rPr>
          <t>Jana Holíková:</t>
        </r>
        <r>
          <rPr>
            <sz val="9"/>
            <rFont val="Tahoma"/>
          </rPr>
          <t xml:space="preserve">
25054/03 +1.571.026,45
</t>
        </r>
      </text>
    </comment>
    <comment ref="D225" authorId="44" shapeId="0">
      <text>
        <r>
          <rPr>
            <b/>
            <sz val="9"/>
            <rFont val="Tahoma"/>
          </rPr>
          <t>Jana Holíková:</t>
        </r>
        <r>
          <rPr>
            <sz val="9"/>
            <rFont val="Tahoma"/>
          </rPr>
          <t xml:space="preserve">
25072/04 +1.022.341,89
</t>
        </r>
      </text>
    </comment>
    <comment ref="D228" authorId="45" shapeId="0">
      <text>
        <r>
          <rPr>
            <b/>
            <sz val="9"/>
            <rFont val="Tahoma"/>
          </rPr>
          <t>Jana Holíková:</t>
        </r>
        <r>
          <rPr>
            <sz val="9"/>
            <rFont val="Tahoma"/>
          </rPr>
          <t xml:space="preserve">
25073/04 -140.000
</t>
        </r>
      </text>
    </comment>
    <comment ref="D235" authorId="46" shapeId="0">
      <text>
        <r>
          <rPr>
            <b/>
            <sz val="9"/>
            <rFont val="Tahoma"/>
          </rPr>
          <t>Jana Holíková:</t>
        </r>
        <r>
          <rPr>
            <sz val="9"/>
            <rFont val="Tahoma"/>
          </rPr>
          <t xml:space="preserve">
25030/03 +21.520.868,17
</t>
        </r>
      </text>
    </comment>
    <comment ref="D251" authorId="47" shapeId="0">
      <text>
        <r>
          <rPr>
            <b/>
            <sz val="9"/>
            <rFont val="Tahoma"/>
          </rPr>
          <t>Jana Holíková:</t>
        </r>
        <r>
          <rPr>
            <sz val="9"/>
            <rFont val="Tahoma"/>
          </rPr>
          <t xml:space="preserve">
25519/02 +699.259
25564/05 +195.569,92
</t>
        </r>
      </text>
    </comment>
    <comment ref="D252" authorId="48" shapeId="0">
      <text>
        <r>
          <rPr>
            <b/>
            <sz val="9"/>
            <rFont val="Tahoma"/>
          </rPr>
          <t>Jana Holíková:</t>
        </r>
        <r>
          <rPr>
            <sz val="9"/>
            <rFont val="Tahoma"/>
          </rPr>
          <t xml:space="preserve">
25519/02 -699.259
25564/05 -195.569,92
</t>
        </r>
      </text>
    </comment>
    <comment ref="D261" authorId="49" shapeId="0">
      <text>
        <r>
          <rPr>
            <b/>
            <sz val="9"/>
            <rFont val="Tahoma"/>
          </rPr>
          <t>Jana Holíková:</t>
        </r>
        <r>
          <rPr>
            <sz val="9"/>
            <rFont val="Tahoma"/>
          </rPr>
          <t xml:space="preserve">
25506/01 +98.736
</t>
        </r>
      </text>
    </comment>
    <comment ref="D264" authorId="50" shapeId="0">
      <text>
        <r>
          <rPr>
            <b/>
            <sz val="9"/>
            <rFont val="Tahoma"/>
          </rPr>
          <t>Jana Holíková:</t>
        </r>
        <r>
          <rPr>
            <sz val="9"/>
            <rFont val="Tahoma"/>
          </rPr>
          <t xml:space="preserve">
25501/01 +18.732,10
</t>
        </r>
      </text>
    </comment>
    <comment ref="D265" authorId="51" shapeId="0">
      <text>
        <r>
          <rPr>
            <b/>
            <sz val="9"/>
            <rFont val="Tahoma"/>
          </rPr>
          <t>Jana Holíková:</t>
        </r>
        <r>
          <rPr>
            <sz val="9"/>
            <rFont val="Tahoma"/>
          </rPr>
          <t xml:space="preserve">
25506/01 -98.736
</t>
        </r>
      </text>
    </comment>
    <comment ref="D266" authorId="52" shapeId="0">
      <text>
        <r>
          <rPr>
            <b/>
            <sz val="9"/>
            <rFont val="Tahoma"/>
          </rPr>
          <t>Jana Holíková:</t>
        </r>
        <r>
          <rPr>
            <sz val="9"/>
            <rFont val="Tahoma"/>
          </rPr>
          <t xml:space="preserve">
25525/02 +370.000
</t>
        </r>
      </text>
    </comment>
    <comment ref="D267" authorId="53" shapeId="0">
      <text>
        <r>
          <rPr>
            <b/>
            <sz val="9"/>
            <rFont val="Tahoma"/>
          </rPr>
          <t>Jana Holíková:</t>
        </r>
        <r>
          <rPr>
            <sz val="9"/>
            <rFont val="Tahoma"/>
          </rPr>
          <t xml:space="preserve">
25501/01 -18.732,10
</t>
        </r>
      </text>
    </comment>
    <comment ref="D268" authorId="54" shapeId="0">
      <text>
        <r>
          <rPr>
            <b/>
            <sz val="9"/>
            <rFont val="Tahoma"/>
          </rPr>
          <t>Jana Holíková:</t>
        </r>
        <r>
          <rPr>
            <sz val="9"/>
            <rFont val="Tahoma"/>
          </rPr>
          <t xml:space="preserve">
25525/02 -370.000
</t>
        </r>
      </text>
    </comment>
    <comment ref="D271" authorId="55" shapeId="0">
      <text>
        <r>
          <rPr>
            <b/>
            <sz val="9"/>
            <rFont val="Tahoma"/>
          </rPr>
          <t>Jana Holíková:</t>
        </r>
        <r>
          <rPr>
            <sz val="9"/>
            <rFont val="Tahoma"/>
          </rPr>
          <t xml:space="preserve">
25513/01 +90.212,58
</t>
        </r>
      </text>
    </comment>
    <comment ref="D272" authorId="56" shapeId="0">
      <text>
        <r>
          <rPr>
            <b/>
            <sz val="9"/>
            <rFont val="Tahoma"/>
          </rPr>
          <t>Jana Holíková:</t>
        </r>
        <r>
          <rPr>
            <sz val="9"/>
            <rFont val="Tahoma"/>
          </rPr>
          <t xml:space="preserve">
25505/01 +29.947,50
</t>
        </r>
      </text>
    </comment>
    <comment ref="D276" authorId="57" shapeId="0">
      <text>
        <r>
          <rPr>
            <b/>
            <sz val="9"/>
            <rFont val="Tahoma"/>
          </rPr>
          <t>Jana Holíková:</t>
        </r>
        <r>
          <rPr>
            <sz val="9"/>
            <rFont val="Tahoma"/>
          </rPr>
          <t xml:space="preserve">
25505/01 -29.947,50
25513/01 -90.212,58
</t>
        </r>
      </text>
    </comment>
    <comment ref="D279" authorId="58" shapeId="0">
      <text>
        <r>
          <rPr>
            <b/>
            <sz val="9"/>
            <rFont val="Tahoma"/>
          </rPr>
          <t>Jana Holíková:</t>
        </r>
        <r>
          <rPr>
            <sz val="9"/>
            <rFont val="Tahoma"/>
          </rPr>
          <t xml:space="preserve">
25538/03 +19.312,50
</t>
        </r>
      </text>
    </comment>
    <comment ref="D280" authorId="59" shapeId="0">
      <text>
        <r>
          <rPr>
            <b/>
            <sz val="9"/>
            <rFont val="Tahoma"/>
          </rPr>
          <t>Jana Holíková:</t>
        </r>
        <r>
          <rPr>
            <sz val="9"/>
            <rFont val="Tahoma"/>
          </rPr>
          <t xml:space="preserve">
25020/02 +250.000
</t>
        </r>
      </text>
    </comment>
    <comment ref="D282" authorId="60" shapeId="0">
      <text>
        <r>
          <rPr>
            <b/>
            <sz val="9"/>
            <rFont val="Tahoma"/>
          </rPr>
          <t>Jana Holíková:</t>
        </r>
        <r>
          <rPr>
            <sz val="9"/>
            <rFont val="Tahoma"/>
          </rPr>
          <t xml:space="preserve">
25538/03 -19.312,50
</t>
        </r>
      </text>
    </comment>
    <comment ref="D286" authorId="61" shapeId="0">
      <text>
        <r>
          <rPr>
            <b/>
            <sz val="9"/>
            <rFont val="Tahoma"/>
          </rPr>
          <t>Jana Holíková:</t>
        </r>
        <r>
          <rPr>
            <sz val="9"/>
            <rFont val="Tahoma"/>
          </rPr>
          <t xml:space="preserve">
25081/05 +3.375.008,64
</t>
        </r>
      </text>
    </comment>
    <comment ref="D306" authorId="62" shapeId="0">
      <text>
        <r>
          <rPr>
            <b/>
            <sz val="9"/>
            <rFont val="Tahoma"/>
          </rPr>
          <t>Jana Holíková:</t>
        </r>
        <r>
          <rPr>
            <sz val="9"/>
            <rFont val="Tahoma"/>
          </rPr>
          <t xml:space="preserve">
25562/05 +199.650
</t>
        </r>
      </text>
    </comment>
    <comment ref="D307" authorId="63" shapeId="0">
      <text>
        <r>
          <rPr>
            <b/>
            <sz val="9"/>
            <rFont val="Tahoma"/>
          </rPr>
          <t>Jana Holíková:</t>
        </r>
        <r>
          <rPr>
            <sz val="9"/>
            <rFont val="Tahoma"/>
          </rPr>
          <t xml:space="preserve">
25557/05 -96.485,40
25562/05 -199.650
</t>
        </r>
      </text>
    </comment>
    <comment ref="D320" authorId="64" shapeId="0">
      <text>
        <r>
          <rPr>
            <b/>
            <sz val="9"/>
            <rFont val="Tahoma"/>
          </rPr>
          <t>Jana Holíková:</t>
        </r>
        <r>
          <rPr>
            <sz val="9"/>
            <rFont val="Tahoma"/>
          </rPr>
          <t xml:space="preserve">
25068/04 +226.282
</t>
        </r>
      </text>
    </comment>
    <comment ref="D324" authorId="65" shapeId="0">
      <text>
        <r>
          <rPr>
            <b/>
            <sz val="9"/>
            <rFont val="Tahoma"/>
          </rPr>
          <t>Jana Holíková:</t>
        </r>
        <r>
          <rPr>
            <sz val="9"/>
            <rFont val="Tahoma"/>
          </rPr>
          <t xml:space="preserve">
25563/05 
-775.379,13  5171
+775.379,13 5139
</t>
        </r>
      </text>
    </comment>
    <comment ref="D328" authorId="66" shapeId="0">
      <text>
        <r>
          <rPr>
            <b/>
            <sz val="9"/>
            <rFont val="Tahoma"/>
          </rPr>
          <t>Jana Holíková:</t>
        </r>
        <r>
          <rPr>
            <sz val="9"/>
            <rFont val="Tahoma"/>
          </rPr>
          <t xml:space="preserve">
25532/03 +40.838
</t>
        </r>
      </text>
    </comment>
    <comment ref="D330" authorId="67" shapeId="0">
      <text>
        <r>
          <rPr>
            <b/>
            <sz val="9"/>
            <rFont val="Tahoma"/>
          </rPr>
          <t>Jana Holíková:</t>
        </r>
        <r>
          <rPr>
            <sz val="9"/>
            <rFont val="Tahoma"/>
          </rPr>
          <t xml:space="preserve">
25532/03 -40.838
</t>
        </r>
      </text>
    </comment>
    <comment ref="D332" authorId="68" shapeId="0">
      <text>
        <r>
          <rPr>
            <b/>
            <sz val="9"/>
            <rFont val="Tahoma"/>
          </rPr>
          <t>Jana Holíková:</t>
        </r>
        <r>
          <rPr>
            <sz val="9"/>
            <rFont val="Tahoma"/>
          </rPr>
          <t xml:space="preserve">
25025/02 +104.517
</t>
        </r>
      </text>
    </comment>
    <comment ref="D348" authorId="69" shapeId="0">
      <text>
        <r>
          <rPr>
            <b/>
            <sz val="9"/>
            <rFont val="Tahoma"/>
          </rPr>
          <t>Jana Holíková:</t>
        </r>
        <r>
          <rPr>
            <sz val="9"/>
            <rFont val="Tahoma"/>
          </rPr>
          <t xml:space="preserve">
25504/01 -300.000
25509/01 -80.000
25511/01 -20.000
</t>
        </r>
      </text>
    </comment>
    <comment ref="D350" authorId="70" shapeId="0">
      <text>
        <r>
          <rPr>
            <b/>
            <sz val="9"/>
            <rFont val="Tahoma"/>
          </rPr>
          <t>Jana Holíková:</t>
        </r>
        <r>
          <rPr>
            <sz val="9"/>
            <rFont val="Tahoma"/>
          </rPr>
          <t xml:space="preserve">
25541/04 +450.000
</t>
        </r>
      </text>
    </comment>
    <comment ref="D351" authorId="71" shapeId="0">
      <text>
        <r>
          <rPr>
            <b/>
            <sz val="9"/>
            <rFont val="Tahoma"/>
          </rPr>
          <t>Jana Holíková:</t>
        </r>
        <r>
          <rPr>
            <sz val="9"/>
            <rFont val="Tahoma"/>
          </rPr>
          <t xml:space="preserve">
25541/04 -450.000
</t>
        </r>
      </text>
    </comment>
    <comment ref="D352" authorId="72" shapeId="0">
      <text>
        <r>
          <rPr>
            <b/>
            <sz val="9"/>
            <rFont val="Tahoma"/>
          </rPr>
          <t>Jana Holíková:</t>
        </r>
        <r>
          <rPr>
            <sz val="9"/>
            <rFont val="Tahoma"/>
          </rPr>
          <t xml:space="preserve">
25504/01 +300.000
25555/05 -29.900
</t>
        </r>
      </text>
    </comment>
    <comment ref="D353" authorId="73" shapeId="0">
      <text>
        <r>
          <rPr>
            <b/>
            <sz val="9"/>
            <rFont val="Tahoma"/>
          </rPr>
          <t>Jana Holíková:</t>
        </r>
        <r>
          <rPr>
            <sz val="9"/>
            <rFont val="Tahoma"/>
          </rPr>
          <t xml:space="preserve">
25509/01 +80.000
25511/01 +20.000
25555/05 +29.900
</t>
        </r>
      </text>
    </comment>
    <comment ref="D357" authorId="74" shapeId="0">
      <text>
        <r>
          <rPr>
            <b/>
            <sz val="9"/>
            <rFont val="Tahoma"/>
          </rPr>
          <t>Jana Holíková:</t>
        </r>
        <r>
          <rPr>
            <sz val="9"/>
            <rFont val="Tahoma"/>
          </rPr>
          <t xml:space="preserve">
25022/02 -210.000
</t>
        </r>
      </text>
    </comment>
    <comment ref="D369" authorId="75" shapeId="0">
      <text>
        <r>
          <rPr>
            <b/>
            <sz val="9"/>
            <rFont val="Tahoma"/>
          </rPr>
          <t>Jana Holíková:</t>
        </r>
        <r>
          <rPr>
            <sz val="9"/>
            <rFont val="Tahoma"/>
          </rPr>
          <t xml:space="preserve">
25542/04 -80.000
25550/05 -35.000
</t>
        </r>
      </text>
    </comment>
    <comment ref="D371" authorId="76" shapeId="0">
      <text>
        <r>
          <rPr>
            <b/>
            <sz val="9"/>
            <rFont val="Tahoma"/>
          </rPr>
          <t>Jana Holíková:</t>
        </r>
        <r>
          <rPr>
            <sz val="9"/>
            <rFont val="Tahoma"/>
          </rPr>
          <t xml:space="preserve">
25550/05 +35.000
</t>
        </r>
      </text>
    </comment>
    <comment ref="D372" authorId="77" shapeId="0">
      <text>
        <r>
          <rPr>
            <b/>
            <sz val="9"/>
            <rFont val="Tahoma"/>
          </rPr>
          <t>Jana Holíková:</t>
        </r>
        <r>
          <rPr>
            <sz val="9"/>
            <rFont val="Tahoma"/>
          </rPr>
          <t xml:space="preserve">
25067/04 +3.000.000
</t>
        </r>
      </text>
    </comment>
    <comment ref="D375" authorId="78" shapeId="0">
      <text>
        <r>
          <rPr>
            <b/>
            <sz val="9"/>
            <rFont val="Tahoma"/>
          </rPr>
          <t>Jana Holíková:</t>
        </r>
        <r>
          <rPr>
            <sz val="9"/>
            <rFont val="Tahoma"/>
          </rPr>
          <t xml:space="preserve">
25542/04 +80.000
</t>
        </r>
      </text>
    </comment>
    <comment ref="D377" authorId="79" shapeId="0">
      <text>
        <r>
          <rPr>
            <b/>
            <sz val="9"/>
            <rFont val="Tahoma"/>
          </rPr>
          <t>Jana Holíková:</t>
        </r>
        <r>
          <rPr>
            <sz val="9"/>
            <rFont val="Tahoma"/>
          </rPr>
          <t xml:space="preserve">
25503/01 -90.000
</t>
        </r>
      </text>
    </comment>
    <comment ref="D378" authorId="80" shapeId="0">
      <text>
        <r>
          <rPr>
            <b/>
            <sz val="9"/>
            <rFont val="Tahoma"/>
          </rPr>
          <t>Jana Holíková:</t>
        </r>
        <r>
          <rPr>
            <sz val="9"/>
            <rFont val="Tahoma"/>
          </rPr>
          <t xml:space="preserve">
25507/01 -32.000
25508/01 - 104.000
25527/02 -17.000
</t>
        </r>
      </text>
    </comment>
    <comment ref="D379" authorId="81" shapeId="0">
      <text>
        <r>
          <rPr>
            <b/>
            <sz val="9"/>
            <rFont val="Tahoma"/>
          </rPr>
          <t>Jana Holíková:</t>
        </r>
        <r>
          <rPr>
            <sz val="9"/>
            <rFont val="Tahoma"/>
          </rPr>
          <t xml:space="preserve">
255508/01 +104.000
</t>
        </r>
      </text>
    </comment>
    <comment ref="D380" authorId="82" shapeId="0">
      <text>
        <r>
          <rPr>
            <b/>
            <sz val="9"/>
            <rFont val="Tahoma"/>
          </rPr>
          <t>Jana Holíková:</t>
        </r>
        <r>
          <rPr>
            <sz val="9"/>
            <rFont val="Tahoma"/>
          </rPr>
          <t xml:space="preserve">
25503/01 +90.000
</t>
        </r>
      </text>
    </comment>
    <comment ref="D383" authorId="83" shapeId="0">
      <text>
        <r>
          <rPr>
            <b/>
            <sz val="9"/>
            <rFont val="Tahoma"/>
          </rPr>
          <t>Jana Holíková:</t>
        </r>
        <r>
          <rPr>
            <sz val="9"/>
            <rFont val="Tahoma"/>
          </rPr>
          <t xml:space="preserve">
25527/02 +17.000
</t>
        </r>
      </text>
    </comment>
    <comment ref="D387" authorId="84" shapeId="0">
      <text>
        <r>
          <rPr>
            <b/>
            <sz val="9"/>
            <rFont val="Tahoma"/>
          </rPr>
          <t>Jana Holíková:</t>
        </r>
        <r>
          <rPr>
            <sz val="9"/>
            <rFont val="Tahoma"/>
          </rPr>
          <t xml:space="preserve">
25526/02 -32.000
25552/05 -21.000
</t>
        </r>
      </text>
    </comment>
    <comment ref="D389" authorId="85" shapeId="0">
      <text>
        <r>
          <rPr>
            <b/>
            <sz val="9"/>
            <rFont val="Tahoma"/>
          </rPr>
          <t>Jana Holíková:</t>
        </r>
        <r>
          <rPr>
            <sz val="9"/>
            <rFont val="Tahoma"/>
          </rPr>
          <t xml:space="preserve">
25526/02 +32.000
25552/05 +21.000
</t>
        </r>
      </text>
    </comment>
    <comment ref="D390" authorId="86" shapeId="0">
      <text>
        <r>
          <rPr>
            <b/>
            <sz val="9"/>
            <rFont val="Tahoma"/>
          </rPr>
          <t>Jana Holíková:</t>
        </r>
        <r>
          <rPr>
            <sz val="9"/>
            <rFont val="Tahoma"/>
          </rPr>
          <t xml:space="preserve">
25001/01 +685.000
</t>
        </r>
      </text>
    </comment>
    <comment ref="D391" authorId="87" shapeId="0">
      <text>
        <r>
          <rPr>
            <b/>
            <sz val="9"/>
            <rFont val="Tahoma"/>
          </rPr>
          <t>Jana Holíková:</t>
        </r>
        <r>
          <rPr>
            <sz val="9"/>
            <rFont val="Tahoma"/>
          </rPr>
          <t xml:space="preserve">
25001/01 +472.200
25507/01 +32.000
</t>
        </r>
      </text>
    </comment>
    <comment ref="D393" authorId="88" shapeId="0">
      <text>
        <r>
          <rPr>
            <b/>
            <sz val="9"/>
            <rFont val="Tahoma"/>
          </rPr>
          <t>Jana Holíková:</t>
        </r>
        <r>
          <rPr>
            <sz val="9"/>
            <rFont val="Tahoma"/>
          </rPr>
          <t xml:space="preserve">
25001/01 +2.021.300
</t>
        </r>
      </text>
    </comment>
    <comment ref="D395" authorId="89" shapeId="0">
      <text>
        <r>
          <rPr>
            <b/>
            <sz val="9"/>
            <rFont val="Tahoma"/>
          </rPr>
          <t>Jana Holíková:</t>
        </r>
        <r>
          <rPr>
            <sz val="9"/>
            <rFont val="Tahoma"/>
          </rPr>
          <t xml:space="preserve">
25095/06 -1.000.000
</t>
        </r>
      </text>
    </comment>
    <comment ref="D396" authorId="90" shapeId="0">
      <text>
        <r>
          <rPr>
            <b/>
            <sz val="9"/>
            <rFont val="Tahoma"/>
          </rPr>
          <t>Jana Holíková:</t>
        </r>
        <r>
          <rPr>
            <sz val="9"/>
            <rFont val="Tahoma"/>
          </rPr>
          <t xml:space="preserve">
25573/06 +437.000
</t>
        </r>
      </text>
    </comment>
    <comment ref="D401" authorId="91" shapeId="0">
      <text>
        <r>
          <rPr>
            <b/>
            <sz val="9"/>
            <rFont val="Tahoma"/>
          </rPr>
          <t>Jana Holíková:</t>
        </r>
        <r>
          <rPr>
            <sz val="9"/>
            <rFont val="Tahoma"/>
          </rPr>
          <t xml:space="preserve">
25059/04 +400.000
</t>
        </r>
      </text>
    </comment>
    <comment ref="D403" authorId="92" shapeId="0">
      <text>
        <r>
          <rPr>
            <b/>
            <sz val="9"/>
            <rFont val="Tahoma"/>
          </rPr>
          <t>Jana Holíková:</t>
        </r>
        <r>
          <rPr>
            <sz val="9"/>
            <rFont val="Tahoma"/>
          </rPr>
          <t xml:space="preserve">
25573/06 -437.000
</t>
        </r>
      </text>
    </comment>
    <comment ref="D408" authorId="93" shapeId="0">
      <text>
        <r>
          <rPr>
            <b/>
            <sz val="9"/>
            <rFont val="Tahoma"/>
          </rPr>
          <t>Jana Holíková:</t>
        </r>
        <r>
          <rPr>
            <sz val="9"/>
            <rFont val="Tahoma"/>
          </rPr>
          <t xml:space="preserve">
25022/02 +210.000
</t>
        </r>
      </text>
    </comment>
    <comment ref="D409" authorId="94" shapeId="0">
      <text>
        <r>
          <rPr>
            <b/>
            <sz val="9"/>
            <rFont val="Tahoma"/>
          </rPr>
          <t>Jana Holíková:</t>
        </r>
        <r>
          <rPr>
            <sz val="9"/>
            <rFont val="Tahoma"/>
          </rPr>
          <t xml:space="preserve">
25020/02 -250.000
</t>
        </r>
      </text>
    </comment>
    <comment ref="D414" authorId="95" shapeId="0">
      <text>
        <r>
          <rPr>
            <b/>
            <sz val="9"/>
            <rFont val="Tahoma"/>
          </rPr>
          <t>Jana Holíková:</t>
        </r>
        <r>
          <rPr>
            <sz val="9"/>
            <rFont val="Tahoma"/>
          </rPr>
          <t xml:space="preserve">
25544/04 -25.000
25566/06 -9.000
</t>
        </r>
      </text>
    </comment>
    <comment ref="D416" authorId="96" shapeId="0">
      <text>
        <r>
          <rPr>
            <b/>
            <sz val="9"/>
            <rFont val="Tahoma"/>
          </rPr>
          <t>Jana Holíková:</t>
        </r>
        <r>
          <rPr>
            <sz val="9"/>
            <rFont val="Tahoma"/>
          </rPr>
          <t xml:space="preserve">
25566/06 -18.000
</t>
        </r>
      </text>
    </comment>
    <comment ref="D418" authorId="97" shapeId="0">
      <text>
        <r>
          <rPr>
            <b/>
            <sz val="9"/>
            <rFont val="Tahoma"/>
          </rPr>
          <t>Jana Holíková:</t>
        </r>
        <r>
          <rPr>
            <sz val="9"/>
            <rFont val="Tahoma"/>
          </rPr>
          <t xml:space="preserve">
25544/04 +25.000
</t>
        </r>
      </text>
    </comment>
    <comment ref="D419" authorId="98" shapeId="0">
      <text>
        <r>
          <rPr>
            <b/>
            <sz val="9"/>
            <rFont val="Tahoma"/>
          </rPr>
          <t>Jana Holíková:</t>
        </r>
        <r>
          <rPr>
            <sz val="9"/>
            <rFont val="Tahoma"/>
          </rPr>
          <t xml:space="preserve">
25566/06 +27.000
</t>
        </r>
      </text>
    </comment>
    <comment ref="D422" authorId="99" shapeId="0">
      <text>
        <r>
          <rPr>
            <b/>
            <sz val="9"/>
            <rFont val="Tahoma"/>
          </rPr>
          <t>Jana Holíková:</t>
        </r>
        <r>
          <rPr>
            <sz val="9"/>
            <rFont val="Tahoma"/>
          </rPr>
          <t xml:space="preserve">
25044/03 +14.800.000
</t>
        </r>
      </text>
    </comment>
    <comment ref="D423" authorId="100" shapeId="0">
      <text>
        <r>
          <rPr>
            <b/>
            <sz val="9"/>
            <rFont val="Tahoma"/>
          </rPr>
          <t>Jana Holíková:</t>
        </r>
        <r>
          <rPr>
            <sz val="9"/>
            <rFont val="Tahoma"/>
          </rPr>
          <t xml:space="preserve">
25533/03 +10.000
</t>
        </r>
      </text>
    </comment>
    <comment ref="D424" authorId="101" shapeId="0">
      <text>
        <r>
          <rPr>
            <b/>
            <sz val="9"/>
            <rFont val="Tahoma"/>
          </rPr>
          <t>Jana Holíková:</t>
        </r>
        <r>
          <rPr>
            <sz val="9"/>
            <rFont val="Tahoma"/>
          </rPr>
          <t xml:space="preserve">
25572/06 
-55.000  5171
+75.000 5169
</t>
        </r>
      </text>
    </comment>
    <comment ref="D426" authorId="102" shapeId="0">
      <text>
        <r>
          <rPr>
            <b/>
            <sz val="9"/>
            <rFont val="Tahoma"/>
          </rPr>
          <t>Jana Holíková:</t>
        </r>
        <r>
          <rPr>
            <sz val="9"/>
            <rFont val="Tahoma"/>
          </rPr>
          <t xml:space="preserve">
25533/03 -10.000
25095/06 
-1.443.000 5171
-   254.000 5169
</t>
        </r>
      </text>
    </comment>
    <comment ref="D428" authorId="103" shapeId="0">
      <text>
        <r>
          <rPr>
            <b/>
            <sz val="9"/>
            <rFont val="Tahoma"/>
          </rPr>
          <t>Jana Holíková:</t>
        </r>
        <r>
          <rPr>
            <sz val="9"/>
            <rFont val="Tahoma"/>
          </rPr>
          <t xml:space="preserve">
25006/01 -3.150
</t>
        </r>
      </text>
    </comment>
    <comment ref="D430" authorId="104" shapeId="0">
      <text>
        <r>
          <rPr>
            <b/>
            <sz val="9"/>
            <rFont val="Tahoma"/>
          </rPr>
          <t>Jana Holíková:</t>
        </r>
        <r>
          <rPr>
            <sz val="9"/>
            <rFont val="Tahoma"/>
          </rPr>
          <t xml:space="preserve">
25572/06 -20.000
</t>
        </r>
      </text>
    </comment>
    <comment ref="D433" authorId="105" shapeId="0">
      <text>
        <r>
          <rPr>
            <b/>
            <sz val="9"/>
            <rFont val="Tahoma"/>
          </rPr>
          <t>Jana Holíková:</t>
        </r>
        <r>
          <rPr>
            <sz val="9"/>
            <rFont val="Tahoma"/>
          </rPr>
          <t xml:space="preserve">
25006/01 +3.150
</t>
        </r>
      </text>
    </comment>
    <comment ref="D443" authorId="106" shapeId="0">
      <text>
        <r>
          <rPr>
            <b/>
            <sz val="9"/>
            <rFont val="Tahoma"/>
          </rPr>
          <t>Jana Holíková:</t>
        </r>
        <r>
          <rPr>
            <sz val="9"/>
            <rFont val="Tahoma"/>
          </rPr>
          <t xml:space="preserve">
25007/01 -50.000
</t>
        </r>
      </text>
    </comment>
    <comment ref="D445" authorId="107" shapeId="0">
      <text>
        <r>
          <rPr>
            <b/>
            <sz val="9"/>
            <rFont val="Tahoma"/>
          </rPr>
          <t>Jana Holíková:</t>
        </r>
        <r>
          <rPr>
            <sz val="9"/>
            <rFont val="Tahoma"/>
          </rPr>
          <t xml:space="preserve">
25007/01 +50.000
</t>
        </r>
      </text>
    </comment>
    <comment ref="D448" authorId="108" shapeId="0">
      <text>
        <r>
          <rPr>
            <b/>
            <sz val="9"/>
            <rFont val="Tahoma"/>
          </rPr>
          <t>Jana Holíková:</t>
        </r>
        <r>
          <rPr>
            <sz val="9"/>
            <rFont val="Tahoma"/>
          </rPr>
          <t xml:space="preserve">
25095/06 -2.800.000
</t>
        </r>
      </text>
    </comment>
    <comment ref="D458" authorId="109" shapeId="0">
      <text>
        <r>
          <rPr>
            <b/>
            <sz val="9"/>
            <rFont val="Tahoma"/>
          </rPr>
          <t>Jana Holíková:</t>
        </r>
        <r>
          <rPr>
            <sz val="9"/>
            <rFont val="Tahoma"/>
          </rPr>
          <t xml:space="preserve">
25512/01 +-281.500
z 6121 na 5137
25045/03 +6.020.000
25064/04 +500.000
</t>
        </r>
      </text>
    </comment>
    <comment ref="D460" authorId="110" shapeId="0">
      <text>
        <r>
          <rPr>
            <b/>
            <sz val="9"/>
            <rFont val="Tahoma"/>
          </rPr>
          <t>Jana Holíková:</t>
        </r>
        <r>
          <rPr>
            <sz val="9"/>
            <rFont val="Tahoma"/>
          </rPr>
          <t xml:space="preserve">
25060/04 +3.050.000
</t>
        </r>
      </text>
    </comment>
    <comment ref="D469" authorId="111" shapeId="0">
      <text>
        <r>
          <rPr>
            <b/>
            <sz val="9"/>
            <rFont val="Tahoma"/>
          </rPr>
          <t>Jana Holíková:</t>
        </r>
        <r>
          <rPr>
            <sz val="9"/>
            <rFont val="Tahoma"/>
          </rPr>
          <t xml:space="preserve">
25021/02 +20.000
</t>
        </r>
      </text>
    </comment>
    <comment ref="D472" authorId="112" shapeId="0">
      <text>
        <r>
          <rPr>
            <b/>
            <sz val="9"/>
            <rFont val="Tahoma"/>
          </rPr>
          <t>Jana Holíková:</t>
        </r>
        <r>
          <rPr>
            <sz val="9"/>
            <rFont val="Tahoma"/>
          </rPr>
          <t xml:space="preserve">
25518/02 změna org z 3730 
-300.080 na:
+ 75.020 3537 Dlouhá, Bud
+ 75.020 3538 Dlouhá u garáží
+ 75.020 3539 Sportovní
+ 75.020 3540 u Máje
25559/05 změna org 
-2.400.000 z 3730
+2.400.000 na 3538 Dlouhá u gar
25097/06 
+1.750.000 3540 Vančurova 38
+  300.000  3541 III.et
25571/06
- 500.000  3730 II.et
+500.000  3540 Vančurova 38 
</t>
        </r>
      </text>
    </comment>
    <comment ref="D475" authorId="113" shapeId="0">
      <text>
        <r>
          <rPr>
            <b/>
            <sz val="9"/>
            <rFont val="Tahoma"/>
          </rPr>
          <t>Jana Holíková:</t>
        </r>
        <r>
          <rPr>
            <sz val="9"/>
            <rFont val="Tahoma"/>
          </rPr>
          <t xml:space="preserve">
25064/04 -500.000
25065/04 -500.000
25543/04 -450.000
25078/05 -25.000.000
25079/05 -630.000
</t>
        </r>
      </text>
    </comment>
    <comment ref="D476" authorId="114" shapeId="0">
      <text>
        <r>
          <rPr>
            <b/>
            <sz val="9"/>
            <rFont val="Tahoma"/>
          </rPr>
          <t>Jana Holíková:</t>
        </r>
        <r>
          <rPr>
            <sz val="9"/>
            <rFont val="Tahoma"/>
          </rPr>
          <t xml:space="preserve">
25543/04 +450.000
</t>
        </r>
      </text>
    </comment>
    <comment ref="D480" authorId="115" shapeId="0">
      <text>
        <r>
          <rPr>
            <b/>
            <sz val="9"/>
            <rFont val="Tahoma"/>
          </rPr>
          <t>Jana Holíková:</t>
        </r>
        <r>
          <rPr>
            <sz val="9"/>
            <rFont val="Tahoma"/>
          </rPr>
          <t xml:space="preserve">
25539/03 +10.000
25095/06 -503.000
</t>
        </r>
      </text>
    </comment>
    <comment ref="D481" authorId="116" shapeId="0">
      <text>
        <r>
          <rPr>
            <b/>
            <sz val="9"/>
            <rFont val="Tahoma"/>
          </rPr>
          <t>Jana Holíková:</t>
        </r>
        <r>
          <rPr>
            <sz val="9"/>
            <rFont val="Tahoma"/>
          </rPr>
          <t xml:space="preserve">
25021/02 -20.000
25096/06 -550.000
25097/06 -2.050.000
</t>
        </r>
      </text>
    </comment>
    <comment ref="D484" authorId="117" shapeId="0">
      <text>
        <r>
          <rPr>
            <b/>
            <sz val="9"/>
            <rFont val="Tahoma"/>
          </rPr>
          <t>Jana Holíková:</t>
        </r>
        <r>
          <rPr>
            <sz val="9"/>
            <rFont val="Tahoma"/>
          </rPr>
          <t xml:space="preserve">
25079/05 +460.000
</t>
        </r>
      </text>
    </comment>
    <comment ref="D485" authorId="118" shapeId="0">
      <text>
        <r>
          <rPr>
            <b/>
            <sz val="9"/>
            <rFont val="Tahoma"/>
          </rPr>
          <t>Jana Holíková:</t>
        </r>
        <r>
          <rPr>
            <sz val="9"/>
            <rFont val="Tahoma"/>
          </rPr>
          <t xml:space="preserve">
25520/02 -290.000
25043/03 -5.450.000
25539/03 -10.000
</t>
        </r>
      </text>
    </comment>
    <comment ref="D486" authorId="119" shapeId="0">
      <text>
        <r>
          <rPr>
            <b/>
            <sz val="9"/>
            <rFont val="Tahoma"/>
          </rPr>
          <t>Jana Holíková:</t>
        </r>
        <r>
          <rPr>
            <sz val="9"/>
            <rFont val="Tahoma"/>
          </rPr>
          <t xml:space="preserve">
25060/04 -400.000
</t>
        </r>
      </text>
    </comment>
    <comment ref="D490" authorId="120" shapeId="0">
      <text>
        <r>
          <rPr>
            <b/>
            <sz val="9"/>
            <rFont val="Tahoma"/>
          </rPr>
          <t>Jana Holíková:</t>
        </r>
        <r>
          <rPr>
            <sz val="9"/>
            <rFont val="Tahoma"/>
          </rPr>
          <t xml:space="preserve">
25520/02 +290.000
</t>
        </r>
      </text>
    </comment>
    <comment ref="D491" authorId="121" shapeId="0">
      <text>
        <r>
          <rPr>
            <b/>
            <sz val="9"/>
            <rFont val="Tahoma"/>
          </rPr>
          <t>Jana Holíková:</t>
        </r>
        <r>
          <rPr>
            <sz val="9"/>
            <rFont val="Tahoma"/>
          </rPr>
          <t xml:space="preserve">
25060/04 -500.000
</t>
        </r>
      </text>
    </comment>
    <comment ref="D492" authorId="122" shapeId="0">
      <text>
        <r>
          <rPr>
            <b/>
            <sz val="9"/>
            <rFont val="Tahoma"/>
          </rPr>
          <t>Jana Holíková:</t>
        </r>
        <r>
          <rPr>
            <sz val="9"/>
            <rFont val="Tahoma"/>
          </rPr>
          <t xml:space="preserve">
25060/04 -800.000
</t>
        </r>
      </text>
    </comment>
    <comment ref="D495" authorId="123" shapeId="0">
      <text>
        <r>
          <rPr>
            <b/>
            <sz val="9"/>
            <rFont val="Tahoma"/>
          </rPr>
          <t>Jana Holíková:</t>
        </r>
        <r>
          <rPr>
            <sz val="9"/>
            <rFont val="Tahoma"/>
          </rPr>
          <t xml:space="preserve">
25095/06 +6.000.000
</t>
        </r>
      </text>
    </comment>
    <comment ref="D496" authorId="124" shapeId="0">
      <text>
        <r>
          <rPr>
            <b/>
            <sz val="9"/>
            <rFont val="Tahoma"/>
          </rPr>
          <t>Jana Holíková:</t>
        </r>
        <r>
          <rPr>
            <sz val="9"/>
            <rFont val="Tahoma"/>
          </rPr>
          <t xml:space="preserve">
25520/02 -290.000
25043/03 -5.450.000
</t>
        </r>
      </text>
    </comment>
    <comment ref="D497" authorId="125" shapeId="0">
      <text>
        <r>
          <rPr>
            <b/>
            <sz val="9"/>
            <rFont val="Tahoma"/>
          </rPr>
          <t>Jana Holíková:</t>
        </r>
        <r>
          <rPr>
            <sz val="9"/>
            <rFont val="Tahoma"/>
          </rPr>
          <t xml:space="preserve">
25529/03 
z 5xxx na 6121
25066/04 +2.000000
25096/06 +550.000
</t>
        </r>
      </text>
    </comment>
    <comment ref="D498" authorId="126" shapeId="0">
      <text>
        <r>
          <rPr>
            <b/>
            <sz val="9"/>
            <rFont val="Tahoma"/>
          </rPr>
          <t>Jana Holíková:</t>
        </r>
        <r>
          <rPr>
            <sz val="9"/>
            <rFont val="Tahoma"/>
          </rPr>
          <t xml:space="preserve">
25079/05 +170.000
</t>
        </r>
      </text>
    </comment>
    <comment ref="D501" authorId="127" shapeId="0">
      <text>
        <r>
          <rPr>
            <b/>
            <sz val="9"/>
            <rFont val="Tahoma"/>
          </rPr>
          <t>Jana Holíková:</t>
        </r>
        <r>
          <rPr>
            <sz val="9"/>
            <rFont val="Tahoma"/>
          </rPr>
          <t xml:space="preserve">
25514/02 -oprava org z 3757 na 0518
</t>
        </r>
      </text>
    </comment>
    <comment ref="D507" authorId="128" shapeId="0">
      <text>
        <r>
          <rPr>
            <b/>
            <sz val="9"/>
            <rFont val="Tahoma"/>
          </rPr>
          <t>Jana Holíková:</t>
        </r>
        <r>
          <rPr>
            <sz val="9"/>
            <rFont val="Tahoma"/>
          </rPr>
          <t xml:space="preserve">
25065/04 +500.000
</t>
        </r>
      </text>
    </comment>
    <comment ref="D509" authorId="129" shapeId="0">
      <text>
        <r>
          <rPr>
            <b/>
            <sz val="9"/>
            <rFont val="Tahoma"/>
          </rPr>
          <t>Jana Holíková:</t>
        </r>
        <r>
          <rPr>
            <sz val="9"/>
            <rFont val="Tahoma"/>
          </rPr>
          <t xml:space="preserve">
25522/02 změna pol
49.659,91 z 6121 na 5191
</t>
        </r>
      </text>
    </comment>
    <comment ref="D514" authorId="130" shapeId="0">
      <text>
        <r>
          <rPr>
            <b/>
            <sz val="9"/>
            <rFont val="Tahoma"/>
          </rPr>
          <t>Jana Holíková:</t>
        </r>
        <r>
          <rPr>
            <sz val="9"/>
            <rFont val="Tahoma"/>
          </rPr>
          <t xml:space="preserve">
25570/06 +363.000
</t>
        </r>
      </text>
    </comment>
    <comment ref="D515" authorId="131" shapeId="0">
      <text>
        <r>
          <rPr>
            <b/>
            <sz val="9"/>
            <rFont val="Tahoma"/>
          </rPr>
          <t>Jana Holíková:</t>
        </r>
        <r>
          <rPr>
            <sz val="9"/>
            <rFont val="Tahoma"/>
          </rPr>
          <t xml:space="preserve">
25570/06 +121.000
</t>
        </r>
      </text>
    </comment>
    <comment ref="D516" authorId="132" shapeId="0">
      <text>
        <r>
          <rPr>
            <b/>
            <sz val="9"/>
            <rFont val="Tahoma"/>
          </rPr>
          <t>Jana Holíková:</t>
        </r>
        <r>
          <rPr>
            <sz val="9"/>
            <rFont val="Tahoma"/>
          </rPr>
          <t xml:space="preserve">
25059/04 +1.300.000
</t>
        </r>
      </text>
    </comment>
    <comment ref="D517" authorId="133" shapeId="0">
      <text>
        <r>
          <rPr>
            <b/>
            <sz val="9"/>
            <rFont val="Tahoma"/>
          </rPr>
          <t>Jana Holíková:</t>
        </r>
        <r>
          <rPr>
            <sz val="9"/>
            <rFont val="Tahoma"/>
          </rPr>
          <t xml:space="preserve">
25008/01 -3.000.000
25080/05 +3.000.000
25570/06 -321.000
</t>
        </r>
      </text>
    </comment>
    <comment ref="D518" authorId="134" shapeId="0">
      <text>
        <r>
          <rPr>
            <b/>
            <sz val="9"/>
            <rFont val="Tahoma"/>
          </rPr>
          <t>Jana Holíková:</t>
        </r>
        <r>
          <rPr>
            <sz val="9"/>
            <rFont val="Tahoma"/>
          </rPr>
          <t xml:space="preserve">
25570/06 -163.000
</t>
        </r>
      </text>
    </comment>
    <comment ref="D537" authorId="135" shapeId="0">
      <text>
        <r>
          <rPr>
            <b/>
            <sz val="9"/>
            <rFont val="Tahoma"/>
          </rPr>
          <t>Jana Holíková:</t>
        </r>
        <r>
          <rPr>
            <sz val="9"/>
            <rFont val="Tahoma"/>
          </rPr>
          <t xml:space="preserve">
25073/04 +300.000 úz 695
25074/04 +70.000 úz 675
</t>
        </r>
      </text>
    </comment>
    <comment ref="D555" authorId="136" shapeId="0">
      <text>
        <r>
          <rPr>
            <b/>
            <sz val="9"/>
            <rFont val="Tahoma"/>
          </rPr>
          <t>Jana Holíková:</t>
        </r>
        <r>
          <rPr>
            <sz val="9"/>
            <rFont val="Tahoma"/>
          </rPr>
          <t xml:space="preserve">
25047/03 DOPLNĚNÍ ÚZ
</t>
        </r>
      </text>
    </comment>
    <comment ref="D564" authorId="137" shapeId="0">
      <text>
        <r>
          <rPr>
            <b/>
            <sz val="9"/>
            <rFont val="Tahoma"/>
          </rPr>
          <t>Jana Holíková:</t>
        </r>
        <r>
          <rPr>
            <sz val="9"/>
            <rFont val="Tahoma"/>
          </rPr>
          <t xml:space="preserve">
25035/03 -10.990
25051/04 úz 33092
+117.955,01 1431
+495.553,09 1435
</t>
        </r>
      </text>
    </comment>
    <comment ref="D568" authorId="138" shapeId="0">
      <text>
        <r>
          <rPr>
            <b/>
            <sz val="9"/>
            <rFont val="Tahoma"/>
          </rPr>
          <t>Jana Holíková:</t>
        </r>
        <r>
          <rPr>
            <sz val="9"/>
            <rFont val="Tahoma"/>
          </rPr>
          <t xml:space="preserve">
25052/03 úz 33092
+138.438,27  1431
+581.607,57  1435
</t>
        </r>
      </text>
    </comment>
    <comment ref="D572" authorId="139" shapeId="0">
      <text>
        <r>
          <rPr>
            <b/>
            <sz val="9"/>
            <rFont val="Tahoma"/>
          </rPr>
          <t>Jana Holíková:</t>
        </r>
        <r>
          <rPr>
            <sz val="9"/>
            <rFont val="Tahoma"/>
          </rPr>
          <t xml:space="preserve">
25037/03 
+ 12.834 úz253 1441
+115.506 úz911 1445
25041/03 úz 33092
+108.476,76 1431
+455.733     1435
</t>
        </r>
      </text>
    </comment>
    <comment ref="D581" authorId="140" shapeId="0">
      <text>
        <r>
          <rPr>
            <b/>
            <sz val="9"/>
            <rFont val="Tahoma"/>
          </rPr>
          <t>Jana Holíková:</t>
        </r>
        <r>
          <rPr>
            <sz val="9"/>
            <rFont val="Tahoma"/>
          </rPr>
          <t xml:space="preserve">
25038/03
+ 9.850 úz253 1441
+88.650 úz911 1445
</t>
        </r>
      </text>
    </comment>
    <comment ref="D585" authorId="141" shapeId="0">
      <text>
        <r>
          <rPr>
            <b/>
            <sz val="9"/>
            <rFont val="Tahoma"/>
          </rPr>
          <t>Jana Holíková:</t>
        </r>
        <r>
          <rPr>
            <sz val="9"/>
            <rFont val="Tahoma"/>
          </rPr>
          <t xml:space="preserve">
25036/03 -297.792
25040/03 
+ 17.098,20 úz253 1441
+153.883,80 úz911 1445
</t>
        </r>
      </text>
    </comment>
    <comment ref="D589" authorId="142" shapeId="0">
      <text>
        <r>
          <rPr>
            <b/>
            <sz val="9"/>
            <rFont val="Tahoma"/>
          </rPr>
          <t>Jana Holíková:</t>
        </r>
        <r>
          <rPr>
            <sz val="9"/>
            <rFont val="Tahoma"/>
          </rPr>
          <t xml:space="preserve">
25046/03
+ 9.159,75 úz253 1441
+82.437,75 úz911 1445
</t>
        </r>
      </text>
    </comment>
    <comment ref="D593" authorId="143" shapeId="0">
      <text>
        <r>
          <rPr>
            <b/>
            <sz val="9"/>
            <rFont val="Tahoma"/>
          </rPr>
          <t>Jana Holíková:</t>
        </r>
        <r>
          <rPr>
            <sz val="9"/>
            <rFont val="Tahoma"/>
          </rPr>
          <t xml:space="preserve">
25039/03
+ 11.663,45 úz 253 1441
+104.971,05 úz911 1445
25048/03 úz33092
+ 280.004,26 1431
+1.176.355,23 1435
</t>
        </r>
      </text>
    </comment>
    <comment ref="D598" authorId="144" shapeId="0">
      <text>
        <r>
          <rPr>
            <b/>
            <sz val="9"/>
            <rFont val="Tahoma"/>
          </rPr>
          <t>Jana Holíková:</t>
        </r>
        <r>
          <rPr>
            <sz val="9"/>
            <rFont val="Tahoma"/>
          </rPr>
          <t xml:space="preserve">
25053/03 úz 833
+239.800
25084/05 +300.000
25100/06 -300.000
</t>
        </r>
      </text>
    </comment>
    <comment ref="D605" authorId="145" shapeId="0">
      <text>
        <r>
          <rPr>
            <b/>
            <sz val="9"/>
            <rFont val="Tahoma"/>
          </rPr>
          <t>Jana Holíková:</t>
        </r>
        <r>
          <rPr>
            <sz val="9"/>
            <rFont val="Tahoma"/>
          </rPr>
          <t xml:space="preserve">
25069/04 -85.015
</t>
        </r>
      </text>
    </comment>
    <comment ref="D623" authorId="146" shapeId="0">
      <text>
        <r>
          <rPr>
            <b/>
            <sz val="9"/>
            <rFont val="Tahoma"/>
          </rPr>
          <t>Jana Holíková:</t>
        </r>
        <r>
          <rPr>
            <sz val="9"/>
            <rFont val="Tahoma"/>
          </rPr>
          <t xml:space="preserve">
25010/01 +4.737.000
25029/02 +400.000 NJKL
25070/04 -472.380
25083/05 +370.000
25085/05 +110.000 úz 341
</t>
        </r>
      </text>
    </comment>
    <comment ref="D639" authorId="147" shapeId="0">
      <text>
        <r>
          <rPr>
            <b/>
            <sz val="9"/>
            <rFont val="Tahoma"/>
          </rPr>
          <t>Jana Holíková:</t>
        </r>
        <r>
          <rPr>
            <sz val="9"/>
            <rFont val="Tahoma"/>
          </rPr>
          <t xml:space="preserve">
25075/04 -30.000 R
25076/04 -70.000 R
25086/05 -40.000 R
25087/05 -30.000 R
</t>
        </r>
      </text>
    </comment>
    <comment ref="D644" authorId="148" shapeId="0">
      <text>
        <r>
          <rPr>
            <b/>
            <sz val="9"/>
            <rFont val="Tahoma"/>
          </rPr>
          <t>Jana Holíková:</t>
        </r>
        <r>
          <rPr>
            <sz val="9"/>
            <rFont val="Tahoma"/>
          </rPr>
          <t xml:space="preserve">
25005/01 +595.004,14
25011/01 +7.500
25012/01 +15.000
25013/01 +30.000
25014/01 +30.000
25015/01 +7.500
25016/01 +80.000
25034/03 +60.000
25075/04 +30.000
25076/04 +70.000
25086/05 +40.000
25087/05 +30.000
25088/05 +30.000
25089/05 +10.000
25090/05 +10.000
</t>
        </r>
      </text>
    </comment>
    <comment ref="D648" authorId="149" shapeId="0">
      <text>
        <r>
          <rPr>
            <b/>
            <sz val="9"/>
            <rFont val="Tahoma"/>
          </rPr>
          <t>Jana Holíková:</t>
        </r>
        <r>
          <rPr>
            <sz val="9"/>
            <rFont val="Tahoma"/>
          </rPr>
          <t xml:space="preserve">
25092/06 +1.169.144,35
</t>
        </r>
      </text>
    </comment>
    <comment ref="D655" authorId="150" shapeId="0">
      <text>
        <r>
          <rPr>
            <b/>
            <sz val="9"/>
            <rFont val="Tahoma"/>
          </rPr>
          <t>Jana Holíková:</t>
        </r>
        <r>
          <rPr>
            <sz val="9"/>
            <rFont val="Tahoma"/>
          </rPr>
          <t xml:space="preserve">
25019/02 +440.000
</t>
        </r>
      </text>
    </comment>
    <comment ref="D659" authorId="151" shapeId="0">
      <text>
        <r>
          <rPr>
            <b/>
            <sz val="9"/>
            <rFont val="Tahoma"/>
          </rPr>
          <t>Jana Holíková:</t>
        </r>
        <r>
          <rPr>
            <sz val="9"/>
            <rFont val="Tahoma"/>
          </rPr>
          <t xml:space="preserve">
25060/04 -1.350.000
</t>
        </r>
      </text>
    </comment>
    <comment ref="D664" authorId="152" shapeId="0">
      <text>
        <r>
          <rPr>
            <b/>
            <sz val="9"/>
            <rFont val="Tahoma"/>
          </rPr>
          <t>Jana Holíková:</t>
        </r>
        <r>
          <rPr>
            <sz val="9"/>
            <rFont val="Tahoma"/>
          </rPr>
          <t xml:space="preserve">
25092/06 +97.090,40
</t>
        </r>
      </text>
    </comment>
    <comment ref="D676" authorId="153" shapeId="0">
      <text>
        <r>
          <rPr>
            <b/>
            <sz val="9"/>
            <rFont val="Tahoma"/>
          </rPr>
          <t>Jana Holíková:</t>
        </r>
        <r>
          <rPr>
            <sz val="9"/>
            <rFont val="Tahoma"/>
          </rPr>
          <t xml:space="preserve">
25068/04 +13.905
</t>
        </r>
      </text>
    </comment>
    <comment ref="D707" authorId="154" shapeId="0">
      <text>
        <r>
          <rPr>
            <b/>
            <sz val="9"/>
            <rFont val="Tahoma"/>
          </rPr>
          <t>Jana Holíková:</t>
        </r>
        <r>
          <rPr>
            <sz val="9"/>
            <rFont val="Tahoma"/>
          </rPr>
          <t xml:space="preserve">
25018/02 +214.000
25062/04 +23.725
25063/04 +4.745
25082/05 +40.000
25091/06 +10.000
</t>
        </r>
      </text>
    </comment>
    <comment ref="D712" authorId="155" shapeId="0">
      <text>
        <r>
          <rPr>
            <b/>
            <sz val="9"/>
            <rFont val="Tahoma"/>
          </rPr>
          <t>Jana Holíková:</t>
        </r>
        <r>
          <rPr>
            <sz val="9"/>
            <rFont val="Tahoma"/>
          </rPr>
          <t xml:space="preserve">
25061/04 +2.980.000
</t>
        </r>
      </text>
    </comment>
    <comment ref="D713" authorId="156" shapeId="0">
      <text>
        <r>
          <rPr>
            <b/>
            <sz val="9"/>
            <rFont val="Tahoma"/>
          </rPr>
          <t>Jana Holíková:</t>
        </r>
        <r>
          <rPr>
            <sz val="9"/>
            <rFont val="Tahoma"/>
          </rPr>
          <t xml:space="preserve">
25061/04 +586.000
</t>
        </r>
      </text>
    </comment>
    <comment ref="D714" authorId="157" shapeId="0">
      <text>
        <r>
          <rPr>
            <b/>
            <sz val="9"/>
            <rFont val="Tahoma"/>
          </rPr>
          <t>Jana Holíková:</t>
        </r>
        <r>
          <rPr>
            <sz val="9"/>
            <rFont val="Tahoma"/>
          </rPr>
          <t xml:space="preserve">
25061/04 +1.065.000
</t>
        </r>
      </text>
    </comment>
    <comment ref="D738" authorId="158" shapeId="0">
      <text>
        <r>
          <rPr>
            <b/>
            <sz val="9"/>
            <rFont val="Tahoma"/>
          </rPr>
          <t>Jana Holíková:</t>
        </r>
        <r>
          <rPr>
            <sz val="9"/>
            <rFont val="Tahoma"/>
          </rPr>
          <t xml:space="preserve">
25056/04 +27.427,50
</t>
        </r>
      </text>
    </comment>
    <comment ref="D741" authorId="159" shapeId="0">
      <text>
        <r>
          <rPr>
            <b/>
            <sz val="9"/>
            <rFont val="Tahoma"/>
          </rPr>
          <t>Jana Holíková:</t>
        </r>
        <r>
          <rPr>
            <sz val="9"/>
            <rFont val="Tahoma"/>
          </rPr>
          <t xml:space="preserve">
25098/06 +500.000
</t>
        </r>
      </text>
    </comment>
    <comment ref="D745" authorId="160" shapeId="0">
      <text>
        <r>
          <rPr>
            <b/>
            <sz val="9"/>
            <rFont val="Tahoma"/>
          </rPr>
          <t>Jana Holíková:</t>
        </r>
        <r>
          <rPr>
            <sz val="9"/>
            <rFont val="Tahoma"/>
          </rPr>
          <t xml:space="preserve">
25521.02 +302.065,30
</t>
        </r>
      </text>
    </comment>
    <comment ref="D746" authorId="161" shapeId="0">
      <text>
        <r>
          <rPr>
            <b/>
            <sz val="9"/>
            <rFont val="Tahoma"/>
          </rPr>
          <t>Jana Holíková:</t>
        </r>
        <r>
          <rPr>
            <sz val="9"/>
            <rFont val="Tahoma"/>
          </rPr>
          <t xml:space="preserve">
25554/05 +798.600
</t>
        </r>
      </text>
    </comment>
    <comment ref="D747" authorId="162" shapeId="0">
      <text>
        <r>
          <rPr>
            <b/>
            <sz val="9"/>
            <rFont val="Tahoma"/>
          </rPr>
          <t>Jana Holíková:</t>
        </r>
        <r>
          <rPr>
            <sz val="9"/>
            <rFont val="Tahoma"/>
          </rPr>
          <t xml:space="preserve">
25554/05 +50.000
</t>
        </r>
      </text>
    </comment>
    <comment ref="D750" authorId="163" shapeId="0">
      <text>
        <r>
          <rPr>
            <b/>
            <sz val="9"/>
            <rFont val="Tahoma"/>
          </rPr>
          <t>Jana Holíková:</t>
        </r>
        <r>
          <rPr>
            <sz val="9"/>
            <rFont val="Tahoma"/>
          </rPr>
          <t xml:space="preserve">
25554/05 -50.000
</t>
        </r>
      </text>
    </comment>
    <comment ref="D752" authorId="164" shapeId="0">
      <text>
        <r>
          <rPr>
            <b/>
            <sz val="9"/>
            <rFont val="Tahoma"/>
          </rPr>
          <t>Jana Holíková:</t>
        </r>
        <r>
          <rPr>
            <sz val="9"/>
            <rFont val="Tahoma"/>
          </rPr>
          <t xml:space="preserve">
25521/02 -312.434,90
25554/05 -847.352
</t>
        </r>
      </text>
    </comment>
    <comment ref="D753" authorId="165" shapeId="0">
      <text>
        <r>
          <rPr>
            <b/>
            <sz val="9"/>
            <rFont val="Tahoma"/>
          </rPr>
          <t>Jana Holíková:</t>
        </r>
        <r>
          <rPr>
            <sz val="9"/>
            <rFont val="Tahoma"/>
          </rPr>
          <t xml:space="preserve">
25521/02 +10.369,60
25554/05 +48.752
</t>
        </r>
      </text>
    </comment>
    <comment ref="D758" authorId="166" shapeId="0">
      <text>
        <r>
          <rPr>
            <b/>
            <sz val="9"/>
            <rFont val="Tahoma"/>
          </rPr>
          <t>Jana Holíková:</t>
        </r>
        <r>
          <rPr>
            <sz val="9"/>
            <rFont val="Tahoma"/>
          </rPr>
          <t xml:space="preserve">
25521/02 -1.756
</t>
        </r>
      </text>
    </comment>
    <comment ref="D759" authorId="167" shapeId="0">
      <text>
        <r>
          <rPr>
            <b/>
            <sz val="9"/>
            <rFont val="Tahoma"/>
          </rPr>
          <t>Jana Holíková:</t>
        </r>
        <r>
          <rPr>
            <sz val="9"/>
            <rFont val="Tahoma"/>
          </rPr>
          <t xml:space="preserve">
25521/02 +1.756
</t>
        </r>
      </text>
    </comment>
    <comment ref="D773" authorId="168" shapeId="0">
      <text>
        <r>
          <rPr>
            <b/>
            <sz val="9"/>
            <rFont val="Tahoma"/>
          </rPr>
          <t>Jana Holíková:</t>
        </r>
        <r>
          <rPr>
            <sz val="9"/>
            <rFont val="Tahoma"/>
          </rPr>
          <t xml:space="preserve">
25098/06 +2.000.000
</t>
        </r>
      </text>
    </comment>
    <comment ref="D789" authorId="169" shapeId="0">
      <text>
        <r>
          <rPr>
            <b/>
            <sz val="9"/>
            <rFont val="Tahoma"/>
          </rPr>
          <t>Jana Holíková:</t>
        </r>
        <r>
          <rPr>
            <sz val="9"/>
            <rFont val="Tahoma"/>
          </rPr>
          <t xml:space="preserve">
25023/02 +800.000
</t>
        </r>
      </text>
    </comment>
    <comment ref="D799" authorId="170" shapeId="0">
      <text>
        <r>
          <rPr>
            <b/>
            <sz val="9"/>
            <rFont val="Tahoma"/>
          </rPr>
          <t>Jana Holíková:</t>
        </r>
        <r>
          <rPr>
            <sz val="9"/>
            <rFont val="Tahoma"/>
          </rPr>
          <t xml:space="preserve">
25510/01 -50.000
</t>
        </r>
      </text>
    </comment>
    <comment ref="D801" authorId="171" shapeId="0">
      <text>
        <r>
          <rPr>
            <b/>
            <sz val="9"/>
            <rFont val="Tahoma"/>
          </rPr>
          <t>Jana Holíková:</t>
        </r>
        <r>
          <rPr>
            <sz val="9"/>
            <rFont val="Tahoma"/>
          </rPr>
          <t xml:space="preserve">
25510/01 +50.000
</t>
        </r>
      </text>
    </comment>
    <comment ref="D810" authorId="172" shapeId="0">
      <text>
        <r>
          <rPr>
            <b/>
            <sz val="9"/>
            <rFont val="Tahoma"/>
          </rPr>
          <t>Jana Holíková:</t>
        </r>
        <r>
          <rPr>
            <sz val="9"/>
            <rFont val="Tahoma"/>
          </rPr>
          <t xml:space="preserve">
25510/01 -30.000
25535/03 -20.000
25098/06 +1.000.000
</t>
        </r>
      </text>
    </comment>
    <comment ref="D815" authorId="173" shapeId="0">
      <text>
        <r>
          <rPr>
            <b/>
            <sz val="9"/>
            <rFont val="Tahoma"/>
          </rPr>
          <t>Jana Holíková:</t>
        </r>
        <r>
          <rPr>
            <sz val="9"/>
            <rFont val="Tahoma"/>
          </rPr>
          <t xml:space="preserve">
25510/01 +30.000
25535/03 +20.000
</t>
        </r>
      </text>
    </comment>
    <comment ref="D825" authorId="174" shapeId="0">
      <text>
        <r>
          <rPr>
            <b/>
            <sz val="9"/>
            <rFont val="Tahoma"/>
          </rPr>
          <t>Jana Holíková:</t>
        </r>
        <r>
          <rPr>
            <sz val="9"/>
            <rFont val="Tahoma"/>
          </rPr>
          <t xml:space="preserve">
25098/06 +1.000.000
</t>
        </r>
      </text>
    </comment>
    <comment ref="D830" authorId="175" shapeId="0">
      <text>
        <r>
          <rPr>
            <b/>
            <sz val="9"/>
            <rFont val="Tahoma"/>
          </rPr>
          <t>Jana Holíková:</t>
        </r>
        <r>
          <rPr>
            <sz val="9"/>
            <rFont val="Tahoma"/>
          </rPr>
          <t xml:space="preserve">
25023/02 -800.000
</t>
        </r>
      </text>
    </comment>
    <comment ref="D851" authorId="176" shapeId="0">
      <text>
        <r>
          <rPr>
            <b/>
            <sz val="9"/>
            <rFont val="Tahoma"/>
          </rPr>
          <t>Jana Holíková:</t>
        </r>
        <r>
          <rPr>
            <sz val="9"/>
            <rFont val="Tahoma"/>
          </rPr>
          <t xml:space="preserve">
25024/02 
+76.214,38 Máj
+111.686,75 Sady
</t>
        </r>
      </text>
    </comment>
    <comment ref="D852" authorId="177" shapeId="0">
      <text>
        <r>
          <rPr>
            <b/>
            <sz val="9"/>
            <rFont val="Tahoma"/>
          </rPr>
          <t>Jana Holíková:</t>
        </r>
        <r>
          <rPr>
            <sz val="9"/>
            <rFont val="Tahoma"/>
          </rPr>
          <t xml:space="preserve">
25024/02 
+212.592,52 K66
+261.781,31 K68
+349.438,48 Tyrš
</t>
        </r>
      </text>
    </comment>
    <comment ref="D853" authorId="178" shapeId="0">
      <text>
        <r>
          <rPr>
            <b/>
            <sz val="9"/>
            <rFont val="Tahoma"/>
          </rPr>
          <t>Jana Holíková:</t>
        </r>
        <r>
          <rPr>
            <sz val="9"/>
            <rFont val="Tahoma"/>
          </rPr>
          <t xml:space="preserve">
25026/02 +3.730
</t>
        </r>
      </text>
    </comment>
    <comment ref="D854" authorId="179" shapeId="0">
      <text>
        <r>
          <rPr>
            <b/>
            <sz val="9"/>
            <rFont val="Tahoma"/>
          </rPr>
          <t>Jana Holíková:</t>
        </r>
        <r>
          <rPr>
            <sz val="9"/>
            <rFont val="Tahoma"/>
          </rPr>
          <t xml:space="preserve">
25024/02 +61.299
</t>
        </r>
      </text>
    </comment>
    <comment ref="D861" authorId="180" shapeId="0">
      <text>
        <r>
          <rPr>
            <b/>
            <sz val="9"/>
            <rFont val="Tahoma"/>
          </rPr>
          <t>Jana Holíková:</t>
        </r>
        <r>
          <rPr>
            <sz val="9"/>
            <rFont val="Tahoma"/>
          </rPr>
          <t xml:space="preserve">
25057/04 +25.564.110
</t>
        </r>
      </text>
    </comment>
    <comment ref="D864" authorId="181" shapeId="0">
      <text>
        <r>
          <rPr>
            <b/>
            <sz val="9"/>
            <rFont val="Tahoma"/>
          </rPr>
          <t>Jana Holíková:</t>
        </r>
        <r>
          <rPr>
            <sz val="9"/>
            <rFont val="Tahoma"/>
          </rPr>
          <t xml:space="preserve">
25004/01 úz 33092
+ 913,14 (1431)
+3.011,86 (1435)
</t>
        </r>
      </text>
    </comment>
    <comment ref="D865" authorId="182" shapeId="0">
      <text>
        <r>
          <rPr>
            <b/>
            <sz val="9"/>
            <rFont val="Tahoma"/>
          </rPr>
          <t>Jana Holíková:</t>
        </r>
        <r>
          <rPr>
            <sz val="9"/>
            <rFont val="Tahoma"/>
          </rPr>
          <t xml:space="preserve">
25027/02 +15.187,53
</t>
        </r>
      </text>
    </comment>
    <comment ref="D866" authorId="183" shapeId="0">
      <text>
        <r>
          <rPr>
            <b/>
            <sz val="9"/>
            <rFont val="Tahoma"/>
          </rPr>
          <t>Jana Holíková:</t>
        </r>
        <r>
          <rPr>
            <sz val="9"/>
            <rFont val="Tahoma"/>
          </rPr>
          <t xml:space="preserve">
25027/02 +3.957,43
</t>
        </r>
      </text>
    </comment>
    <comment ref="D868" authorId="184" shapeId="0">
      <text>
        <r>
          <rPr>
            <b/>
            <sz val="9"/>
            <rFont val="Tahoma"/>
          </rPr>
          <t>Jana Holíková:</t>
        </r>
        <r>
          <rPr>
            <sz val="9"/>
            <rFont val="Tahoma"/>
          </rPr>
          <t xml:space="preserve">
25001/01 -3.178.500
25002/01 +99.036
25003/01 -432.200
25005/01 -595.004,14
25008/01 +3.000.000
25009/01 +145.092
25011/01 -7.500
25012/01 -15.000
25013/01 -30.000
25014/01 -30.000
25015/01 -7.500
25016/01 -80.000
25017/01 +472.672,50
25018/02 -214.000
25024/02 -641.178,72
25025/02 -104.517
25027/02 -19.144,96
25028/02 +463.363
25029/02 -400.000
25030/03 +21.520.868,17
25031/03 +1.247.432,21
25034/03 -60.000
25035/03 +-10.990
25036/03 +297.792
25042/03 +2.743.942,28
25044/03 -14.800.000
25045/03 -6.020.000
25054/04 +1.571.026,45
25056/04 -27.427,50
25058/04 +5.889.660
25059/04 -1.700.000
25061/04 -5.000.000
25066/04 -2.000.000
25067/04 -3.000.000
25069/04 +85.015
25070/04 +472.380
25071/01 +706.318,75
25072/04 +1.093.905,82
25073/04 -300.000
25074/04 -280.000
25077/05 +54.671,25
25078/05 +25.000.000
25080/05 -3.000.000
25081/05 -3.375.008,64
25083/05 -370.000
25084/05 -300.000
25092/06 -1.266.234,75
25093/06 +810.777
25094/06 +5.424.450
25098/06 -4.500.000
25099/06 -5.000.000
25100/06 +300.000
</t>
        </r>
      </text>
    </comment>
  </commentList>
</comments>
</file>

<file path=xl/comments4.xml><?xml version="1.0" encoding="utf-8"?>
<comments xmlns="http://schemas.openxmlformats.org/spreadsheetml/2006/main">
  <authors>
    <author>tc={00D800E2-002E-4BFC-85E9-00540044007C}</author>
    <author>tc={00A400F8-0057-44F8-91CC-000D003E0095}</author>
    <author>tc={002800FF-0075-4402-8F49-0033001F00B5}</author>
    <author>tc={00140050-000D-41F1-8761-00650077005D}</author>
    <author>tc={007A00F7-00A7-4E15-9362-00DC009C00E6}</author>
    <author>tc={006500D4-001F-45E0-8477-008300430047}</author>
    <author>tc={006D0019-00E6-4CF0-99D9-00C700DA004D}</author>
    <author>tc={003300D7-0007-49F0-A2EB-00AC003700A3}</author>
    <author>tc={00E200C5-00DA-4D9B-B9A6-00D700480071}</author>
    <author>tc={00B40063-00E2-4767-87BE-000E0048001D}</author>
    <author>tc={00B40019-002C-4511-A180-0012002A00BC}</author>
    <author>tc={003E0087-00E0-40CD-BB68-000900C50063}</author>
    <author>tc={005500A5-0024-4738-8C4D-005F005E0028}</author>
    <author>tc={00510087-00B7-4795-952A-005300B3006C}</author>
    <author>tc={002900A6-0017-41C5-AA5B-00FD009900E1}</author>
    <author>tc={00B800E7-0004-4A90-8FA5-007D00AF00DC}</author>
    <author>tc={00D600EF-0021-476A-A32F-007C00460062}</author>
    <author>tc={00DB00BC-0030-4FFA-9B0E-00A9004300D5}</author>
    <author>tc={00AD00B8-0074-4ED0-A07D-00CE00B900CA}</author>
    <author>tc={009B006C-003E-4639-AFD3-005600350024}</author>
    <author>tc={00DF00C5-0025-430A-A86D-003500E80084}</author>
    <author>tc={0069003D-0005-439F-9307-0049006F0068}</author>
    <author>tc={00A4003C-00B1-4E80-9055-00F9000B00BF}</author>
    <author>tc={005500BC-00C4-42D1-AF4B-0058009300E7}</author>
    <author>tc={007E0096-000A-4116-A42A-004400F100AD}</author>
    <author>tc={00A40082-001E-4AE5-B065-00E000DF0079}</author>
    <author>tc={0013004D-0070-4F2C-9448-0033007B0029}</author>
    <author>tc={00170029-00F0-4C6A-B605-003400A50003}</author>
    <author>tc={00F10076-0064-4F78-9732-00CE006E00E1}</author>
    <author>tc={009E00CC-008B-4F75-A5A1-000900570043}</author>
    <author>tc={00730046-0095-4A70-A87B-004800000006}</author>
    <author>tc={004C00BC-0070-446A-BEC8-0047007A003B}</author>
    <author>tc={00310047-00BA-42EE-8981-0044008A00DE}</author>
    <author>tc={00E30025-0026-4DDC-93E6-005A00510011}</author>
    <author>tc={003D0009-005C-4502-8F62-0016006D0026}</author>
    <author>tc={009F008D-009E-43C1-BCA0-00E2005000D7}</author>
    <author>tc={009D0048-003D-4B8C-8C6E-00F600D10028}</author>
    <author>tc={00EF004E-0049-42C8-BE0C-002400A2008E}</author>
    <author>tc={009700F6-008F-46C0-8CEB-0085006400B6}</author>
    <author>tc={009F0040-0066-4377-BDFC-00D900D800DF}</author>
    <author>tc={00020061-00FE-4D73-9166-00B600360038}</author>
    <author>tc={00840057-00BB-48CE-B061-006D008500A0}</author>
    <author>tc={004B0077-0033-486C-A801-003D00DD001F}</author>
    <author>tc={00EE0022-002C-48B6-A5EB-00EC0050000B}</author>
    <author>tc={007600D7-0014-4DD6-A5FE-00B200D80062}</author>
    <author>tc={001E00EC-0036-43FF-8952-00DE00440099}</author>
    <author>tc={006800CA-0075-465C-A23C-00FE00290013}</author>
    <author>tc={0044006A-000C-4EE2-ABA3-00EA00B600C5}</author>
    <author>tc={00CA0030-00F1-4130-AB83-001A001C00E4}</author>
    <author>tc={00580054-001E-4245-A295-0032000F0036}</author>
    <author>tc={008C000C-00A1-4BC7-ADEA-00D700520048}</author>
    <author>tc={00E8007F-0071-4C03-9819-000700F70058}</author>
    <author>tc={00C00088-00D3-4F8A-8CA7-00A20099008E}</author>
    <author>tc={0021007F-004A-4ED9-B993-00F600BA00E2}</author>
    <author>tc={004F00EF-00D2-43F7-966A-00C50056009C}</author>
    <author>tc={00F600B4-0009-4B68-BC9D-008A00F600C9}</author>
    <author>tc={000C00ED-003D-482A-9F69-00B4005700A2}</author>
    <author>tc={00C900F1-00B2-4D2D-849B-003300E300F7}</author>
    <author>tc={0052004F-001B-4D89-87B9-002C00B70008}</author>
    <author>tc={0084006F-00D3-48E2-B9CE-001E00D90011}</author>
    <author>tc={00580060-009D-4861-A503-00B00024002A}</author>
    <author>tc={004D0076-001A-4345-8B6C-002900930080}</author>
    <author>tc={00CF00AC-009B-43BD-9E45-004C00A200D1}</author>
    <author>tc={00C800DA-00B8-449E-9C0E-004800CB0074}</author>
    <author>tc={00A90095-007C-4828-B942-001C008B00DC}</author>
    <author>tc={00AA00A1-00CD-48D9-B362-005600BE000F}</author>
    <author>tc={00FD00FC-00B1-4D89-98FC-000500ED006F}</author>
    <author>tc={0089008B-00AB-4C7A-A677-001500FE00B9}</author>
    <author>tc={001E00ED-007E-48AE-9443-00DD00E10069}</author>
    <author>tc={002000F2-0047-40A3-9949-004B00F2006C}</author>
    <author>tc={002E0060-001D-4C75-B83E-003A0046008B}</author>
    <author>tc={008A001F-009B-4521-A06D-00100076001B}</author>
    <author>tc={00E70049-00BA-4C7B-920D-00CD00FD007D}</author>
    <author>tc={0067006F-00CF-47DB-B10D-00DC009400AC}</author>
    <author>tc={00E200B9-004F-4AC7-B145-00EF00AA0015}</author>
    <author>tc={00E20071-0098-4665-AB49-007800C900C5}</author>
    <author>tc={00B9002E-0063-4BA3-8628-00F300D400EB}</author>
    <author>tc={003200B6-00FC-4C6C-8098-0043001D000D}</author>
    <author>tc={005C000D-0089-49C7-B7B5-0018002F00C6}</author>
    <author>tc={005D0063-0064-4A71-945A-006C001A00C7}</author>
    <author>tc={00C70095-0052-4FBA-84D7-002400570039}</author>
    <author>tc={009B000D-0051-45D5-9DE2-009B00D9006F}</author>
    <author>tc={007700A3-00D3-4CAF-A124-00C600260080}</author>
    <author>tc={00AD00BC-009A-4874-9D58-0036001000EE}</author>
    <author>tc={00A10072-001F-4F32-98E0-008A00E000F1}</author>
    <author>tc={00DF0069-008A-465E-915F-007D000D00F8}</author>
    <author>tc={00F100D7-00CA-4303-BECA-0026003000B0}</author>
    <author>tc={009800FC-000D-43A7-AA9D-0051000D00DA}</author>
    <author>tc={009E00C2-00B5-4DA5-9090-0043008600EE}</author>
    <author>tc={007A0000-00D5-4DC9-ACAD-006C003F00C2}</author>
    <author>tc={00CA00FA-00B1-47F0-B8A4-00DA00260005}</author>
    <author>tc={004700FE-0015-4959-82FF-0019004B00BE}</author>
    <author>tc={00BA00DE-0029-45F7-858D-00670042009B}</author>
    <author>tc={002500AC-00DB-4E20-B426-00DB004A0068}</author>
    <author>tc={00F500BC-0029-4F37-82E0-002E00860001}</author>
    <author>tc={00850014-005A-45EA-8EB7-005B00D50074}</author>
    <author>tc={000E004D-00A4-41A5-9397-00C6007C009C}</author>
    <author>tc={00050034-00EC-4303-8E02-0040002800EF}</author>
    <author>tc={0000009E-00B3-4A8C-BE27-00F700630072}</author>
    <author>tc={00F000F9-00E2-4A54-A5AE-00CE00FA0089}</author>
    <author>tc={00520012-00D1-4063-B516-008300BF005E}</author>
    <author>tc={00B00002-0096-4F3E-A77F-0061005200F9}</author>
    <author>tc={00350085-00F7-45AC-A003-005900F900F9}</author>
    <author>tc={00940035-00A2-4736-85D8-00A9005300F1}</author>
    <author>tc={00830017-00AA-468A-9339-009800B90061}</author>
    <author>tc={000700EA-0082-430E-8614-0080007800FC}</author>
    <author>tc={002C005D-0012-493B-A359-008C0043007B}</author>
    <author>tc={00090030-00A7-40A8-B5AB-007200060065}</author>
    <author>tc={006F006E-00E5-4773-87B8-00CE00C80060}</author>
    <author>tc={00EC0073-0094-4071-AA07-00AA00EE005D}</author>
    <author>tc={0077003F-0072-4F12-94FD-0014000000D8}</author>
    <author>tc={00B9002A-0043-4359-9D56-001300B10078}</author>
    <author>tc={003B00EE-0012-44DD-B3C0-00A400F8000B}</author>
    <author>tc={0004005E-001A-472C-9B31-00A700980000}</author>
    <author>tc={005D00A4-0057-44E4-AF82-00170072001A}</author>
    <author>tc={0005001B-00A8-43FA-B3D1-007E00B70008}</author>
    <author>tc={00D100B9-0072-4DD1-AF58-008400BF00A1}</author>
    <author>tc={0095003B-00A1-4E7B-93F1-00430060000A}</author>
    <author>tc={00B20055-0066-4BA9-9517-00C200520013}</author>
    <author>tc={001C001C-002E-407B-8656-001300D3001D}</author>
    <author>tc={001C0090-0054-4012-9D95-009B00A000ED}</author>
    <author>tc={008700C5-008E-4374-9EA3-005300D300B5}</author>
    <author>tc={000A003C-00D4-4AED-AD84-007F008700E0}</author>
    <author>tc={006B003F-003E-4F7E-86DF-0021004F00A7}</author>
    <author>tc={00E4000D-00BA-4B2F-929F-002A00DA00DE}</author>
    <author>tc={00CF0088-00D9-43EE-B797-00140060008D}</author>
    <author>tc={00840059-0095-4CDC-8557-005900080061}</author>
    <author>tc={009700CE-00E6-47B8-879D-00A7007A00E4}</author>
    <author>tc={003F00D4-0095-4CB2-85FF-008800F800C1}</author>
    <author>tc={002200B3-00C8-43C1-BC94-004000E800F6}</author>
    <author>tc={00860031-00CA-44A1-B1F3-0071000C00D0}</author>
    <author>tc={007F0094-00B6-44BE-A41F-00E800D80044}</author>
    <author>tc={00A7009F-0043-4FB1-AF79-006F001C00AE}</author>
    <author>tc={0078000F-003F-4EA8-8F90-008C00DF002B}</author>
    <author>tc={008F0073-0056-4F4A-93E9-00250080004C}</author>
    <author>tc={00C1006C-0020-4012-B395-008C005C002E}</author>
    <author>tc={004B0095-00C1-4D1F-8CE4-002100DC003C}</author>
    <author>tc={00AC00C1-0047-4A60-95F1-0038002100A0}</author>
    <author>tc={006B00A1-000D-4B3D-B203-009A00E600C8}</author>
    <author>tc={0089003D-00C5-4F4D-8016-0058002D0069}</author>
    <author>tc={00C0000B-000C-441F-B07E-0077005E00A1}</author>
    <author>tc={0053003A-00C9-478B-A200-00080043002D}</author>
    <author>tc={004B0058-0007-44E1-97B2-006500D400B0}</author>
    <author>tc={0017000B-0004-4976-9D6B-00C700B10034}</author>
    <author>tc={00BB0042-00E3-478E-A107-00D700820062}</author>
    <author>tc={00C40004-0083-4E14-A2A6-0049004A0026}</author>
    <author>tc={00A50083-0009-4A71-826F-00B1006A0057}</author>
    <author>tc={00B10047-0033-414E-A31C-0027004A00BA}</author>
    <author>tc={00220097-00DE-46CB-8CF7-00DA004800BF}</author>
    <author>tc={000C005F-00DE-4052-944B-005B00480048}</author>
    <author>tc={006F0028-0084-40B9-91CB-003D00860029}</author>
    <author>tc={009000CE-00B2-4FD0-872A-00B3005B00A3}</author>
    <author>tc={00CF00E9-00FB-4186-B14A-006300A800FB}</author>
    <author>tc={004B00A2-00E7-4B22-B5A0-008800440043}</author>
    <author>tc={00070096-00EB-4163-B872-00C300DF006E}</author>
    <author>tc={00F700A7-007A-4AFC-B861-00AC00490047}</author>
    <author>tc={00490078-00A6-4006-A174-00BD000B0022}</author>
    <author>tc={00560058-0081-48E8-9CD9-00DF000000EA}</author>
    <author>tc={004E00CA-0014-4D07-8FEC-007D001B0060}</author>
    <author>tc={009F0067-0035-4CB4-A0CC-00BD000E0018}</author>
    <author>tc={00270073-0004-4CC7-8D2D-00AC00460035}</author>
    <author>tc={00620075-00B5-4A05-B4DD-00EB00F10020}</author>
    <author>tc={00FF0032-000C-4CE7-A303-00BC00DA002C}</author>
    <author>tc={0059006E-0085-4C24-97FC-001D00EF001A}</author>
    <author>tc={003E00BA-00EA-421E-A92D-0077001A00CB}</author>
    <author>tc={00870043-00DA-475B-9ADF-006500A500DB}</author>
    <author>tc={0026009C-00D7-410B-8B02-00A500FF00B5}</author>
    <author>tc={000A0044-0063-473E-9F82-00F500B900C6}</author>
    <author>tc={008100DA-0057-46A5-81CB-009D00BB007D}</author>
    <author>tc={00CF00DF-00A4-491A-B5FE-0061003F00FD}</author>
    <author>tc={002300D5-0007-4E5C-B410-006B008500A3}</author>
    <author>tc={00AA0009-0051-482D-82EF-000D00CA00C1}</author>
    <author>tc={00FB0033-001F-4DFE-A43D-004500A6000C}</author>
    <author>tc={00DC0048-0032-4D39-9023-00530094005F}</author>
    <author>tc={007C0037-0060-4CBB-8BCD-008B00B300B7}</author>
    <author>tc={00A20001-0085-4496-826B-007B0044002A}</author>
    <author>tc={00C50024-0087-4C66-960C-00540047002B}</author>
    <author>tc={00610031-0086-45AA-82C3-003E0077001C}</author>
    <author>tc={00480071-00AC-431D-BCE5-007500BD003A}</author>
    <author>tc={009D0029-00A1-4571-B8F1-009F00EC00F1}</author>
    <author>tc={00210014-00EB-4C05-8240-00C6007E00E8}</author>
    <author>tc={0013006E-00A8-46D9-8FF6-007600520062}</author>
    <author>tc={008100CA-0079-4390-935E-000800E30065}</author>
    <author>tc={00F30074-0031-400B-B46E-0008006A0065}</author>
    <author>tc={008800D6-0055-4925-8AEC-0041003A00AF}</author>
    <author>tc={005A0094-0002-45F5-8C47-0094004D00A8}</author>
  </authors>
  <commentList>
    <comment ref="D38" authorId="0" shapeId="0">
      <text>
        <r>
          <rPr>
            <b/>
            <sz val="9"/>
            <rFont val="Tahoma"/>
          </rPr>
          <t>Jana Holíková:</t>
        </r>
        <r>
          <rPr>
            <sz val="9"/>
            <rFont val="Tahoma"/>
          </rPr>
          <t xml:space="preserve">
25057/04 +25.564.110
</t>
        </r>
      </text>
    </comment>
    <comment ref="D42" authorId="1" shapeId="0">
      <text>
        <r>
          <rPr>
            <b/>
            <sz val="9"/>
            <rFont val="Tahoma"/>
          </rPr>
          <t>Jana Holíková:</t>
        </r>
        <r>
          <rPr>
            <sz val="9"/>
            <rFont val="Tahoma"/>
          </rPr>
          <t xml:space="preserve">
25031/03 +32.200
</t>
        </r>
      </text>
    </comment>
    <comment ref="D72" authorId="2" shapeId="0">
      <text>
        <r>
          <rPr>
            <b/>
            <sz val="9"/>
            <rFont val="Tahoma"/>
          </rPr>
          <t>Jana Holíková:</t>
        </r>
        <r>
          <rPr>
            <sz val="9"/>
            <rFont val="Tahoma"/>
          </rPr>
          <t xml:space="preserve">
25089/05 +10.000
</t>
        </r>
      </text>
    </comment>
    <comment ref="D81" authorId="3" shapeId="0">
      <text>
        <r>
          <rPr>
            <b/>
            <sz val="9"/>
            <rFont val="Tahoma"/>
          </rPr>
          <t>Jana Holíková:</t>
        </r>
        <r>
          <rPr>
            <sz val="9"/>
            <rFont val="Tahoma"/>
          </rPr>
          <t xml:space="preserve">
25002/01 +99.036 (321)
25009/01 +145.092 (322)
25035/03 -10.990 (305)
25071/04 
+545.328,75 (321)
+150.990 (325)
25077/05 +54.671,25 (321)
</t>
        </r>
      </text>
    </comment>
    <comment ref="D100" authorId="4" shapeId="0">
      <text>
        <r>
          <rPr>
            <b/>
            <sz val="9"/>
            <rFont val="Tahoma"/>
          </rPr>
          <t>Jana Holíková:</t>
        </r>
        <r>
          <rPr>
            <sz val="9"/>
            <rFont val="Tahoma"/>
          </rPr>
          <t xml:space="preserve">
25090/05 +10.000
</t>
        </r>
      </text>
    </comment>
    <comment ref="D113" authorId="5" shapeId="0">
      <text>
        <r>
          <rPr>
            <b/>
            <sz val="9"/>
            <rFont val="Tahoma"/>
          </rPr>
          <t>Jana Holíková:</t>
        </r>
        <r>
          <rPr>
            <sz val="9"/>
            <rFont val="Tahoma"/>
          </rPr>
          <t xml:space="preserve">
25031/02 +700.000
</t>
        </r>
      </text>
    </comment>
    <comment ref="D114" authorId="6" shapeId="0">
      <text>
        <r>
          <rPr>
            <b/>
            <sz val="9"/>
            <rFont val="Tahoma"/>
          </rPr>
          <t>Jana Holíková:</t>
        </r>
        <r>
          <rPr>
            <sz val="9"/>
            <rFont val="Tahoma"/>
          </rPr>
          <t xml:space="preserve">
25028/02 +463.363
</t>
        </r>
      </text>
    </comment>
    <comment ref="D115" authorId="7" shapeId="0">
      <text>
        <r>
          <rPr>
            <b/>
            <sz val="9"/>
            <rFont val="Tahoma"/>
          </rPr>
          <t>Jana Holíková:</t>
        </r>
        <r>
          <rPr>
            <sz val="9"/>
            <rFont val="Tahoma"/>
          </rPr>
          <t xml:space="preserve">
25024/02 +62.538,16
</t>
        </r>
      </text>
    </comment>
    <comment ref="D116" authorId="8" shapeId="0">
      <text>
        <r>
          <rPr>
            <b/>
            <sz val="9"/>
            <rFont val="Tahoma"/>
          </rPr>
          <t>Jana Holíková:</t>
        </r>
        <r>
          <rPr>
            <sz val="9"/>
            <rFont val="Tahoma"/>
          </rPr>
          <t xml:space="preserve">
25024/02 +129.480,70
</t>
        </r>
      </text>
    </comment>
    <comment ref="D117" authorId="9" shapeId="0">
      <text>
        <r>
          <rPr>
            <b/>
            <sz val="9"/>
            <rFont val="Tahoma"/>
          </rPr>
          <t>Jana Holíková:</t>
        </r>
        <r>
          <rPr>
            <sz val="9"/>
            <rFont val="Tahoma"/>
          </rPr>
          <t xml:space="preserve">
25024/02 +169.544,53
</t>
        </r>
      </text>
    </comment>
    <comment ref="D118" authorId="10" shapeId="0">
      <text>
        <r>
          <rPr>
            <b/>
            <sz val="9"/>
            <rFont val="Tahoma"/>
          </rPr>
          <t>Jana Holíková:</t>
        </r>
        <r>
          <rPr>
            <sz val="9"/>
            <rFont val="Tahoma"/>
          </rPr>
          <t xml:space="preserve">
25024/02 +70.270,33
</t>
        </r>
      </text>
    </comment>
    <comment ref="D119" authorId="11" shapeId="0">
      <text>
        <r>
          <rPr>
            <b/>
            <sz val="9"/>
            <rFont val="Tahoma"/>
          </rPr>
          <t>Jana Holíková:</t>
        </r>
        <r>
          <rPr>
            <sz val="9"/>
            <rFont val="Tahoma"/>
          </rPr>
          <t xml:space="preserve">
25042/03 +2.743.942,28
</t>
        </r>
      </text>
    </comment>
    <comment ref="D121" authorId="12" shapeId="0">
      <text>
        <r>
          <rPr>
            <b/>
            <sz val="9"/>
            <rFont val="Tahoma"/>
          </rPr>
          <t>Jana Holíková:</t>
        </r>
        <r>
          <rPr>
            <sz val="9"/>
            <rFont val="Tahoma"/>
          </rPr>
          <t xml:space="preserve">
25031/02 
+37.912,80  1180
+ 6.500   1131
+455.819,41  1134
</t>
        </r>
      </text>
    </comment>
    <comment ref="D122" authorId="13" shapeId="0">
      <text>
        <r>
          <rPr>
            <b/>
            <sz val="9"/>
            <rFont val="Tahoma"/>
          </rPr>
          <t>Jana Holíková:</t>
        </r>
        <r>
          <rPr>
            <sz val="9"/>
            <rFont val="Tahoma"/>
          </rPr>
          <t xml:space="preserve">
25062/04 +23.725
25063/04 +4.745
25082/05 +40.000
25088/05 +30.000
25091/06 +10.000
</t>
        </r>
      </text>
    </comment>
    <comment ref="D124" authorId="14" shapeId="0">
      <text>
        <r>
          <rPr>
            <b/>
            <sz val="9"/>
            <rFont val="Tahoma"/>
          </rPr>
          <t>Jana Holíková:</t>
        </r>
        <r>
          <rPr>
            <sz val="9"/>
            <rFont val="Tahoma"/>
          </rPr>
          <t xml:space="preserve">
25004/01 úz 33092
+ 913,14 (1431)
+3.011,86 (1435)
</t>
        </r>
      </text>
    </comment>
    <comment ref="D128" authorId="15" shapeId="0">
      <text>
        <r>
          <rPr>
            <b/>
            <sz val="9"/>
            <rFont val="Tahoma"/>
          </rPr>
          <t>Jana Holíková:</t>
        </r>
        <r>
          <rPr>
            <sz val="9"/>
            <rFont val="Tahoma"/>
          </rPr>
          <t xml:space="preserve">
25026/02 +3.730
</t>
        </r>
      </text>
    </comment>
    <comment ref="D130" authorId="16" shapeId="0">
      <text>
        <r>
          <rPr>
            <b/>
            <sz val="9"/>
            <rFont val="Tahoma"/>
          </rPr>
          <t>Jana Holíková:</t>
        </r>
        <r>
          <rPr>
            <sz val="9"/>
            <rFont val="Tahoma"/>
          </rPr>
          <t xml:space="preserve">
25032/03
-50.000 741
+50.000 528
25033/03
-50.000 741
+50.000 416
</t>
        </r>
      </text>
    </comment>
    <comment ref="D131" authorId="17" shapeId="0">
      <text>
        <r>
          <rPr>
            <b/>
            <sz val="9"/>
            <rFont val="Tahoma"/>
          </rPr>
          <t>Jana Holíková:</t>
        </r>
        <r>
          <rPr>
            <sz val="9"/>
            <rFont val="Tahoma"/>
          </rPr>
          <t xml:space="preserve">
25068/04 +240.187
</t>
        </r>
      </text>
    </comment>
    <comment ref="D134" authorId="18" shapeId="0">
      <text>
        <r>
          <rPr>
            <b/>
            <sz val="9"/>
            <rFont val="Tahoma"/>
          </rPr>
          <t>Jana Holíková:</t>
        </r>
        <r>
          <rPr>
            <sz val="9"/>
            <rFont val="Tahoma"/>
          </rPr>
          <t xml:space="preserve">
25017/01 +472.672,50
25049/03 -472.672,50
</t>
        </r>
      </text>
    </comment>
    <comment ref="D136" authorId="19" shapeId="0">
      <text>
        <r>
          <rPr>
            <b/>
            <sz val="9"/>
            <rFont val="Tahoma"/>
          </rPr>
          <t>Jana Holíková:</t>
        </r>
        <r>
          <rPr>
            <sz val="9"/>
            <rFont val="Tahoma"/>
          </rPr>
          <t xml:space="preserve">
25031/03 +15.000
</t>
        </r>
      </text>
    </comment>
    <comment ref="D152" authorId="20" shapeId="0">
      <text>
        <r>
          <rPr>
            <b/>
            <sz val="9"/>
            <rFont val="Tahoma"/>
          </rPr>
          <t>Jana Holíková:</t>
        </r>
        <r>
          <rPr>
            <sz val="9"/>
            <rFont val="Tahoma"/>
          </rPr>
          <t xml:space="preserve">
25074/04 -200.000
</t>
        </r>
      </text>
    </comment>
    <comment ref="D162" authorId="21" shapeId="0">
      <text>
        <r>
          <rPr>
            <b/>
            <sz val="9"/>
            <rFont val="Tahoma"/>
          </rPr>
          <t>Jana Holíková:</t>
        </r>
        <r>
          <rPr>
            <sz val="9"/>
            <rFont val="Tahoma"/>
          </rPr>
          <t xml:space="preserve">
25061/04 -5000000
</t>
        </r>
      </text>
    </comment>
    <comment ref="D168" authorId="22" shapeId="0">
      <text>
        <r>
          <rPr>
            <b/>
            <sz val="9"/>
            <rFont val="Tahoma"/>
          </rPr>
          <t>Jana Holíková:</t>
        </r>
        <r>
          <rPr>
            <sz val="9"/>
            <rFont val="Tahoma"/>
          </rPr>
          <t xml:space="preserve">
25047/03 -500.000
</t>
        </r>
      </text>
    </comment>
    <comment ref="D172" authorId="23" shapeId="0">
      <text>
        <r>
          <rPr>
            <b/>
            <sz val="9"/>
            <rFont val="Tahoma"/>
          </rPr>
          <t>Jana Holíková:</t>
        </r>
        <r>
          <rPr>
            <sz val="9"/>
            <rFont val="Tahoma"/>
          </rPr>
          <t xml:space="preserve">
25094/06 +5.424.450
</t>
        </r>
      </text>
    </comment>
    <comment ref="D173" authorId="24" shapeId="0">
      <text>
        <r>
          <rPr>
            <b/>
            <sz val="9"/>
            <rFont val="Tahoma"/>
          </rPr>
          <t>Jana Holíková:</t>
        </r>
        <r>
          <rPr>
            <sz val="9"/>
            <rFont val="Tahoma"/>
          </rPr>
          <t xml:space="preserve">
25058/04 +5.889.660
</t>
        </r>
      </text>
    </comment>
    <comment ref="D176" authorId="25" shapeId="0">
      <text>
        <r>
          <rPr>
            <b/>
            <sz val="9"/>
            <rFont val="Tahoma"/>
          </rPr>
          <t>Jana Holíková:</t>
        </r>
        <r>
          <rPr>
            <sz val="9"/>
            <rFont val="Tahoma"/>
          </rPr>
          <t xml:space="preserve">
25093/06 +748.448
</t>
        </r>
      </text>
    </comment>
    <comment ref="D178" authorId="26" shapeId="0">
      <text>
        <r>
          <rPr>
            <b/>
            <sz val="9"/>
            <rFont val="Tahoma"/>
          </rPr>
          <t>Jana Holíková:</t>
        </r>
        <r>
          <rPr>
            <sz val="9"/>
            <rFont val="Tahoma"/>
          </rPr>
          <t xml:space="preserve">
25093/06 +62.329
</t>
        </r>
      </text>
    </comment>
    <comment ref="D203" authorId="27" shapeId="0">
      <text>
        <r>
          <rPr>
            <b/>
            <sz val="9"/>
            <rFont val="Tahoma"/>
          </rPr>
          <t>Jana Holíková:</t>
        </r>
        <r>
          <rPr>
            <sz val="9"/>
            <rFont val="Tahoma"/>
          </rPr>
          <t xml:space="preserve">
25003/01 -432.200
</t>
        </r>
      </text>
    </comment>
    <comment ref="D212" authorId="28" shapeId="0">
      <text>
        <r>
          <rPr>
            <b/>
            <sz val="9"/>
            <rFont val="Tahoma"/>
          </rPr>
          <t>Jana Holíková:</t>
        </r>
        <r>
          <rPr>
            <sz val="9"/>
            <rFont val="Tahoma"/>
          </rPr>
          <t xml:space="preserve">
25072/04 +71.563,93
</t>
        </r>
      </text>
    </comment>
    <comment ref="D214" authorId="29" shapeId="0">
      <text>
        <r>
          <rPr>
            <b/>
            <sz val="9"/>
            <rFont val="Tahoma"/>
          </rPr>
          <t>Jana Holíková:</t>
        </r>
        <r>
          <rPr>
            <sz val="9"/>
            <rFont val="Tahoma"/>
          </rPr>
          <t xml:space="preserve">
25055/03
-+ 25.723 
</t>
        </r>
      </text>
    </comment>
    <comment ref="D215" authorId="30" shapeId="0">
      <text>
        <r>
          <rPr>
            <b/>
            <sz val="9"/>
            <rFont val="Tahoma"/>
          </rPr>
          <t>Jana Holíková:</t>
        </r>
        <r>
          <rPr>
            <sz val="9"/>
            <rFont val="Tahoma"/>
          </rPr>
          <t xml:space="preserve">
25051/04 úz 33092
+117.955,01 1431
+495.553,09  1435
</t>
        </r>
      </text>
    </comment>
    <comment ref="D216" authorId="31" shapeId="0">
      <text>
        <r>
          <rPr>
            <b/>
            <sz val="9"/>
            <rFont val="Tahoma"/>
          </rPr>
          <t>Jana Holíková:</t>
        </r>
        <r>
          <rPr>
            <sz val="9"/>
            <rFont val="Tahoma"/>
          </rPr>
          <t xml:space="preserve">
25052/04 úz 33092
+138.438,27 1431
+581.607,57  1435
</t>
        </r>
      </text>
    </comment>
    <comment ref="D217" authorId="32" shapeId="0">
      <text>
        <r>
          <rPr>
            <b/>
            <sz val="9"/>
            <rFont val="Tahoma"/>
          </rPr>
          <t>Jana Holíková:</t>
        </r>
        <r>
          <rPr>
            <sz val="9"/>
            <rFont val="Tahoma"/>
          </rPr>
          <t xml:space="preserve">
25041/03 úz 33092
+108.476,76 1431
+455.733  1435
</t>
        </r>
      </text>
    </comment>
    <comment ref="D218" authorId="33" shapeId="0">
      <text>
        <r>
          <rPr>
            <b/>
            <sz val="9"/>
            <rFont val="Tahoma"/>
          </rPr>
          <t>Jana Holíková:</t>
        </r>
        <r>
          <rPr>
            <sz val="9"/>
            <rFont val="Tahoma"/>
          </rPr>
          <t xml:space="preserve">
25048/03 úz33092
+ 280.004,26 1441
+1.176.355,23 1445
</t>
        </r>
      </text>
    </comment>
    <comment ref="D229" authorId="34" shapeId="0">
      <text>
        <r>
          <rPr>
            <b/>
            <sz val="9"/>
            <rFont val="Tahoma"/>
          </rPr>
          <t>Jana Holíková:</t>
        </r>
        <r>
          <rPr>
            <sz val="9"/>
            <rFont val="Tahoma"/>
          </rPr>
          <t xml:space="preserve">
25085/05 +110.000
</t>
        </r>
      </text>
    </comment>
    <comment ref="D230" authorId="35" shapeId="0">
      <text>
        <r>
          <rPr>
            <b/>
            <sz val="9"/>
            <rFont val="Tahoma"/>
          </rPr>
          <t>Jana Holíková:</t>
        </r>
        <r>
          <rPr>
            <sz val="9"/>
            <rFont val="Tahoma"/>
          </rPr>
          <t xml:space="preserve">
25010/01 +4.737.000
</t>
        </r>
      </text>
    </comment>
    <comment ref="D232" authorId="36" shapeId="0">
      <text>
        <r>
          <rPr>
            <b/>
            <sz val="9"/>
            <rFont val="Tahoma"/>
          </rPr>
          <t>Jana Holíková:</t>
        </r>
        <r>
          <rPr>
            <sz val="9"/>
            <rFont val="Tahoma"/>
          </rPr>
          <t xml:space="preserve">
25073/04 +140.000
</t>
        </r>
      </text>
    </comment>
    <comment ref="D233" authorId="37" shapeId="0">
      <text>
        <r>
          <rPr>
            <b/>
            <sz val="9"/>
            <rFont val="Tahoma"/>
          </rPr>
          <t>Jana Holíková:</t>
        </r>
        <r>
          <rPr>
            <sz val="9"/>
            <rFont val="Tahoma"/>
          </rPr>
          <t xml:space="preserve">
25053/03 +239.800
</t>
        </r>
      </text>
    </comment>
    <comment ref="D234" authorId="38" shapeId="0">
      <text>
        <r>
          <rPr>
            <b/>
            <sz val="9"/>
            <rFont val="Tahoma"/>
          </rPr>
          <t>Jana Holíková:</t>
        </r>
        <r>
          <rPr>
            <sz val="9"/>
            <rFont val="Tahoma"/>
          </rPr>
          <t xml:space="preserve">
25037/03
+ 12.834 úz 253 1441
+115.506 úz 911 1445
</t>
        </r>
      </text>
    </comment>
    <comment ref="D235" authorId="39" shapeId="0">
      <text>
        <r>
          <rPr>
            <b/>
            <sz val="9"/>
            <rFont val="Tahoma"/>
          </rPr>
          <t>Jana Holíková:</t>
        </r>
        <r>
          <rPr>
            <sz val="9"/>
            <rFont val="Tahoma"/>
          </rPr>
          <t xml:space="preserve">
25038/03 
+ 9.850 úz 253 1441
+88.650 úz911 1445
</t>
        </r>
      </text>
    </comment>
    <comment ref="D236" authorId="40" shapeId="0">
      <text>
        <r>
          <rPr>
            <b/>
            <sz val="9"/>
            <rFont val="Tahoma"/>
          </rPr>
          <t>Jana Holíková:</t>
        </r>
        <r>
          <rPr>
            <sz val="9"/>
            <rFont val="Tahoma"/>
          </rPr>
          <t xml:space="preserve">
25040/03
+ 17.098,20 úz253 1441
+153.883,80 úz911 1445
</t>
        </r>
      </text>
    </comment>
    <comment ref="D237" authorId="41" shapeId="0">
      <text>
        <r>
          <rPr>
            <b/>
            <sz val="9"/>
            <rFont val="Tahoma"/>
          </rPr>
          <t>Jana Holíková:</t>
        </r>
        <r>
          <rPr>
            <sz val="9"/>
            <rFont val="Tahoma"/>
          </rPr>
          <t xml:space="preserve">
25046/03
 +9.159,75 úz253 1441
+82.437,75 úz911 1445
</t>
        </r>
      </text>
    </comment>
    <comment ref="D238" authorId="42" shapeId="0">
      <text>
        <r>
          <rPr>
            <b/>
            <sz val="9"/>
            <rFont val="Tahoma"/>
          </rPr>
          <t>Jana Holíková:</t>
        </r>
        <r>
          <rPr>
            <sz val="9"/>
            <rFont val="Tahoma"/>
          </rPr>
          <t xml:space="preserve">
25039/03 
+ 11.663,45 úz 253 1441
+104.971,05 úz911 1445
</t>
        </r>
      </text>
    </comment>
    <comment ref="D239" authorId="43" shapeId="0">
      <text>
        <r>
          <rPr>
            <b/>
            <sz val="9"/>
            <rFont val="Tahoma"/>
          </rPr>
          <t>Jana Holíková:</t>
        </r>
        <r>
          <rPr>
            <sz val="9"/>
            <rFont val="Tahoma"/>
          </rPr>
          <t xml:space="preserve">
25061/04 +4.631.000
</t>
        </r>
      </text>
    </comment>
    <comment ref="D250" authorId="44" shapeId="0">
      <text>
        <r>
          <rPr>
            <b/>
            <sz val="9"/>
            <rFont val="Tahoma"/>
          </rPr>
          <t>Jana Holíková:</t>
        </r>
        <r>
          <rPr>
            <sz val="9"/>
            <rFont val="Tahoma"/>
          </rPr>
          <t xml:space="preserve">
25054/03 +1.571.026,45
</t>
        </r>
      </text>
    </comment>
    <comment ref="D252" authorId="45" shapeId="0">
      <text>
        <r>
          <rPr>
            <b/>
            <sz val="9"/>
            <rFont val="Tahoma"/>
          </rPr>
          <t>Jana Holíková:</t>
        </r>
        <r>
          <rPr>
            <sz val="9"/>
            <rFont val="Tahoma"/>
          </rPr>
          <t xml:space="preserve">
25072/04 +1.022.341,89
</t>
        </r>
      </text>
    </comment>
    <comment ref="D256" authorId="46" shapeId="0">
      <text>
        <r>
          <rPr>
            <b/>
            <sz val="9"/>
            <rFont val="Tahoma"/>
          </rPr>
          <t>Jana Holíková:</t>
        </r>
        <r>
          <rPr>
            <sz val="9"/>
            <rFont val="Tahoma"/>
          </rPr>
          <t xml:space="preserve">
25073/04 -140.000
</t>
        </r>
      </text>
    </comment>
    <comment ref="D265" authorId="47" shapeId="0">
      <text>
        <r>
          <rPr>
            <b/>
            <sz val="9"/>
            <rFont val="Tahoma"/>
          </rPr>
          <t>Jana Holíková:</t>
        </r>
        <r>
          <rPr>
            <sz val="9"/>
            <rFont val="Tahoma"/>
          </rPr>
          <t xml:space="preserve">
25030/03 +21.520.868,17
</t>
        </r>
      </text>
    </comment>
    <comment ref="D282" authorId="48" shapeId="0">
      <text>
        <r>
          <rPr>
            <b/>
            <sz val="9"/>
            <rFont val="Tahoma"/>
          </rPr>
          <t>Jana Holíková:</t>
        </r>
        <r>
          <rPr>
            <sz val="9"/>
            <rFont val="Tahoma"/>
          </rPr>
          <t xml:space="preserve">
25564/05 +195.569,92
</t>
        </r>
      </text>
    </comment>
    <comment ref="D283" authorId="49" shapeId="0">
      <text>
        <r>
          <rPr>
            <b/>
            <sz val="9"/>
            <rFont val="Tahoma"/>
          </rPr>
          <t>Jana Holíková:</t>
        </r>
        <r>
          <rPr>
            <sz val="9"/>
            <rFont val="Tahoma"/>
          </rPr>
          <t xml:space="preserve">
25564/05 -195.569,92
</t>
        </r>
      </text>
    </comment>
    <comment ref="D296" authorId="50" shapeId="0">
      <text>
        <r>
          <rPr>
            <b/>
            <sz val="9"/>
            <rFont val="Tahoma"/>
          </rPr>
          <t>Jana Holíková:</t>
        </r>
        <r>
          <rPr>
            <sz val="9"/>
            <rFont val="Tahoma"/>
          </rPr>
          <t xml:space="preserve">
25501/01 +18.732,10
</t>
        </r>
      </text>
    </comment>
    <comment ref="D297" authorId="51" shapeId="0">
      <text>
        <r>
          <rPr>
            <b/>
            <sz val="9"/>
            <rFont val="Tahoma"/>
          </rPr>
          <t>Jana Holíková:</t>
        </r>
        <r>
          <rPr>
            <sz val="9"/>
            <rFont val="Tahoma"/>
          </rPr>
          <t xml:space="preserve">
25506/01 -98.736
</t>
        </r>
      </text>
    </comment>
    <comment ref="D299" authorId="52" shapeId="0">
      <text>
        <r>
          <rPr>
            <b/>
            <sz val="9"/>
            <rFont val="Tahoma"/>
          </rPr>
          <t>Jana Holíková:</t>
        </r>
        <r>
          <rPr>
            <sz val="9"/>
            <rFont val="Tahoma"/>
          </rPr>
          <t xml:space="preserve">
25525/02 +370.000
</t>
        </r>
      </text>
    </comment>
    <comment ref="D300" authorId="53" shapeId="0">
      <text>
        <r>
          <rPr>
            <b/>
            <sz val="9"/>
            <rFont val="Tahoma"/>
          </rPr>
          <t>Jana Holíková:</t>
        </r>
        <r>
          <rPr>
            <sz val="9"/>
            <rFont val="Tahoma"/>
          </rPr>
          <t xml:space="preserve">
25501/01 -18.732,10
</t>
        </r>
      </text>
    </comment>
    <comment ref="D301" authorId="54" shapeId="0">
      <text>
        <r>
          <rPr>
            <b/>
            <sz val="9"/>
            <rFont val="Tahoma"/>
          </rPr>
          <t>Jana Holíková:</t>
        </r>
        <r>
          <rPr>
            <sz val="9"/>
            <rFont val="Tahoma"/>
          </rPr>
          <t xml:space="preserve">
25525/02 -370.000
</t>
        </r>
      </text>
    </comment>
    <comment ref="D303" authorId="55" shapeId="0">
      <text>
        <r>
          <rPr>
            <b/>
            <sz val="9"/>
            <rFont val="Tahoma"/>
          </rPr>
          <t>Jana Holíková:</t>
        </r>
        <r>
          <rPr>
            <sz val="9"/>
            <rFont val="Tahoma"/>
          </rPr>
          <t xml:space="preserve">
25506/01 +98.736
</t>
        </r>
      </text>
    </comment>
    <comment ref="D306" authorId="56" shapeId="0">
      <text>
        <r>
          <rPr>
            <b/>
            <sz val="9"/>
            <rFont val="Tahoma"/>
          </rPr>
          <t>Jana Holíková:</t>
        </r>
        <r>
          <rPr>
            <sz val="9"/>
            <rFont val="Tahoma"/>
          </rPr>
          <t xml:space="preserve">
25513/01 +90.212,58
</t>
        </r>
      </text>
    </comment>
    <comment ref="D308" authorId="57" shapeId="0">
      <text>
        <r>
          <rPr>
            <b/>
            <sz val="9"/>
            <rFont val="Tahoma"/>
          </rPr>
          <t>Jana Holíková:</t>
        </r>
        <r>
          <rPr>
            <sz val="9"/>
            <rFont val="Tahoma"/>
          </rPr>
          <t xml:space="preserve">
25505/01 +29.947,50
</t>
        </r>
      </text>
    </comment>
    <comment ref="D313" authorId="58" shapeId="0">
      <text>
        <r>
          <rPr>
            <b/>
            <sz val="9"/>
            <rFont val="Tahoma"/>
          </rPr>
          <t>Jana Holíková:</t>
        </r>
        <r>
          <rPr>
            <sz val="9"/>
            <rFont val="Tahoma"/>
          </rPr>
          <t xml:space="preserve">
25505/01 -29.947,50
25513/01 -90.212,58
</t>
        </r>
      </text>
    </comment>
    <comment ref="D316" authorId="59" shapeId="0">
      <text>
        <r>
          <rPr>
            <b/>
            <sz val="9"/>
            <rFont val="Tahoma"/>
          </rPr>
          <t>Jana Holíková:</t>
        </r>
        <r>
          <rPr>
            <sz val="9"/>
            <rFont val="Tahoma"/>
          </rPr>
          <t xml:space="preserve">
25538/03 +19.312,50
</t>
        </r>
      </text>
    </comment>
    <comment ref="D317" authorId="60" shapeId="0">
      <text>
        <r>
          <rPr>
            <b/>
            <sz val="9"/>
            <rFont val="Tahoma"/>
          </rPr>
          <t>Jana Holíková:</t>
        </r>
        <r>
          <rPr>
            <sz val="9"/>
            <rFont val="Tahoma"/>
          </rPr>
          <t xml:space="preserve">
25020/02 +250.000
</t>
        </r>
      </text>
    </comment>
    <comment ref="D319" authorId="61" shapeId="0">
      <text>
        <r>
          <rPr>
            <b/>
            <sz val="9"/>
            <rFont val="Tahoma"/>
          </rPr>
          <t>Jana Holíková:</t>
        </r>
        <r>
          <rPr>
            <sz val="9"/>
            <rFont val="Tahoma"/>
          </rPr>
          <t xml:space="preserve">
25538/03 -19.312,50
</t>
        </r>
      </text>
    </comment>
    <comment ref="D323" authorId="62" shapeId="0">
      <text>
        <r>
          <rPr>
            <b/>
            <sz val="9"/>
            <rFont val="Tahoma"/>
          </rPr>
          <t>Jana Holíková:</t>
        </r>
        <r>
          <rPr>
            <sz val="9"/>
            <rFont val="Tahoma"/>
          </rPr>
          <t xml:space="preserve">
25081/05 +3.375.008,64
</t>
        </r>
      </text>
    </comment>
    <comment ref="D340" authorId="63" shapeId="0">
      <text>
        <r>
          <rPr>
            <b/>
            <sz val="9"/>
            <rFont val="Tahoma"/>
          </rPr>
          <t>Jana Holíková:</t>
        </r>
        <r>
          <rPr>
            <sz val="9"/>
            <rFont val="Tahoma"/>
          </rPr>
          <t xml:space="preserve">
25563/05 +775.379,13
</t>
        </r>
      </text>
    </comment>
    <comment ref="D341" authorId="64" shapeId="0">
      <text>
        <r>
          <rPr>
            <b/>
            <sz val="9"/>
            <rFont val="Tahoma"/>
          </rPr>
          <t>Jana Holíková:</t>
        </r>
        <r>
          <rPr>
            <sz val="9"/>
            <rFont val="Tahoma"/>
          </rPr>
          <t xml:space="preserve">
25562/05 +199.650
</t>
        </r>
      </text>
    </comment>
    <comment ref="D342" authorId="65" shapeId="0">
      <text>
        <r>
          <rPr>
            <b/>
            <sz val="9"/>
            <rFont val="Tahoma"/>
          </rPr>
          <t>Jana Holíková:</t>
        </r>
        <r>
          <rPr>
            <sz val="9"/>
            <rFont val="Tahoma"/>
          </rPr>
          <t xml:space="preserve">
25557/05 -96.485,40
25562/05 -199.650
25563/05 -775.379,13
</t>
        </r>
      </text>
    </comment>
    <comment ref="D360" authorId="66" shapeId="0">
      <text>
        <r>
          <rPr>
            <b/>
            <sz val="9"/>
            <rFont val="Tahoma"/>
          </rPr>
          <t>Jana Holíková:</t>
        </r>
        <r>
          <rPr>
            <sz val="9"/>
            <rFont val="Tahoma"/>
          </rPr>
          <t xml:space="preserve">
25068/04 +226.282
</t>
        </r>
      </text>
    </comment>
    <comment ref="D372" authorId="67" shapeId="0">
      <text>
        <r>
          <rPr>
            <b/>
            <sz val="9"/>
            <rFont val="Tahoma"/>
          </rPr>
          <t>Jana Holíková:</t>
        </r>
        <r>
          <rPr>
            <sz val="9"/>
            <rFont val="Tahoma"/>
          </rPr>
          <t xml:space="preserve">
25532/03 +40.838
</t>
        </r>
      </text>
    </comment>
    <comment ref="D379" authorId="68" shapeId="0">
      <text>
        <r>
          <rPr>
            <b/>
            <sz val="9"/>
            <rFont val="Tahoma"/>
          </rPr>
          <t>Jana Holíková:</t>
        </r>
        <r>
          <rPr>
            <sz val="9"/>
            <rFont val="Tahoma"/>
          </rPr>
          <t xml:space="preserve">
25532/03 -40.838
</t>
        </r>
      </text>
    </comment>
    <comment ref="D381" authorId="69" shapeId="0">
      <text>
        <r>
          <rPr>
            <b/>
            <sz val="9"/>
            <rFont val="Tahoma"/>
          </rPr>
          <t>Jana Holíková:</t>
        </r>
        <r>
          <rPr>
            <sz val="9"/>
            <rFont val="Tahoma"/>
          </rPr>
          <t xml:space="preserve">
25025/02 +104.517
</t>
        </r>
      </text>
    </comment>
    <comment ref="D398" authorId="70" shapeId="0">
      <text>
        <r>
          <rPr>
            <b/>
            <sz val="9"/>
            <rFont val="Tahoma"/>
          </rPr>
          <t>Jana Holíková:</t>
        </r>
        <r>
          <rPr>
            <sz val="9"/>
            <rFont val="Tahoma"/>
          </rPr>
          <t xml:space="preserve">
25504/01 -300.000
25509/01 -80.000
25511/01 -20.000
</t>
        </r>
      </text>
    </comment>
    <comment ref="D400" authorId="71" shapeId="0">
      <text>
        <r>
          <rPr>
            <b/>
            <sz val="9"/>
            <rFont val="Tahoma"/>
          </rPr>
          <t>Jana Holíková:</t>
        </r>
        <r>
          <rPr>
            <sz val="9"/>
            <rFont val="Tahoma"/>
          </rPr>
          <t xml:space="preserve">
25541/04 +450.000
</t>
        </r>
      </text>
    </comment>
    <comment ref="D401" authorId="72" shapeId="0">
      <text>
        <r>
          <rPr>
            <b/>
            <sz val="9"/>
            <rFont val="Tahoma"/>
          </rPr>
          <t>Jana Holíková:</t>
        </r>
        <r>
          <rPr>
            <sz val="9"/>
            <rFont val="Tahoma"/>
          </rPr>
          <t xml:space="preserve">
25541/04 -450.000
</t>
        </r>
      </text>
    </comment>
    <comment ref="D402" authorId="73" shapeId="0">
      <text>
        <r>
          <rPr>
            <b/>
            <sz val="9"/>
            <rFont val="Tahoma"/>
          </rPr>
          <t>Jana Holíková:</t>
        </r>
        <r>
          <rPr>
            <sz val="9"/>
            <rFont val="Tahoma"/>
          </rPr>
          <t xml:space="preserve">
25504/01 +300.000
25555/05 -29.900
</t>
        </r>
      </text>
    </comment>
    <comment ref="D403" authorId="74" shapeId="0">
      <text>
        <r>
          <rPr>
            <b/>
            <sz val="9"/>
            <rFont val="Tahoma"/>
          </rPr>
          <t>Jana Holíková:</t>
        </r>
        <r>
          <rPr>
            <sz val="9"/>
            <rFont val="Tahoma"/>
          </rPr>
          <t xml:space="preserve">
25509/01 +80.000
25511/01 +20.000
25555/05 +29.900
</t>
        </r>
      </text>
    </comment>
    <comment ref="D407" authorId="75" shapeId="0">
      <text>
        <r>
          <rPr>
            <b/>
            <sz val="9"/>
            <rFont val="Tahoma"/>
          </rPr>
          <t>Jana Holíková:</t>
        </r>
        <r>
          <rPr>
            <sz val="9"/>
            <rFont val="Tahoma"/>
          </rPr>
          <t xml:space="preserve">
25022/02 -210.000
</t>
        </r>
      </text>
    </comment>
    <comment ref="D413" authorId="76" shapeId="0">
      <text>
        <r>
          <rPr>
            <b/>
            <sz val="9"/>
            <rFont val="Tahoma"/>
          </rPr>
          <t>Jana Holíková:</t>
        </r>
        <r>
          <rPr>
            <sz val="9"/>
            <rFont val="Tahoma"/>
          </rPr>
          <t xml:space="preserve">
25067/04 +3.000.000
</t>
        </r>
      </text>
    </comment>
    <comment ref="D415" authorId="77" shapeId="0">
      <text>
        <r>
          <rPr>
            <b/>
            <sz val="9"/>
            <rFont val="Tahoma"/>
          </rPr>
          <t>Jana Holíková:</t>
        </r>
        <r>
          <rPr>
            <sz val="9"/>
            <rFont val="Tahoma"/>
          </rPr>
          <t xml:space="preserve">
25542/04 -80.000
25550/05 -35.000
</t>
        </r>
      </text>
    </comment>
    <comment ref="D419" authorId="78" shapeId="0">
      <text>
        <r>
          <rPr>
            <b/>
            <sz val="9"/>
            <rFont val="Tahoma"/>
          </rPr>
          <t>Jana Holíková:</t>
        </r>
        <r>
          <rPr>
            <sz val="9"/>
            <rFont val="Tahoma"/>
          </rPr>
          <t xml:space="preserve">
25550/05 +35.000
</t>
        </r>
      </text>
    </comment>
    <comment ref="D431" authorId="79" shapeId="0">
      <text>
        <r>
          <rPr>
            <b/>
            <sz val="9"/>
            <rFont val="Tahoma"/>
          </rPr>
          <t>Jana Holíková:</t>
        </r>
        <r>
          <rPr>
            <sz val="9"/>
            <rFont val="Tahoma"/>
          </rPr>
          <t xml:space="preserve">
25542/04 +80.000
</t>
        </r>
      </text>
    </comment>
    <comment ref="D433" authorId="80" shapeId="0">
      <text>
        <r>
          <rPr>
            <b/>
            <sz val="9"/>
            <rFont val="Tahoma"/>
          </rPr>
          <t>Jana Holíková:</t>
        </r>
        <r>
          <rPr>
            <sz val="9"/>
            <rFont val="Tahoma"/>
          </rPr>
          <t xml:space="preserve">
25503/01 -90.000
</t>
        </r>
      </text>
    </comment>
    <comment ref="D434" authorId="81" shapeId="0">
      <text>
        <r>
          <rPr>
            <b/>
            <sz val="9"/>
            <rFont val="Tahoma"/>
          </rPr>
          <t>Jana Holíková:</t>
        </r>
        <r>
          <rPr>
            <sz val="9"/>
            <rFont val="Tahoma"/>
          </rPr>
          <t xml:space="preserve">
25507/01 -32.000
25508/01 - 104.000
25527/02 -17.000
</t>
        </r>
      </text>
    </comment>
    <comment ref="D435" authorId="82" shapeId="0">
      <text>
        <r>
          <rPr>
            <b/>
            <sz val="9"/>
            <rFont val="Tahoma"/>
          </rPr>
          <t>Jana Holíková:</t>
        </r>
        <r>
          <rPr>
            <sz val="9"/>
            <rFont val="Tahoma"/>
          </rPr>
          <t xml:space="preserve">
255508/01 +104.000
</t>
        </r>
      </text>
    </comment>
    <comment ref="D436" authorId="83" shapeId="0">
      <text>
        <r>
          <rPr>
            <b/>
            <sz val="9"/>
            <rFont val="Tahoma"/>
          </rPr>
          <t>Jana Holíková:</t>
        </r>
        <r>
          <rPr>
            <sz val="9"/>
            <rFont val="Tahoma"/>
          </rPr>
          <t xml:space="preserve">
25503/01 +90.000
</t>
        </r>
      </text>
    </comment>
    <comment ref="D438" authorId="84" shapeId="0">
      <text>
        <r>
          <rPr>
            <b/>
            <sz val="9"/>
            <rFont val="Tahoma"/>
          </rPr>
          <t>Jana Holíková:</t>
        </r>
        <r>
          <rPr>
            <sz val="9"/>
            <rFont val="Tahoma"/>
          </rPr>
          <t xml:space="preserve">
25527/02 +17.000
</t>
        </r>
      </text>
    </comment>
    <comment ref="D440" authorId="85" shapeId="0">
      <text>
        <r>
          <rPr>
            <b/>
            <sz val="9"/>
            <rFont val="Tahoma"/>
          </rPr>
          <t>Jana Holíková:</t>
        </r>
        <r>
          <rPr>
            <sz val="9"/>
            <rFont val="Tahoma"/>
          </rPr>
          <t xml:space="preserve">
25001/01 +685.000
</t>
        </r>
      </text>
    </comment>
    <comment ref="D441" authorId="86" shapeId="0">
      <text>
        <r>
          <rPr>
            <b/>
            <sz val="9"/>
            <rFont val="Tahoma"/>
          </rPr>
          <t>Jana Holíková:</t>
        </r>
        <r>
          <rPr>
            <sz val="9"/>
            <rFont val="Tahoma"/>
          </rPr>
          <t xml:space="preserve">
25526/02 +32.000
25552/05 +21.000
</t>
        </r>
      </text>
    </comment>
    <comment ref="D442" authorId="87" shapeId="0">
      <text>
        <r>
          <rPr>
            <b/>
            <sz val="9"/>
            <rFont val="Tahoma"/>
          </rPr>
          <t>Jana Holíková:</t>
        </r>
        <r>
          <rPr>
            <sz val="9"/>
            <rFont val="Tahoma"/>
          </rPr>
          <t xml:space="preserve">
25001/01 +472.200
25507/01 +32.000
</t>
        </r>
      </text>
    </comment>
    <comment ref="D446" authorId="88" shapeId="0">
      <text>
        <r>
          <rPr>
            <b/>
            <sz val="9"/>
            <rFont val="Tahoma"/>
          </rPr>
          <t>Jana Holíková:</t>
        </r>
        <r>
          <rPr>
            <sz val="9"/>
            <rFont val="Tahoma"/>
          </rPr>
          <t xml:space="preserve">
25526/02 -32.000
25552/05 -21.000
</t>
        </r>
      </text>
    </comment>
    <comment ref="D451" authorId="89" shapeId="0">
      <text>
        <r>
          <rPr>
            <b/>
            <sz val="9"/>
            <rFont val="Tahoma"/>
          </rPr>
          <t>Jana Holíková:</t>
        </r>
        <r>
          <rPr>
            <sz val="9"/>
            <rFont val="Tahoma"/>
          </rPr>
          <t xml:space="preserve">
25095/06 -1.000.000
</t>
        </r>
      </text>
    </comment>
    <comment ref="D452" authorId="90" shapeId="0">
      <text>
        <r>
          <rPr>
            <b/>
            <sz val="9"/>
            <rFont val="Tahoma"/>
          </rPr>
          <t>Jana Holíková:</t>
        </r>
        <r>
          <rPr>
            <sz val="9"/>
            <rFont val="Tahoma"/>
          </rPr>
          <t xml:space="preserve">
25573/06 +437.000
</t>
        </r>
      </text>
    </comment>
    <comment ref="D456" authorId="91" shapeId="0">
      <text>
        <r>
          <rPr>
            <b/>
            <sz val="9"/>
            <rFont val="Tahoma"/>
          </rPr>
          <t>Jana Holíková:</t>
        </r>
        <r>
          <rPr>
            <sz val="9"/>
            <rFont val="Tahoma"/>
          </rPr>
          <t xml:space="preserve">
25059/04 +400.000
</t>
        </r>
      </text>
    </comment>
    <comment ref="D458" authorId="92" shapeId="0">
      <text>
        <r>
          <rPr>
            <b/>
            <sz val="9"/>
            <rFont val="Tahoma"/>
          </rPr>
          <t>Jana Holíková:</t>
        </r>
        <r>
          <rPr>
            <sz val="9"/>
            <rFont val="Tahoma"/>
          </rPr>
          <t xml:space="preserve">
25001/01 +2.021.300
</t>
        </r>
      </text>
    </comment>
    <comment ref="D463" authorId="93" shapeId="0">
      <text>
        <r>
          <rPr>
            <b/>
            <sz val="9"/>
            <rFont val="Tahoma"/>
          </rPr>
          <t>Jana Holíková:</t>
        </r>
        <r>
          <rPr>
            <sz val="9"/>
            <rFont val="Tahoma"/>
          </rPr>
          <t xml:space="preserve">
25573/06 -437.000
</t>
        </r>
      </text>
    </comment>
    <comment ref="D469" authorId="94" shapeId="0">
      <text>
        <r>
          <rPr>
            <b/>
            <sz val="9"/>
            <rFont val="Tahoma"/>
          </rPr>
          <t>Jana Holíková:</t>
        </r>
        <r>
          <rPr>
            <sz val="9"/>
            <rFont val="Tahoma"/>
          </rPr>
          <t xml:space="preserve">
25022/02 +210.000
</t>
        </r>
      </text>
    </comment>
    <comment ref="D470" authorId="95" shapeId="0">
      <text>
        <r>
          <rPr>
            <b/>
            <sz val="9"/>
            <rFont val="Tahoma"/>
          </rPr>
          <t>Jana Holíková:</t>
        </r>
        <r>
          <rPr>
            <sz val="9"/>
            <rFont val="Tahoma"/>
          </rPr>
          <t xml:space="preserve">
25020/02 -250.000
</t>
        </r>
      </text>
    </comment>
    <comment ref="D476" authorId="96" shapeId="0">
      <text>
        <r>
          <rPr>
            <b/>
            <sz val="9"/>
            <rFont val="Tahoma"/>
          </rPr>
          <t>Jana Holíková:</t>
        </r>
        <r>
          <rPr>
            <sz val="9"/>
            <rFont val="Tahoma"/>
          </rPr>
          <t xml:space="preserve">
25544/04 -25.000
25566/06 -9.000
</t>
        </r>
      </text>
    </comment>
    <comment ref="D478" authorId="97" shapeId="0">
      <text>
        <r>
          <rPr>
            <b/>
            <sz val="9"/>
            <rFont val="Tahoma"/>
          </rPr>
          <t>Jana Holíková:</t>
        </r>
        <r>
          <rPr>
            <sz val="9"/>
            <rFont val="Tahoma"/>
          </rPr>
          <t xml:space="preserve">
25566/06 -18.000
</t>
        </r>
      </text>
    </comment>
    <comment ref="D480" authorId="98" shapeId="0">
      <text>
        <r>
          <rPr>
            <b/>
            <sz val="9"/>
            <rFont val="Tahoma"/>
          </rPr>
          <t>Jana Holíková:</t>
        </r>
        <r>
          <rPr>
            <sz val="9"/>
            <rFont val="Tahoma"/>
          </rPr>
          <t xml:space="preserve">
25544/04 +25.000
</t>
        </r>
      </text>
    </comment>
    <comment ref="D481" authorId="99" shapeId="0">
      <text>
        <r>
          <rPr>
            <b/>
            <sz val="9"/>
            <rFont val="Tahoma"/>
          </rPr>
          <t>Jana Holíková:</t>
        </r>
        <r>
          <rPr>
            <sz val="9"/>
            <rFont val="Tahoma"/>
          </rPr>
          <t xml:space="preserve">
25566/06 +27.000
</t>
        </r>
      </text>
    </comment>
    <comment ref="D484" authorId="100" shapeId="0">
      <text>
        <r>
          <rPr>
            <b/>
            <sz val="9"/>
            <rFont val="Tahoma"/>
          </rPr>
          <t>Jana Holíková:</t>
        </r>
        <r>
          <rPr>
            <sz val="9"/>
            <rFont val="Tahoma"/>
          </rPr>
          <t xml:space="preserve">
25044/03 +14.800.000
</t>
        </r>
      </text>
    </comment>
    <comment ref="D485" authorId="101" shapeId="0">
      <text>
        <r>
          <rPr>
            <b/>
            <sz val="9"/>
            <rFont val="Tahoma"/>
          </rPr>
          <t>Jana Holíková:</t>
        </r>
        <r>
          <rPr>
            <sz val="9"/>
            <rFont val="Tahoma"/>
          </rPr>
          <t xml:space="preserve">
25533/03 +10.000
</t>
        </r>
      </text>
    </comment>
    <comment ref="D486" authorId="102" shapeId="0">
      <text>
        <r>
          <rPr>
            <b/>
            <sz val="9"/>
            <rFont val="Tahoma"/>
          </rPr>
          <t>Jana Holíková:</t>
        </r>
        <r>
          <rPr>
            <sz val="9"/>
            <rFont val="Tahoma"/>
          </rPr>
          <t xml:space="preserve">
25572/06 
-55.000  5171
+75.000 5169
</t>
        </r>
      </text>
    </comment>
    <comment ref="D488" authorId="103" shapeId="0">
      <text>
        <r>
          <rPr>
            <b/>
            <sz val="9"/>
            <rFont val="Tahoma"/>
          </rPr>
          <t>Jana Holíková:</t>
        </r>
        <r>
          <rPr>
            <sz val="9"/>
            <rFont val="Tahoma"/>
          </rPr>
          <t xml:space="preserve">
25533/03 -10.000
25095/06 
-1.443.000 5171
-   254.000 5169
</t>
        </r>
      </text>
    </comment>
    <comment ref="D490" authorId="104" shapeId="0">
      <text>
        <r>
          <rPr>
            <b/>
            <sz val="9"/>
            <rFont val="Tahoma"/>
          </rPr>
          <t>Jana Holíková:</t>
        </r>
        <r>
          <rPr>
            <sz val="9"/>
            <rFont val="Tahoma"/>
          </rPr>
          <t xml:space="preserve">
25006/01 -3.150
</t>
        </r>
      </text>
    </comment>
    <comment ref="D493" authorId="105" shapeId="0">
      <text>
        <r>
          <rPr>
            <b/>
            <sz val="9"/>
            <rFont val="Tahoma"/>
          </rPr>
          <t>Jana Holíková:</t>
        </r>
        <r>
          <rPr>
            <sz val="9"/>
            <rFont val="Tahoma"/>
          </rPr>
          <t xml:space="preserve">
25572/06 -20.000
</t>
        </r>
      </text>
    </comment>
    <comment ref="D499" authorId="106" shapeId="0">
      <text>
        <r>
          <rPr>
            <b/>
            <sz val="9"/>
            <rFont val="Tahoma"/>
          </rPr>
          <t>Jana Holíková:</t>
        </r>
        <r>
          <rPr>
            <sz val="9"/>
            <rFont val="Tahoma"/>
          </rPr>
          <t xml:space="preserve">
25006/01 +3.150
</t>
        </r>
      </text>
    </comment>
    <comment ref="D506" authorId="107" shapeId="0">
      <text>
        <r>
          <rPr>
            <b/>
            <sz val="9"/>
            <rFont val="Tahoma"/>
          </rPr>
          <t>Jana Holíková:</t>
        </r>
        <r>
          <rPr>
            <sz val="9"/>
            <rFont val="Tahoma"/>
          </rPr>
          <t xml:space="preserve">
25007/01 -50.000
</t>
        </r>
      </text>
    </comment>
    <comment ref="D512" authorId="108" shapeId="0">
      <text>
        <r>
          <rPr>
            <b/>
            <sz val="9"/>
            <rFont val="Tahoma"/>
          </rPr>
          <t>Jana Holíková:</t>
        </r>
        <r>
          <rPr>
            <sz val="9"/>
            <rFont val="Tahoma"/>
          </rPr>
          <t xml:space="preserve">
25007/01 +50.000
</t>
        </r>
      </text>
    </comment>
    <comment ref="D515" authorId="109" shapeId="0">
      <text>
        <r>
          <rPr>
            <b/>
            <sz val="9"/>
            <rFont val="Tahoma"/>
          </rPr>
          <t>Jana Holíková:</t>
        </r>
        <r>
          <rPr>
            <sz val="9"/>
            <rFont val="Tahoma"/>
          </rPr>
          <t xml:space="preserve">
25095/06 -2.800.000
</t>
        </r>
      </text>
    </comment>
    <comment ref="D528" authorId="110" shapeId="0">
      <text>
        <r>
          <rPr>
            <b/>
            <sz val="9"/>
            <rFont val="Tahoma"/>
          </rPr>
          <t>Jana Holíková:</t>
        </r>
        <r>
          <rPr>
            <sz val="9"/>
            <rFont val="Tahoma"/>
          </rPr>
          <t xml:space="preserve">
25512/01 +-281.500
z 6121 na 5137
25045/03 +6.020.000
25064/04 +500.000
</t>
        </r>
      </text>
    </comment>
    <comment ref="D530" authorId="111" shapeId="0">
      <text>
        <r>
          <rPr>
            <b/>
            <sz val="9"/>
            <rFont val="Tahoma"/>
          </rPr>
          <t>Jana Holíková:</t>
        </r>
        <r>
          <rPr>
            <sz val="9"/>
            <rFont val="Tahoma"/>
          </rPr>
          <t xml:space="preserve">
25060/04 +3.050.000
</t>
        </r>
      </text>
    </comment>
    <comment ref="D539" authorId="112" shapeId="0">
      <text>
        <r>
          <rPr>
            <b/>
            <sz val="9"/>
            <rFont val="Tahoma"/>
          </rPr>
          <t>Jana Holíková:</t>
        </r>
        <r>
          <rPr>
            <sz val="9"/>
            <rFont val="Tahoma"/>
          </rPr>
          <t xml:space="preserve">
25021/02 +20.000
</t>
        </r>
      </text>
    </comment>
    <comment ref="D542" authorId="113" shapeId="0">
      <text>
        <r>
          <rPr>
            <b/>
            <sz val="9"/>
            <rFont val="Tahoma"/>
          </rPr>
          <t>Jana Holíková:</t>
        </r>
        <r>
          <rPr>
            <sz val="9"/>
            <rFont val="Tahoma"/>
          </rPr>
          <t xml:space="preserve">
25518/02 změna org z 3730 
-300.080 na:
+ 75.020 3537 Dlouhá, Bud
+ 75.020 3538 Dlouhá u garáží
+ 75.020 3539 Sportovní
+ 75.020 3540 u Máje
25559/05 změna org 
-2.400.000 z 3730
+2.400.000 na 3538 Dlouhá u gar
25097/06 
+1.750.000 3540 Vančurova 38
+  300.000  3541 III.et
25571/06
- 500.000  3730 II.et
+500.000  3540 Vančurova 38 
</t>
        </r>
      </text>
    </comment>
    <comment ref="D545" authorId="114" shapeId="0">
      <text>
        <r>
          <rPr>
            <b/>
            <sz val="9"/>
            <rFont val="Tahoma"/>
          </rPr>
          <t>Jana Holíková:</t>
        </r>
        <r>
          <rPr>
            <sz val="9"/>
            <rFont val="Tahoma"/>
          </rPr>
          <t xml:space="preserve">
25064/04 -500.000
25065/04 -500.000
25543/04 -450.000
25078/05 -25.000.000
25079/05 -630.000
</t>
        </r>
      </text>
    </comment>
    <comment ref="D546" authorId="115" shapeId="0">
      <text>
        <r>
          <rPr>
            <b/>
            <sz val="9"/>
            <rFont val="Tahoma"/>
          </rPr>
          <t>Jana Holíková:</t>
        </r>
        <r>
          <rPr>
            <sz val="9"/>
            <rFont val="Tahoma"/>
          </rPr>
          <t xml:space="preserve">
25543/04 +450.000
</t>
        </r>
      </text>
    </comment>
    <comment ref="D550" authorId="116" shapeId="0">
      <text>
        <r>
          <rPr>
            <b/>
            <sz val="9"/>
            <rFont val="Tahoma"/>
          </rPr>
          <t>Jana Holíková:</t>
        </r>
        <r>
          <rPr>
            <sz val="9"/>
            <rFont val="Tahoma"/>
          </rPr>
          <t xml:space="preserve">
25539/03 +10.000
25095/06 -503.000
</t>
        </r>
      </text>
    </comment>
    <comment ref="D553" authorId="117" shapeId="0">
      <text>
        <r>
          <rPr>
            <b/>
            <sz val="9"/>
            <rFont val="Tahoma"/>
          </rPr>
          <t>Jana Holíková:</t>
        </r>
        <r>
          <rPr>
            <sz val="9"/>
            <rFont val="Tahoma"/>
          </rPr>
          <t xml:space="preserve">
25021/02 -20.000
25096/06 -550.000
25097/06 -2.050.000
</t>
        </r>
      </text>
    </comment>
    <comment ref="D556" authorId="118" shapeId="0">
      <text>
        <r>
          <rPr>
            <b/>
            <sz val="9"/>
            <rFont val="Tahoma"/>
          </rPr>
          <t>Jana Holíková:</t>
        </r>
        <r>
          <rPr>
            <sz val="9"/>
            <rFont val="Tahoma"/>
          </rPr>
          <t xml:space="preserve">
25079/05 +460.000
</t>
        </r>
      </text>
    </comment>
    <comment ref="D557" authorId="119" shapeId="0">
      <text>
        <r>
          <rPr>
            <b/>
            <sz val="9"/>
            <rFont val="Tahoma"/>
          </rPr>
          <t>Jana Holíková:</t>
        </r>
        <r>
          <rPr>
            <sz val="9"/>
            <rFont val="Tahoma"/>
          </rPr>
          <t xml:space="preserve">
25520/02 -290.000
25043/03 -5.450.000
25539/03 -10.000
</t>
        </r>
      </text>
    </comment>
    <comment ref="D558" authorId="120" shapeId="0">
      <text>
        <r>
          <rPr>
            <b/>
            <sz val="9"/>
            <rFont val="Tahoma"/>
          </rPr>
          <t>Jana Holíková:</t>
        </r>
        <r>
          <rPr>
            <sz val="9"/>
            <rFont val="Tahoma"/>
          </rPr>
          <t xml:space="preserve">
25060/04 -400.000
</t>
        </r>
      </text>
    </comment>
    <comment ref="D562" authorId="121" shapeId="0">
      <text>
        <r>
          <rPr>
            <b/>
            <sz val="9"/>
            <rFont val="Tahoma"/>
          </rPr>
          <t>Jana Holíková:</t>
        </r>
        <r>
          <rPr>
            <sz val="9"/>
            <rFont val="Tahoma"/>
          </rPr>
          <t xml:space="preserve">
25520/02 +290.000
</t>
        </r>
      </text>
    </comment>
    <comment ref="D564" authorId="122" shapeId="0">
      <text>
        <r>
          <rPr>
            <b/>
            <sz val="9"/>
            <rFont val="Tahoma"/>
          </rPr>
          <t>Jana Holíková:</t>
        </r>
        <r>
          <rPr>
            <sz val="9"/>
            <rFont val="Tahoma"/>
          </rPr>
          <t xml:space="preserve">
25060/04 -500.000
</t>
        </r>
      </text>
    </comment>
    <comment ref="D565" authorId="123" shapeId="0">
      <text>
        <r>
          <rPr>
            <b/>
            <sz val="9"/>
            <rFont val="Tahoma"/>
          </rPr>
          <t>Jana Holíková:</t>
        </r>
        <r>
          <rPr>
            <sz val="9"/>
            <rFont val="Tahoma"/>
          </rPr>
          <t xml:space="preserve">
25060/04 -800.000
</t>
        </r>
      </text>
    </comment>
    <comment ref="D568" authorId="124" shapeId="0">
      <text>
        <r>
          <rPr>
            <b/>
            <sz val="9"/>
            <rFont val="Tahoma"/>
          </rPr>
          <t>Jana Holíková:</t>
        </r>
        <r>
          <rPr>
            <sz val="9"/>
            <rFont val="Tahoma"/>
          </rPr>
          <t xml:space="preserve">
25095/06 +6.000.000
</t>
        </r>
      </text>
    </comment>
    <comment ref="D569" authorId="125" shapeId="0">
      <text>
        <r>
          <rPr>
            <b/>
            <sz val="9"/>
            <rFont val="Tahoma"/>
          </rPr>
          <t>Jana Holíková:</t>
        </r>
        <r>
          <rPr>
            <sz val="9"/>
            <rFont val="Tahoma"/>
          </rPr>
          <t xml:space="preserve">
25520/02 -290.000
25043/03 -5.450.000
</t>
        </r>
      </text>
    </comment>
    <comment ref="D570" authorId="126" shapeId="0">
      <text>
        <r>
          <rPr>
            <b/>
            <sz val="9"/>
            <rFont val="Tahoma"/>
          </rPr>
          <t>Jana Holíková:</t>
        </r>
        <r>
          <rPr>
            <sz val="9"/>
            <rFont val="Tahoma"/>
          </rPr>
          <t xml:space="preserve">
25529/03 
z 5xxx na 6121
25066/04 +2.000000
25096/06 +550.000
</t>
        </r>
      </text>
    </comment>
    <comment ref="D571" authorId="127" shapeId="0">
      <text>
        <r>
          <rPr>
            <b/>
            <sz val="9"/>
            <rFont val="Tahoma"/>
          </rPr>
          <t>Jana Holíková:</t>
        </r>
        <r>
          <rPr>
            <sz val="9"/>
            <rFont val="Tahoma"/>
          </rPr>
          <t xml:space="preserve">
25079/05 +170.000
</t>
        </r>
      </text>
    </comment>
    <comment ref="D575" authorId="128" shapeId="0">
      <text>
        <r>
          <rPr>
            <b/>
            <sz val="9"/>
            <rFont val="Tahoma"/>
          </rPr>
          <t>Jana Holíková:</t>
        </r>
        <r>
          <rPr>
            <sz val="9"/>
            <rFont val="Tahoma"/>
          </rPr>
          <t xml:space="preserve">
25514/02 -oprava org z 3757 na 0518
</t>
        </r>
      </text>
    </comment>
    <comment ref="D583" authorId="129" shapeId="0">
      <text>
        <r>
          <rPr>
            <b/>
            <sz val="9"/>
            <rFont val="Tahoma"/>
          </rPr>
          <t>Jana Holíková:</t>
        </r>
        <r>
          <rPr>
            <sz val="9"/>
            <rFont val="Tahoma"/>
          </rPr>
          <t xml:space="preserve">
25065/04 +500.000
</t>
        </r>
      </text>
    </comment>
    <comment ref="D585" authorId="130" shapeId="0">
      <text>
        <r>
          <rPr>
            <b/>
            <sz val="9"/>
            <rFont val="Tahoma"/>
          </rPr>
          <t>Jana Holíková:</t>
        </r>
        <r>
          <rPr>
            <sz val="9"/>
            <rFont val="Tahoma"/>
          </rPr>
          <t xml:space="preserve">
25522/02 změna pol
49.659,91 z 6121 na 5191
</t>
        </r>
      </text>
    </comment>
    <comment ref="D590" authorId="131" shapeId="0">
      <text>
        <r>
          <rPr>
            <b/>
            <sz val="9"/>
            <rFont val="Tahoma"/>
          </rPr>
          <t>Jana Holíková:</t>
        </r>
        <r>
          <rPr>
            <sz val="9"/>
            <rFont val="Tahoma"/>
          </rPr>
          <t xml:space="preserve">
25570/06 +363.000
</t>
        </r>
      </text>
    </comment>
    <comment ref="D591" authorId="132" shapeId="0">
      <text>
        <r>
          <rPr>
            <b/>
            <sz val="9"/>
            <rFont val="Tahoma"/>
          </rPr>
          <t>Jana Holíková:</t>
        </r>
        <r>
          <rPr>
            <sz val="9"/>
            <rFont val="Tahoma"/>
          </rPr>
          <t xml:space="preserve">
25570/06 +121.000
</t>
        </r>
      </text>
    </comment>
    <comment ref="D592" authorId="133" shapeId="0">
      <text>
        <r>
          <rPr>
            <b/>
            <sz val="9"/>
            <rFont val="Tahoma"/>
          </rPr>
          <t>Jana Holíková:</t>
        </r>
        <r>
          <rPr>
            <sz val="9"/>
            <rFont val="Tahoma"/>
          </rPr>
          <t xml:space="preserve">
25059/04 +1.300.000
</t>
        </r>
      </text>
    </comment>
    <comment ref="D593" authorId="134" shapeId="0">
      <text>
        <r>
          <rPr>
            <b/>
            <sz val="9"/>
            <rFont val="Tahoma"/>
          </rPr>
          <t>Jana Holíková:</t>
        </r>
        <r>
          <rPr>
            <sz val="9"/>
            <rFont val="Tahoma"/>
          </rPr>
          <t xml:space="preserve">
25008/01 -3.000.000
25080/05 +3.000.000
25570/06 -321.000
</t>
        </r>
      </text>
    </comment>
    <comment ref="D594" authorId="135" shapeId="0">
      <text>
        <r>
          <rPr>
            <b/>
            <sz val="9"/>
            <rFont val="Tahoma"/>
          </rPr>
          <t>Jana Holíková:</t>
        </r>
        <r>
          <rPr>
            <sz val="9"/>
            <rFont val="Tahoma"/>
          </rPr>
          <t xml:space="preserve">
25570/06 -163.000
</t>
        </r>
      </text>
    </comment>
    <comment ref="D616" authorId="136" shapeId="0">
      <text>
        <r>
          <rPr>
            <b/>
            <sz val="9"/>
            <rFont val="Tahoma"/>
          </rPr>
          <t>Jana Holíková:</t>
        </r>
        <r>
          <rPr>
            <sz val="9"/>
            <rFont val="Tahoma"/>
          </rPr>
          <t xml:space="preserve">
25073/04 +300.000 úz 695
25074/04 +70.000 úz 675
</t>
        </r>
      </text>
    </comment>
    <comment ref="D635" authorId="137" shapeId="0">
      <text>
        <r>
          <rPr>
            <b/>
            <sz val="9"/>
            <rFont val="Tahoma"/>
          </rPr>
          <t>Jana Holíková:</t>
        </r>
        <r>
          <rPr>
            <sz val="9"/>
            <rFont val="Tahoma"/>
          </rPr>
          <t xml:space="preserve">
25047/03 DOPLNĚNÍ ÚZ
</t>
        </r>
      </text>
    </comment>
    <comment ref="D646" authorId="138" shapeId="0">
      <text>
        <r>
          <rPr>
            <b/>
            <sz val="9"/>
            <rFont val="Tahoma"/>
          </rPr>
          <t>Jana Holíková:</t>
        </r>
        <r>
          <rPr>
            <sz val="9"/>
            <rFont val="Tahoma"/>
          </rPr>
          <t xml:space="preserve">
25035/03 -10.990
25051/04 úz 33092
+117.955,01 1431
+495.553,09 1435
</t>
        </r>
      </text>
    </comment>
    <comment ref="D650" authorId="139" shapeId="0">
      <text>
        <r>
          <rPr>
            <b/>
            <sz val="9"/>
            <rFont val="Tahoma"/>
          </rPr>
          <t>Jana Holíková:</t>
        </r>
        <r>
          <rPr>
            <sz val="9"/>
            <rFont val="Tahoma"/>
          </rPr>
          <t xml:space="preserve">
25052/03 úz 33092
+138.438,27  1431
+581.607,57  1435
</t>
        </r>
      </text>
    </comment>
    <comment ref="D654" authorId="140" shapeId="0">
      <text>
        <r>
          <rPr>
            <b/>
            <sz val="9"/>
            <rFont val="Tahoma"/>
          </rPr>
          <t>Jana Holíková:</t>
        </r>
        <r>
          <rPr>
            <sz val="9"/>
            <rFont val="Tahoma"/>
          </rPr>
          <t xml:space="preserve">
25037/03 
+ 12.834 úz253 1441
+115.506 úz911 1445
25041/03 úz 33092
+108.476,76 1431
+455.733     1435
</t>
        </r>
      </text>
    </comment>
    <comment ref="D663" authorId="141" shapeId="0">
      <text>
        <r>
          <rPr>
            <b/>
            <sz val="9"/>
            <rFont val="Tahoma"/>
          </rPr>
          <t>Jana Holíková:</t>
        </r>
        <r>
          <rPr>
            <sz val="9"/>
            <rFont val="Tahoma"/>
          </rPr>
          <t xml:space="preserve">
25038/03
+ 9.850 úz253 1441
+88.650 úz911 1445
</t>
        </r>
      </text>
    </comment>
    <comment ref="D667" authorId="142" shapeId="0">
      <text>
        <r>
          <rPr>
            <b/>
            <sz val="9"/>
            <rFont val="Tahoma"/>
          </rPr>
          <t>Jana Holíková:</t>
        </r>
        <r>
          <rPr>
            <sz val="9"/>
            <rFont val="Tahoma"/>
          </rPr>
          <t xml:space="preserve">
25036/03 -297.792
25040/03 
+ 17.098,20 úz253 1441
+153.883,80 úz911 1445
</t>
        </r>
      </text>
    </comment>
    <comment ref="D671" authorId="143" shapeId="0">
      <text>
        <r>
          <rPr>
            <b/>
            <sz val="9"/>
            <rFont val="Tahoma"/>
          </rPr>
          <t>Jana Holíková:</t>
        </r>
        <r>
          <rPr>
            <sz val="9"/>
            <rFont val="Tahoma"/>
          </rPr>
          <t xml:space="preserve">
25046/03
+ 9.159,75 úz253 1441
+82.437,75 úz911 1445
</t>
        </r>
      </text>
    </comment>
    <comment ref="D675" authorId="144" shapeId="0">
      <text>
        <r>
          <rPr>
            <b/>
            <sz val="9"/>
            <rFont val="Tahoma"/>
          </rPr>
          <t>Jana Holíková:</t>
        </r>
        <r>
          <rPr>
            <sz val="9"/>
            <rFont val="Tahoma"/>
          </rPr>
          <t xml:space="preserve">
25039/03
+ 11.663,45 úz 253 1441
+104.971,05 úz911 1445
25048/03 úz33092
+ 280.004,26 1431
+1.176.355,23 1435
</t>
        </r>
      </text>
    </comment>
    <comment ref="D680" authorId="145" shapeId="0">
      <text>
        <r>
          <rPr>
            <b/>
            <sz val="9"/>
            <rFont val="Tahoma"/>
          </rPr>
          <t>Jana Holíková:</t>
        </r>
        <r>
          <rPr>
            <sz val="9"/>
            <rFont val="Tahoma"/>
          </rPr>
          <t xml:space="preserve">
25053/03 úz 833
+239.800
25084/05 +300.000
25100/06 -300.000
</t>
        </r>
      </text>
    </comment>
    <comment ref="D687" authorId="146" shapeId="0">
      <text>
        <r>
          <rPr>
            <b/>
            <sz val="9"/>
            <rFont val="Tahoma"/>
          </rPr>
          <t>Jana Holíková:</t>
        </r>
        <r>
          <rPr>
            <sz val="9"/>
            <rFont val="Tahoma"/>
          </rPr>
          <t xml:space="preserve">
25069/04 -85.015
</t>
        </r>
      </text>
    </comment>
    <comment ref="D705" authorId="147" shapeId="0">
      <text>
        <r>
          <rPr>
            <b/>
            <sz val="9"/>
            <rFont val="Tahoma"/>
          </rPr>
          <t>Jana Holíková:</t>
        </r>
        <r>
          <rPr>
            <sz val="9"/>
            <rFont val="Tahoma"/>
          </rPr>
          <t xml:space="preserve">
25010/01 +4.737.000
25029/02 +400.000 NJKL
25070/04 -472.380
25083/05 +370.000
25085/05 +110.000 úz 341
</t>
        </r>
      </text>
    </comment>
    <comment ref="D721" authorId="148" shapeId="0">
      <text>
        <r>
          <rPr>
            <b/>
            <sz val="9"/>
            <rFont val="Tahoma"/>
          </rPr>
          <t>Jana Holíková:</t>
        </r>
        <r>
          <rPr>
            <sz val="9"/>
            <rFont val="Tahoma"/>
          </rPr>
          <t xml:space="preserve">
25075/04 -30.000 R
25076/04 -70.000 R
25086/05 -40.000 R
25087/05 -30.000 R
</t>
        </r>
      </text>
    </comment>
    <comment ref="D726" authorId="149" shapeId="0">
      <text>
        <r>
          <rPr>
            <b/>
            <sz val="9"/>
            <rFont val="Tahoma"/>
          </rPr>
          <t>Jana Holíková:</t>
        </r>
        <r>
          <rPr>
            <sz val="9"/>
            <rFont val="Tahoma"/>
          </rPr>
          <t xml:space="preserve">
25005/01 +595.004,14
25011/01 +7.500
25012/01 +15.000
25013/01 +30.000
25014/01 +30.000
25015/01 +7.500
25016/01 +80.000
25034/03 +60.000
25075/04 +30.000
25076/04 +70.000
25086/05 +40.000
25087/05 +30.000
25088/05 +30.000
25089/05 +10.000
25090/05 +10.000
</t>
        </r>
      </text>
    </comment>
    <comment ref="D730" authorId="150" shapeId="0">
      <text>
        <r>
          <rPr>
            <b/>
            <sz val="9"/>
            <rFont val="Tahoma"/>
          </rPr>
          <t>Jana Holíková:</t>
        </r>
        <r>
          <rPr>
            <sz val="9"/>
            <rFont val="Tahoma"/>
          </rPr>
          <t xml:space="preserve">
25092/06 +1.169.144,35
</t>
        </r>
      </text>
    </comment>
    <comment ref="D737" authorId="151" shapeId="0">
      <text>
        <r>
          <rPr>
            <b/>
            <sz val="9"/>
            <rFont val="Tahoma"/>
          </rPr>
          <t>Jana Holíková:</t>
        </r>
        <r>
          <rPr>
            <sz val="9"/>
            <rFont val="Tahoma"/>
          </rPr>
          <t xml:space="preserve">
25019/02 +440.000
</t>
        </r>
      </text>
    </comment>
    <comment ref="D741" authorId="152" shapeId="0">
      <text>
        <r>
          <rPr>
            <b/>
            <sz val="9"/>
            <rFont val="Tahoma"/>
          </rPr>
          <t>Jana Holíková:</t>
        </r>
        <r>
          <rPr>
            <sz val="9"/>
            <rFont val="Tahoma"/>
          </rPr>
          <t xml:space="preserve">
25060/04 -1.350.000
</t>
        </r>
      </text>
    </comment>
    <comment ref="D746" authorId="153" shapeId="0">
      <text>
        <r>
          <rPr>
            <b/>
            <sz val="9"/>
            <rFont val="Tahoma"/>
          </rPr>
          <t>Jana Holíková:</t>
        </r>
        <r>
          <rPr>
            <sz val="9"/>
            <rFont val="Tahoma"/>
          </rPr>
          <t xml:space="preserve">
25092/06 +97.090,40
</t>
        </r>
      </text>
    </comment>
    <comment ref="D758" authorId="154" shapeId="0">
      <text>
        <r>
          <rPr>
            <b/>
            <sz val="9"/>
            <rFont val="Tahoma"/>
          </rPr>
          <t>Jana Holíková:</t>
        </r>
        <r>
          <rPr>
            <sz val="9"/>
            <rFont val="Tahoma"/>
          </rPr>
          <t xml:space="preserve">
25068/04 +13.905
</t>
        </r>
      </text>
    </comment>
    <comment ref="D790" authorId="155" shapeId="0">
      <text>
        <r>
          <rPr>
            <b/>
            <sz val="9"/>
            <rFont val="Tahoma"/>
          </rPr>
          <t>Jana Holíková:</t>
        </r>
        <r>
          <rPr>
            <sz val="9"/>
            <rFont val="Tahoma"/>
          </rPr>
          <t xml:space="preserve">
25018/02 +214.000
25062/04 +23.725
25063/04 +4.745
25082/05 +40.000
25091/06 +10.000
</t>
        </r>
      </text>
    </comment>
    <comment ref="D795" authorId="156" shapeId="0">
      <text>
        <r>
          <rPr>
            <b/>
            <sz val="9"/>
            <rFont val="Tahoma"/>
          </rPr>
          <t>Jana Holíková:</t>
        </r>
        <r>
          <rPr>
            <sz val="9"/>
            <rFont val="Tahoma"/>
          </rPr>
          <t xml:space="preserve">
25061/04 +2.980.000
</t>
        </r>
      </text>
    </comment>
    <comment ref="D796" authorId="157" shapeId="0">
      <text>
        <r>
          <rPr>
            <b/>
            <sz val="9"/>
            <rFont val="Tahoma"/>
          </rPr>
          <t>Jana Holíková:</t>
        </r>
        <r>
          <rPr>
            <sz val="9"/>
            <rFont val="Tahoma"/>
          </rPr>
          <t xml:space="preserve">
25061/04 +586.000
</t>
        </r>
      </text>
    </comment>
    <comment ref="D797" authorId="158" shapeId="0">
      <text>
        <r>
          <rPr>
            <b/>
            <sz val="9"/>
            <rFont val="Tahoma"/>
          </rPr>
          <t>Jana Holíková:</t>
        </r>
        <r>
          <rPr>
            <sz val="9"/>
            <rFont val="Tahoma"/>
          </rPr>
          <t xml:space="preserve">
25061/04 +1.065.000
</t>
        </r>
      </text>
    </comment>
    <comment ref="D823" authorId="159" shapeId="0">
      <text>
        <r>
          <rPr>
            <b/>
            <sz val="9"/>
            <rFont val="Tahoma"/>
          </rPr>
          <t>Jana Holíková:</t>
        </r>
        <r>
          <rPr>
            <sz val="9"/>
            <rFont val="Tahoma"/>
          </rPr>
          <t xml:space="preserve">
25056/04 +27.427,50
</t>
        </r>
      </text>
    </comment>
    <comment ref="D826" authorId="160" shapeId="0">
      <text>
        <r>
          <rPr>
            <b/>
            <sz val="9"/>
            <rFont val="Tahoma"/>
          </rPr>
          <t>Jana Holíková:</t>
        </r>
        <r>
          <rPr>
            <sz val="9"/>
            <rFont val="Tahoma"/>
          </rPr>
          <t xml:space="preserve">
25098/06 +500.000
</t>
        </r>
      </text>
    </comment>
    <comment ref="D830" authorId="161" shapeId="0">
      <text>
        <r>
          <rPr>
            <b/>
            <sz val="9"/>
            <rFont val="Tahoma"/>
          </rPr>
          <t>Jana Holíková:</t>
        </r>
        <r>
          <rPr>
            <sz val="9"/>
            <rFont val="Tahoma"/>
          </rPr>
          <t xml:space="preserve">
25521.02 +302.065,30
</t>
        </r>
      </text>
    </comment>
    <comment ref="D831" authorId="162" shapeId="0">
      <text>
        <r>
          <rPr>
            <b/>
            <sz val="9"/>
            <rFont val="Tahoma"/>
          </rPr>
          <t>Jana Holíková:</t>
        </r>
        <r>
          <rPr>
            <sz val="9"/>
            <rFont val="Tahoma"/>
          </rPr>
          <t xml:space="preserve">
25554/05 +798.600
</t>
        </r>
      </text>
    </comment>
    <comment ref="D832" authorId="163" shapeId="0">
      <text>
        <r>
          <rPr>
            <b/>
            <sz val="9"/>
            <rFont val="Tahoma"/>
          </rPr>
          <t>Jana Holíková:</t>
        </r>
        <r>
          <rPr>
            <sz val="9"/>
            <rFont val="Tahoma"/>
          </rPr>
          <t xml:space="preserve">
25554/05 +50.000
</t>
        </r>
      </text>
    </comment>
    <comment ref="D835" authorId="164" shapeId="0">
      <text>
        <r>
          <rPr>
            <b/>
            <sz val="9"/>
            <rFont val="Tahoma"/>
          </rPr>
          <t>Jana Holíková:</t>
        </r>
        <r>
          <rPr>
            <sz val="9"/>
            <rFont val="Tahoma"/>
          </rPr>
          <t xml:space="preserve">
25554/05 -50.000
</t>
        </r>
      </text>
    </comment>
    <comment ref="D837" authorId="165" shapeId="0">
      <text>
        <r>
          <rPr>
            <b/>
            <sz val="9"/>
            <rFont val="Tahoma"/>
          </rPr>
          <t>Jana Holíková:</t>
        </r>
        <r>
          <rPr>
            <sz val="9"/>
            <rFont val="Tahoma"/>
          </rPr>
          <t xml:space="preserve">
25521/02 -312.434,90
25554/05 -847.352
</t>
        </r>
      </text>
    </comment>
    <comment ref="D838" authorId="166" shapeId="0">
      <text>
        <r>
          <rPr>
            <b/>
            <sz val="9"/>
            <rFont val="Tahoma"/>
          </rPr>
          <t>Jana Holíková:</t>
        </r>
        <r>
          <rPr>
            <sz val="9"/>
            <rFont val="Tahoma"/>
          </rPr>
          <t xml:space="preserve">
25521/02 +10.369,60
25554/05 +48.752
</t>
        </r>
      </text>
    </comment>
    <comment ref="D843" authorId="167" shapeId="0">
      <text>
        <r>
          <rPr>
            <b/>
            <sz val="9"/>
            <rFont val="Tahoma"/>
          </rPr>
          <t>Jana Holíková:</t>
        </r>
        <r>
          <rPr>
            <sz val="9"/>
            <rFont val="Tahoma"/>
          </rPr>
          <t xml:space="preserve">
25521/02 -1.756
</t>
        </r>
      </text>
    </comment>
    <comment ref="D844" authorId="168" shapeId="0">
      <text>
        <r>
          <rPr>
            <b/>
            <sz val="9"/>
            <rFont val="Tahoma"/>
          </rPr>
          <t>Jana Holíková:</t>
        </r>
        <r>
          <rPr>
            <sz val="9"/>
            <rFont val="Tahoma"/>
          </rPr>
          <t xml:space="preserve">
25521/02 +1.756
</t>
        </r>
      </text>
    </comment>
    <comment ref="D860" authorId="169" shapeId="0">
      <text>
        <r>
          <rPr>
            <b/>
            <sz val="9"/>
            <rFont val="Tahoma"/>
          </rPr>
          <t>Jana Holíková:</t>
        </r>
        <r>
          <rPr>
            <sz val="9"/>
            <rFont val="Tahoma"/>
          </rPr>
          <t xml:space="preserve">
25098/06 +2.000.000
</t>
        </r>
      </text>
    </comment>
    <comment ref="D885" authorId="170" shapeId="0">
      <text>
        <r>
          <rPr>
            <b/>
            <sz val="9"/>
            <rFont val="Tahoma"/>
          </rPr>
          <t>Jana Holíková:</t>
        </r>
        <r>
          <rPr>
            <sz val="9"/>
            <rFont val="Tahoma"/>
          </rPr>
          <t xml:space="preserve">
25023/02 +800.000
</t>
        </r>
      </text>
    </comment>
    <comment ref="D896" authorId="171" shapeId="0">
      <text>
        <r>
          <rPr>
            <b/>
            <sz val="9"/>
            <rFont val="Tahoma"/>
          </rPr>
          <t>Jana Holíková:</t>
        </r>
        <r>
          <rPr>
            <sz val="9"/>
            <rFont val="Tahoma"/>
          </rPr>
          <t xml:space="preserve">
25510/01 -50.000
</t>
        </r>
      </text>
    </comment>
    <comment ref="D898" authorId="172" shapeId="0">
      <text>
        <r>
          <rPr>
            <b/>
            <sz val="9"/>
            <rFont val="Tahoma"/>
          </rPr>
          <t>Jana Holíková:</t>
        </r>
        <r>
          <rPr>
            <sz val="9"/>
            <rFont val="Tahoma"/>
          </rPr>
          <t xml:space="preserve">
25510/01 +50.000
</t>
        </r>
      </text>
    </comment>
    <comment ref="D912" authorId="173" shapeId="0">
      <text>
        <r>
          <rPr>
            <b/>
            <sz val="9"/>
            <rFont val="Tahoma"/>
          </rPr>
          <t>Jana Holíková:</t>
        </r>
        <r>
          <rPr>
            <sz val="9"/>
            <rFont val="Tahoma"/>
          </rPr>
          <t xml:space="preserve">
25510/01 -30.000
25535/03 -20.000
25098/06 +1.000.000
</t>
        </r>
      </text>
    </comment>
    <comment ref="D918" authorId="174" shapeId="0">
      <text>
        <r>
          <rPr>
            <b/>
            <sz val="9"/>
            <rFont val="Tahoma"/>
          </rPr>
          <t>Jana Holíková:</t>
        </r>
        <r>
          <rPr>
            <sz val="9"/>
            <rFont val="Tahoma"/>
          </rPr>
          <t xml:space="preserve">
25510/01 +30.000
25535/03 +20.000
</t>
        </r>
      </text>
    </comment>
    <comment ref="D929" authorId="175" shapeId="0">
      <text>
        <r>
          <rPr>
            <b/>
            <sz val="9"/>
            <rFont val="Tahoma"/>
          </rPr>
          <t>Jana Holíková:</t>
        </r>
        <r>
          <rPr>
            <sz val="9"/>
            <rFont val="Tahoma"/>
          </rPr>
          <t xml:space="preserve">
25098/06 +1.000.000
</t>
        </r>
      </text>
    </comment>
    <comment ref="D934" authorId="176" shapeId="0">
      <text>
        <r>
          <rPr>
            <b/>
            <sz val="9"/>
            <rFont val="Tahoma"/>
          </rPr>
          <t>Jana Holíková:</t>
        </r>
        <r>
          <rPr>
            <sz val="9"/>
            <rFont val="Tahoma"/>
          </rPr>
          <t xml:space="preserve">
25023/02 -800.000
</t>
        </r>
      </text>
    </comment>
    <comment ref="D959" authorId="177" shapeId="0">
      <text>
        <r>
          <rPr>
            <b/>
            <sz val="9"/>
            <rFont val="Tahoma"/>
          </rPr>
          <t>Jana Holíková:</t>
        </r>
        <r>
          <rPr>
            <sz val="9"/>
            <rFont val="Tahoma"/>
          </rPr>
          <t xml:space="preserve">
25024/02 
+76.214,38 Máj
+111.686,75 Sady
</t>
        </r>
      </text>
    </comment>
    <comment ref="D960" authorId="178" shapeId="0">
      <text>
        <r>
          <rPr>
            <b/>
            <sz val="9"/>
            <rFont val="Tahoma"/>
          </rPr>
          <t>Jana Holíková:</t>
        </r>
        <r>
          <rPr>
            <sz val="9"/>
            <rFont val="Tahoma"/>
          </rPr>
          <t xml:space="preserve">
25024/02 
+212.592,52 K66
+261.781,31 K68
+349.438,48 Tyr
</t>
        </r>
      </text>
    </comment>
    <comment ref="D961" authorId="179" shapeId="0">
      <text>
        <r>
          <rPr>
            <b/>
            <sz val="9"/>
            <rFont val="Tahoma"/>
          </rPr>
          <t>Jana Holíková:</t>
        </r>
        <r>
          <rPr>
            <sz val="9"/>
            <rFont val="Tahoma"/>
          </rPr>
          <t xml:space="preserve">
25026/02 +3.730
</t>
        </r>
      </text>
    </comment>
    <comment ref="D962" authorId="180" shapeId="0">
      <text>
        <r>
          <rPr>
            <b/>
            <sz val="9"/>
            <rFont val="Tahoma"/>
          </rPr>
          <t>Jana Holíková:</t>
        </r>
        <r>
          <rPr>
            <sz val="9"/>
            <rFont val="Tahoma"/>
          </rPr>
          <t xml:space="preserve">
25024/02 +61.299
</t>
        </r>
      </text>
    </comment>
    <comment ref="D968" authorId="181" shapeId="0">
      <text>
        <r>
          <rPr>
            <b/>
            <sz val="9"/>
            <rFont val="Tahoma"/>
          </rPr>
          <t>Jana Holíková:</t>
        </r>
        <r>
          <rPr>
            <sz val="9"/>
            <rFont val="Tahoma"/>
          </rPr>
          <t xml:space="preserve">
25057/04 +25.564.110
</t>
        </r>
      </text>
    </comment>
    <comment ref="D972" authorId="182" shapeId="0">
      <text>
        <r>
          <rPr>
            <b/>
            <sz val="9"/>
            <rFont val="Tahoma"/>
          </rPr>
          <t>Jana Holíková:</t>
        </r>
        <r>
          <rPr>
            <sz val="9"/>
            <rFont val="Tahoma"/>
          </rPr>
          <t xml:space="preserve">
25004/01 úz 33092
+ 913,14 (1431)
+3.011,86 (1435)
</t>
        </r>
      </text>
    </comment>
    <comment ref="D973" authorId="183" shapeId="0">
      <text>
        <r>
          <rPr>
            <b/>
            <sz val="9"/>
            <rFont val="Tahoma"/>
          </rPr>
          <t>Jana Holíková:</t>
        </r>
        <r>
          <rPr>
            <sz val="9"/>
            <rFont val="Tahoma"/>
          </rPr>
          <t xml:space="preserve">
25027/02 +15.187,53
</t>
        </r>
      </text>
    </comment>
    <comment ref="D974" authorId="184" shapeId="0">
      <text>
        <r>
          <rPr>
            <b/>
            <sz val="9"/>
            <rFont val="Tahoma"/>
          </rPr>
          <t>Jana Holíková:</t>
        </r>
        <r>
          <rPr>
            <sz val="9"/>
            <rFont val="Tahoma"/>
          </rPr>
          <t xml:space="preserve">
25027/02 +3.957,43
</t>
        </r>
      </text>
    </comment>
    <comment ref="D977" authorId="185" shapeId="0">
      <text>
        <r>
          <rPr>
            <b/>
            <sz val="9"/>
            <rFont val="Tahoma"/>
          </rPr>
          <t>Jana Holíková:</t>
        </r>
        <r>
          <rPr>
            <sz val="9"/>
            <rFont val="Tahoma"/>
          </rPr>
          <t xml:space="preserve">
25001/01 -3.178.500
25002/01 +99.036
25003/01 -432.200
25005/01 -595.004,14
25008/01 +3.000.000
25009/01 +145.092
25011/01 -7.500
25012/01 -15.000
25013/01 -30.000
25014/01 -30.000
25015/01 -7.500
25016/01 -80.000
25017/01 +472.672,50
25018/02 -214.000
25024/02 -641.178,72
25025/02 -104.517
25027/02 -19.144,96
25028/02 +463.363
25029/02 -400.000
25030/03 +21.520.868,17
25031/03 +1.247.432,21
25034/03 -60.000
25035/03 +-10.990
25036/03 +297.792
25042/03 +2.743.942,28
25044/03 -14.800.000
25045/03 -6.020.000
25054/04 +1.571.026,45
25056/04 -27.427,50
25058/04 +5.889.660
25059/04 -1.700.000
25061/04 -5.000.000
25066/04 -2.000.000
25067/04 -3.000.000
25069/04 +85.015
25070/04 +472.380
25071/01 +706.318,75
25072/04 +1.093.905,82
25073/04 -300.000
25074/04 -280.000
25077/05 +25.671,25
25078/05 +25.000.000
25080/05 -3.000.000
25081/05 -3.375.008,64
25083/05 -370.000
25084/05 -300.000
25092/06 -1.266.234,75
25093/06 +810.777
25094/06 +5.424.450
25098/06 -4.500.000
25099/06 -5.000.000
25100/06 +300.000
</t>
        </r>
      </text>
    </comment>
  </commentList>
</comments>
</file>

<file path=xl/comments5.xml><?xml version="1.0" encoding="utf-8"?>
<comments xmlns="http://schemas.openxmlformats.org/spreadsheetml/2006/main">
  <authors>
    <author>tc={008A0067-0082-426B-AE94-0070009B003C}</author>
    <author>tc={007E00DF-003A-4316-AC44-005400490025}</author>
    <author>tc={00370060-00FB-412D-9392-004800AC00D7}</author>
    <author>tc={00D30023-009D-4535-977D-005100FA0064}</author>
    <author>tc={00DB00EB-0008-468C-9B51-005600190050}</author>
    <author>tc={00F700DD-003B-4815-A8D4-0072004D003D}</author>
    <author>tc={003200DB-00BF-4C84-A098-000100F1009A}</author>
    <author>tc={00B60039-0092-4B71-8CEB-003900280033}</author>
    <author>tc={005E00A4-0069-4902-B172-00DC001400E3}</author>
    <author>tc={008400ED-005B-4078-B19A-00AE00930041}</author>
    <author>tc={00F300DB-0027-4058-81BB-0026005000D9}</author>
    <author>tc={00F90014-0099-4BB2-B251-00E000E700DF}</author>
    <author>tc={005C00DC-0077-48FC-9912-005400D6002B}</author>
    <author>tc={00F400BA-00C0-4432-94E3-00E400BA0061}</author>
    <author>tc={00250030-002B-4328-99F2-00B500E50071}</author>
    <author>tc={00650054-004B-4FFA-A11A-000A0029006A}</author>
    <author>tc={00D2000F-002C-4783-B635-00D9001C00EF}</author>
    <author>tc={00E1009B-0006-4E04-A779-000900F10072}</author>
    <author>tc={00E0000F-00C5-4230-A347-005100FF0011}</author>
    <author>tc={004E00AD-006B-42A6-A92F-009500500000}</author>
    <author>tc={002A0007-0063-4744-922F-00CF004200B8}</author>
    <author>tc={009C008E-0097-428B-B90B-00A000E400FF}</author>
    <author>tc={00A500A7-00C7-4FA5-A187-00B800E00096}</author>
    <author>tc={0060000B-0078-45A7-ACB9-00CB003C0017}</author>
    <author>tc={003C0029-0015-413D-BFB4-000D00DA00BA}</author>
    <author>tc={00F80020-00DF-4661-BA4E-005000CA00F9}</author>
    <author>tc={00B6000A-0066-469F-B1FD-00BF00D800BF}</author>
    <author>tc={000800A9-007F-4F4D-B4ED-007400D500A2}</author>
    <author>tc={00C500D4-0030-4ECC-8D04-000700B7005A}</author>
    <author>tc={00C20054-0069-4403-B606-0049002400FA}</author>
    <author>tc={001B0096-0031-4079-8509-002700130041}</author>
    <author>tc={00E4005B-000E-468A-9A44-0064000A0006}</author>
    <author>tc={008D0056-004F-4893-9317-007B006200C5}</author>
    <author>tc={0049003A-003D-4408-9B5F-00E9009F0074}</author>
    <author>tc={009800E4-00BF-4B92-8C67-002900610050}</author>
    <author>tc={001C0038-0047-4A57-92AC-00EB004900CA}</author>
    <author>tc={007700CA-0003-4903-A618-00AD00B300A9}</author>
    <author>tc={004100F3-0028-47F1-85B7-00EE00B300A2}</author>
    <author>tc={00A500B3-00EF-4FDB-A40B-000B001C0089}</author>
    <author>tc={008F00AB-0031-4EE6-B88C-00F9009F0038}</author>
    <author>tc={00FD005F-0096-4C5B-8709-00CC005800E5}</author>
    <author>tc={00FF007C-009A-4276-8586-00A7004D0049}</author>
    <author>tc={00AF0037-00CE-4976-951D-001B008700B6}</author>
    <author>tc={004700E3-00EA-4362-A2EC-003E0031006D}</author>
    <author>tc={008E009B-008E-4245-B90A-002F00AF0042}</author>
    <author>tc={00940051-0045-41DD-BB7F-00C9004300DC}</author>
    <author>tc={00A800F1-005D-423B-A291-0026006C00CC}</author>
    <author>tc={005C0038-00DF-431A-97D8-00FC0030008E}</author>
    <author>tc={00D20061-0096-45F6-A56C-00FA0068008E}</author>
    <author>tc={003B004A-0076-446F-A2DB-0024002A00D9}</author>
    <author>tc={005C00C6-006F-4FCE-BD39-007E007000E2}</author>
    <author>tc={002F0016-0086-44A1-B0E1-004D00C2009F}</author>
    <author>tc={007F00B7-0063-4FA6-BA6C-0002001000EE}</author>
    <author>tc={00340039-0080-4B51-B6D9-003600DB008E}</author>
    <author>tc={00C6001B-0017-4E26-870A-005100B700F1}</author>
    <author>tc={00DD00A9-0095-47EF-BC6A-007F006900D9}</author>
    <author>tc={009D00CC-0078-470F-BD0C-00C100AB00A6}</author>
    <author>tc={007300D9-00D3-4E82-8578-009A00020054}</author>
    <author>tc={001C0077-004E-4C42-964B-0032002B008A}</author>
    <author>tc={00320083-0040-4D8C-A954-009600F600B7}</author>
    <author>tc={00110097-004A-42BD-8E67-007E004400EB}</author>
    <author>tc={00900042-0090-4405-9634-00B60032004C}</author>
    <author>tc={007A0019-00B8-43C3-841B-0041007500BB}</author>
    <author>tc={00DB006C-00A3-46F0-ACA8-002000B000AE}</author>
    <author>tc={008200B5-006D-4A35-A671-00D600EB00E7}</author>
    <author>tc={00B70035-0093-49FC-9357-0051006C009F}</author>
    <author>tc={00DC0045-00CE-4B2E-B17D-00B400760008}</author>
    <author>tc={00F00049-0083-4808-9E1B-00170065007E}</author>
    <author>tc={002C0026-004A-438D-8E60-0094001F006E}</author>
    <author>tc={00130069-0006-410A-BFE5-00D1007700B6}</author>
    <author>tc={00690087-0024-48EB-A8BC-00DE001D007C}</author>
    <author>tc={00900082-0021-4E21-9DC2-00D7009E0089}</author>
    <author>tc={001600FA-005A-4260-AD99-003400160040}</author>
    <author>tc={004E00EE-0031-4BD2-9252-00C800CB00D1}</author>
    <author>tc={007A00A4-0080-46F1-B2AC-00F900CD004F}</author>
    <author>tc={00DD00CF-008E-429C-868D-000C007B001E}</author>
    <author>tc={002E001C-00A4-465D-B7A3-00AA000300A5}</author>
    <author>tc={00650090-00F8-4F16-9F4A-000A00E40070}</author>
    <author>tc={00270031-0043-4F09-AC36-009F008900C5}</author>
    <author>tc={00710038-0036-46CC-8A76-0067003D00BF}</author>
    <author>tc={00F700C6-0092-4E87-9DF9-007600E3003A}</author>
    <author>tc={008E00F2-00CA-44C8-BF2C-003900D00077}</author>
    <author>tc={00940084-0075-4CD5-9F93-004400910053}</author>
    <author>tc={005C00F0-0028-4522-A25C-00EF00EB00B3}</author>
    <author>tc={0070008A-00B9-42F9-A68E-00F30066000B}</author>
    <author>tc={00E100E0-00EF-488D-8BF5-00FD00C30089}</author>
    <author>tc={004D00E9-00C2-489A-BDE5-003E00240080}</author>
    <author>tc={000C002C-00BC-4301-9905-00CC00D900AE}</author>
    <author>tc={0062008B-0028-42D9-8966-009E001F0022}</author>
    <author>tc={00F8005A-0094-4077-9D1B-00B4008800EC}</author>
    <author>tc={000900A0-0037-4D5B-B3B4-004D009800B9}</author>
    <author>tc={004A001D-0005-4728-9565-00D9006C0010}</author>
    <author>tc={00D00060-00F1-4EE4-9A45-006600BB0024}</author>
    <author>tc={006200E9-00A4-4BA9-8115-00490014007A}</author>
    <author>tc={007E00A0-0055-436E-A5CF-00B50037003C}</author>
    <author>tc={00A30033-00AC-4C7E-9367-008F007900C1}</author>
    <author>tc={0005001B-0000-438B-849D-00A000990067}</author>
    <author>tc={00450020-00E0-4609-8F7A-00F600650015}</author>
    <author>tc={00EB0003-007D-4C2A-B3C0-00DD00D50017}</author>
    <author>tc={00A50018-0007-4B3E-B827-00D4009200F7}</author>
    <author>tc={00CE0031-000C-41B9-966E-00F100B900A1}</author>
    <author>tc={001E00C0-00AC-4E07-BEBC-008C00270071}</author>
    <author>tc={00110096-00A6-401A-9CDD-00A3009D0081}</author>
    <author>tc={0013001C-009F-4872-9227-0087006A0038}</author>
    <author>tc={008B00E0-0070-4519-AB4A-003F000D0058}</author>
    <author>tc={009B00BD-00C5-4E19-B968-0005006D0097}</author>
    <author>tc={0040008E-00DD-4807-9A95-004600610062}</author>
    <author>tc={000D00CC-00D2-43B5-93A2-00B600150047}</author>
    <author>tc={00130084-0000-4B7B-A5AE-001F000B00DF}</author>
    <author>tc={00B10021-006F-4A4F-A9F8-00B20089006D}</author>
    <author>tc={008C0018-00BD-4945-BC5C-002E006800D0}</author>
    <author>tc={00800095-0012-44A1-9D4B-004600CE00D2}</author>
    <author>tc={002100AC-00FD-49B4-94B0-007900B4001E}</author>
    <author>tc={009E0087-00C9-43CE-9D93-00A8005E0087}</author>
    <author>tc={00450003-008E-4773-9718-007600B60031}</author>
    <author>tc={0079007E-0062-4E5B-AA99-00CD0049005D}</author>
    <author>tc={007C00EC-00BF-41F5-AB42-001300F80016}</author>
    <author>tc={008F008A-00DA-4B5E-B951-00520094001E}</author>
    <author>tc={00EC0048-0009-488F-8F4C-000600010090}</author>
    <author>tc={008E0027-0069-4377-8200-00EA00150052}</author>
    <author>tc={001700D3-0045-49F9-812C-0059003A0061}</author>
    <author>tc={008F00C7-008E-4BFF-BD16-0003002500DA}</author>
    <author>tc={0028000B-00DB-4CD6-BB2A-009200CD008F}</author>
    <author>tc={00BF00F6-00FD-465E-88A5-00D600F500F0}</author>
    <author>tc={006E0048-00E9-4294-B332-0016004F0037}</author>
    <author>tc={0068009D-006E-41D9-93A6-00A6004B000E}</author>
    <author>tc={00FB003A-0092-440B-98BF-00870030003B}</author>
    <author>tc={004400A5-0059-480D-A208-006300100087}</author>
    <author>tc={00B300AB-00BD-4FA4-874B-007500BB00A8}</author>
    <author>tc={00FB004A-005E-43C0-BEE8-00C100520008}</author>
    <author>tc={00EB0095-0048-4563-B411-000D00D1008E}</author>
    <author>tc={00FA00AA-0076-4B52-BB56-00D100F80058}</author>
    <author>tc={00E50089-00E3-46DC-9368-0037001F0032}</author>
    <author>tc={003700F0-0011-4BA9-ACCF-00C7004A0035}</author>
    <author>tc={009E0031-0066-4D46-B773-00D100FE00E3}</author>
    <author>tc={00AB00AB-00AF-4379-BC26-00040002005E}</author>
    <author>tc={00FA0090-000B-46C5-B0AC-008100E200CE}</author>
    <author>tc={004B0036-00E0-4768-92DD-00EF00570055}</author>
    <author>tc={00CB00C2-00C3-406D-B0E4-0092000700DE}</author>
    <author>tc={004400EA-0027-4176-9F3C-007C00C700C6}</author>
    <author>tc={00CC00C9-007F-4376-8ECE-00EF006B0009}</author>
    <author>tc={0077008A-0000-4299-8A28-00CA00B900D6}</author>
    <author>tc={00A60040-005D-49E0-9F0A-009B001C0007}</author>
    <author>tc={00EC00DF-00CF-46E3-9E57-00E500BC0024}</author>
    <author>tc={0024007D-0085-4C4E-A64D-00BB00CE003A}</author>
    <author>tc={004F004E-00EE-4A48-996C-00630047003E}</author>
    <author>tc={006B0090-0004-4C46-9FC2-00C400E9000A}</author>
    <author>tc={007F008F-00E4-4244-B555-0005007500C0}</author>
    <author>tc={000E0025-00AD-4AD0-9E55-0030004B00B3}</author>
    <author>tc={0081008C-0033-4E77-A123-00E5008900F4}</author>
    <author>tc={001400CD-00FC-4354-B84E-006C0050001C}</author>
    <author>tc={006A0035-0046-47B7-B2FC-00B700D30072}</author>
    <author>tc={0007006F-0091-4712-8EB7-006B00650091}</author>
    <author>tc={00A30012-00CF-4987-A650-00430054001A}</author>
    <author>tc={00ED0087-00D3-467B-849D-0006007E001F}</author>
    <author>tc={001600C8-00D9-4785-88ED-00A3003E00A6}</author>
    <author>tc={00DF0058-00E7-47C5-B2E1-00780034003E}</author>
    <author>tc={00E70069-0085-4D40-8104-00FE006D0001}</author>
    <author>tc={0024005F-000D-40E5-8E7C-0045000C00C4}</author>
    <author>tc={00FB00E5-00CD-49BF-B999-007500D70041}</author>
    <author>tc={00D9005E-0025-41D8-A381-00BE00550068}</author>
    <author>tc={00A500BA-00BE-49E1-9AB0-0055005C0092}</author>
    <author>tc={004E00D4-004E-460C-954B-00EE00FF00CA}</author>
    <author>tc={00560040-00B0-49C3-BACF-0052009E008F}</author>
    <author>tc={001E0093-00E3-4C53-915C-00290095000C}</author>
    <author>tc={00F5003C-00A2-43CF-97E5-00CE008100E2}</author>
    <author>tc={005A007F-00B9-47CB-A3A0-00D9009100EB}</author>
    <author>tc={008D0070-0002-4681-9168-00C200D10057}</author>
    <author>tc={005E0009-000E-4E7C-960B-007B00990098}</author>
    <author>tc={00640054-0089-4B79-A980-004D00D7008F}</author>
    <author>tc={003D0040-00E5-4FE6-B8C1-0065002D001A}</author>
    <author>tc={009C00C5-00C8-4204-8589-0058000200B6}</author>
    <author>tc={00DE003D-0091-4A4E-AD96-008800400062}</author>
    <author>tc={002E0047-0091-4A13-8872-003D008A0069}</author>
    <author>tc={004800E2-0053-4891-A37B-001300AC00BE}</author>
    <author>tc={006500F6-0045-4903-8A4D-0080003A0055}</author>
    <author>tc={007900B2-0080-4110-A8F2-0043007E0086}</author>
    <author>tc={003F004C-00A2-4780-A444-005B00EF000A}</author>
    <author>tc={00080028-00C6-41B3-A7B7-00E4005F004F}</author>
    <author>tc={00740069-0059-47EE-B18C-006200A80001}</author>
    <author>tc={00AD00AA-00A1-4B5E-A1ED-005500BC00EA}</author>
    <author>tc={005500BC-00B6-4354-B261-008E008E0001}</author>
    <author>tc={004F00C1-00C2-4478-A81A-0059001F005F}</author>
    <author>tc={00EF00D3-0097-4204-937F-00370009006F}</author>
    <author>tc={00CB005F-0004-4FCA-8B1C-005A00290053}</author>
    <author>tc={0003003C-003C-4AA4-A5BA-007F00ED0092}</author>
    <author>tc={00C70022-0011-4C58-91BD-00500095005B}</author>
    <author>tc={0044000E-0036-40F1-9ED9-00630059001A}</author>
    <author>tc={00FE00F5-0056-4F6C-8925-00F60068005F}</author>
    <author>tc={000C00EA-0020-42B1-A173-00E400750043}</author>
    <author>tc={006600D5-0001-4B4B-BB34-00DF003A00B6}</author>
    <author>tc={00CE0090-0093-406E-A4F1-00850038005B}</author>
    <author>tc={00200065-00ED-4EDD-8307-00F8008700FB}</author>
    <author>tc={0020001F-00F2-406A-BA90-000800490062}</author>
    <author>tc={005B00DE-0003-4900-AE46-002E00FE002D}</author>
    <author>tc={00F10077-0037-48F6-AC61-00A70063003B}</author>
    <author>tc={00BF00BC-00BD-475D-AB00-0058006F00BE}</author>
    <author>tc={00E30091-00F2-49B6-877E-00D300C40007}</author>
    <author>tc={00FD004C-003A-4FC2-8525-005C00BF00F1}</author>
    <author>tc={00E90086-001E-4E2A-845A-00A600F3009E}</author>
    <author>tc={00A300AA-0040-4D9C-A388-008400DE008D}</author>
    <author>tc={0060009E-00A5-486F-BE41-0014007D0004}</author>
    <author>tc={007500A4-00ED-4CE7-AE4F-006700C90090}</author>
    <author>tc={006D000B-0009-4D69-94F0-005F002800CC}</author>
    <author>tc={00280056-00C7-49C4-8E25-0028001F0086}</author>
    <author>tc={00D600C9-0071-4A45-B774-004E00A800C1}</author>
    <author>tc={00EA0097-0035-4B1E-8F59-00910031003A}</author>
    <author>tc={00860034-005D-4200-9CC0-005200F6005D}</author>
    <author>tc={00E50068-00D3-4123-B5E8-007C005C007C}</author>
    <author>tc={00620096-00A5-4327-873D-00DB00B6007B}</author>
    <author>tc={00BA00DF-001B-415C-BE4A-0084002700D6}</author>
    <author>tc={000B0098-00B4-4D8F-86D0-008000310011}</author>
    <author>tc={00620019-00B4-48E7-8A27-004C00140011}</author>
    <author>tc={007000F4-00B9-4D9A-A967-002300F5006B}</author>
    <author>tc={00A500F7-0043-4393-906A-0064007800E1}</author>
    <author>tc={003D000F-004E-4A2C-B9A6-00B600780075}</author>
    <author>tc={007B00AD-008B-4810-9047-0072005B0063}</author>
    <author>tc={006A008A-0002-4489-8567-000D00D00080}</author>
    <author>tc={00A700B3-009F-4632-8C51-00A800EF007A}</author>
    <author>tc={001B0081-00BB-4AB8-A7C4-00AB00690017}</author>
    <author>tc={00FF00A1-0012-4E7F-A361-006500F30016}</author>
    <author>tc={002B00D6-00A4-45B1-925E-001A00AF00E2}</author>
    <author>tc={0035006D-00EC-4A1E-9AE3-0039007E0093}</author>
    <author>tc={00EA0029-00FB-42D4-9F14-007900190056}</author>
    <author>tc={0083006D-00B2-47A1-81BA-0011008E00EE}</author>
    <author>tc={00BF003E-00C6-4D2B-AC25-00EF00870061}</author>
    <author>tc={00BA0098-00F2-4364-9119-008500770044}</author>
    <author>tc={00FB00CA-00F1-440C-B9A7-00C80011000B}</author>
    <author>tc={00EF00A4-00D5-458D-AB06-006800DB007F}</author>
    <author>tc={009E0047-003F-4459-8E63-00010093005C}</author>
    <author>tc={00CA00D5-0098-47BE-8E40-000000CC00B7}</author>
    <author>tc={000D00B1-0073-458E-963F-00A9009D00AA}</author>
    <author>tc={004C00CB-00D2-4DEF-A47A-002E001A004E}</author>
    <author>tc={00C3005D-001B-470C-AFC1-00D400CC0065}</author>
    <author>tc={00A0006F-00B3-4DF6-955A-00DE005D00E7}</author>
    <author>tc={0051005D-0082-49EB-A88F-00B700190022}</author>
    <author>tc={0033001D-006D-424C-B16B-00100031004E}</author>
    <author>tc={00FE0060-0048-49AE-BF23-00D900FB00CA}</author>
    <author>tc={00E100C9-00C8-4DBF-9777-00DC00B70061}</author>
    <author>tc={0050001E-0050-4802-AB51-00F2008000E1}</author>
    <author>tc={00650001-00C8-429B-9064-00AB002E0081}</author>
    <author>tc={00840071-0086-4A23-A129-002600DA00C4}</author>
    <author>tc={00A1000E-00E2-4420-9012-00C400D000BB}</author>
    <author>tc={00450010-0071-4681-9564-006F00B90010}</author>
    <author>tc={00FA00F3-0029-40BD-98C9-00B80036004B}</author>
    <author>tc={005C0083-00D4-4BA1-9754-00F700650076}</author>
    <author>tc={00390066-0028-4729-A7C8-001A004700A4}</author>
    <author>tc={009200A8-00F4-4246-BD6B-00E400D500E1}</author>
    <author>tc={00FF00E2-00F3-4489-900C-00000060002B}</author>
    <author>tc={00520056-000E-42AE-A51B-008B00D90059}</author>
    <author>tc={007900B7-007D-4D98-97D6-001700700055}</author>
    <author>tc={00BB002B-0084-4690-827A-00DC009B0052}</author>
    <author>tc={0078006C-0085-471F-A801-00A3002B00E4}</author>
    <author>tc={005C005F-00C8-4406-ACBE-007200F8005F}</author>
    <author>tc={0046004B-0092-41F3-AF6C-00DA00760039}</author>
    <author>tc={008F0078-000A-40AB-8A0E-00DF0027002D}</author>
    <author>tc={000000CC-0068-4DA1-AE1F-00FC001B0035}</author>
    <author>tc={004000C3-006C-4707-B910-000D003E0060}</author>
    <author>tc={005D001C-005C-452F-8F25-0011009D00E3}</author>
    <author>tc={003B00BD-0093-4C05-A926-001A00FB0083}</author>
    <author>tc={0082004F-005C-4022-842C-008F00B900AE}</author>
    <author>tc={00AC00E1-00AC-48C9-BA13-00E9005C009A}</author>
    <author>tc={00D300D6-009F-414F-9ED3-008200F3004A}</author>
    <author>tc={0061001D-00D1-45C6-8CA9-0082006A0078}</author>
    <author>tc={00FD00A3-00E4-44B3-A338-00020006002E}</author>
    <author>tc={005F00F9-004D-4DC4-83C3-0076002500D7}</author>
    <author>tc={003200F4-00DA-4ABA-A7B7-00FF00FB003E}</author>
    <author>tc={0076006C-00EA-4348-9F2B-00CD00760044}</author>
    <author>tc={002900A0-0010-4852-8ADD-006D006E00F0}</author>
    <author>tc={00A20059-0049-4764-A75F-005000170035}</author>
    <author>tc={00760031-0058-4B32-A5BE-006400580044}</author>
    <author>tc={00D8008D-00ED-43E8-9363-008100FE00CF}</author>
    <author>tc={003F00D8-001C-410A-BF29-007C00FA005C}</author>
    <author>tc={00C50093-00E5-45F6-AFB5-00B4009D00EA}</author>
    <author>tc={007000AC-00E4-4D3C-B05D-000C00200063}</author>
    <author>tc={00630034-0041-4E78-A67A-000700E6000C}</author>
    <author>tc={00B10099-0012-42CE-8BB8-007F00E800DE}</author>
    <author>tc={00410087-0021-40DE-B99A-007D00750027}</author>
    <author>tc={0014001C-0036-4636-94E4-000200F50041}</author>
    <author>tc={00D5009E-0082-43AE-B850-00E9009C001F}</author>
    <author>tc={007D0018-0085-4C3C-80CE-00FE001B00F8}</author>
    <author>tc={00620015-00E8-4021-9E0F-00FB00C60019}</author>
    <author>tc={006D0028-0038-4C4E-B673-001C001800DD}</author>
    <author>tc={008B0058-00F9-4093-BBFB-005A001100D4}</author>
    <author>tc={00F500CE-007A-4EDC-BAFA-006200570014}</author>
    <author>tc={008F00C4-009C-46B2-871B-008600C90040}</author>
    <author>tc={00ED0070-00CB-4D19-8EC0-00A300E000B4}</author>
    <author>tc={00D800FB-00C9-4FC3-B8B9-007000CA00DC}</author>
    <author>tc={001700F2-00F7-48D7-BBA9-0029005D0020}</author>
    <author>tc={00C80002-003E-4F14-ADF7-0079007800C1}</author>
    <author>tc={004C0025-003B-4470-BA83-00CB00A5001E}</author>
    <author>tc={007E00A1-00B7-4E5E-9886-00BC00950005}</author>
    <author>tc={00820002-006D-43C1-BBFC-007B00CA0014}</author>
    <author>tc={00D800C2-00F8-48BA-B8AE-00F5007C00E5}</author>
    <author>tc={00CE005A-0035-4DC8-AD87-0010008D009D}</author>
    <author>tc={00E100A7-0038-41CD-B13A-0097001600CA}</author>
    <author>tc={00750046-00CF-488F-B083-00CC00220002}</author>
    <author>tc={00D100DD-0031-4E33-8DDE-006F003B004B}</author>
    <author>tc={00ED0055-0039-4F22-BDFE-00DF00ED00BF}</author>
    <author>tc={002600FF-00BD-4B24-95B8-001600EC0050}</author>
    <author>tc={00E500E4-0030-429A-8B4C-00EA00CB00E0}</author>
    <author>tc={00440070-00C8-4585-B7F5-00EA0053006B}</author>
    <author>tc={00D800C5-0021-4688-AF2F-00CB004F00B5}</author>
    <author>tc={00780058-00F5-4498-855C-00F600DB000D}</author>
    <author>tc={00DE0040-00CC-4072-90B7-00E8004200C0}</author>
    <author>tc={00A800E9-00ED-4CF3-9DFC-007D002B0020}</author>
    <author>tc={00E3009D-0045-48D5-B4BC-008000B4003C}</author>
    <author>tc={00480031-006D-4388-8540-001500930020}</author>
    <author>tc={00060000-00E4-44E6-ADAE-00A3001900B0}</author>
    <author>tc={00A600AA-0094-436A-B2BB-00AB007D000F}</author>
    <author>tc={00910001-0008-4D70-894C-006B002B0048}</author>
    <author>tc={0033006B-007B-4E83-9044-004A0016009B}</author>
    <author>tc={00020081-0056-41F3-90F1-0056000F0095}</author>
    <author>tc={000800E5-00AE-41C0-829B-0004002C00D4}</author>
    <author>tc={003500F4-0081-4EA0-9AD7-00160025003D}</author>
    <author>tc={00750085-0031-40A1-90BE-00B0004A0090}</author>
    <author>tc={00110026-0098-4338-93A1-00B30089005D}</author>
    <author>tc={00B10033-0036-4974-B107-005B004C00E8}</author>
    <author>tc={005B0031-0067-4ACB-8F56-00720049005B}</author>
    <author>tc={007100C7-0064-4213-BE74-00DF00E200B1}</author>
    <author>tc={00FC0037-00B4-4E13-B312-008E007B00EE}</author>
    <author>tc={00250026-0070-47C9-873C-003C00930001}</author>
    <author>tc={00B100E0-0052-4700-A004-0021009900B9}</author>
    <author>tc={001100B9-00CB-4623-991F-000400BF0034}</author>
    <author>tc={00FD0056-006F-40FC-8402-003700470046}</author>
    <author>tc={00BC00F0-0098-4402-A7FA-007200920002}</author>
    <author>tc={009800E3-0020-4364-ADC8-004000110031}</author>
    <author>tc={00BD00DA-00A9-4ABB-BBE8-0053004C00E1}</author>
    <author>tc={001600FA-0079-40E4-AE86-0088004C003B}</author>
    <author>tc={003A0087-002A-405B-A0E7-0047003A008A}</author>
    <author>tc={00E200BD-0052-4101-A323-003D00670011}</author>
    <author>tc={00F40016-0099-4FB9-A1D8-00BF0010009E}</author>
    <author>tc={00A200DF-002C-4E17-AB48-0032009E00E5}</author>
    <author>tc={006300FC-0017-4B51-BD00-009000270067}</author>
    <author>tc={002A0062-00E4-498C-87EC-0027003A007F}</author>
    <author>tc={009F00A1-0099-4EBA-8E49-0083002100F4}</author>
    <author>tc={006700F1-0048-4100-B2F3-006800D40037}</author>
    <author>tc={00180023-0026-4399-8E85-00290081006F}</author>
    <author>tc={00220016-00FA-4E2E-BE52-0098004A0060}</author>
    <author>tc={00690074-0071-4732-9F35-00CF0099001B}</author>
    <author>tc={009300AD-00A9-4B24-8C7E-00B800DC0045}</author>
    <author>tc={00890013-005E-416E-9AAF-0048007400C2}</author>
    <author>tc={00980093-00D2-4B53-BD08-005E00E200F7}</author>
    <author>tc={00200066-008B-4CF5-B2BB-00DE004B00AE}</author>
    <author>tc={0059002B-00F7-4861-AD72-00E400030034}</author>
    <author>tc={000900C6-0015-4B5B-B3FA-0082008900DA}</author>
    <author>tc={00900076-0043-472F-959E-00DC00A40061}</author>
    <author>tc={004E0023-00A9-491A-8570-00EE005A00FD}</author>
    <author>tc={00D90066-001B-44FF-B343-00F0000800AC}</author>
    <author>tc={005F0008-00CD-45FE-9D77-000700E900A4}</author>
    <author>tc={007400ED-0078-43C8-BBB9-0055001F0085}</author>
    <author>tc={009C0059-00E8-48F8-A1E2-008100DD0080}</author>
    <author>tc={009E002F-00A4-4F2D-9F05-009B006000D1}</author>
    <author>tc={009500D6-006F-4010-833F-003E00E40089}</author>
    <author>tc={002400CA-0022-47A4-91A1-0035002B008E}</author>
    <author>tc={00040095-00FE-4E33-847C-00A4004B0000}</author>
    <author>tc={005D002A-0003-4CD4-B1E4-00D40030005E}</author>
    <author>tc={0066008D-00E5-46D8-ACCB-000E006900E7}</author>
    <author>tc={00E400D9-0086-4FE4-AD0E-00BC00C20010}</author>
    <author>tc={00DA0009-0072-457B-9698-00DD007D00D1}</author>
    <author>tc={00C800D4-0090-4CE0-8C66-006600DD00A2}</author>
    <author>tc={00D80037-004C-4EC8-8708-00BF00E300F9}</author>
    <author>tc={004B00D7-0066-4E79-839E-008D00F3000E}</author>
    <author>tc={00C90039-0059-4326-BB04-005000B400E3}</author>
    <author>tc={002900DF-0014-472F-9FA5-0040009F0037}</author>
    <author>tc={00FA0098-0032-40EB-A2E0-00FA009F00F7}</author>
    <author>tc={006E00EA-00C4-438B-BEFC-00ED00250025}</author>
    <author>tc={00CA0068-0006-4D93-BCBA-00CD003A0079}</author>
    <author>tc={00B400FE-00C1-44BD-9D7A-00E200A800A5}</author>
    <author>tc={00500046-000C-452A-849A-007400F80060}</author>
    <author>tc={0070002A-00D9-4DF7-A324-00EF00330031}</author>
    <author>tc={00A40071-0078-46FE-8752-001000F80013}</author>
    <author>tc={00750092-0077-4914-96A8-007900530021}</author>
    <author>tc={004300EA-0007-4212-B317-00C10006006F}</author>
    <author>tc={00C500A2-002A-49B2-956D-00FF00D9003A}</author>
    <author>tc={004B00C4-00DC-452A-B6FB-006B00B20022}</author>
    <author>tc={002400B9-00BC-40B4-8F91-0029003D002F}</author>
    <author>tc={00BB0018-00A8-4981-B15C-00BE007A00C2}</author>
    <author>tc={006400F8-008E-4E42-A85B-00EC00180081}</author>
    <author>tc={006F00B6-0049-4A40-AF64-008400630040}</author>
    <author>tc={005E005F-006C-439C-BCCD-00B300E00086}</author>
    <author>tc={00460022-004C-44C5-B298-0033001D00E6}</author>
    <author>tc={00DE000A-0071-409D-B771-0079000F0064}</author>
    <author>tc={005E0084-00FF-43D7-AC3A-0049008E00D4}</author>
    <author>tc={008A00DA-00F8-46A4-8B0D-0099003700DF}</author>
    <author>tc={00BD0020-0014-4259-809C-00F2000D0015}</author>
    <author>tc={00DE009F-006D-480A-BF6F-006300990023}</author>
    <author>tc={00C70031-0077-42E7-9148-00F300E800FC}</author>
    <author>tc={00D700DD-001C-41C2-977C-004200CA00AE}</author>
    <author>tc={00070041-00D1-42E3-8E5D-00B100CF002A}</author>
    <author>tc={000E0053-0067-4D12-B2F0-00C800A4006A}</author>
    <author>tc={006B00FD-0013-41BD-9D80-00E10046004F}</author>
    <author>tc={00860077-009B-4F5C-BC34-00BE004000DD}</author>
  </authors>
  <commentList>
    <comment ref="D37" authorId="0" shapeId="0">
      <text>
        <r>
          <rPr>
            <b/>
            <sz val="9"/>
            <rFont val="Tahoma"/>
          </rPr>
          <t>Jana Holíková:</t>
        </r>
        <r>
          <rPr>
            <sz val="9"/>
            <rFont val="Tahoma"/>
          </rPr>
          <t xml:space="preserve">
25127.07 -2.000.000
</t>
        </r>
      </text>
    </comment>
    <comment ref="D38" authorId="1" shapeId="0">
      <text>
        <r>
          <rPr>
            <b/>
            <sz val="9"/>
            <rFont val="Tahoma"/>
          </rPr>
          <t>Jana Holíková:</t>
        </r>
        <r>
          <rPr>
            <sz val="9"/>
            <rFont val="Tahoma"/>
          </rPr>
          <t xml:space="preserve">
25057/04 +25.564.110
</t>
        </r>
      </text>
    </comment>
    <comment ref="D42" authorId="2" shapeId="0">
      <text>
        <r>
          <rPr>
            <b/>
            <sz val="9"/>
            <rFont val="Tahoma"/>
          </rPr>
          <t>Jana Holíková:</t>
        </r>
        <r>
          <rPr>
            <sz val="9"/>
            <rFont val="Tahoma"/>
          </rPr>
          <t xml:space="preserve">
25031/03 +32.200
</t>
        </r>
      </text>
    </comment>
    <comment ref="D46" authorId="3" shapeId="0">
      <text>
        <r>
          <rPr>
            <b/>
            <sz val="9"/>
            <rFont val="Tahoma"/>
          </rPr>
          <t>Jana Holíková:</t>
        </r>
        <r>
          <rPr>
            <sz val="9"/>
            <rFont val="Tahoma"/>
          </rPr>
          <t xml:space="preserve">
25248/12 +240.000
</t>
        </r>
      </text>
    </comment>
    <comment ref="D53" authorId="4" shapeId="0">
      <text>
        <r>
          <rPr>
            <b/>
            <sz val="9"/>
            <rFont val="Tahoma"/>
          </rPr>
          <t>Jana Holíková:</t>
        </r>
        <r>
          <rPr>
            <sz val="9"/>
            <rFont val="Tahoma"/>
          </rPr>
          <t xml:space="preserve">
25248/12 +1.150.000
</t>
        </r>
      </text>
    </comment>
    <comment ref="D54" authorId="5" shapeId="0">
      <text>
        <r>
          <rPr>
            <b/>
            <sz val="9"/>
            <rFont val="Tahoma"/>
          </rPr>
          <t>Jana Holíková:</t>
        </r>
        <r>
          <rPr>
            <sz val="9"/>
            <rFont val="Tahoma"/>
          </rPr>
          <t xml:space="preserve">
</t>
        </r>
      </text>
    </comment>
    <comment ref="D57" authorId="6" shapeId="0">
      <text>
        <r>
          <rPr>
            <b/>
            <sz val="9"/>
            <rFont val="Tahoma"/>
          </rPr>
          <t>Jana Holíková:</t>
        </r>
        <r>
          <rPr>
            <sz val="9"/>
            <rFont val="Tahoma"/>
          </rPr>
          <t xml:space="preserve">
25248/12 +214.600
</t>
        </r>
      </text>
    </comment>
    <comment ref="D61" authorId="7" shapeId="0">
      <text>
        <r>
          <rPr>
            <b/>
            <sz val="9"/>
            <rFont val="Tahoma"/>
          </rPr>
          <t>Jana Holíková:</t>
        </r>
        <r>
          <rPr>
            <sz val="9"/>
            <rFont val="Tahoma"/>
          </rPr>
          <t xml:space="preserve">
25248/12 +500.461,39
</t>
        </r>
      </text>
    </comment>
    <comment ref="D62" authorId="8" shapeId="0">
      <text>
        <r>
          <rPr>
            <b/>
            <sz val="9"/>
            <rFont val="Tahoma"/>
          </rPr>
          <t>Jana Holíková:</t>
        </r>
        <r>
          <rPr>
            <sz val="9"/>
            <rFont val="Tahoma"/>
          </rPr>
          <t xml:space="preserve">
25248/12 +1.300.000
</t>
        </r>
      </text>
    </comment>
    <comment ref="D63" authorId="9" shapeId="0">
      <text>
        <r>
          <rPr>
            <b/>
            <sz val="9"/>
            <rFont val="Tahoma"/>
          </rPr>
          <t>Jana Holíková:</t>
        </r>
        <r>
          <rPr>
            <sz val="9"/>
            <rFont val="Tahoma"/>
          </rPr>
          <t xml:space="preserve">
25248/12 +650.000
</t>
        </r>
      </text>
    </comment>
    <comment ref="D71" authorId="10" shapeId="0">
      <text>
        <r>
          <rPr>
            <b/>
            <sz val="9"/>
            <rFont val="Tahoma"/>
          </rPr>
          <t>Jana Holíková:</t>
        </r>
        <r>
          <rPr>
            <sz val="9"/>
            <rFont val="Tahoma"/>
          </rPr>
          <t xml:space="preserve">
25089/05 +10.000
25111.07 +10.000
</t>
        </r>
      </text>
    </comment>
    <comment ref="D75" authorId="11" shapeId="0">
      <text>
        <r>
          <rPr>
            <b/>
            <sz val="9"/>
            <rFont val="Tahoma"/>
          </rPr>
          <t>Jana Holíková:</t>
        </r>
        <r>
          <rPr>
            <sz val="9"/>
            <rFont val="Tahoma"/>
          </rPr>
          <t xml:space="preserve">
25238/12 +1.690.434
</t>
        </r>
      </text>
    </comment>
    <comment ref="D79" authorId="12" shapeId="0">
      <text>
        <r>
          <rPr>
            <b/>
            <sz val="9"/>
            <rFont val="Tahoma"/>
          </rPr>
          <t>Jana Holíková:</t>
        </r>
        <r>
          <rPr>
            <sz val="9"/>
            <rFont val="Tahoma"/>
          </rPr>
          <t xml:space="preserve">
25184/10 -1.000.000
</t>
        </r>
      </text>
    </comment>
    <comment ref="D80" authorId="13" shapeId="0">
      <text>
        <r>
          <rPr>
            <b/>
            <sz val="9"/>
            <rFont val="Tahoma"/>
          </rPr>
          <t>Jana Holíková:</t>
        </r>
        <r>
          <rPr>
            <sz val="9"/>
            <rFont val="Tahoma"/>
          </rPr>
          <t xml:space="preserve">
25002/01 +99.036 (321)
25009/01 +145.092 (322)
25035/03 -10.990 (305)
25071/04 
+545.328,75 (321)
+160.990 (325)
25077/05 +54.671,25 (321)
25202/11 +51.162 (321)
25225/12 +13.641 (50
</t>
        </r>
      </text>
    </comment>
    <comment ref="D81" authorId="14" shapeId="0">
      <text>
        <r>
          <rPr>
            <b/>
            <sz val="9"/>
            <rFont val="Tahoma"/>
          </rPr>
          <t>Jana Holíková:</t>
        </r>
        <r>
          <rPr>
            <sz val="9"/>
            <rFont val="Tahoma"/>
          </rPr>
          <t xml:space="preserve">
25221/12 +52.000
</t>
        </r>
      </text>
    </comment>
    <comment ref="D95" authorId="15" shapeId="0">
      <text>
        <r>
          <rPr>
            <b/>
            <sz val="9"/>
            <rFont val="Tahoma"/>
          </rPr>
          <t>Jana Holíková:</t>
        </r>
        <r>
          <rPr>
            <sz val="9"/>
            <rFont val="Tahoma"/>
          </rPr>
          <t xml:space="preserve">
25137/08 +300.000
25153/09 +335.000
25195/11 +10.000
25248/12 +1.213.288,24
25253/12 +230.000
</t>
        </r>
      </text>
    </comment>
    <comment ref="D96" authorId="16" shapeId="0">
      <text>
        <r>
          <rPr>
            <b/>
            <sz val="9"/>
            <rFont val="Tahoma"/>
          </rPr>
          <t>Jana Holíková:</t>
        </r>
        <r>
          <rPr>
            <sz val="9"/>
            <rFont val="Tahoma"/>
          </rPr>
          <t xml:space="preserve">
25137/08 +1.700.000
25248/12 +106.250
</t>
        </r>
      </text>
    </comment>
    <comment ref="D100" authorId="17" shapeId="0">
      <text>
        <r>
          <rPr>
            <b/>
            <sz val="9"/>
            <rFont val="Tahoma"/>
          </rPr>
          <t>Jana Holíková:</t>
        </r>
        <r>
          <rPr>
            <sz val="9"/>
            <rFont val="Tahoma"/>
          </rPr>
          <t xml:space="preserve">
25090/05 +10.000
25143/08 +69.477,18
25240/12 +234.649,25
25258/12 
-234.649,25 -41.297,20 -15.590 -12.589,98
</t>
        </r>
      </text>
    </comment>
    <comment ref="D104" authorId="18" shapeId="0">
      <text>
        <r>
          <rPr>
            <b/>
            <sz val="9"/>
            <rFont val="Tahoma"/>
          </rPr>
          <t>Jana Holíková:</t>
        </r>
        <r>
          <rPr>
            <sz val="9"/>
            <rFont val="Tahoma"/>
          </rPr>
          <t xml:space="preserve">
25144/08 +465.000
25170/09 +671.703,90
25258/12 
-671.703,90 -465.000
</t>
        </r>
      </text>
    </comment>
    <comment ref="D105" authorId="19" shapeId="0">
      <text>
        <r>
          <rPr>
            <b/>
            <sz val="9"/>
            <rFont val="Tahoma"/>
          </rPr>
          <t>Jana Holíková:</t>
        </r>
        <r>
          <rPr>
            <sz val="9"/>
            <rFont val="Tahoma"/>
          </rPr>
          <t xml:space="preserve">
25144/08 +5.747,50
</t>
        </r>
      </text>
    </comment>
    <comment ref="D107" authorId="20" shapeId="0">
      <text>
        <r>
          <rPr>
            <b/>
            <sz val="9"/>
            <rFont val="Tahoma"/>
          </rPr>
          <t>Jana Holíková:</t>
        </r>
        <r>
          <rPr>
            <sz val="9"/>
            <rFont val="Tahoma"/>
          </rPr>
          <t xml:space="preserve">
25243/12 +50.000
25258/12 -50.000
</t>
        </r>
      </text>
    </comment>
    <comment ref="D108" authorId="21" shapeId="0">
      <text>
        <r>
          <rPr>
            <b/>
            <sz val="9"/>
            <rFont val="Tahoma"/>
          </rPr>
          <t>Jana Holíková:</t>
        </r>
        <r>
          <rPr>
            <sz val="9"/>
            <rFont val="Tahoma"/>
          </rPr>
          <t xml:space="preserve">
25243/12 +50.000
25258/12 -50.000
</t>
        </r>
      </text>
    </comment>
    <comment ref="D113" authorId="22" shapeId="0">
      <text>
        <r>
          <rPr>
            <b/>
            <sz val="9"/>
            <rFont val="Tahoma"/>
          </rPr>
          <t>Jana Holíková:</t>
        </r>
        <r>
          <rPr>
            <sz val="9"/>
            <rFont val="Tahoma"/>
          </rPr>
          <t xml:space="preserve">
25258/12
+139.959,54 +671.703,90 +382.500 +465.000 +234.649,25 +41.297,20 +15590 +50000 +12.589,98 +18.500,85
</t>
        </r>
      </text>
    </comment>
    <comment ref="D115" authorId="23" shapeId="0">
      <text>
        <r>
          <rPr>
            <b/>
            <sz val="9"/>
            <rFont val="Tahoma"/>
          </rPr>
          <t>Jana Holíková:</t>
        </r>
        <r>
          <rPr>
            <sz val="9"/>
            <rFont val="Tahoma"/>
          </rPr>
          <t xml:space="preserve">
25031/02 +700.000
</t>
        </r>
      </text>
    </comment>
    <comment ref="D116" authorId="24" shapeId="0">
      <text>
        <r>
          <rPr>
            <b/>
            <sz val="9"/>
            <rFont val="Tahoma"/>
          </rPr>
          <t>Jana Holíková:</t>
        </r>
        <r>
          <rPr>
            <sz val="9"/>
            <rFont val="Tahoma"/>
          </rPr>
          <t xml:space="preserve">
25028/02 +463.363
</t>
        </r>
      </text>
    </comment>
    <comment ref="D117" authorId="25" shapeId="0">
      <text>
        <r>
          <rPr>
            <b/>
            <sz val="9"/>
            <rFont val="Tahoma"/>
          </rPr>
          <t>Jana Holíková:</t>
        </r>
        <r>
          <rPr>
            <sz val="9"/>
            <rFont val="Tahoma"/>
          </rPr>
          <t xml:space="preserve">
25024/02 +62.538,16
</t>
        </r>
      </text>
    </comment>
    <comment ref="D118" authorId="26" shapeId="0">
      <text>
        <r>
          <rPr>
            <b/>
            <sz val="9"/>
            <rFont val="Tahoma"/>
          </rPr>
          <t>Jana Holíková:</t>
        </r>
        <r>
          <rPr>
            <sz val="9"/>
            <rFont val="Tahoma"/>
          </rPr>
          <t xml:space="preserve">
25024/02 +129.480,70
</t>
        </r>
      </text>
    </comment>
    <comment ref="D119" authorId="27" shapeId="0">
      <text>
        <r>
          <rPr>
            <b/>
            <sz val="9"/>
            <rFont val="Tahoma"/>
          </rPr>
          <t>Jana Holíková:</t>
        </r>
        <r>
          <rPr>
            <sz val="9"/>
            <rFont val="Tahoma"/>
          </rPr>
          <t xml:space="preserve">
25204/11 
+ 252.863,08 úz253 1441
+834.018,92 úz911 1445
</t>
        </r>
      </text>
    </comment>
    <comment ref="D120" authorId="28" shapeId="0">
      <text>
        <r>
          <rPr>
            <b/>
            <sz val="9"/>
            <rFont val="Tahoma"/>
          </rPr>
          <t>Jana Holíková:</t>
        </r>
        <r>
          <rPr>
            <sz val="9"/>
            <rFont val="Tahoma"/>
          </rPr>
          <t xml:space="preserve">
25203/11 
+ 6.450,70 úz253 1441
+58.056,30 úz911 1445
</t>
        </r>
      </text>
    </comment>
    <comment ref="D121" authorId="29" shapeId="0">
      <text>
        <r>
          <rPr>
            <b/>
            <sz val="9"/>
            <rFont val="Tahoma"/>
          </rPr>
          <t>Jana Holíková:</t>
        </r>
        <r>
          <rPr>
            <sz val="9"/>
            <rFont val="Tahoma"/>
          </rPr>
          <t xml:space="preserve">
25024/02 +169.544,53
</t>
        </r>
      </text>
    </comment>
    <comment ref="D122" authorId="30" shapeId="0">
      <text>
        <r>
          <rPr>
            <b/>
            <sz val="9"/>
            <rFont val="Tahoma"/>
          </rPr>
          <t>Jana Holíková:</t>
        </r>
        <r>
          <rPr>
            <sz val="9"/>
            <rFont val="Tahoma"/>
          </rPr>
          <t xml:space="preserve">
25024/02 +70.270,33
</t>
        </r>
      </text>
    </comment>
    <comment ref="D123" authorId="31" shapeId="0">
      <text>
        <r>
          <rPr>
            <b/>
            <sz val="9"/>
            <rFont val="Tahoma"/>
          </rPr>
          <t>Jana Holíková:</t>
        </r>
        <r>
          <rPr>
            <sz val="9"/>
            <rFont val="Tahoma"/>
          </rPr>
          <t xml:space="preserve">
25042/03 +2.743.942,28
</t>
        </r>
      </text>
    </comment>
    <comment ref="D124" authorId="32" shapeId="0">
      <text>
        <r>
          <rPr>
            <b/>
            <sz val="9"/>
            <rFont val="Tahoma"/>
          </rPr>
          <t>Jana Holíková:</t>
        </r>
        <r>
          <rPr>
            <sz val="9"/>
            <rFont val="Tahoma"/>
          </rPr>
          <t xml:space="preserve">
25031/02 
+37.912,80  1180
+ 6.500   1131
+455.819,41  1134
25088/05 +30.000
</t>
        </r>
      </text>
    </comment>
    <comment ref="D125" authorId="33" shapeId="0">
      <text>
        <r>
          <rPr>
            <b/>
            <sz val="9"/>
            <rFont val="Tahoma"/>
          </rPr>
          <t>Jana Holíková:</t>
        </r>
        <r>
          <rPr>
            <sz val="9"/>
            <rFont val="Tahoma"/>
          </rPr>
          <t xml:space="preserve">
25062/04 +23.725
25063/04 +4.745
25082/05 +40.000
25091/06 +10.000
25108/07 +10.000
25136/08 +17.245
25146/08 +60.000
</t>
        </r>
      </text>
    </comment>
    <comment ref="D127" authorId="34" shapeId="0">
      <text>
        <r>
          <rPr>
            <b/>
            <sz val="9"/>
            <rFont val="Tahoma"/>
          </rPr>
          <t>Jana Holíková:</t>
        </r>
        <r>
          <rPr>
            <sz val="9"/>
            <rFont val="Tahoma"/>
          </rPr>
          <t xml:space="preserve">
25004/01 úz 33092
+ 913,14 (1431)
+3.011,86 (1435)
</t>
        </r>
      </text>
    </comment>
    <comment ref="D128" authorId="35" shapeId="0">
      <text>
        <r>
          <rPr>
            <b/>
            <sz val="9"/>
            <rFont val="Tahoma"/>
          </rPr>
          <t>Jana Holíková:</t>
        </r>
        <r>
          <rPr>
            <sz val="9"/>
            <rFont val="Tahoma"/>
          </rPr>
          <t xml:space="preserve">
25203/11 úz 33092
+ 24.701,86 (1431)
+ 81.474,14 (1435)
</t>
        </r>
      </text>
    </comment>
    <comment ref="D129" authorId="36" shapeId="0">
      <text>
        <r>
          <rPr>
            <b/>
            <sz val="9"/>
            <rFont val="Tahoma"/>
          </rPr>
          <t>Jana Holíková:</t>
        </r>
        <r>
          <rPr>
            <sz val="9"/>
            <rFont val="Tahoma"/>
          </rPr>
          <t xml:space="preserve">
25026/02 +3.730
</t>
        </r>
      </text>
    </comment>
    <comment ref="D131" authorId="37" shapeId="0">
      <text>
        <r>
          <rPr>
            <b/>
            <sz val="9"/>
            <rFont val="Tahoma"/>
          </rPr>
          <t>Jana Holíková:</t>
        </r>
        <r>
          <rPr>
            <sz val="9"/>
            <rFont val="Tahoma"/>
          </rPr>
          <t xml:space="preserve">
25032/03
-50.000 741
+50.000 528
25033/03
-50.000 741
+50.000 416
25175/09 +10.000 (035)
25177/10 +150.000 (416)
25181/10 -10.000 (035)
25196/11 +30.000
</t>
        </r>
      </text>
    </comment>
    <comment ref="D132" authorId="38" shapeId="0">
      <text>
        <r>
          <rPr>
            <b/>
            <sz val="9"/>
            <rFont val="Tahoma"/>
          </rPr>
          <t>Jana Holíková:</t>
        </r>
        <r>
          <rPr>
            <sz val="9"/>
            <rFont val="Tahoma"/>
          </rPr>
          <t xml:space="preserve">
25068/04 +240.187
25169/09 +155.473
</t>
        </r>
      </text>
    </comment>
    <comment ref="D137" authorId="39" shapeId="0">
      <text>
        <r>
          <rPr>
            <b/>
            <sz val="9"/>
            <rFont val="Tahoma"/>
          </rPr>
          <t>Jana Holíková:</t>
        </r>
        <r>
          <rPr>
            <sz val="9"/>
            <rFont val="Tahoma"/>
          </rPr>
          <t xml:space="preserve">
25031/03 +15.000
</t>
        </r>
      </text>
    </comment>
    <comment ref="D156" authorId="40" shapeId="0">
      <text>
        <r>
          <rPr>
            <b/>
            <sz val="9"/>
            <rFont val="Tahoma"/>
          </rPr>
          <t>Jana Holíková:</t>
        </r>
        <r>
          <rPr>
            <sz val="9"/>
            <rFont val="Tahoma"/>
          </rPr>
          <t xml:space="preserve">
25074/04 -200.000
</t>
        </r>
      </text>
    </comment>
    <comment ref="D165" authorId="41" shapeId="0">
      <text>
        <r>
          <rPr>
            <b/>
            <sz val="9"/>
            <rFont val="Tahoma"/>
          </rPr>
          <t>Jana Holíková:</t>
        </r>
        <r>
          <rPr>
            <sz val="9"/>
            <rFont val="Tahoma"/>
          </rPr>
          <t xml:space="preserve">
25246/12 +151.008
</t>
        </r>
      </text>
    </comment>
    <comment ref="D166" authorId="42" shapeId="0">
      <text>
        <r>
          <rPr>
            <b/>
            <sz val="9"/>
            <rFont val="Tahoma"/>
          </rPr>
          <t>Jana Holíková:</t>
        </r>
        <r>
          <rPr>
            <sz val="9"/>
            <rFont val="Tahoma"/>
          </rPr>
          <t xml:space="preserve">
25061/04 -5000000
</t>
        </r>
      </text>
    </comment>
    <comment ref="D171" authorId="43" shapeId="0">
      <text>
        <r>
          <rPr>
            <b/>
            <sz val="9"/>
            <rFont val="Tahoma"/>
          </rPr>
          <t>Jana Holíková:</t>
        </r>
        <r>
          <rPr>
            <sz val="9"/>
            <rFont val="Tahoma"/>
          </rPr>
          <t xml:space="preserve">
25183/10 -500.000
</t>
        </r>
      </text>
    </comment>
    <comment ref="D172" authorId="44" shapeId="0">
      <text>
        <r>
          <rPr>
            <b/>
            <sz val="9"/>
            <rFont val="Tahoma"/>
          </rPr>
          <t>Jana Holíková:</t>
        </r>
        <r>
          <rPr>
            <sz val="9"/>
            <rFont val="Tahoma"/>
          </rPr>
          <t xml:space="preserve">
25047/03 -500.000
</t>
        </r>
      </text>
    </comment>
    <comment ref="D173" authorId="45" shapeId="0">
      <text>
        <r>
          <rPr>
            <b/>
            <sz val="9"/>
            <rFont val="Tahoma"/>
          </rPr>
          <t>Jana Holíková:</t>
        </r>
        <r>
          <rPr>
            <sz val="9"/>
            <rFont val="Tahoma"/>
          </rPr>
          <t xml:space="preserve">
25255/12 -5.132.771,51
</t>
        </r>
      </text>
    </comment>
    <comment ref="D176" authorId="46" shapeId="0">
      <text>
        <r>
          <rPr>
            <b/>
            <sz val="9"/>
            <rFont val="Tahoma"/>
          </rPr>
          <t>Jana Holíková:</t>
        </r>
        <r>
          <rPr>
            <sz val="9"/>
            <rFont val="Tahoma"/>
          </rPr>
          <t xml:space="preserve">
25058/04 +5.889.660
</t>
        </r>
      </text>
    </comment>
    <comment ref="D177" authorId="47" shapeId="0">
      <text>
        <r>
          <rPr>
            <b/>
            <sz val="9"/>
            <rFont val="Tahoma"/>
          </rPr>
          <t>Jana Holíková:</t>
        </r>
        <r>
          <rPr>
            <sz val="9"/>
            <rFont val="Tahoma"/>
          </rPr>
          <t xml:space="preserve">
25094/06 +5.424.450
</t>
        </r>
      </text>
    </comment>
    <comment ref="D179" authorId="48" shapeId="0">
      <text>
        <r>
          <rPr>
            <b/>
            <sz val="9"/>
            <rFont val="Tahoma"/>
          </rPr>
          <t>Jana Holíková:</t>
        </r>
        <r>
          <rPr>
            <sz val="9"/>
            <rFont val="Tahoma"/>
          </rPr>
          <t xml:space="preserve">
25193/10 -2.975.049
</t>
        </r>
      </text>
    </comment>
    <comment ref="D180" authorId="49" shapeId="0">
      <text>
        <r>
          <rPr>
            <b/>
            <sz val="9"/>
            <rFont val="Tahoma"/>
          </rPr>
          <t>Jana Holíková:</t>
        </r>
        <r>
          <rPr>
            <sz val="9"/>
            <rFont val="Tahoma"/>
          </rPr>
          <t xml:space="preserve">
25093/06 +748.448
</t>
        </r>
      </text>
    </comment>
    <comment ref="D181" authorId="50" shapeId="0">
      <text>
        <r>
          <rPr>
            <b/>
            <sz val="9"/>
            <rFont val="Tahoma"/>
          </rPr>
          <t>Jana Holíková:</t>
        </r>
        <r>
          <rPr>
            <sz val="9"/>
            <rFont val="Tahoma"/>
          </rPr>
          <t xml:space="preserve">
25093/06 +62.329
</t>
        </r>
      </text>
    </comment>
    <comment ref="D182" authorId="51" shapeId="0">
      <text>
        <r>
          <rPr>
            <b/>
            <sz val="9"/>
            <rFont val="Tahoma"/>
          </rPr>
          <t>Jana Holíková:</t>
        </r>
        <r>
          <rPr>
            <sz val="9"/>
            <rFont val="Tahoma"/>
          </rPr>
          <t xml:space="preserve">
25193/10 -20.300.000
</t>
        </r>
      </text>
    </comment>
    <comment ref="D183" authorId="52" shapeId="0">
      <text>
        <r>
          <rPr>
            <b/>
            <sz val="9"/>
            <rFont val="Tahoma"/>
          </rPr>
          <t>Jana Holíková:</t>
        </r>
        <r>
          <rPr>
            <sz val="9"/>
            <rFont val="Tahoma"/>
          </rPr>
          <t xml:space="preserve">
25193/10 -610.000
</t>
        </r>
      </text>
    </comment>
    <comment ref="D186" authorId="53" shapeId="0">
      <text>
        <r>
          <rPr>
            <b/>
            <sz val="9"/>
            <rFont val="Tahoma"/>
          </rPr>
          <t>Jana Holíková:</t>
        </r>
        <r>
          <rPr>
            <sz val="9"/>
            <rFont val="Tahoma"/>
          </rPr>
          <t xml:space="preserve">
25162/09 -2.499.999
</t>
        </r>
      </text>
    </comment>
    <comment ref="D187" authorId="54" shapeId="0">
      <text>
        <r>
          <rPr>
            <b/>
            <sz val="9"/>
            <rFont val="Tahoma"/>
          </rPr>
          <t>Jana Holíková:</t>
        </r>
        <r>
          <rPr>
            <sz val="9"/>
            <rFont val="Tahoma"/>
          </rPr>
          <t xml:space="preserve">
25254/12 -1.356.601
</t>
        </r>
      </text>
    </comment>
    <comment ref="D188" authorId="55" shapeId="0">
      <text>
        <r>
          <rPr>
            <b/>
            <sz val="9"/>
            <rFont val="Tahoma"/>
          </rPr>
          <t>Jana Holíková:</t>
        </r>
        <r>
          <rPr>
            <sz val="9"/>
            <rFont val="Tahoma"/>
          </rPr>
          <t xml:space="preserve">
25166/09 -168.585
</t>
        </r>
      </text>
    </comment>
    <comment ref="D189" authorId="56" shapeId="0">
      <text>
        <r>
          <rPr>
            <b/>
            <sz val="9"/>
            <rFont val="Tahoma"/>
          </rPr>
          <t>Jana Holíková:</t>
        </r>
        <r>
          <rPr>
            <sz val="9"/>
            <rFont val="Tahoma"/>
          </rPr>
          <t xml:space="preserve">
25244/12 -5.312.129
</t>
        </r>
      </text>
    </comment>
    <comment ref="D190" authorId="57" shapeId="0">
      <text>
        <r>
          <rPr>
            <b/>
            <sz val="9"/>
            <rFont val="Tahoma"/>
          </rPr>
          <t>Jana Holíková:</t>
        </r>
        <r>
          <rPr>
            <sz val="9"/>
            <rFont val="Tahoma"/>
          </rPr>
          <t xml:space="preserve">
25246/12 -151.008
</t>
        </r>
      </text>
    </comment>
    <comment ref="D195" authorId="58" shapeId="0">
      <text>
        <r>
          <rPr>
            <b/>
            <sz val="9"/>
            <rFont val="Tahoma"/>
          </rPr>
          <t>Jana Holíková:</t>
        </r>
        <r>
          <rPr>
            <sz val="9"/>
            <rFont val="Tahoma"/>
          </rPr>
          <t xml:space="preserve">
25130.07
-500.000 +735.000
</t>
        </r>
      </text>
    </comment>
    <comment ref="D196" authorId="59" shapeId="0">
      <text>
        <r>
          <rPr>
            <b/>
            <sz val="9"/>
            <rFont val="Tahoma"/>
          </rPr>
          <t>Jana Holíková:</t>
        </r>
        <r>
          <rPr>
            <sz val="9"/>
            <rFont val="Tahoma"/>
          </rPr>
          <t xml:space="preserve">
25003/01 -432.200
</t>
        </r>
      </text>
    </comment>
    <comment ref="D198" authorId="60" shapeId="0">
      <text>
        <r>
          <rPr>
            <b/>
            <sz val="9"/>
            <rFont val="Tahoma"/>
          </rPr>
          <t>Jana Holíková:</t>
        </r>
        <r>
          <rPr>
            <sz val="9"/>
            <rFont val="Tahoma"/>
          </rPr>
          <t xml:space="preserve">
25165/09 -55.091,76
25252/12 +49.994,72
</t>
        </r>
      </text>
    </comment>
    <comment ref="D199" authorId="61" shapeId="0">
      <text>
        <r>
          <rPr>
            <b/>
            <sz val="9"/>
            <rFont val="Tahoma"/>
          </rPr>
          <t>Jana Holíková:</t>
        </r>
        <r>
          <rPr>
            <sz val="9"/>
            <rFont val="Tahoma"/>
          </rPr>
          <t xml:space="preserve">
25101/07 -40.000
</t>
        </r>
      </text>
    </comment>
    <comment ref="D200" authorId="62" shapeId="0">
      <text>
        <r>
          <rPr>
            <b/>
            <sz val="9"/>
            <rFont val="Tahoma"/>
          </rPr>
          <t>Jana Holíková:</t>
        </r>
        <r>
          <rPr>
            <sz val="9"/>
            <rFont val="Tahoma"/>
          </rPr>
          <t xml:space="preserve">
25157/09 
+91.819,40 úz89028 1601
+49.441,18 úz89029 1605
</t>
        </r>
      </text>
    </comment>
    <comment ref="D202" authorId="63" shapeId="0">
      <text>
        <r>
          <rPr>
            <b/>
            <sz val="9"/>
            <rFont val="Tahoma"/>
          </rPr>
          <t>Jana Holíková:</t>
        </r>
        <r>
          <rPr>
            <sz val="9"/>
            <rFont val="Tahoma"/>
          </rPr>
          <t xml:space="preserve">
25136/08 -17.245 
dotace 
</t>
        </r>
      </text>
    </comment>
    <comment ref="D203" authorId="64" shapeId="0">
      <text>
        <r>
          <rPr>
            <b/>
            <sz val="9"/>
            <rFont val="Tahoma"/>
          </rPr>
          <t>Jana Holíková:</t>
        </r>
        <r>
          <rPr>
            <sz val="9"/>
            <rFont val="Tahoma"/>
          </rPr>
          <t xml:space="preserve">
25135/08 +294.000
</t>
        </r>
      </text>
    </comment>
    <comment ref="D204" authorId="65" shapeId="0">
      <text>
        <r>
          <rPr>
            <b/>
            <sz val="9"/>
            <rFont val="Tahoma"/>
          </rPr>
          <t>Jana Holíková:</t>
        </r>
        <r>
          <rPr>
            <sz val="9"/>
            <rFont val="Tahoma"/>
          </rPr>
          <t xml:space="preserve">
25234/12 +995.434,77
</t>
        </r>
      </text>
    </comment>
    <comment ref="D205" authorId="66" shapeId="0">
      <text>
        <r>
          <rPr>
            <b/>
            <sz val="9"/>
            <rFont val="Tahoma"/>
          </rPr>
          <t>Jana Holíková:</t>
        </r>
        <r>
          <rPr>
            <sz val="9"/>
            <rFont val="Tahoma"/>
          </rPr>
          <t xml:space="preserve">
25163/09 +1.563.852,31
</t>
        </r>
      </text>
    </comment>
    <comment ref="D206" authorId="67" shapeId="0">
      <text>
        <r>
          <rPr>
            <b/>
            <sz val="9"/>
            <rFont val="Tahoma"/>
          </rPr>
          <t>Jana Holíková:</t>
        </r>
        <r>
          <rPr>
            <sz val="9"/>
            <rFont val="Tahoma"/>
          </rPr>
          <t xml:space="preserve">
25194/10 +207.366
25224/12 +117.914
</t>
        </r>
      </text>
    </comment>
    <comment ref="D207" authorId="68" shapeId="0">
      <text>
        <r>
          <rPr>
            <b/>
            <sz val="9"/>
            <rFont val="Tahoma"/>
          </rPr>
          <t>Jana Holíková:</t>
        </r>
        <r>
          <rPr>
            <sz val="9"/>
            <rFont val="Tahoma"/>
          </rPr>
          <t xml:space="preserve">
25250/12 +115.881
</t>
        </r>
      </text>
    </comment>
    <comment ref="D209" authorId="69" shapeId="0">
      <text>
        <r>
          <rPr>
            <b/>
            <sz val="9"/>
            <rFont val="Tahoma"/>
          </rPr>
          <t>Jana Holíková:</t>
        </r>
        <r>
          <rPr>
            <sz val="9"/>
            <rFont val="Tahoma"/>
          </rPr>
          <t xml:space="preserve">
25072/04 +71.563,93
</t>
        </r>
      </text>
    </comment>
    <comment ref="D210" authorId="70" shapeId="0">
      <text>
        <r>
          <rPr>
            <b/>
            <sz val="9"/>
            <rFont val="Tahoma"/>
          </rPr>
          <t>Jana Holíková:</t>
        </r>
        <r>
          <rPr>
            <sz val="9"/>
            <rFont val="Tahoma"/>
          </rPr>
          <t xml:space="preserve">
25158/09 +483.823
</t>
        </r>
      </text>
    </comment>
    <comment ref="D211" authorId="71" shapeId="0">
      <text>
        <r>
          <rPr>
            <b/>
            <sz val="9"/>
            <rFont val="Tahoma"/>
          </rPr>
          <t>Jana Holíková:</t>
        </r>
        <r>
          <rPr>
            <sz val="9"/>
            <rFont val="Tahoma"/>
          </rPr>
          <t xml:space="preserve">
25055/03  -+ 25.723 
25246/12 -74.277
</t>
        </r>
      </text>
    </comment>
    <comment ref="D212" authorId="72" shapeId="0">
      <text>
        <r>
          <rPr>
            <b/>
            <sz val="9"/>
            <rFont val="Tahoma"/>
          </rPr>
          <t>Jana Holíková:</t>
        </r>
        <r>
          <rPr>
            <sz val="9"/>
            <rFont val="Tahoma"/>
          </rPr>
          <t xml:space="preserve">
25051/04 úz 33092
+117.955,01 1431
+495.553,09  1435
</t>
        </r>
      </text>
    </comment>
    <comment ref="D213" authorId="73" shapeId="0">
      <text>
        <r>
          <rPr>
            <b/>
            <sz val="9"/>
            <rFont val="Tahoma"/>
          </rPr>
          <t>Jana Holíková:</t>
        </r>
        <r>
          <rPr>
            <sz val="9"/>
            <rFont val="Tahoma"/>
          </rPr>
          <t xml:space="preserve">
25052/04 úz 33092
+138.438,27 1431
+581.607,57  1435
</t>
        </r>
      </text>
    </comment>
    <comment ref="D214" authorId="74" shapeId="0">
      <text>
        <r>
          <rPr>
            <b/>
            <sz val="9"/>
            <rFont val="Tahoma"/>
          </rPr>
          <t>Jana Holíková:</t>
        </r>
        <r>
          <rPr>
            <sz val="9"/>
            <rFont val="Tahoma"/>
          </rPr>
          <t xml:space="preserve">
25041/03 úz 33092
+108.476,76 1431
+455.733  1435
</t>
        </r>
      </text>
    </comment>
    <comment ref="D215" authorId="75" shapeId="0">
      <text>
        <r>
          <rPr>
            <b/>
            <sz val="9"/>
            <rFont val="Tahoma"/>
          </rPr>
          <t>Jana Holíková:</t>
        </r>
        <r>
          <rPr>
            <sz val="9"/>
            <rFont val="Tahoma"/>
          </rPr>
          <t xml:space="preserve">
25131/08 úz33092
+ 348.577,29 1441
+1.464.444,50 1445
</t>
        </r>
      </text>
    </comment>
    <comment ref="D216" authorId="76" shapeId="0">
      <text>
        <r>
          <rPr>
            <b/>
            <sz val="9"/>
            <rFont val="Tahoma"/>
          </rPr>
          <t>Jana Holíková:</t>
        </r>
        <r>
          <rPr>
            <sz val="9"/>
            <rFont val="Tahoma"/>
          </rPr>
          <t xml:space="preserve">
25115/07 úz33092
+ 269.533,32 1441
+1.132.364,58 1445
</t>
        </r>
      </text>
    </comment>
    <comment ref="D217" authorId="77" shapeId="0">
      <text>
        <r>
          <rPr>
            <b/>
            <sz val="9"/>
            <rFont val="Tahoma"/>
          </rPr>
          <t>Jana Holíková:</t>
        </r>
        <r>
          <rPr>
            <sz val="9"/>
            <rFont val="Tahoma"/>
          </rPr>
          <t xml:space="preserve">
25115/07 úz33092
+ 269.533,32 1441
+1.132.364,58 1445
</t>
        </r>
      </text>
    </comment>
    <comment ref="D218" authorId="78" shapeId="0">
      <text>
        <r>
          <rPr>
            <b/>
            <sz val="9"/>
            <rFont val="Tahoma"/>
          </rPr>
          <t>Jana Holíková:</t>
        </r>
        <r>
          <rPr>
            <sz val="9"/>
            <rFont val="Tahoma"/>
          </rPr>
          <t xml:space="preserve">
25048/03 úz33092
+ 280.004,26 1441
+1.176.355,23 1445
</t>
        </r>
      </text>
    </comment>
    <comment ref="D219" authorId="79" shapeId="0">
      <text>
        <r>
          <rPr>
            <b/>
            <sz val="9"/>
            <rFont val="Tahoma"/>
          </rPr>
          <t>Jana Holíková:</t>
        </r>
        <r>
          <rPr>
            <sz val="9"/>
            <rFont val="Tahoma"/>
          </rPr>
          <t xml:space="preserve">
25217/11 úz33092
+ 198.862,55 1441
+ 835.462,29 1445
</t>
        </r>
      </text>
    </comment>
    <comment ref="D220" authorId="80" shapeId="0">
      <text>
        <r>
          <rPr>
            <b/>
            <sz val="9"/>
            <rFont val="Tahoma"/>
          </rPr>
          <t>Jana Holíková:</t>
        </r>
        <r>
          <rPr>
            <sz val="9"/>
            <rFont val="Tahoma"/>
          </rPr>
          <t xml:space="preserve">
25183/10
+1.341.000 radnice
+324.000 podloubí MN1-5
</t>
        </r>
      </text>
    </comment>
    <comment ref="D222" authorId="81" shapeId="0">
      <text>
        <r>
          <rPr>
            <b/>
            <sz val="9"/>
            <rFont val="Tahoma"/>
          </rPr>
          <t>Jana Holíková:</t>
        </r>
        <r>
          <rPr>
            <sz val="9"/>
            <rFont val="Tahoma"/>
          </rPr>
          <t xml:space="preserve">
25246/12 +35.000
</t>
        </r>
      </text>
    </comment>
    <comment ref="D223" authorId="82" shapeId="0">
      <text>
        <r>
          <rPr>
            <b/>
            <sz val="9"/>
            <rFont val="Tahoma"/>
          </rPr>
          <t>Jana Holíková:</t>
        </r>
        <r>
          <rPr>
            <sz val="9"/>
            <rFont val="Tahoma"/>
          </rPr>
          <t xml:space="preserve">
25246/12 +5.019
</t>
        </r>
      </text>
    </comment>
    <comment ref="D224" authorId="83" shapeId="0">
      <text>
        <r>
          <rPr>
            <b/>
            <sz val="9"/>
            <rFont val="Tahoma"/>
          </rPr>
          <t>Jana Holíková:</t>
        </r>
        <r>
          <rPr>
            <sz val="9"/>
            <rFont val="Tahoma"/>
          </rPr>
          <t xml:space="preserve">
25246/12 -31.600
</t>
        </r>
      </text>
    </comment>
    <comment ref="D225" authorId="84" shapeId="0">
      <text>
        <r>
          <rPr>
            <b/>
            <sz val="9"/>
            <rFont val="Tahoma"/>
          </rPr>
          <t>Jana Holíková:</t>
        </r>
        <r>
          <rPr>
            <sz val="9"/>
            <rFont val="Tahoma"/>
          </rPr>
          <t xml:space="preserve">
25246/12 -91.374
</t>
        </r>
      </text>
    </comment>
    <comment ref="D226" authorId="85" shapeId="0">
      <text>
        <r>
          <rPr>
            <b/>
            <sz val="9"/>
            <rFont val="Tahoma"/>
          </rPr>
          <t>Jana Holíková:</t>
        </r>
        <r>
          <rPr>
            <sz val="9"/>
            <rFont val="Tahoma"/>
          </rPr>
          <t xml:space="preserve">
25103/07 z orj 541 na 029
</t>
        </r>
      </text>
    </comment>
    <comment ref="D228" authorId="86" shapeId="0">
      <text>
        <r>
          <rPr>
            <b/>
            <sz val="9"/>
            <rFont val="Tahoma"/>
          </rPr>
          <t>Jana Holíková:</t>
        </r>
        <r>
          <rPr>
            <sz val="9"/>
            <rFont val="Tahoma"/>
          </rPr>
          <t xml:space="preserve">
25246/12 -300
</t>
        </r>
      </text>
    </comment>
    <comment ref="D229" authorId="87" shapeId="0">
      <text>
        <r>
          <rPr>
            <b/>
            <sz val="9"/>
            <rFont val="Tahoma"/>
          </rPr>
          <t>Jana Holíková:</t>
        </r>
        <r>
          <rPr>
            <sz val="9"/>
            <rFont val="Tahoma"/>
          </rPr>
          <t xml:space="preserve">
25246/12 +5.000
</t>
        </r>
      </text>
    </comment>
    <comment ref="D231" authorId="88" shapeId="0">
      <text>
        <r>
          <rPr>
            <b/>
            <sz val="9"/>
            <rFont val="Tahoma"/>
          </rPr>
          <t>Jana Holíková:</t>
        </r>
        <r>
          <rPr>
            <sz val="9"/>
            <rFont val="Tahoma"/>
          </rPr>
          <t xml:space="preserve">
25085/05 +110.000
</t>
        </r>
      </text>
    </comment>
    <comment ref="D232" authorId="89" shapeId="0">
      <text>
        <r>
          <rPr>
            <b/>
            <sz val="9"/>
            <rFont val="Tahoma"/>
          </rPr>
          <t>Jana Holíková:</t>
        </r>
        <r>
          <rPr>
            <sz val="9"/>
            <rFont val="Tahoma"/>
          </rPr>
          <t xml:space="preserve">
25010/01 +4.737.000
</t>
        </r>
      </text>
    </comment>
    <comment ref="D234" authorId="90" shapeId="0">
      <text>
        <r>
          <rPr>
            <b/>
            <sz val="9"/>
            <rFont val="Tahoma"/>
          </rPr>
          <t>Jana Holíková:</t>
        </r>
        <r>
          <rPr>
            <sz val="9"/>
            <rFont val="Tahoma"/>
          </rPr>
          <t xml:space="preserve">
25073/04 +140.000
</t>
        </r>
      </text>
    </comment>
    <comment ref="D235" authorId="91" shapeId="0">
      <text>
        <r>
          <rPr>
            <b/>
            <sz val="9"/>
            <rFont val="Tahoma"/>
          </rPr>
          <t>Jana Holíková:</t>
        </r>
        <r>
          <rPr>
            <sz val="9"/>
            <rFont val="Tahoma"/>
          </rPr>
          <t xml:space="preserve">
25181/10 +10.000
</t>
        </r>
      </text>
    </comment>
    <comment ref="D236" authorId="92" shapeId="0">
      <text>
        <r>
          <rPr>
            <b/>
            <sz val="9"/>
            <rFont val="Tahoma"/>
          </rPr>
          <t>Jana Holíková:</t>
        </r>
        <r>
          <rPr>
            <sz val="9"/>
            <rFont val="Tahoma"/>
          </rPr>
          <t xml:space="preserve">
25053/03 +239.800
</t>
        </r>
      </text>
    </comment>
    <comment ref="D237" authorId="93" shapeId="0">
      <text>
        <r>
          <rPr>
            <b/>
            <sz val="9"/>
            <rFont val="Tahoma"/>
          </rPr>
          <t>Jana Holíková:</t>
        </r>
        <r>
          <rPr>
            <sz val="9"/>
            <rFont val="Tahoma"/>
          </rPr>
          <t xml:space="preserve">
25037/03
+ 12.834 úz 253 1441
+115.506 úz 911 1445
25118/07 
- 9.659,60 úz253 1441
-86.936,40 úz911 1445
25180/10
 +14.076 úz253 1441
+126.684 úz911 1445
</t>
        </r>
      </text>
    </comment>
    <comment ref="D238" authorId="94" shapeId="0">
      <text>
        <r>
          <rPr>
            <b/>
            <sz val="9"/>
            <rFont val="Tahoma"/>
          </rPr>
          <t>Jana Holíková:</t>
        </r>
        <r>
          <rPr>
            <sz val="9"/>
            <rFont val="Tahoma"/>
          </rPr>
          <t xml:space="preserve">
25038/03 
+ 9.850 úz 253 1441
+88.650 úz911 1445
25128.07 
- 7.511,70 úz253 1441
-67.605,30 úz911 1445
25222/12
+9.418,5 úz253 1441
+84.766,50 úz911 1445
</t>
        </r>
      </text>
    </comment>
    <comment ref="D239" authorId="95" shapeId="0">
      <text>
        <r>
          <rPr>
            <b/>
            <sz val="9"/>
            <rFont val="Tahoma"/>
          </rPr>
          <t>Jana Holíková:</t>
        </r>
        <r>
          <rPr>
            <sz val="9"/>
            <rFont val="Tahoma"/>
          </rPr>
          <t xml:space="preserve">
25040/03
+ 17.098,20 úz253 1441
+153.883,80 úz911 1445
25156/09
- 17.098,20 úz253 1441
-153.883,80 úz911 1445
25223/12 
+34.051,50 úz253 1441
+306.463,50 úz911 1445
</t>
        </r>
      </text>
    </comment>
    <comment ref="D240" authorId="96" shapeId="0">
      <text>
        <r>
          <rPr>
            <b/>
            <sz val="9"/>
            <rFont val="Tahoma"/>
          </rPr>
          <t>Jana Holíková:</t>
        </r>
        <r>
          <rPr>
            <sz val="9"/>
            <rFont val="Tahoma"/>
          </rPr>
          <t xml:space="preserve">
25046/03
 +9.159,75 úz253 1441
+82.437,75 úz911 1445
25116.07 
 -6.672,70 úz253 1441
-60.054,30 úz911 1445
25178/10 
+ 31.360,50 úz 253 1441
+282.244,50 úz 911 1445
</t>
        </r>
      </text>
    </comment>
    <comment ref="D241" authorId="97" shapeId="0">
      <text>
        <r>
          <rPr>
            <b/>
            <sz val="9"/>
            <rFont val="Tahoma"/>
          </rPr>
          <t>Jana Holíková:</t>
        </r>
        <r>
          <rPr>
            <sz val="9"/>
            <rFont val="Tahoma"/>
          </rPr>
          <t xml:space="preserve">
25039/03 
+ 11.663,45 úz 253 1441
+104.971,05 úz911 1445
25117.07 
- 7.299,90 úz253 1441
-65.699,10 úz911 1445
25179/10
+ 24.290,45 úz245 1441
+113.643 úz 911 1445
25257/12 
-24.290,45 +12.627 úz253 1441
</t>
        </r>
      </text>
    </comment>
    <comment ref="D242" authorId="98" shapeId="0">
      <text>
        <r>
          <rPr>
            <b/>
            <sz val="9"/>
            <rFont val="Tahoma"/>
          </rPr>
          <t>Jana Holíková:</t>
        </r>
        <r>
          <rPr>
            <sz val="9"/>
            <rFont val="Tahoma"/>
          </rPr>
          <t xml:space="preserve">
25210/11 +169.263
25246/12 -+169.263
</t>
        </r>
      </text>
    </comment>
    <comment ref="D243" authorId="99" shapeId="0">
      <text>
        <r>
          <rPr>
            <b/>
            <sz val="9"/>
            <rFont val="Tahoma"/>
          </rPr>
          <t>Jana Holíková:</t>
        </r>
        <r>
          <rPr>
            <sz val="9"/>
            <rFont val="Tahoma"/>
          </rPr>
          <t xml:space="preserve">
25061/04 +4.631.000
25176/10 +938.000
</t>
        </r>
      </text>
    </comment>
    <comment ref="D247" authorId="100" shapeId="0">
      <text>
        <r>
          <rPr>
            <b/>
            <sz val="9"/>
            <rFont val="Tahoma"/>
          </rPr>
          <t>Jana Holíková:</t>
        </r>
        <r>
          <rPr>
            <sz val="9"/>
            <rFont val="Tahoma"/>
          </rPr>
          <t xml:space="preserve">
25165/09 -1.101.835,09
25252/12 +999.894,81
</t>
        </r>
      </text>
    </comment>
    <comment ref="D249" authorId="101" shapeId="0">
      <text>
        <r>
          <rPr>
            <b/>
            <sz val="9"/>
            <rFont val="Tahoma"/>
          </rPr>
          <t>Jana Holíková:</t>
        </r>
        <r>
          <rPr>
            <sz val="9"/>
            <rFont val="Tahoma"/>
          </rPr>
          <t xml:space="preserve">
25254/12 -13.964.800
</t>
        </r>
      </text>
    </comment>
    <comment ref="D250" authorId="102" shapeId="0">
      <text>
        <r>
          <rPr>
            <b/>
            <sz val="9"/>
            <rFont val="Tahoma"/>
          </rPr>
          <t>Jana Holíková:</t>
        </r>
        <r>
          <rPr>
            <sz val="9"/>
            <rFont val="Tahoma"/>
          </rPr>
          <t xml:space="preserve">
25164/09 -8.886.847
</t>
        </r>
      </text>
    </comment>
    <comment ref="D251" authorId="103" shapeId="0">
      <text>
        <r>
          <rPr>
            <b/>
            <sz val="9"/>
            <rFont val="Tahoma"/>
          </rPr>
          <t>Jana Holíková:</t>
        </r>
        <r>
          <rPr>
            <sz val="9"/>
            <rFont val="Tahoma"/>
          </rPr>
          <t xml:space="preserve">
25163/09 -1.817.357,44
</t>
        </r>
      </text>
    </comment>
    <comment ref="D252" authorId="104" shapeId="0">
      <text>
        <r>
          <rPr>
            <b/>
            <sz val="9"/>
            <rFont val="Tahoma"/>
          </rPr>
          <t>Jana Holíková:</t>
        </r>
        <r>
          <rPr>
            <sz val="9"/>
            <rFont val="Tahoma"/>
          </rPr>
          <t xml:space="preserve">
25163/09 +196.649,72
</t>
        </r>
      </text>
    </comment>
    <comment ref="D253" authorId="105" shapeId="0">
      <text>
        <r>
          <rPr>
            <b/>
            <sz val="9"/>
            <rFont val="Tahoma"/>
          </rPr>
          <t>Jana Holíková:</t>
        </r>
        <r>
          <rPr>
            <sz val="9"/>
            <rFont val="Tahoma"/>
          </rPr>
          <t xml:space="preserve">
25244/12 +8.820.238,62
</t>
        </r>
      </text>
    </comment>
    <comment ref="D254" authorId="106" shapeId="0">
      <text>
        <r>
          <rPr>
            <b/>
            <sz val="9"/>
            <rFont val="Tahoma"/>
          </rPr>
          <t>Jana Holíková:</t>
        </r>
        <r>
          <rPr>
            <sz val="9"/>
            <rFont val="Tahoma"/>
          </rPr>
          <t xml:space="preserve">
25054/03 +1.571.026,45
</t>
        </r>
      </text>
    </comment>
    <comment ref="D255" authorId="107" shapeId="0">
      <text>
        <r>
          <rPr>
            <b/>
            <sz val="9"/>
            <rFont val="Tahoma"/>
          </rPr>
          <t>Jana Holíková:</t>
        </r>
        <r>
          <rPr>
            <sz val="9"/>
            <rFont val="Tahoma"/>
          </rPr>
          <t xml:space="preserve">
25072/04 +1.022.341,89
</t>
        </r>
      </text>
    </comment>
    <comment ref="D256" authorId="108" shapeId="0">
      <text>
        <r>
          <rPr>
            <b/>
            <sz val="9"/>
            <rFont val="Tahoma"/>
          </rPr>
          <t>Jana Holíková:</t>
        </r>
        <r>
          <rPr>
            <sz val="9"/>
            <rFont val="Tahoma"/>
          </rPr>
          <t xml:space="preserve">
25114.07 +40.000
</t>
        </r>
      </text>
    </comment>
    <comment ref="D258" authorId="109" shapeId="0">
      <text>
        <r>
          <rPr>
            <b/>
            <sz val="9"/>
            <rFont val="Tahoma"/>
          </rPr>
          <t>Jana Holíková:</t>
        </r>
        <r>
          <rPr>
            <sz val="9"/>
            <rFont val="Tahoma"/>
          </rPr>
          <t xml:space="preserve">
25073/04 -140.000
</t>
        </r>
      </text>
    </comment>
    <comment ref="D259" authorId="110" shapeId="0">
      <text>
        <r>
          <rPr>
            <b/>
            <sz val="9"/>
            <rFont val="Tahoma"/>
          </rPr>
          <t>Jana Holíková:</t>
        </r>
        <r>
          <rPr>
            <sz val="9"/>
            <rFont val="Tahoma"/>
          </rPr>
          <t xml:space="preserve">
25167/09 -79.980
</t>
        </r>
      </text>
    </comment>
    <comment ref="D265" authorId="111" shapeId="0">
      <text>
        <r>
          <rPr>
            <b/>
            <sz val="9"/>
            <rFont val="Tahoma"/>
          </rPr>
          <t>Jana Holíková:</t>
        </r>
        <r>
          <rPr>
            <sz val="9"/>
            <rFont val="Tahoma"/>
          </rPr>
          <t xml:space="preserve">
25030/03 +21.520.868,17
</t>
        </r>
      </text>
    </comment>
    <comment ref="D277" authorId="112" shapeId="0">
      <text>
        <r>
          <rPr>
            <b/>
            <sz val="9"/>
            <rFont val="Tahoma"/>
          </rPr>
          <t>Jana Holíková:</t>
        </r>
        <r>
          <rPr>
            <sz val="9"/>
            <rFont val="Tahoma"/>
          </rPr>
          <t xml:space="preserve">
25691/11 -15.000
</t>
        </r>
      </text>
    </comment>
    <comment ref="D278" authorId="113" shapeId="0">
      <text>
        <r>
          <rPr>
            <b/>
            <sz val="9"/>
            <rFont val="Tahoma"/>
          </rPr>
          <t>Jana Holíková:</t>
        </r>
        <r>
          <rPr>
            <sz val="9"/>
            <rFont val="Tahoma"/>
          </rPr>
          <t xml:space="preserve">
25190/10 +174.082,70
25691/11 -43.000
</t>
        </r>
      </text>
    </comment>
    <comment ref="D279" authorId="114" shapeId="0">
      <text>
        <r>
          <rPr>
            <b/>
            <sz val="9"/>
            <rFont val="Tahoma"/>
          </rPr>
          <t>Jana Holíková:</t>
        </r>
        <r>
          <rPr>
            <sz val="9"/>
            <rFont val="Tahoma"/>
          </rPr>
          <t xml:space="preserve">
25190/10 -174.082,70
25691/11 -25.000
</t>
        </r>
      </text>
    </comment>
    <comment ref="D280" authorId="115" shapeId="0">
      <text>
        <r>
          <rPr>
            <b/>
            <sz val="9"/>
            <rFont val="Tahoma"/>
          </rPr>
          <t>Jana Holíková:</t>
        </r>
        <r>
          <rPr>
            <sz val="9"/>
            <rFont val="Tahoma"/>
          </rPr>
          <t xml:space="preserve">
25691/11 +83.000
25236/12 +17.000
</t>
        </r>
      </text>
    </comment>
    <comment ref="D283" authorId="116" shapeId="0">
      <text>
        <r>
          <rPr>
            <b/>
            <sz val="9"/>
            <rFont val="Tahoma"/>
          </rPr>
          <t>Jana Holíková:</t>
        </r>
        <r>
          <rPr>
            <sz val="9"/>
            <rFont val="Tahoma"/>
          </rPr>
          <t xml:space="preserve">
25519/02 +699.259
25564/05 +195.569,92
25608/08 +669.420,40
25187/10 +400.000
25190/10 +174.082,70
</t>
        </r>
      </text>
    </comment>
    <comment ref="D284" authorId="117" shapeId="0">
      <text>
        <r>
          <rPr>
            <b/>
            <sz val="9"/>
            <rFont val="Tahoma"/>
          </rPr>
          <t>Jana Holíková:</t>
        </r>
        <r>
          <rPr>
            <sz val="9"/>
            <rFont val="Tahoma"/>
          </rPr>
          <t xml:space="preserve">
25519/02 -699.259
25564/05 -195.569,92
25608/08 -669.420,40
25635/09 +200.000
25187/10 +700.000
25236/12 -17.000
</t>
        </r>
      </text>
    </comment>
    <comment ref="D286" authorId="118" shapeId="0">
      <text>
        <r>
          <rPr>
            <b/>
            <sz val="9"/>
            <rFont val="Tahoma"/>
          </rPr>
          <t>Jana Holíková:</t>
        </r>
        <r>
          <rPr>
            <sz val="9"/>
            <rFont val="Tahoma"/>
          </rPr>
          <t xml:space="preserve">
25635/09 -200.000
</t>
        </r>
      </text>
    </comment>
    <comment ref="D293" authorId="119" shapeId="0">
      <text>
        <r>
          <rPr>
            <b/>
            <sz val="9"/>
            <rFont val="Tahoma"/>
          </rPr>
          <t>Jana Holíková:</t>
        </r>
        <r>
          <rPr>
            <sz val="9"/>
            <rFont val="Tahoma"/>
          </rPr>
          <t xml:space="preserve">
25506/01 +98.736
</t>
        </r>
      </text>
    </comment>
    <comment ref="D294" authorId="120" shapeId="0">
      <text>
        <r>
          <rPr>
            <b/>
            <sz val="9"/>
            <rFont val="Tahoma"/>
          </rPr>
          <t>Jana Holíková:</t>
        </r>
        <r>
          <rPr>
            <sz val="9"/>
            <rFont val="Tahoma"/>
          </rPr>
          <t xml:space="preserve">
25633/09 +300.201
</t>
        </r>
      </text>
    </comment>
    <comment ref="D295" authorId="121" shapeId="0">
      <text>
        <r>
          <rPr>
            <b/>
            <sz val="9"/>
            <rFont val="Tahoma"/>
          </rPr>
          <t>Jana Holíková:</t>
        </r>
        <r>
          <rPr>
            <sz val="9"/>
            <rFont val="Tahoma"/>
          </rPr>
          <t xml:space="preserve">
25201/11 +700.000
</t>
        </r>
      </text>
    </comment>
    <comment ref="D296" authorId="122" shapeId="0">
      <text>
        <r>
          <rPr>
            <b/>
            <sz val="9"/>
            <rFont val="Tahoma"/>
          </rPr>
          <t>Jana Holíková:</t>
        </r>
        <r>
          <rPr>
            <sz val="9"/>
            <rFont val="Tahoma"/>
          </rPr>
          <t xml:space="preserve">
25249/12 -500.000
</t>
        </r>
      </text>
    </comment>
    <comment ref="D297" authorId="123" shapeId="0">
      <text>
        <r>
          <rPr>
            <b/>
            <sz val="9"/>
            <rFont val="Tahoma"/>
          </rPr>
          <t>Jana Holíková:</t>
        </r>
        <r>
          <rPr>
            <sz val="9"/>
            <rFont val="Tahoma"/>
          </rPr>
          <t xml:space="preserve">
25501/01 +18.732,10
</t>
        </r>
      </text>
    </comment>
    <comment ref="D298" authorId="124" shapeId="0">
      <text>
        <r>
          <rPr>
            <b/>
            <sz val="9"/>
            <rFont val="Tahoma"/>
          </rPr>
          <t>Jana Holíková:</t>
        </r>
        <r>
          <rPr>
            <sz val="9"/>
            <rFont val="Tahoma"/>
          </rPr>
          <t xml:space="preserve">
25506/01 -98.736
25169/09 +107.296
25633/09 -300.201
25639/09 +88.267,90
</t>
        </r>
      </text>
    </comment>
    <comment ref="D299" authorId="125" shapeId="0">
      <text>
        <r>
          <rPr>
            <b/>
            <sz val="9"/>
            <rFont val="Tahoma"/>
          </rPr>
          <t>Jana Holíková:</t>
        </r>
        <r>
          <rPr>
            <sz val="9"/>
            <rFont val="Tahoma"/>
          </rPr>
          <t xml:space="preserve">
25501/01 -18.732,10
25637/09 -393.000
25639/09 -88.267,90
</t>
        </r>
      </text>
    </comment>
    <comment ref="D300" authorId="126" shapeId="0">
      <text>
        <r>
          <rPr>
            <b/>
            <sz val="9"/>
            <rFont val="Tahoma"/>
          </rPr>
          <t>Jana Holíková:</t>
        </r>
        <r>
          <rPr>
            <sz val="9"/>
            <rFont val="Tahoma"/>
          </rPr>
          <t xml:space="preserve">
25525/02 +370.000
25580.07 +13.752,93
25637/09 +393.000
</t>
        </r>
      </text>
    </comment>
    <comment ref="D301" authorId="127" shapeId="0">
      <text>
        <r>
          <rPr>
            <b/>
            <sz val="9"/>
            <rFont val="Tahoma"/>
          </rPr>
          <t>Jana Holíková:</t>
        </r>
        <r>
          <rPr>
            <sz val="9"/>
            <rFont val="Tahoma"/>
          </rPr>
          <t xml:space="preserve">
25525/02 -370.000
25580.07 -13.752,93
</t>
        </r>
      </text>
    </comment>
    <comment ref="D304" authorId="128" shapeId="0">
      <text>
        <r>
          <rPr>
            <b/>
            <sz val="9"/>
            <rFont val="Tahoma"/>
          </rPr>
          <t>Jana Holíková:</t>
        </r>
        <r>
          <rPr>
            <sz val="9"/>
            <rFont val="Tahoma"/>
          </rPr>
          <t xml:space="preserve">
25513/01 +90.212,58
</t>
        </r>
      </text>
    </comment>
    <comment ref="D305" authorId="129" shapeId="0">
      <text>
        <r>
          <rPr>
            <b/>
            <sz val="9"/>
            <rFont val="Tahoma"/>
          </rPr>
          <t>Jana Holíková:</t>
        </r>
        <r>
          <rPr>
            <sz val="9"/>
            <rFont val="Tahoma"/>
          </rPr>
          <t xml:space="preserve">
25675/1
1 +59.895
</t>
        </r>
      </text>
    </comment>
    <comment ref="D306" authorId="130" shapeId="0">
      <text>
        <r>
          <rPr>
            <b/>
            <sz val="9"/>
            <rFont val="Tahoma"/>
          </rPr>
          <t>Jana Holíková:</t>
        </r>
        <r>
          <rPr>
            <sz val="9"/>
            <rFont val="Tahoma"/>
          </rPr>
          <t xml:space="preserve">
25505/01 +29.947,50
</t>
        </r>
      </text>
    </comment>
    <comment ref="D310" authorId="131" shapeId="0">
      <text>
        <r>
          <rPr>
            <b/>
            <sz val="9"/>
            <rFont val="Tahoma"/>
          </rPr>
          <t>Jana Holíková:</t>
        </r>
        <r>
          <rPr>
            <sz val="9"/>
            <rFont val="Tahoma"/>
          </rPr>
          <t xml:space="preserve">
25505/01 -29.947,50
25513/01 -90.212,58
25124.07 -2.000.000
25675/11 -59.895
</t>
        </r>
      </text>
    </comment>
    <comment ref="D313" authorId="132" shapeId="0">
      <text>
        <r>
          <rPr>
            <b/>
            <sz val="9"/>
            <rFont val="Tahoma"/>
          </rPr>
          <t>Jana Holíková:</t>
        </r>
        <r>
          <rPr>
            <sz val="9"/>
            <rFont val="Tahoma"/>
          </rPr>
          <t xml:space="preserve">
25538/03 +19.312,50
</t>
        </r>
      </text>
    </comment>
    <comment ref="D314" authorId="133" shapeId="0">
      <text>
        <r>
          <rPr>
            <b/>
            <sz val="9"/>
            <rFont val="Tahoma"/>
          </rPr>
          <t>Jana Holíková:</t>
        </r>
        <r>
          <rPr>
            <sz val="9"/>
            <rFont val="Tahoma"/>
          </rPr>
          <t xml:space="preserve">
25020/02 +250.000
25186/10 +500.000
</t>
        </r>
      </text>
    </comment>
    <comment ref="D316" authorId="134" shapeId="0">
      <text>
        <r>
          <rPr>
            <b/>
            <sz val="9"/>
            <rFont val="Tahoma"/>
          </rPr>
          <t>Jana Holíková:</t>
        </r>
        <r>
          <rPr>
            <sz val="9"/>
            <rFont val="Tahoma"/>
          </rPr>
          <t xml:space="preserve">
25538/03 -19.312,50
</t>
        </r>
      </text>
    </comment>
    <comment ref="D317" authorId="135" shapeId="0">
      <text>
        <r>
          <rPr>
            <b/>
            <sz val="9"/>
            <rFont val="Tahoma"/>
          </rPr>
          <t>Jana Holíková:</t>
        </r>
        <r>
          <rPr>
            <sz val="9"/>
            <rFont val="Tahoma"/>
          </rPr>
          <t xml:space="preserve">
25169/09 +7.519
</t>
        </r>
      </text>
    </comment>
    <comment ref="D320" authorId="136" shapeId="0">
      <text>
        <r>
          <rPr>
            <b/>
            <sz val="9"/>
            <rFont val="Tahoma"/>
          </rPr>
          <t>Jana Holíková:</t>
        </r>
        <r>
          <rPr>
            <sz val="9"/>
            <rFont val="Tahoma"/>
          </rPr>
          <t xml:space="preserve">
25081/05 +3.375.008,64
25173/09 -3.554.234,82
25701/12 +160.000
</t>
        </r>
      </text>
    </comment>
    <comment ref="D323" authorId="137" shapeId="0">
      <text>
        <r>
          <rPr>
            <b/>
            <sz val="9"/>
            <rFont val="Tahoma"/>
          </rPr>
          <t>Jana Holíková:</t>
        </r>
        <r>
          <rPr>
            <sz val="9"/>
            <rFont val="Tahoma"/>
          </rPr>
          <t xml:space="preserve">
25632/09 +66.512,10
25701/12 -75.000
</t>
        </r>
      </text>
    </comment>
    <comment ref="D325" authorId="138" shapeId="0">
      <text>
        <r>
          <rPr>
            <b/>
            <sz val="9"/>
            <rFont val="Tahoma"/>
          </rPr>
          <t>Jana Holíková:</t>
        </r>
        <r>
          <rPr>
            <sz val="9"/>
            <rFont val="Tahoma"/>
          </rPr>
          <t xml:space="preserve">
25632/09 -66.512,10
25701/12 -60.000
</t>
        </r>
      </text>
    </comment>
    <comment ref="D326" authorId="139" shapeId="0">
      <text>
        <r>
          <rPr>
            <b/>
            <sz val="9"/>
            <rFont val="Tahoma"/>
          </rPr>
          <t>Jana Holíková:</t>
        </r>
        <r>
          <rPr>
            <sz val="9"/>
            <rFont val="Tahoma"/>
          </rPr>
          <t xml:space="preserve">
25701/12 -25.000
</t>
        </r>
      </text>
    </comment>
    <comment ref="D332" authorId="140" shapeId="0">
      <text>
        <r>
          <rPr>
            <b/>
            <sz val="9"/>
            <rFont val="Tahoma"/>
          </rPr>
          <t>Jana Holíková:</t>
        </r>
        <r>
          <rPr>
            <sz val="9"/>
            <rFont val="Tahoma"/>
          </rPr>
          <t xml:space="preserve">
25186/10 -500.000
</t>
        </r>
      </text>
    </comment>
    <comment ref="D334" authorId="141" shapeId="0">
      <text>
        <r>
          <rPr>
            <b/>
            <sz val="9"/>
            <rFont val="Tahoma"/>
          </rPr>
          <t>Jana Holíková:</t>
        </r>
        <r>
          <rPr>
            <sz val="9"/>
            <rFont val="Tahoma"/>
          </rPr>
          <t xml:space="preserve">
25192/10 -50.000
</t>
        </r>
      </text>
    </comment>
    <comment ref="D335" authorId="142" shapeId="0">
      <text>
        <r>
          <rPr>
            <b/>
            <sz val="9"/>
            <rFont val="Tahoma"/>
          </rPr>
          <t>Jana Holíková:</t>
        </r>
        <r>
          <rPr>
            <sz val="9"/>
            <rFont val="Tahoma"/>
          </rPr>
          <t xml:space="preserve">
25192/10 -100.000
</t>
        </r>
      </text>
    </comment>
    <comment ref="D338" authorId="143" shapeId="0">
      <text>
        <r>
          <rPr>
            <b/>
            <sz val="9"/>
            <rFont val="Tahoma"/>
          </rPr>
          <t>Jana Holíková:</t>
        </r>
        <r>
          <rPr>
            <sz val="9"/>
            <rFont val="Tahoma"/>
          </rPr>
          <t xml:space="preserve">
25702/12 -99.920
</t>
        </r>
      </text>
    </comment>
    <comment ref="D340" authorId="144" shapeId="0">
      <text>
        <r>
          <rPr>
            <b/>
            <sz val="9"/>
            <rFont val="Tahoma"/>
          </rPr>
          <t>Jana Holíková:</t>
        </r>
        <r>
          <rPr>
            <sz val="9"/>
            <rFont val="Tahoma"/>
          </rPr>
          <t xml:space="preserve">
25562/05 +199.650
</t>
        </r>
      </text>
    </comment>
    <comment ref="D341" authorId="145" shapeId="0">
      <text>
        <r>
          <rPr>
            <b/>
            <sz val="9"/>
            <rFont val="Tahoma"/>
          </rPr>
          <t>Jana Holíková:</t>
        </r>
        <r>
          <rPr>
            <sz val="9"/>
            <rFont val="Tahoma"/>
          </rPr>
          <t xml:space="preserve">
25557/05 -96.485,40
25562/05 -199.650
25579.07 -460.000
25591/07 -96.600
25634/09 -244.650
25192/10 +150.000
25245/12 +115.000
</t>
        </r>
      </text>
    </comment>
    <comment ref="D342" authorId="146" shapeId="0">
      <text/>
    </comment>
    <comment ref="D343" authorId="147" shapeId="0">
      <text>
        <r>
          <rPr>
            <b/>
            <sz val="9"/>
            <rFont val="Tahoma"/>
          </rPr>
          <t>Jana Holíková:</t>
        </r>
        <r>
          <rPr>
            <sz val="9"/>
            <rFont val="Tahoma"/>
          </rPr>
          <t xml:space="preserve">
25579.07 +460.000
25591/01 +96.600
</t>
        </r>
      </text>
    </comment>
    <comment ref="D344" authorId="148" shapeId="0">
      <text>
        <r>
          <rPr>
            <b/>
            <sz val="9"/>
            <rFont val="Tahoma"/>
          </rPr>
          <t>Jana Holíková:</t>
        </r>
        <r>
          <rPr>
            <sz val="9"/>
            <rFont val="Tahoma"/>
          </rPr>
          <t xml:space="preserve">
25634/09 +244.650
</t>
        </r>
      </text>
    </comment>
    <comment ref="D345" authorId="149" shapeId="0">
      <text>
        <r>
          <rPr>
            <b/>
            <sz val="9"/>
            <rFont val="Tahoma"/>
          </rPr>
          <t>Jana Holíková:</t>
        </r>
        <r>
          <rPr>
            <sz val="9"/>
            <rFont val="Tahoma"/>
          </rPr>
          <t xml:space="preserve">
25557.07 +96.485,40
</t>
        </r>
      </text>
    </comment>
    <comment ref="D346" authorId="150" shapeId="0">
      <text>
        <r>
          <rPr>
            <b/>
            <sz val="9"/>
            <rFont val="Tahoma"/>
          </rPr>
          <t>Jana Holíková:</t>
        </r>
        <r>
          <rPr>
            <sz val="9"/>
            <rFont val="Tahoma"/>
          </rPr>
          <t xml:space="preserve">
25702/12 +99.920
</t>
        </r>
      </text>
    </comment>
    <comment ref="D348" authorId="151" shapeId="0">
      <text>
        <r>
          <rPr>
            <b/>
            <sz val="9"/>
            <rFont val="Tahoma"/>
          </rPr>
          <t>Jana Holíková:</t>
        </r>
        <r>
          <rPr>
            <sz val="9"/>
            <rFont val="Tahoma"/>
          </rPr>
          <t xml:space="preserve">
25245/12 -20.000
</t>
        </r>
      </text>
    </comment>
    <comment ref="D349" authorId="152" shapeId="0">
      <text>
        <r>
          <rPr>
            <b/>
            <sz val="9"/>
            <rFont val="Tahoma"/>
          </rPr>
          <t>Jana Holíková:</t>
        </r>
        <r>
          <rPr>
            <sz val="9"/>
            <rFont val="Tahoma"/>
          </rPr>
          <t xml:space="preserve">
25245/12 -20.000
</t>
        </r>
      </text>
    </comment>
    <comment ref="D350" authorId="153" shapeId="0">
      <text>
        <r>
          <rPr>
            <b/>
            <sz val="9"/>
            <rFont val="Tahoma"/>
          </rPr>
          <t>Jana Holíková:</t>
        </r>
        <r>
          <rPr>
            <sz val="9"/>
            <rFont val="Tahoma"/>
          </rPr>
          <t xml:space="preserve">
25245/12 -75.000
</t>
        </r>
      </text>
    </comment>
    <comment ref="D357" authorId="154" shapeId="0">
      <text>
        <r>
          <rPr>
            <b/>
            <sz val="9"/>
            <rFont val="Tahoma"/>
          </rPr>
          <t>Jana Holíková:</t>
        </r>
        <r>
          <rPr>
            <sz val="9"/>
            <rFont val="Tahoma"/>
          </rPr>
          <t xml:space="preserve">
25068/04 +226.282
25172/09 -75.741,16
25187/10 -1.100.000
25655/10 -143.052,25
</t>
        </r>
      </text>
    </comment>
    <comment ref="D358" authorId="155" shapeId="0">
      <text>
        <r>
          <rPr>
            <b/>
            <sz val="9"/>
            <rFont val="Tahoma"/>
          </rPr>
          <t>Jana Holíková:</t>
        </r>
        <r>
          <rPr>
            <sz val="9"/>
            <rFont val="Tahoma"/>
          </rPr>
          <t xml:space="preserve">
25068/04 +226.282
25172/09 -75.741,16
25655/10 +143.052,25
</t>
        </r>
      </text>
    </comment>
    <comment ref="D360" authorId="156" shapeId="0">
      <text>
        <r>
          <rPr>
            <b/>
            <sz val="9"/>
            <rFont val="Tahoma"/>
          </rPr>
          <t>Jana Holíková:</t>
        </r>
        <r>
          <rPr>
            <sz val="9"/>
            <rFont val="Tahoma"/>
          </rPr>
          <t xml:space="preserve">
25134/08 +230.000
</t>
        </r>
      </text>
    </comment>
    <comment ref="D362" authorId="157" shapeId="0">
      <text>
        <r>
          <rPr>
            <b/>
            <sz val="9"/>
            <rFont val="Tahoma"/>
          </rPr>
          <t>Jana Holíková:</t>
        </r>
        <r>
          <rPr>
            <sz val="9"/>
            <rFont val="Tahoma"/>
          </rPr>
          <t xml:space="preserve">
25563/05 
-775.379,13  5171
+775.379,13 5139
25169/09 +1.042
25641/09 +360.000
</t>
        </r>
      </text>
    </comment>
    <comment ref="D365" authorId="158" shapeId="0">
      <text>
        <r>
          <rPr>
            <b/>
            <sz val="9"/>
            <rFont val="Tahoma"/>
          </rPr>
          <t>Jana Holíková:</t>
        </r>
        <r>
          <rPr>
            <sz val="9"/>
            <rFont val="Tahoma"/>
          </rPr>
          <t xml:space="preserve">
25581.07 +121.839,10
</t>
        </r>
      </text>
    </comment>
    <comment ref="D366" authorId="159" shapeId="0">
      <text>
        <r>
          <rPr>
            <b/>
            <sz val="9"/>
            <rFont val="Tahoma"/>
          </rPr>
          <t>Jana Holíková:</t>
        </r>
        <r>
          <rPr>
            <sz val="9"/>
            <rFont val="Tahoma"/>
          </rPr>
          <t xml:space="preserve">
25582.07 +51.619
25641/09 +340.000
</t>
        </r>
      </text>
    </comment>
    <comment ref="D368" authorId="160" shapeId="0">
      <text>
        <r>
          <rPr>
            <b/>
            <sz val="9"/>
            <rFont val="Tahoma"/>
          </rPr>
          <t>Jana Holíková:</t>
        </r>
        <r>
          <rPr>
            <sz val="9"/>
            <rFont val="Tahoma"/>
          </rPr>
          <t xml:space="preserve">
25583.07 +10.890
</t>
        </r>
      </text>
    </comment>
    <comment ref="D369" authorId="161" shapeId="0">
      <text>
        <r>
          <rPr>
            <b/>
            <sz val="9"/>
            <rFont val="Tahoma"/>
          </rPr>
          <t>Jana Holíková:</t>
        </r>
        <r>
          <rPr>
            <sz val="9"/>
            <rFont val="Tahoma"/>
          </rPr>
          <t xml:space="preserve">
25532/03 +40.838
</t>
        </r>
      </text>
    </comment>
    <comment ref="D370" authorId="162" shapeId="0">
      <text>
        <r>
          <rPr>
            <b/>
            <sz val="9"/>
            <rFont val="Tahoma"/>
          </rPr>
          <t>Jana Holíková:</t>
        </r>
        <r>
          <rPr>
            <sz val="9"/>
            <rFont val="Tahoma"/>
          </rPr>
          <t xml:space="preserve">
25532/03 +40.838
</t>
        </r>
      </text>
    </comment>
    <comment ref="D371" authorId="163" shapeId="0">
      <text>
        <r>
          <rPr>
            <b/>
            <sz val="9"/>
            <rFont val="Tahoma"/>
          </rPr>
          <t>Jana Holíková:</t>
        </r>
        <r>
          <rPr>
            <sz val="9"/>
            <rFont val="Tahoma"/>
          </rPr>
          <t xml:space="preserve">
25641/09 -700.000
</t>
        </r>
      </text>
    </comment>
    <comment ref="D372" authorId="164" shapeId="0">
      <text>
        <r>
          <rPr>
            <b/>
            <sz val="9"/>
            <rFont val="Tahoma"/>
          </rPr>
          <t>Jana Holíková:</t>
        </r>
        <r>
          <rPr>
            <sz val="9"/>
            <rFont val="Tahoma"/>
          </rPr>
          <t xml:space="preserve">
25532/03 -40.838
25581/07 -121.839,10
25582/07 -51.619
25583/07 -10.890
14484/07 -10.890
25134/08 -230.000
</t>
        </r>
      </text>
    </comment>
    <comment ref="D374" authorId="165" shapeId="0">
      <text>
        <r>
          <rPr>
            <b/>
            <sz val="9"/>
            <rFont val="Tahoma"/>
          </rPr>
          <t>Jana Holíková:</t>
        </r>
        <r>
          <rPr>
            <sz val="9"/>
            <rFont val="Tahoma"/>
          </rPr>
          <t xml:space="preserve">
25025/02 +104.517
25134/08 +67.000
25201/11 -500.000
25249/12 -550.000
</t>
        </r>
      </text>
    </comment>
    <comment ref="D375" authorId="166" shapeId="0">
      <text>
        <r>
          <rPr>
            <b/>
            <sz val="9"/>
            <rFont val="Tahoma"/>
          </rPr>
          <t>Jana Holíková:</t>
        </r>
        <r>
          <rPr>
            <sz val="9"/>
            <rFont val="Tahoma"/>
          </rPr>
          <t xml:space="preserve">
25134/08 -67.000
</t>
        </r>
      </text>
    </comment>
    <comment ref="D378" authorId="167" shapeId="0">
      <text>
        <r>
          <rPr>
            <b/>
            <sz val="9"/>
            <rFont val="Tahoma"/>
          </rPr>
          <t>Jana Holíková:</t>
        </r>
        <r>
          <rPr>
            <sz val="9"/>
            <rFont val="Tahoma"/>
          </rPr>
          <t xml:space="preserve">
25172/09 +75.741,16
</t>
        </r>
      </text>
    </comment>
    <comment ref="D388" authorId="168" shapeId="0">
      <text>
        <r>
          <rPr>
            <b/>
            <sz val="9"/>
            <rFont val="Tahoma"/>
          </rPr>
          <t>Jana Holíková:</t>
        </r>
        <r>
          <rPr>
            <sz val="9"/>
            <rFont val="Tahoma"/>
          </rPr>
          <t xml:space="preserve">
25141/08 -4.000.000
</t>
        </r>
      </text>
    </comment>
    <comment ref="D391" authorId="169" shapeId="0">
      <text>
        <r>
          <rPr>
            <b/>
            <sz val="9"/>
            <rFont val="Tahoma"/>
          </rPr>
          <t>Jana Holíková:</t>
        </r>
        <r>
          <rPr>
            <sz val="9"/>
            <rFont val="Tahoma"/>
          </rPr>
          <t xml:space="preserve">
25504/01 -300.000
25509/01 -80.000
25511/01 -20.000
</t>
        </r>
      </text>
    </comment>
    <comment ref="D393" authorId="170" shapeId="0">
      <text>
        <r>
          <rPr>
            <b/>
            <sz val="9"/>
            <rFont val="Tahoma"/>
          </rPr>
          <t>Jana Holíková:</t>
        </r>
        <r>
          <rPr>
            <sz val="9"/>
            <rFont val="Tahoma"/>
          </rPr>
          <t xml:space="preserve">
25541/04 +450.000
25694/11 -205.000
</t>
        </r>
      </text>
    </comment>
    <comment ref="D394" authorId="171" shapeId="0">
      <text>
        <r>
          <rPr>
            <b/>
            <sz val="9"/>
            <rFont val="Tahoma"/>
          </rPr>
          <t>Jana Holíková:</t>
        </r>
        <r>
          <rPr>
            <sz val="9"/>
            <rFont val="Tahoma"/>
          </rPr>
          <t xml:space="preserve">
25541/04 -450.000
25694/11 +205.000
</t>
        </r>
      </text>
    </comment>
    <comment ref="D395" authorId="172" shapeId="0">
      <text>
        <r>
          <rPr>
            <b/>
            <sz val="9"/>
            <rFont val="Tahoma"/>
          </rPr>
          <t>Jana Holíková:</t>
        </r>
        <r>
          <rPr>
            <sz val="9"/>
            <rFont val="Tahoma"/>
          </rPr>
          <t xml:space="preserve">
25504/01 +300.000
25555/05 -29.900
</t>
        </r>
      </text>
    </comment>
    <comment ref="D396" authorId="173" shapeId="0">
      <text>
        <r>
          <rPr>
            <b/>
            <sz val="9"/>
            <rFont val="Tahoma"/>
          </rPr>
          <t>Jana Holíková:</t>
        </r>
        <r>
          <rPr>
            <sz val="9"/>
            <rFont val="Tahoma"/>
          </rPr>
          <t xml:space="preserve">
25509/01 +80.000
25511/01 +20.000
25555/05 +29.900
25121.07 +803.000
</t>
        </r>
      </text>
    </comment>
    <comment ref="D399" authorId="174" shapeId="0">
      <text>
        <r>
          <rPr>
            <b/>
            <sz val="9"/>
            <rFont val="Tahoma"/>
          </rPr>
          <t>Jana Holíková:</t>
        </r>
        <r>
          <rPr>
            <sz val="9"/>
            <rFont val="Tahoma"/>
          </rPr>
          <t xml:space="preserve">
25576.07 +400.000
</t>
        </r>
      </text>
    </comment>
    <comment ref="D400" authorId="175" shapeId="0">
      <text>
        <r>
          <rPr>
            <b/>
            <sz val="9"/>
            <rFont val="Tahoma"/>
          </rPr>
          <t>Jana Holíková:</t>
        </r>
        <r>
          <rPr>
            <sz val="9"/>
            <rFont val="Tahoma"/>
          </rPr>
          <t xml:space="preserve">
25022/02 -210.000
25120.07 +3.000.000
25126.07 +9.000.000
25576.07 +350.000
25145/08 -5.000.000
25254/12 -3.700.000
</t>
        </r>
      </text>
    </comment>
    <comment ref="D401" authorId="176" shapeId="0">
      <text>
        <r>
          <rPr>
            <b/>
            <sz val="9"/>
            <rFont val="Tahoma"/>
          </rPr>
          <t>Jana Holíková:</t>
        </r>
        <r>
          <rPr>
            <sz val="9"/>
            <rFont val="Tahoma"/>
          </rPr>
          <t xml:space="preserve">
25576.07 -750.000
</t>
        </r>
      </text>
    </comment>
    <comment ref="D404" authorId="177" shapeId="0">
      <text>
        <r>
          <rPr>
            <b/>
            <sz val="9"/>
            <rFont val="Tahoma"/>
          </rPr>
          <t>Jana Holíková:</t>
        </r>
        <r>
          <rPr>
            <sz val="9"/>
            <rFont val="Tahoma"/>
          </rPr>
          <t xml:space="preserve">
25622/08 -250.000
</t>
        </r>
      </text>
    </comment>
    <comment ref="D405" authorId="178" shapeId="0">
      <text>
        <r>
          <rPr>
            <b/>
            <sz val="9"/>
            <rFont val="Tahoma"/>
          </rPr>
          <t>Jana Holíková:</t>
        </r>
        <r>
          <rPr>
            <sz val="9"/>
            <rFont val="Tahoma"/>
          </rPr>
          <t xml:space="preserve">
25589/07 -300.000
</t>
        </r>
      </text>
    </comment>
    <comment ref="D406" authorId="179" shapeId="0">
      <text>
        <r>
          <rPr>
            <b/>
            <sz val="9"/>
            <rFont val="Tahoma"/>
          </rPr>
          <t>Jana Holíková:</t>
        </r>
        <r>
          <rPr>
            <sz val="9"/>
            <rFont val="Tahoma"/>
          </rPr>
          <t xml:space="preserve">
25588/07 -19.000
</t>
        </r>
      </text>
    </comment>
    <comment ref="D411" authorId="180" shapeId="0">
      <text>
        <r>
          <rPr>
            <b/>
            <sz val="9"/>
            <rFont val="Tahoma"/>
          </rPr>
          <t>Jana Holíková:</t>
        </r>
        <r>
          <rPr>
            <sz val="9"/>
            <rFont val="Tahoma"/>
          </rPr>
          <t xml:space="preserve">
25622/08 +250.000
</t>
        </r>
      </text>
    </comment>
    <comment ref="D412" authorId="181" shapeId="0">
      <text>
        <r>
          <rPr>
            <b/>
            <sz val="9"/>
            <rFont val="Tahoma"/>
          </rPr>
          <t>Jana Holíková:</t>
        </r>
        <r>
          <rPr>
            <sz val="9"/>
            <rFont val="Tahoma"/>
          </rPr>
          <t xml:space="preserve">
25542/04 -80.000
25550/05 -35.000
25254/12 -900.000
</t>
        </r>
      </text>
    </comment>
    <comment ref="D414" authorId="182" shapeId="0">
      <text>
        <r>
          <rPr>
            <b/>
            <sz val="9"/>
            <rFont val="Tahoma"/>
          </rPr>
          <t>Jana Holíková:</t>
        </r>
        <r>
          <rPr>
            <sz val="9"/>
            <rFont val="Tahoma"/>
          </rPr>
          <t xml:space="preserve">
25550/05 +35.000
</t>
        </r>
      </text>
    </comment>
    <comment ref="D415" authorId="183" shapeId="0">
      <text>
        <r>
          <rPr>
            <b/>
            <sz val="9"/>
            <rFont val="Tahoma"/>
          </rPr>
          <t>Jana Holíková:</t>
        </r>
        <r>
          <rPr>
            <sz val="9"/>
            <rFont val="Tahoma"/>
          </rPr>
          <t xml:space="preserve">
25067/04 +3.000.000
25588/07 +19.000
25589/07 +300.000
</t>
        </r>
      </text>
    </comment>
    <comment ref="D418" authorId="184" shapeId="0">
      <text>
        <r>
          <rPr>
            <b/>
            <sz val="9"/>
            <rFont val="Tahoma"/>
          </rPr>
          <t>Jana Holíková:</t>
        </r>
        <r>
          <rPr>
            <sz val="9"/>
            <rFont val="Tahoma"/>
          </rPr>
          <t xml:space="preserve">
25542/04 +80.000
</t>
        </r>
      </text>
    </comment>
    <comment ref="D420" authorId="185" shapeId="0">
      <text>
        <r>
          <rPr>
            <b/>
            <sz val="9"/>
            <rFont val="Tahoma"/>
          </rPr>
          <t>Jana Holíková:</t>
        </r>
        <r>
          <rPr>
            <sz val="9"/>
            <rFont val="Tahoma"/>
          </rPr>
          <t xml:space="preserve">
25503/01 -90.000
25653/10 +70.000
</t>
        </r>
      </text>
    </comment>
    <comment ref="D421" authorId="186" shapeId="0">
      <text>
        <r>
          <rPr>
            <b/>
            <sz val="9"/>
            <rFont val="Tahoma"/>
          </rPr>
          <t>Jana Holíková:</t>
        </r>
        <r>
          <rPr>
            <sz val="9"/>
            <rFont val="Tahoma"/>
          </rPr>
          <t xml:space="preserve">
25507/01 -32.000
25508/01 - 104.000
25527/02 -17.000
25124.07 +2.000.000
25616/08 -301.000
25653/10 -70.000
25254/12 -1.700.000
</t>
        </r>
      </text>
    </comment>
    <comment ref="D422" authorId="187" shapeId="0">
      <text>
        <r>
          <rPr>
            <b/>
            <sz val="9"/>
            <rFont val="Tahoma"/>
          </rPr>
          <t>Jana Holíková:</t>
        </r>
        <r>
          <rPr>
            <sz val="9"/>
            <rFont val="Tahoma"/>
          </rPr>
          <t xml:space="preserve">
255508/01 +104.000
</t>
        </r>
      </text>
    </comment>
    <comment ref="D423" authorId="188" shapeId="0">
      <text>
        <r>
          <rPr>
            <b/>
            <sz val="9"/>
            <rFont val="Tahoma"/>
          </rPr>
          <t>Jana Holíková:</t>
        </r>
        <r>
          <rPr>
            <sz val="9"/>
            <rFont val="Tahoma"/>
          </rPr>
          <t xml:space="preserve">
25503/01 +90.000
</t>
        </r>
      </text>
    </comment>
    <comment ref="D426" authorId="189" shapeId="0">
      <text>
        <r>
          <rPr>
            <b/>
            <sz val="9"/>
            <rFont val="Tahoma"/>
          </rPr>
          <t>Jana Holíková:</t>
        </r>
        <r>
          <rPr>
            <sz val="9"/>
            <rFont val="Tahoma"/>
          </rPr>
          <t xml:space="preserve">
25527/02 +17.000
</t>
        </r>
      </text>
    </comment>
    <comment ref="D429" authorId="190" shapeId="0">
      <text>
        <r>
          <rPr>
            <b/>
            <sz val="9"/>
            <rFont val="Tahoma"/>
          </rPr>
          <t>Jana Holíková:</t>
        </r>
        <r>
          <rPr>
            <sz val="9"/>
            <rFont val="Tahoma"/>
          </rPr>
          <t xml:space="preserve">
25001/01 +472.200
25507/01 +32.000
</t>
        </r>
      </text>
    </comment>
    <comment ref="D431" authorId="191" shapeId="0">
      <text>
        <r>
          <rPr>
            <b/>
            <sz val="9"/>
            <rFont val="Tahoma"/>
          </rPr>
          <t>Jana Holíková:</t>
        </r>
        <r>
          <rPr>
            <sz val="9"/>
            <rFont val="Tahoma"/>
          </rPr>
          <t xml:space="preserve">
25526/02 -32.000
25552/05 -21.000
25578.07 -22.000
</t>
        </r>
      </text>
    </comment>
    <comment ref="D433" authorId="192" shapeId="0">
      <text>
        <r>
          <rPr>
            <b/>
            <sz val="9"/>
            <rFont val="Tahoma"/>
          </rPr>
          <t>Jana Holíková:</t>
        </r>
        <r>
          <rPr>
            <sz val="9"/>
            <rFont val="Tahoma"/>
          </rPr>
          <t xml:space="preserve">
25526/02 +32.000
25552/05 +21.000
</t>
        </r>
      </text>
    </comment>
    <comment ref="D434" authorId="193" shapeId="0">
      <text>
        <r>
          <rPr>
            <b/>
            <sz val="9"/>
            <rFont val="Tahoma"/>
          </rPr>
          <t>Jana Holíková:</t>
        </r>
        <r>
          <rPr>
            <sz val="9"/>
            <rFont val="Tahoma"/>
          </rPr>
          <t xml:space="preserve">
25001/01 +685.000
</t>
        </r>
      </text>
    </comment>
    <comment ref="D436" authorId="194" shapeId="0">
      <text>
        <r>
          <rPr>
            <b/>
            <sz val="9"/>
            <rFont val="Tahoma"/>
          </rPr>
          <t>Jana Holíková:</t>
        </r>
        <r>
          <rPr>
            <sz val="9"/>
            <rFont val="Tahoma"/>
          </rPr>
          <t xml:space="preserve">
25001/01 +2.021.300
</t>
        </r>
      </text>
    </comment>
    <comment ref="D438" authorId="195" shapeId="0">
      <text>
        <r>
          <rPr>
            <b/>
            <sz val="9"/>
            <rFont val="Tahoma"/>
          </rPr>
          <t>Jana Holíková:</t>
        </r>
        <r>
          <rPr>
            <sz val="9"/>
            <rFont val="Tahoma"/>
          </rPr>
          <t xml:space="preserve">
25095/06 -1.000.000
25688/11 +300.000
25706/12 -256.000
</t>
        </r>
      </text>
    </comment>
    <comment ref="D439" authorId="196" shapeId="0">
      <text>
        <r>
          <rPr>
            <b/>
            <sz val="9"/>
            <rFont val="Tahoma"/>
          </rPr>
          <t>Jana Holíková:</t>
        </r>
        <r>
          <rPr>
            <sz val="9"/>
            <rFont val="Tahoma"/>
          </rPr>
          <t xml:space="preserve">
25573/06 +437.000
25578.07 +22.000
25616/08 +301.000
</t>
        </r>
      </text>
    </comment>
    <comment ref="D444" authorId="197" shapeId="0">
      <text>
        <r>
          <rPr>
            <b/>
            <sz val="9"/>
            <rFont val="Tahoma"/>
          </rPr>
          <t>Jana Holíková:</t>
        </r>
        <r>
          <rPr>
            <sz val="9"/>
            <rFont val="Tahoma"/>
          </rPr>
          <t xml:space="preserve">
25059/04 +400.000
25679/11 +150.000
25706/12 +256.000
</t>
        </r>
      </text>
    </comment>
    <comment ref="D446" authorId="198" shapeId="0">
      <text>
        <r>
          <rPr>
            <b/>
            <sz val="9"/>
            <rFont val="Tahoma"/>
          </rPr>
          <t>Jana Holíková:</t>
        </r>
        <r>
          <rPr>
            <sz val="9"/>
            <rFont val="Tahoma"/>
          </rPr>
          <t xml:space="preserve">
25573/06 -437.000
</t>
        </r>
      </text>
    </comment>
    <comment ref="D447" authorId="199" shapeId="0">
      <text>
        <r>
          <rPr>
            <b/>
            <sz val="9"/>
            <rFont val="Tahoma"/>
          </rPr>
          <t>Jana Holíková:</t>
        </r>
        <r>
          <rPr>
            <sz val="9"/>
            <rFont val="Tahoma"/>
          </rPr>
          <t xml:space="preserve">
25121.07 -303.000
</t>
        </r>
      </text>
    </comment>
    <comment ref="D448" authorId="200" shapeId="0">
      <text>
        <r>
          <rPr>
            <b/>
            <sz val="9"/>
            <rFont val="Tahoma"/>
          </rPr>
          <t>Jana Holíková:</t>
        </r>
        <r>
          <rPr>
            <sz val="9"/>
            <rFont val="Tahoma"/>
          </rPr>
          <t xml:space="preserve">
25679/11 -150.000
</t>
        </r>
      </text>
    </comment>
    <comment ref="D449" authorId="201" shapeId="0">
      <text>
        <r>
          <rPr>
            <b/>
            <sz val="9"/>
            <rFont val="Tahoma"/>
          </rPr>
          <t>Jana Holíková:</t>
        </r>
        <r>
          <rPr>
            <sz val="9"/>
            <rFont val="Tahoma"/>
          </rPr>
          <t xml:space="preserve">
25668/11 -300.000
není v součtu §2219,
takže sníž započítat přes rez 
</t>
        </r>
      </text>
    </comment>
    <comment ref="D451" authorId="202" shapeId="0">
      <text>
        <r>
          <rPr>
            <b/>
            <sz val="9"/>
            <rFont val="Tahoma"/>
          </rPr>
          <t>Jana Holíková:</t>
        </r>
        <r>
          <rPr>
            <sz val="9"/>
            <rFont val="Tahoma"/>
          </rPr>
          <t xml:space="preserve">
25022/02 +210.000
</t>
        </r>
      </text>
    </comment>
    <comment ref="D452" authorId="203" shapeId="0">
      <text>
        <r>
          <rPr>
            <b/>
            <sz val="9"/>
            <rFont val="Tahoma"/>
          </rPr>
          <t>Jana Holíková:</t>
        </r>
        <r>
          <rPr>
            <sz val="9"/>
            <rFont val="Tahoma"/>
          </rPr>
          <t xml:space="preserve">
25020/02 -250.000
</t>
        </r>
      </text>
    </comment>
    <comment ref="D456" authorId="204" shapeId="0">
      <text>
        <r>
          <rPr>
            <b/>
            <sz val="9"/>
            <rFont val="Tahoma"/>
          </rPr>
          <t>Jana Holíková:</t>
        </r>
        <r>
          <rPr>
            <sz val="9"/>
            <rFont val="Tahoma"/>
          </rPr>
          <t xml:space="preserve">
25105.07 -500.000
25142/08 +470.000
25152/08 
-23.000  5169
+63.000  5171
25682/11 -9.000 5169
</t>
        </r>
      </text>
    </comment>
    <comment ref="D457" authorId="205" shapeId="0">
      <text>
        <r>
          <rPr>
            <b/>
            <sz val="9"/>
            <rFont val="Tahoma"/>
          </rPr>
          <t>Jana Holíková:</t>
        </r>
        <r>
          <rPr>
            <sz val="9"/>
            <rFont val="Tahoma"/>
          </rPr>
          <t xml:space="preserve">
25544/04 -25.000
25566/06 -9.000
</t>
        </r>
      </text>
    </comment>
    <comment ref="D458" authorId="206" shapeId="0">
      <text>
        <r>
          <rPr>
            <b/>
            <sz val="9"/>
            <rFont val="Tahoma"/>
          </rPr>
          <t>Jana Holíková:</t>
        </r>
        <r>
          <rPr>
            <sz val="9"/>
            <rFont val="Tahoma"/>
          </rPr>
          <t xml:space="preserve">
25682/11 -10.000
</t>
        </r>
      </text>
    </comment>
    <comment ref="D459" authorId="207" shapeId="0">
      <text>
        <r>
          <rPr>
            <b/>
            <sz val="9"/>
            <rFont val="Tahoma"/>
          </rPr>
          <t>Jana Holíková:</t>
        </r>
        <r>
          <rPr>
            <sz val="9"/>
            <rFont val="Tahoma"/>
          </rPr>
          <t xml:space="preserve">
25566/06 -18.000
25682/11 +22.000
</t>
        </r>
      </text>
    </comment>
    <comment ref="D460" authorId="208" shapeId="0">
      <text>
        <r>
          <rPr>
            <b/>
            <sz val="9"/>
            <rFont val="Tahoma"/>
          </rPr>
          <t>Jana Holíková:</t>
        </r>
        <r>
          <rPr>
            <sz val="9"/>
            <rFont val="Tahoma"/>
          </rPr>
          <t xml:space="preserve">
25682/11 -3.000
</t>
        </r>
      </text>
    </comment>
    <comment ref="D461" authorId="209" shapeId="0">
      <text>
        <r>
          <rPr>
            <b/>
            <sz val="9"/>
            <rFont val="Tahoma"/>
          </rPr>
          <t>Jana Holíková:</t>
        </r>
        <r>
          <rPr>
            <sz val="9"/>
            <rFont val="Tahoma"/>
          </rPr>
          <t xml:space="preserve">
25544/04 +25.000
</t>
        </r>
      </text>
    </comment>
    <comment ref="D462" authorId="210" shapeId="0">
      <text>
        <r>
          <rPr>
            <b/>
            <sz val="9"/>
            <rFont val="Tahoma"/>
          </rPr>
          <t>Jana Holíková:</t>
        </r>
        <r>
          <rPr>
            <sz val="9"/>
            <rFont val="Tahoma"/>
          </rPr>
          <t xml:space="preserve">
25566/06 +27.000
</t>
        </r>
      </text>
    </comment>
    <comment ref="D465" authorId="211" shapeId="0">
      <text>
        <r>
          <rPr>
            <b/>
            <sz val="9"/>
            <rFont val="Tahoma"/>
          </rPr>
          <t>Jana Holíková:</t>
        </r>
        <r>
          <rPr>
            <sz val="9"/>
            <rFont val="Tahoma"/>
          </rPr>
          <t xml:space="preserve">
25044/03 +14.800.000
25604/07 +420.000
25610/08 +33.000
25613/08 +70.000
</t>
        </r>
      </text>
    </comment>
    <comment ref="D466" authorId="212" shapeId="0">
      <text>
        <r>
          <rPr>
            <b/>
            <sz val="9"/>
            <rFont val="Tahoma"/>
          </rPr>
          <t>Jana Holíková:</t>
        </r>
        <r>
          <rPr>
            <sz val="9"/>
            <rFont val="Tahoma"/>
          </rPr>
          <t xml:space="preserve">
25533/03 +10.000
</t>
        </r>
      </text>
    </comment>
    <comment ref="D467" authorId="213" shapeId="0">
      <text>
        <r>
          <rPr>
            <b/>
            <sz val="9"/>
            <rFont val="Tahoma"/>
          </rPr>
          <t>Jana Holíková:</t>
        </r>
        <r>
          <rPr>
            <sz val="9"/>
            <rFont val="Tahoma"/>
          </rPr>
          <t xml:space="preserve">
25572/06 
-55.000  5171
+75.000 5169
25105.07 +2.000.000
</t>
        </r>
      </text>
    </comment>
    <comment ref="D469" authorId="214" shapeId="0">
      <text>
        <r>
          <rPr>
            <b/>
            <sz val="9"/>
            <rFont val="Tahoma"/>
          </rPr>
          <t>Jana Holíková:</t>
        </r>
        <r>
          <rPr>
            <sz val="9"/>
            <rFont val="Tahoma"/>
          </rPr>
          <t xml:space="preserve">
25533/03 -10.000
25095/06 
-1.443.000 5171
-   254.000 5169
</t>
        </r>
      </text>
    </comment>
    <comment ref="D471" authorId="215" shapeId="0">
      <text>
        <r>
          <rPr>
            <b/>
            <sz val="9"/>
            <rFont val="Tahoma"/>
          </rPr>
          <t>Jana Holíková:</t>
        </r>
        <r>
          <rPr>
            <sz val="9"/>
            <rFont val="Tahoma"/>
          </rPr>
          <t xml:space="preserve">
25006/01 -3.150
</t>
        </r>
      </text>
    </comment>
    <comment ref="D473" authorId="216" shapeId="0">
      <text>
        <r>
          <rPr>
            <b/>
            <sz val="9"/>
            <rFont val="Tahoma"/>
          </rPr>
          <t>Jana Holíková:</t>
        </r>
        <r>
          <rPr>
            <sz val="9"/>
            <rFont val="Tahoma"/>
          </rPr>
          <t xml:space="preserve">
25572/06 -20.000
25612/08 +12.000
25640/09 +12.000
25660/10 +14.000
</t>
        </r>
      </text>
    </comment>
    <comment ref="D474" authorId="217" shapeId="0">
      <text>
        <r>
          <rPr>
            <b/>
            <sz val="9"/>
            <rFont val="Tahoma"/>
          </rPr>
          <t>Jana Holíková:</t>
        </r>
        <r>
          <rPr>
            <sz val="9"/>
            <rFont val="Tahoma"/>
          </rPr>
          <t xml:space="preserve">
25604/07 -420.000
25142/08 -470.000
25152/08 -40.000
25610/08 -33.000
25612/08 -12.000
25613/08 -70.000
25640/09 -12.000
25660/10 -14.000
25239/12 -2.000.000
25254/12 -1.200.000
</t>
        </r>
      </text>
    </comment>
    <comment ref="D476" authorId="218" shapeId="0">
      <text>
        <r>
          <rPr>
            <b/>
            <sz val="9"/>
            <rFont val="Tahoma"/>
          </rPr>
          <t>Jana Holíková:</t>
        </r>
        <r>
          <rPr>
            <sz val="9"/>
            <rFont val="Tahoma"/>
          </rPr>
          <t xml:space="preserve">
25006/01 +3.150
</t>
        </r>
      </text>
    </comment>
    <comment ref="D479" authorId="219" shapeId="0">
      <text>
        <r>
          <rPr>
            <b/>
            <sz val="9"/>
            <rFont val="Tahoma"/>
          </rPr>
          <t>Jana Holíková:</t>
        </r>
        <r>
          <rPr>
            <sz val="9"/>
            <rFont val="Tahoma"/>
          </rPr>
          <t xml:space="preserve">
25160/09 -1.300.000
</t>
        </r>
      </text>
    </comment>
    <comment ref="D481" authorId="220" shapeId="0">
      <text>
        <r>
          <rPr>
            <b/>
            <sz val="9"/>
            <rFont val="Tahoma"/>
          </rPr>
          <t>Jana Holíková:</t>
        </r>
        <r>
          <rPr>
            <sz val="9"/>
            <rFont val="Tahoma"/>
          </rPr>
          <t xml:space="preserve">
25121.07 -100.000
25662/10 -7.500
</t>
        </r>
      </text>
    </comment>
    <comment ref="D482" authorId="221" shapeId="0">
      <text>
        <r>
          <rPr>
            <b/>
            <sz val="9"/>
            <rFont val="Tahoma"/>
          </rPr>
          <t>Jana Holíková:</t>
        </r>
        <r>
          <rPr>
            <sz val="9"/>
            <rFont val="Tahoma"/>
          </rPr>
          <t xml:space="preserve">
25121.07 -400.000
25662/10 +7.500
</t>
        </r>
      </text>
    </comment>
    <comment ref="D485" authorId="222" shapeId="0">
      <text>
        <r>
          <rPr>
            <b/>
            <sz val="9"/>
            <rFont val="Tahoma"/>
          </rPr>
          <t>Jana Holíková:</t>
        </r>
        <r>
          <rPr>
            <sz val="9"/>
            <rFont val="Tahoma"/>
          </rPr>
          <t xml:space="preserve">
25577.07 +86.625
25611/08 +79.860
</t>
        </r>
      </text>
    </comment>
    <comment ref="D486" authorId="223" shapeId="0">
      <text>
        <r>
          <rPr>
            <b/>
            <sz val="9"/>
            <rFont val="Tahoma"/>
          </rPr>
          <t>Jana Holíková:</t>
        </r>
        <r>
          <rPr>
            <sz val="9"/>
            <rFont val="Tahoma"/>
          </rPr>
          <t xml:space="preserve">
25007/01 -50.000
25577.07 -86.625
25611/08 -79.860
25254/12 -1.000.000
</t>
        </r>
      </text>
    </comment>
    <comment ref="D488" authorId="224" shapeId="0">
      <text>
        <r>
          <rPr>
            <b/>
            <sz val="9"/>
            <rFont val="Tahoma"/>
          </rPr>
          <t>Jana Holíková:</t>
        </r>
        <r>
          <rPr>
            <sz val="9"/>
            <rFont val="Tahoma"/>
          </rPr>
          <t xml:space="preserve">
25007/01 +50.000
</t>
        </r>
      </text>
    </comment>
    <comment ref="D491" authorId="225" shapeId="0">
      <text>
        <r>
          <rPr>
            <b/>
            <sz val="9"/>
            <rFont val="Tahoma"/>
          </rPr>
          <t>Jana Holíková:</t>
        </r>
        <r>
          <rPr>
            <sz val="9"/>
            <rFont val="Tahoma"/>
          </rPr>
          <t xml:space="preserve">
25095/06 -2.800.000
25623/09 -367.000
25625/09 +12.000
</t>
        </r>
      </text>
    </comment>
    <comment ref="D492" authorId="226" shapeId="0">
      <text>
        <r>
          <rPr>
            <b/>
            <sz val="9"/>
            <rFont val="Tahoma"/>
          </rPr>
          <t>Jana Holíková:</t>
        </r>
        <r>
          <rPr>
            <sz val="9"/>
            <rFont val="Tahoma"/>
          </rPr>
          <t xml:space="preserve">
25105/07 -1.000.000
25623/09 +393.000
</t>
        </r>
      </text>
    </comment>
    <comment ref="D493" authorId="227" shapeId="0">
      <text>
        <r>
          <rPr>
            <b/>
            <sz val="9"/>
            <rFont val="Tahoma"/>
          </rPr>
          <t>Jana Holíková:</t>
        </r>
        <r>
          <rPr>
            <sz val="9"/>
            <rFont val="Tahoma"/>
          </rPr>
          <t xml:space="preserve">
25623/09 -26.000
25625/09 -12.000
</t>
        </r>
      </text>
    </comment>
    <comment ref="D501" authorId="228" shapeId="0">
      <text>
        <r>
          <rPr>
            <b/>
            <sz val="9"/>
            <rFont val="Tahoma"/>
          </rPr>
          <t>Jana Holíková:</t>
        </r>
        <r>
          <rPr>
            <sz val="9"/>
            <rFont val="Tahoma"/>
          </rPr>
          <t xml:space="preserve">
25512/01 +-281.500
z 6121 na 5137
25045/03 +6.020.000
25064/04 +500.000
25595/07 -1.082.585
+  10.346  5139
+267.271  5137
+804.968  6122
</t>
        </r>
      </text>
    </comment>
    <comment ref="D503" authorId="229" shapeId="0">
      <text>
        <r>
          <rPr>
            <b/>
            <sz val="9"/>
            <rFont val="Tahoma"/>
          </rPr>
          <t>Jana Holíková:</t>
        </r>
        <r>
          <rPr>
            <sz val="9"/>
            <rFont val="Tahoma"/>
          </rPr>
          <t xml:space="preserve">
25060/04 +3.050.000
25183/10 +1.341.000 úz 34054
25246/12 
-1.341.000 úz 34054
+1.341.000 bez úz
</t>
        </r>
      </text>
    </comment>
    <comment ref="D506" authorId="230" shapeId="0">
      <text>
        <r>
          <rPr>
            <b/>
            <sz val="9"/>
            <rFont val="Tahoma"/>
          </rPr>
          <t>Jana Holíková:</t>
        </r>
        <r>
          <rPr>
            <sz val="9"/>
            <rFont val="Tahoma"/>
          </rPr>
          <t xml:space="preserve">
25125.07 +12.000
</t>
        </r>
      </text>
    </comment>
    <comment ref="D510" authorId="231" shapeId="0">
      <text>
        <r>
          <rPr>
            <b/>
            <sz val="9"/>
            <rFont val="Tahoma"/>
          </rPr>
          <t>Jana Holíková:</t>
        </r>
        <r>
          <rPr>
            <sz val="9"/>
            <rFont val="Tahoma"/>
          </rPr>
          <t xml:space="preserve">
25021/02 +20.000
</t>
        </r>
      </text>
    </comment>
    <comment ref="D513" authorId="232" shapeId="0">
      <text>
        <r>
          <rPr>
            <b/>
            <sz val="9"/>
            <rFont val="Tahoma"/>
          </rPr>
          <t>Jana Holíková:</t>
        </r>
        <r>
          <rPr>
            <sz val="9"/>
            <rFont val="Tahoma"/>
          </rPr>
          <t xml:space="preserve">
25518/02 změna org z 3730 
-300.080 na:
+ 75.020 3537 Dlouhá, Bud
+ 75.020 3538 Dlouhá u garáží
+ 75.020 3539 Sportovní
+ 75.020 3540 u Máje
25559/05 změna org 
-2.400.000 z 3730
+2.400.000 na 3538 Dlouhá u gar
25097/06 
+1.750.000 3540 Vančurova 38
+  300.000  3541 III.et
25571/06
- 500.000  3730 II.et
+500.000  3540 Vančurova 38 
25575.07
-75.000 3730 I.et
+75.000 3540 Vanč 38 u Máje
25598/07
-29.000  3540 Vanč 38
+29.000 3730 Jičínská 274
-75.000  3541 III.et
+75.000 3538 Dlouhá u gar
25627/09
-102.000 3541 II.et
- 26.000  3540 Vanč 38
 -12.000  3730 Jičín 274
+140.000 3538 Dlouhá u gar
25638/09 
-5.000 3541 III.et
+5.000 3538 Dlouhá u gar
25644/09
-415.039,08  3730 Jičín 274  6121
+415.039,08  3730 Jičín 274  5171
</t>
        </r>
      </text>
    </comment>
    <comment ref="D518" authorId="233" shapeId="0">
      <text>
        <r>
          <rPr>
            <b/>
            <sz val="9"/>
            <rFont val="Tahoma"/>
          </rPr>
          <t>Jana Holíková:</t>
        </r>
        <r>
          <rPr>
            <sz val="9"/>
            <rFont val="Tahoma"/>
          </rPr>
          <t xml:space="preserve">
25064/04 -500.000
25065/04 -500.000
25543/04 -450.000
25078/05 -25.000.000
25079/05 -630.000
25174/09 -25.000.000
25239/12 +2.000.000
</t>
        </r>
      </text>
    </comment>
    <comment ref="D519" authorId="234" shapeId="0">
      <text>
        <r>
          <rPr>
            <b/>
            <sz val="9"/>
            <rFont val="Tahoma"/>
          </rPr>
          <t>Jana Holíková:</t>
        </r>
        <r>
          <rPr>
            <sz val="9"/>
            <rFont val="Tahoma"/>
          </rPr>
          <t xml:space="preserve">
25543/04 +450.000
</t>
        </r>
      </text>
    </comment>
    <comment ref="D523" authorId="235" shapeId="0">
      <text>
        <r>
          <rPr>
            <b/>
            <sz val="9"/>
            <rFont val="Tahoma"/>
          </rPr>
          <t>Jana Holíková:</t>
        </r>
        <r>
          <rPr>
            <sz val="9"/>
            <rFont val="Tahoma"/>
          </rPr>
          <t xml:space="preserve">
25539/03 +10.000
25095/06 -503.000
25105.07 -500.000
25661/10 +550.000
25673/11 +71.000
25254/12 -1.000.000
</t>
        </r>
      </text>
    </comment>
    <comment ref="D524" authorId="236" shapeId="0">
      <text>
        <r>
          <rPr>
            <b/>
            <sz val="9"/>
            <rFont val="Tahoma"/>
          </rPr>
          <t>Jana Holíková:</t>
        </r>
        <r>
          <rPr>
            <sz val="9"/>
            <rFont val="Tahoma"/>
          </rPr>
          <t xml:space="preserve">
25021/02 -20.000
25096/06 -550.000
25097/06 -2.050.000
25174/09 -2.160.000
</t>
        </r>
      </text>
    </comment>
    <comment ref="D526" authorId="237" shapeId="0">
      <text>
        <r>
          <rPr>
            <b/>
            <sz val="9"/>
            <rFont val="Tahoma"/>
          </rPr>
          <t>Jana Holíková:</t>
        </r>
        <r>
          <rPr>
            <sz val="9"/>
            <rFont val="Tahoma"/>
          </rPr>
          <t xml:space="preserve">
25174/09 -2.400.000
</t>
        </r>
      </text>
    </comment>
    <comment ref="D527" authorId="238" shapeId="0">
      <text>
        <r>
          <rPr>
            <b/>
            <sz val="9"/>
            <rFont val="Tahoma"/>
          </rPr>
          <t>Jana Holíková:</t>
        </r>
        <r>
          <rPr>
            <sz val="9"/>
            <rFont val="Tahoma"/>
          </rPr>
          <t xml:space="preserve">
25079/05 +460.000
25254/12 -700.000
</t>
        </r>
      </text>
    </comment>
    <comment ref="D528" authorId="239" shapeId="0">
      <text>
        <r>
          <rPr>
            <b/>
            <sz val="9"/>
            <rFont val="Tahoma"/>
          </rPr>
          <t>Jana Holíková:</t>
        </r>
        <r>
          <rPr>
            <sz val="9"/>
            <rFont val="Tahoma"/>
          </rPr>
          <t xml:space="preserve">
25520/02 -290.000
25043/03 -5.450.000
25539/03 -10.000
</t>
        </r>
      </text>
    </comment>
    <comment ref="D529" authorId="240" shapeId="0">
      <text>
        <r>
          <rPr>
            <b/>
            <sz val="9"/>
            <rFont val="Tahoma"/>
          </rPr>
          <t>Jana Holíková:</t>
        </r>
        <r>
          <rPr>
            <sz val="9"/>
            <rFont val="Tahoma"/>
          </rPr>
          <t xml:space="preserve">
25060/04 -400.000
</t>
        </r>
      </text>
    </comment>
    <comment ref="D530" authorId="241" shapeId="0">
      <text>
        <r>
          <rPr>
            <b/>
            <sz val="9"/>
            <rFont val="Tahoma"/>
          </rPr>
          <t>Jana Holíková:</t>
        </r>
        <r>
          <rPr>
            <sz val="9"/>
            <rFont val="Tahoma"/>
          </rPr>
          <t xml:space="preserve">
25125.07 -12.000
25628/09 -245.000
</t>
        </r>
      </text>
    </comment>
    <comment ref="D531" authorId="242" shapeId="0">
      <text>
        <r>
          <rPr>
            <b/>
            <sz val="9"/>
            <rFont val="Tahoma"/>
          </rPr>
          <t>Jana Holíková:</t>
        </r>
        <r>
          <rPr>
            <sz val="9"/>
            <rFont val="Tahoma"/>
          </rPr>
          <t xml:space="preserve">
25628/09 +245.000
</t>
        </r>
      </text>
    </comment>
    <comment ref="D532" authorId="243" shapeId="0">
      <text>
        <r>
          <rPr>
            <b/>
            <sz val="9"/>
            <rFont val="Tahoma"/>
          </rPr>
          <t>Jana Holíková:</t>
        </r>
        <r>
          <rPr>
            <sz val="9"/>
            <rFont val="Tahoma"/>
          </rPr>
          <t xml:space="preserve">
25661/10 -550.000
25637/11 -71.000
25254/12 -2.600.000
</t>
        </r>
      </text>
    </comment>
    <comment ref="D533" authorId="244" shapeId="0">
      <text>
        <r>
          <rPr>
            <b/>
            <sz val="9"/>
            <rFont val="Tahoma"/>
          </rPr>
          <t>Jana Holíková:</t>
        </r>
        <r>
          <rPr>
            <sz val="9"/>
            <rFont val="Tahoma"/>
          </rPr>
          <t xml:space="preserve">
25520/02 +290.000
</t>
        </r>
      </text>
    </comment>
    <comment ref="D534" authorId="245" shapeId="0">
      <text>
        <r>
          <rPr>
            <b/>
            <sz val="9"/>
            <rFont val="Tahoma"/>
          </rPr>
          <t>Jana Holíková:</t>
        </r>
        <r>
          <rPr>
            <sz val="9"/>
            <rFont val="Tahoma"/>
          </rPr>
          <t xml:space="preserve">
25060/04 -500.000
</t>
        </r>
      </text>
    </comment>
    <comment ref="D535" authorId="246" shapeId="0">
      <text>
        <r>
          <rPr>
            <b/>
            <sz val="9"/>
            <rFont val="Tahoma"/>
          </rPr>
          <t>Jana Holíková:</t>
        </r>
        <r>
          <rPr>
            <sz val="9"/>
            <rFont val="Tahoma"/>
          </rPr>
          <t xml:space="preserve">
25060/04 -800.000
</t>
        </r>
      </text>
    </comment>
    <comment ref="D537" authorId="247" shapeId="0">
      <text>
        <r>
          <rPr>
            <b/>
            <sz val="9"/>
            <rFont val="Tahoma"/>
          </rPr>
          <t>Jana Holíková:</t>
        </r>
        <r>
          <rPr>
            <sz val="9"/>
            <rFont val="Tahoma"/>
          </rPr>
          <t xml:space="preserve">
25174/09 -1.000.000
</t>
        </r>
      </text>
    </comment>
    <comment ref="D538" authorId="248" shapeId="0">
      <text>
        <r>
          <rPr>
            <b/>
            <sz val="9"/>
            <rFont val="Tahoma"/>
          </rPr>
          <t>Jana Holíková:</t>
        </r>
        <r>
          <rPr>
            <sz val="9"/>
            <rFont val="Tahoma"/>
          </rPr>
          <t xml:space="preserve">
25095/06 +6.000.000
25254/12 -356.601
</t>
        </r>
      </text>
    </comment>
    <comment ref="D539" authorId="249" shapeId="0">
      <text>
        <r>
          <rPr>
            <b/>
            <sz val="9"/>
            <rFont val="Tahoma"/>
          </rPr>
          <t>Jana Holíková:</t>
        </r>
        <r>
          <rPr>
            <sz val="9"/>
            <rFont val="Tahoma"/>
          </rPr>
          <t xml:space="preserve">
25520/02 -290.000
25043/03 -5.450.000
</t>
        </r>
      </text>
    </comment>
    <comment ref="D540" authorId="250" shapeId="0">
      <text>
        <r>
          <rPr>
            <b/>
            <sz val="9"/>
            <rFont val="Tahoma"/>
          </rPr>
          <t>Jana Holíková:</t>
        </r>
        <r>
          <rPr>
            <sz val="9"/>
            <rFont val="Tahoma"/>
          </rPr>
          <t xml:space="preserve">
25529/03 
z 5xxx na 6121
25066/04 +2.000000
25096/06 +550.000
</t>
        </r>
      </text>
    </comment>
    <comment ref="D541" authorId="251" shapeId="0">
      <text>
        <r>
          <rPr>
            <b/>
            <sz val="9"/>
            <rFont val="Tahoma"/>
          </rPr>
          <t>Jana Holíková:</t>
        </r>
        <r>
          <rPr>
            <sz val="9"/>
            <rFont val="Tahoma"/>
          </rPr>
          <t xml:space="preserve">
25079/05 +170.000
</t>
        </r>
      </text>
    </comment>
    <comment ref="D542" authorId="252" shapeId="0">
      <text>
        <r>
          <rPr>
            <b/>
            <sz val="9"/>
            <rFont val="Tahoma"/>
          </rPr>
          <t>Jana Holíková:</t>
        </r>
        <r>
          <rPr>
            <sz val="9"/>
            <rFont val="Tahoma"/>
          </rPr>
          <t xml:space="preserve">
25174/09 -500.000
</t>
        </r>
      </text>
    </comment>
    <comment ref="D543" authorId="253" shapeId="0">
      <text>
        <r>
          <rPr>
            <b/>
            <sz val="9"/>
            <rFont val="Tahoma"/>
          </rPr>
          <t>Jana Holíková:</t>
        </r>
        <r>
          <rPr>
            <sz val="9"/>
            <rFont val="Tahoma"/>
          </rPr>
          <t xml:space="preserve">
25174/09 
-250.000 -150.000
25658/10 +36.300
</t>
        </r>
      </text>
    </comment>
    <comment ref="D544" authorId="254" shapeId="0">
      <text>
        <r>
          <rPr>
            <b/>
            <sz val="9"/>
            <rFont val="Tahoma"/>
          </rPr>
          <t>Jana Holíková:</t>
        </r>
        <r>
          <rPr>
            <sz val="9"/>
            <rFont val="Tahoma"/>
          </rPr>
          <t xml:space="preserve">
25514/02 -oprava org z 3757 na 0518
</t>
        </r>
      </text>
    </comment>
    <comment ref="D545" authorId="255" shapeId="0">
      <text>
        <r>
          <rPr>
            <b/>
            <sz val="9"/>
            <rFont val="Tahoma"/>
          </rPr>
          <t>Jana Holíková:</t>
        </r>
        <r>
          <rPr>
            <sz val="9"/>
            <rFont val="Tahoma"/>
          </rPr>
          <t xml:space="preserve">
25658/10 -36.300
</t>
        </r>
      </text>
    </comment>
    <comment ref="D547" authorId="256" shapeId="0">
      <text>
        <r>
          <rPr>
            <b/>
            <sz val="9"/>
            <rFont val="Tahoma"/>
          </rPr>
          <t>Jana Holíková:</t>
        </r>
        <r>
          <rPr>
            <sz val="9"/>
            <rFont val="Tahoma"/>
          </rPr>
          <t xml:space="preserve">
25574.07 -60.000
25254/12 -700.000
</t>
        </r>
      </text>
    </comment>
    <comment ref="D550" authorId="257" shapeId="0">
      <text>
        <r>
          <rPr>
            <b/>
            <sz val="9"/>
            <rFont val="Tahoma"/>
          </rPr>
          <t>Jana Holíková:</t>
        </r>
        <r>
          <rPr>
            <sz val="9"/>
            <rFont val="Tahoma"/>
          </rPr>
          <t xml:space="preserve">
25065/04 +500.000
25574.07 +60.000
</t>
        </r>
      </text>
    </comment>
    <comment ref="D552" authorId="258" shapeId="0">
      <text>
        <r>
          <rPr>
            <b/>
            <sz val="9"/>
            <rFont val="Tahoma"/>
          </rPr>
          <t>Jana Holíková:</t>
        </r>
        <r>
          <rPr>
            <sz val="9"/>
            <rFont val="Tahoma"/>
          </rPr>
          <t xml:space="preserve">
25522/02 změna pol
49.659,91 z 6121 na 5191
25174/09 -2.500.000
25680/11 +-605.000
dopl úz 917
</t>
        </r>
      </text>
    </comment>
    <comment ref="D557" authorId="259" shapeId="0">
      <text>
        <r>
          <rPr>
            <b/>
            <sz val="9"/>
            <rFont val="Tahoma"/>
          </rPr>
          <t>Jana Holíková:</t>
        </r>
        <r>
          <rPr>
            <sz val="9"/>
            <rFont val="Tahoma"/>
          </rPr>
          <t xml:space="preserve">
25570/06 +363.000
</t>
        </r>
      </text>
    </comment>
    <comment ref="D558" authorId="260" shapeId="0">
      <text>
        <r>
          <rPr>
            <b/>
            <sz val="9"/>
            <rFont val="Tahoma"/>
          </rPr>
          <t>Jana Holíková:</t>
        </r>
        <r>
          <rPr>
            <sz val="9"/>
            <rFont val="Tahoma"/>
          </rPr>
          <t xml:space="preserve">
25570/06 +121.000
</t>
        </r>
      </text>
    </comment>
    <comment ref="D559" authorId="261" shapeId="0">
      <text>
        <r>
          <rPr>
            <b/>
            <sz val="9"/>
            <rFont val="Tahoma"/>
          </rPr>
          <t>Jana Holíková:</t>
        </r>
        <r>
          <rPr>
            <sz val="9"/>
            <rFont val="Tahoma"/>
          </rPr>
          <t xml:space="preserve">
25059/04 +1.300.000
25676/11 +79.000
25241/12 +300.000
25254/12 -700.000
</t>
        </r>
      </text>
    </comment>
    <comment ref="D560" authorId="262" shapeId="0">
      <text>
        <r>
          <rPr>
            <b/>
            <sz val="9"/>
            <rFont val="Tahoma"/>
          </rPr>
          <t>Jana Holíková:</t>
        </r>
        <r>
          <rPr>
            <sz val="9"/>
            <rFont val="Tahoma"/>
          </rPr>
          <t xml:space="preserve">
25008/01 -3.000.000
25080/05 +3.000.000
25570/06 -321.000
25161/09 -3.600.000
25676/11 -79.000
</t>
        </r>
      </text>
    </comment>
    <comment ref="D561" authorId="263" shapeId="0">
      <text>
        <r>
          <rPr>
            <b/>
            <sz val="9"/>
            <rFont val="Tahoma"/>
          </rPr>
          <t>Jana Holíková:</t>
        </r>
        <r>
          <rPr>
            <sz val="9"/>
            <rFont val="Tahoma"/>
          </rPr>
          <t xml:space="preserve">
25570/06 -163.000
</t>
        </r>
      </text>
    </comment>
    <comment ref="D563" authorId="264" shapeId="0">
      <text>
        <r>
          <rPr>
            <b/>
            <sz val="9"/>
            <rFont val="Tahoma"/>
          </rPr>
          <t>Jana Holíková:</t>
        </r>
        <r>
          <rPr>
            <sz val="9"/>
            <rFont val="Tahoma"/>
          </rPr>
          <t xml:space="preserve">
25241/12 -300.000
</t>
        </r>
      </text>
    </comment>
    <comment ref="D571" authorId="265" shapeId="0">
      <text>
        <r>
          <rPr>
            <b/>
            <sz val="9"/>
            <rFont val="Tahoma"/>
          </rPr>
          <t>Jana Holíková:</t>
        </r>
        <r>
          <rPr>
            <sz val="9"/>
            <rFont val="Tahoma"/>
          </rPr>
          <t xml:space="preserve">
25161/09 -250.000
</t>
        </r>
      </text>
    </comment>
    <comment ref="D573" authorId="266" shapeId="0">
      <text>
        <r>
          <rPr>
            <b/>
            <sz val="9"/>
            <rFont val="Tahoma"/>
          </rPr>
          <t>Jana Holíková:</t>
        </r>
        <r>
          <rPr>
            <sz val="9"/>
            <rFont val="Tahoma"/>
          </rPr>
          <t xml:space="preserve">
25150/08 -132.500
</t>
        </r>
      </text>
    </comment>
    <comment ref="D579" authorId="267" shapeId="0">
      <text>
        <r>
          <rPr>
            <b/>
            <sz val="9"/>
            <rFont val="Tahoma"/>
          </rPr>
          <t>Jana Holíková:</t>
        </r>
        <r>
          <rPr>
            <sz val="9"/>
            <rFont val="Tahoma"/>
          </rPr>
          <t xml:space="preserve">
25133/08 +87.635,98
25188/10 +54.040
</t>
        </r>
      </text>
    </comment>
    <comment ref="D580" authorId="268" shapeId="0">
      <text>
        <r>
          <rPr>
            <b/>
            <sz val="9"/>
            <rFont val="Tahoma"/>
          </rPr>
          <t>Jana Holíková:</t>
        </r>
        <r>
          <rPr>
            <sz val="9"/>
            <rFont val="Tahoma"/>
          </rPr>
          <t xml:space="preserve">
25073/04 +300.000 úz 695
25074/04 +70.000 úz 675
25133/08 -87.635,98
25139/08 +177.565
25148/08 -211.971,44  -8.002,10
25188/10 -54.040
25235/12 -3.003
</t>
        </r>
      </text>
    </comment>
    <comment ref="D581" authorId="269" shapeId="0">
      <text>
        <r>
          <rPr>
            <b/>
            <sz val="9"/>
            <rFont val="Tahoma"/>
          </rPr>
          <t>Jana Holíková:</t>
        </r>
        <r>
          <rPr>
            <sz val="9"/>
            <rFont val="Tahoma"/>
          </rPr>
          <t xml:space="preserve">
25148/08 +8.002,10
</t>
        </r>
      </text>
    </comment>
    <comment ref="D582" authorId="270" shapeId="0">
      <text>
        <r>
          <rPr>
            <b/>
            <sz val="9"/>
            <rFont val="Tahoma"/>
          </rPr>
          <t>Jana Holíková:</t>
        </r>
        <r>
          <rPr>
            <sz val="9"/>
            <rFont val="Tahoma"/>
          </rPr>
          <t xml:space="preserve">
25148/08 +211.971,44
</t>
        </r>
      </text>
    </comment>
    <comment ref="D583" authorId="271" shapeId="0">
      <text>
        <r>
          <rPr>
            <b/>
            <sz val="9"/>
            <rFont val="Tahoma"/>
          </rPr>
          <t>Jana Holíková:</t>
        </r>
        <r>
          <rPr>
            <sz val="9"/>
            <rFont val="Tahoma"/>
          </rPr>
          <t xml:space="preserve">
25235/12 +3.003
</t>
        </r>
      </text>
    </comment>
    <comment ref="D599" authorId="272" shapeId="0">
      <text>
        <r>
          <rPr>
            <b/>
            <sz val="9"/>
            <rFont val="Tahoma"/>
          </rPr>
          <t>Jana Holíková:</t>
        </r>
        <r>
          <rPr>
            <sz val="9"/>
            <rFont val="Tahoma"/>
          </rPr>
          <t xml:space="preserve">
25047/03 DOPLNĚNÍ ÚZ
25130/07 +235.000
</t>
        </r>
      </text>
    </comment>
    <comment ref="D608" authorId="273" shapeId="0">
      <text>
        <r>
          <rPr>
            <b/>
            <sz val="9"/>
            <rFont val="Tahoma"/>
          </rPr>
          <t>Jana Holíková:</t>
        </r>
        <r>
          <rPr>
            <sz val="9"/>
            <rFont val="Tahoma"/>
          </rPr>
          <t xml:space="preserve">
25035/03 -10.990
25051/04 úz 33092
+117.955,01 1431
+495.553,09 1435
</t>
        </r>
      </text>
    </comment>
    <comment ref="D612" authorId="274" shapeId="0">
      <text>
        <r>
          <rPr>
            <b/>
            <sz val="9"/>
            <rFont val="Tahoma"/>
          </rPr>
          <t>Jana Holíková:</t>
        </r>
        <r>
          <rPr>
            <sz val="9"/>
            <rFont val="Tahoma"/>
          </rPr>
          <t xml:space="preserve">
25052/03 úz 33092
+138.438,27  1431
+581.607,57  1435
25232/12 +40.000
</t>
        </r>
      </text>
    </comment>
    <comment ref="D616" authorId="275" shapeId="0">
      <text>
        <r>
          <rPr>
            <b/>
            <sz val="9"/>
            <rFont val="Tahoma"/>
          </rPr>
          <t>Jana Holíková:</t>
        </r>
        <r>
          <rPr>
            <sz val="9"/>
            <rFont val="Tahoma"/>
          </rPr>
          <t xml:space="preserve">
25037/03 
+ 12.834 úz253 1441
+115.506 úz911 1445
25041/03 úz 33092
+108.476,76 1431
+455.733     1435
25118/07
- 9.659,60 úz253 1441
-86.936,40 úz911 1445
25180/10
+ 14.076 úz253 1441
+126.684 úz911 1445
25233/12 -32.100
</t>
        </r>
      </text>
    </comment>
    <comment ref="D617" authorId="276" shapeId="0">
      <text>
        <r>
          <rPr>
            <b/>
            <sz val="9"/>
            <rFont val="Tahoma"/>
          </rPr>
          <t>Jana Holíková:</t>
        </r>
        <r>
          <rPr>
            <sz val="9"/>
            <rFont val="Tahoma"/>
          </rPr>
          <t xml:space="preserve">
25151/08 +131.057,57
25205/11 -0,30
</t>
        </r>
      </text>
    </comment>
    <comment ref="D620" authorId="277" shapeId="0">
      <text>
        <r>
          <rPr>
            <b/>
            <sz val="9"/>
            <rFont val="Tahoma"/>
          </rPr>
          <t>Jana Holíková:</t>
        </r>
        <r>
          <rPr>
            <sz val="9"/>
            <rFont val="Tahoma"/>
          </rPr>
          <t xml:space="preserve">
25151/08 -131.057,57
25202/11 -51.162 R
25230/12 -100.000 r
</t>
        </r>
      </text>
    </comment>
    <comment ref="D625" authorId="278" shapeId="0">
      <text>
        <r>
          <rPr>
            <b/>
            <sz val="9"/>
            <rFont val="Tahoma"/>
          </rPr>
          <t>Jana Holíková:</t>
        </r>
        <r>
          <rPr>
            <sz val="9"/>
            <rFont val="Tahoma"/>
          </rPr>
          <t xml:space="preserve">
25038/03
+ 9.850 úz253 1441
+88.650 úz911 1445
25119/07 +500.000
25128/07 
- 7.511,70 úz253 1441
-67.605,30 úz911 1445
25131/08 úz 33092
+ 348.577,29  1431
+1.464.444,50 1435 
25202/11 +51.162
25222/12
 +9.418,50 úz253 1441
+84.766,50 úz911 1445
</t>
        </r>
      </text>
    </comment>
    <comment ref="D629" authorId="279" shapeId="0">
      <text>
        <r>
          <rPr>
            <b/>
            <sz val="9"/>
            <rFont val="Tahoma"/>
          </rPr>
          <t>Jana Holíková:</t>
        </r>
        <r>
          <rPr>
            <sz val="9"/>
            <rFont val="Tahoma"/>
          </rPr>
          <t xml:space="preserve">
25036/03 -297.792 P
25040/03 
+ 17.098,20 úz253 1441
+153.883,80 úz911 1445
25132/08 +300.000 P
25156/09
- 17.098,20 úz253 1441
-153.883,80 úz911 1445
25194/10 úz 15019 1405
+207.366
25211/11
+ 291.991,60 úz 253 1441
+1.226.716,40 úz 911 1445
25223/12
+34.051,50 úz253 1441
+306.463,50 úz911 1445
</t>
        </r>
      </text>
    </comment>
    <comment ref="D630" authorId="280" shapeId="0">
      <text>
        <r>
          <rPr>
            <b/>
            <sz val="9"/>
            <rFont val="Tahoma"/>
          </rPr>
          <t>Jana Holíková:</t>
        </r>
        <r>
          <rPr>
            <sz val="9"/>
            <rFont val="Tahoma"/>
          </rPr>
          <t xml:space="preserve">
25206/11 
-296.102 -137.270
</t>
        </r>
      </text>
    </comment>
    <comment ref="D631" authorId="281" shapeId="0">
      <text>
        <r>
          <rPr>
            <b/>
            <sz val="9"/>
            <rFont val="Tahoma"/>
          </rPr>
          <t>Jana Holíková:</t>
        </r>
        <r>
          <rPr>
            <sz val="9"/>
            <rFont val="Tahoma"/>
          </rPr>
          <t xml:space="preserve">
25206/11 +137.270
</t>
        </r>
      </text>
    </comment>
    <comment ref="D633" authorId="282" shapeId="0">
      <text>
        <r>
          <rPr>
            <b/>
            <sz val="9"/>
            <rFont val="Tahoma"/>
          </rPr>
          <t>Jana Holíková:</t>
        </r>
        <r>
          <rPr>
            <sz val="9"/>
            <rFont val="Tahoma"/>
          </rPr>
          <t xml:space="preserve">
25046/03
+ 9.159,75 úz253 1441
+82.437,75 úz911 1445
25115.07 úz 33092
+   269.533,32 1431
+1.132.364,58 1435
25116.07 
- 6.672,70 úz253 1441
-60.054,30 úz911 1445
25178/10
+ 31.360,50 úz253 1441
+282.244,50 úz911 1445
25250/12 úz 15019 1405
25224/12 +117.914 úz15019 1405
</t>
        </r>
      </text>
    </comment>
    <comment ref="D634" authorId="283" shapeId="0">
      <text>
        <r>
          <rPr>
            <b/>
            <sz val="9"/>
            <rFont val="Tahoma"/>
          </rPr>
          <t>Jana Holíková:</t>
        </r>
        <r>
          <rPr>
            <sz val="9"/>
            <rFont val="Tahoma"/>
          </rPr>
          <t xml:space="preserve">
25207/11 -3.819,97
</t>
        </r>
      </text>
    </comment>
    <comment ref="D635" authorId="284" shapeId="0">
      <text>
        <r>
          <rPr>
            <b/>
            <sz val="9"/>
            <rFont val="Tahoma"/>
          </rPr>
          <t>Jana Holíková:</t>
        </r>
        <r>
          <rPr>
            <sz val="9"/>
            <rFont val="Tahoma"/>
          </rPr>
          <t xml:space="preserve">
25207/11 -42.374,82
</t>
        </r>
      </text>
    </comment>
    <comment ref="D637" authorId="285" shapeId="0">
      <text>
        <r>
          <rPr>
            <b/>
            <sz val="9"/>
            <rFont val="Tahoma"/>
          </rPr>
          <t>Jana Holíková:</t>
        </r>
        <r>
          <rPr>
            <sz val="9"/>
            <rFont val="Tahoma"/>
          </rPr>
          <t xml:space="preserve">
25039/03
+ 11.663,45 úz 253 1441
+104.971,05 úz911 1445
25048/03 úz33092
+ 280.004,26 1431
+1.176.355,23 1435
25117/07 
- 7.299,90 úz253 1441
-65.699,10 úz911 1445
25179/10
+ 24,290,45 úz253 1441
+113.643 úz 911 1445
25257/12 
-24.290,45+12.627 úz 253 1441
</t>
        </r>
      </text>
    </comment>
    <comment ref="D642" authorId="286" shapeId="0">
      <text>
        <r>
          <rPr>
            <b/>
            <sz val="9"/>
            <rFont val="Tahoma"/>
          </rPr>
          <t>Jana Holíková:</t>
        </r>
        <r>
          <rPr>
            <sz val="9"/>
            <rFont val="Tahoma"/>
          </rPr>
          <t xml:space="preserve">
25053/03 úz 833
+239.800
25084/05 +300.000
25100/06 -300.000
25182/10 +80.800
25210/11 +169.263 úz910
25217/11 úz 33092
+198.962,55 1431
+835.462,29 1435
</t>
        </r>
      </text>
    </comment>
    <comment ref="D645" authorId="287" shapeId="0">
      <text>
        <r>
          <rPr>
            <b/>
            <sz val="9"/>
            <rFont val="Tahoma"/>
          </rPr>
          <t>Jana Holíková:</t>
        </r>
        <r>
          <rPr>
            <sz val="9"/>
            <rFont val="Tahoma"/>
          </rPr>
          <t xml:space="preserve">
25219/11 -54.000
</t>
        </r>
      </text>
    </comment>
    <comment ref="D649" authorId="288" shapeId="0">
      <text>
        <r>
          <rPr>
            <b/>
            <sz val="9"/>
            <rFont val="Tahoma"/>
          </rPr>
          <t>Jana Holíková:</t>
        </r>
        <r>
          <rPr>
            <sz val="9"/>
            <rFont val="Tahoma"/>
          </rPr>
          <t xml:space="preserve">
25069/04 -85.015
25225/12 +13.641
</t>
        </r>
      </text>
    </comment>
    <comment ref="D650" authorId="289" shapeId="0">
      <text>
        <r>
          <rPr>
            <b/>
            <sz val="9"/>
            <rFont val="Tahoma"/>
          </rPr>
          <t>Jana Holíková:</t>
        </r>
        <r>
          <rPr>
            <sz val="9"/>
            <rFont val="Tahoma"/>
          </rPr>
          <t xml:space="preserve">
25209/11 -6.588,45
</t>
        </r>
      </text>
    </comment>
    <comment ref="D653" authorId="290" shapeId="0">
      <text>
        <r>
          <rPr>
            <b/>
            <sz val="9"/>
            <rFont val="Tahoma"/>
          </rPr>
          <t>Jana Holíková:</t>
        </r>
        <r>
          <rPr>
            <sz val="9"/>
            <rFont val="Tahoma"/>
          </rPr>
          <t xml:space="preserve">
25216/11 -180.000
</t>
        </r>
      </text>
    </comment>
    <comment ref="D655" authorId="291" shapeId="0">
      <text>
        <r>
          <rPr>
            <b/>
            <sz val="9"/>
            <rFont val="Tahoma"/>
          </rPr>
          <t>Jana Holíková:</t>
        </r>
        <r>
          <rPr>
            <sz val="9"/>
            <rFont val="Tahoma"/>
          </rPr>
          <t xml:space="preserve">
25216/11 -120.000
</t>
        </r>
      </text>
    </comment>
    <comment ref="D658" authorId="292" shapeId="0">
      <text>
        <r>
          <rPr>
            <b/>
            <sz val="9"/>
            <rFont val="Tahoma"/>
          </rPr>
          <t>Jana Holíková:</t>
        </r>
        <r>
          <rPr>
            <sz val="9"/>
            <rFont val="Tahoma"/>
          </rPr>
          <t xml:space="preserve">
25216/11 -50.000
</t>
        </r>
      </text>
    </comment>
    <comment ref="D659" authorId="293" shapeId="0">
      <text>
        <r>
          <rPr>
            <b/>
            <sz val="9"/>
            <rFont val="Tahoma"/>
          </rPr>
          <t>Jana Holíková:</t>
        </r>
        <r>
          <rPr>
            <sz val="9"/>
            <rFont val="Tahoma"/>
          </rPr>
          <t xml:space="preserve">
25216/11 -40.000
</t>
        </r>
      </text>
    </comment>
    <comment ref="D661" authorId="294" shapeId="0">
      <text>
        <r>
          <rPr>
            <b/>
            <sz val="9"/>
            <rFont val="Tahoma"/>
          </rPr>
          <t>Jana Holíková:</t>
        </r>
        <r>
          <rPr>
            <sz val="9"/>
            <rFont val="Tahoma"/>
          </rPr>
          <t xml:space="preserve">
25216/11 -320.000
</t>
        </r>
      </text>
    </comment>
    <comment ref="D666" authorId="295" shapeId="0">
      <text>
        <r>
          <rPr>
            <b/>
            <sz val="9"/>
            <rFont val="Tahoma"/>
          </rPr>
          <t>Jana Holíková:</t>
        </r>
        <r>
          <rPr>
            <sz val="9"/>
            <rFont val="Tahoma"/>
          </rPr>
          <t xml:space="preserve">
25010/01 +4.737.000
25029/02 +400.000 NJKL
25070/04 -472.380
25083/05 +370.000
25085/05 +110.000 úz 341
25177/10  -150.000 +150.000
25196/11 +-30.000
25208/11 +152.000
25220/12 +30.000
25227/12 +118.459
25230/12 +123.420
</t>
        </r>
      </text>
    </comment>
    <comment ref="D668" authorId="296" shapeId="0">
      <text>
        <r>
          <rPr>
            <b/>
            <sz val="9"/>
            <rFont val="Tahoma"/>
          </rPr>
          <t>Jana Holíková:</t>
        </r>
        <r>
          <rPr>
            <sz val="9"/>
            <rFont val="Tahoma"/>
          </rPr>
          <t xml:space="preserve">
25113.07 +109.500
25114.07 +40.000 úz34544
25129.07 +910.000
25208/11 -135.000
25208/12 +135.000
25228/12 -910.000
25231/12 -109.500
</t>
        </r>
      </text>
    </comment>
    <comment ref="D669" authorId="297" shapeId="0">
      <text>
        <r>
          <rPr>
            <b/>
            <sz val="9"/>
            <rFont val="Tahoma"/>
          </rPr>
          <t>Jana Holíková:</t>
        </r>
        <r>
          <rPr>
            <sz val="9"/>
            <rFont val="Tahoma"/>
          </rPr>
          <t xml:space="preserve">
25229/12 -930
</t>
        </r>
      </text>
    </comment>
    <comment ref="D671" authorId="298" shapeId="0">
      <text>
        <r>
          <rPr>
            <b/>
            <sz val="9"/>
            <rFont val="Tahoma"/>
          </rPr>
          <t>Jana Holíková:</t>
        </r>
        <r>
          <rPr>
            <sz val="9"/>
            <rFont val="Tahoma"/>
          </rPr>
          <t xml:space="preserve">
25216/11 -57.000
</t>
        </r>
      </text>
    </comment>
    <comment ref="D674" authorId="299" shapeId="0">
      <text>
        <r>
          <rPr>
            <b/>
            <sz val="9"/>
            <rFont val="Tahoma"/>
          </rPr>
          <t>Jana Holíková:</t>
        </r>
        <r>
          <rPr>
            <sz val="9"/>
            <rFont val="Tahoma"/>
          </rPr>
          <t xml:space="preserve">
25249/12 -200.000
</t>
        </r>
      </text>
    </comment>
    <comment ref="D678" authorId="300" shapeId="0">
      <text>
        <r>
          <rPr>
            <b/>
            <sz val="9"/>
            <rFont val="Tahoma"/>
          </rPr>
          <t>Jana Holíková:</t>
        </r>
        <r>
          <rPr>
            <sz val="9"/>
            <rFont val="Tahoma"/>
          </rPr>
          <t xml:space="preserve">
25140/08 -34.000 R
</t>
        </r>
      </text>
    </comment>
    <comment ref="D679" authorId="301" shapeId="0">
      <text>
        <r>
          <rPr>
            <b/>
            <sz val="9"/>
            <rFont val="Tahoma"/>
          </rPr>
          <t>Jana Holíková:</t>
        </r>
        <r>
          <rPr>
            <sz val="9"/>
            <rFont val="Tahoma"/>
          </rPr>
          <t xml:space="preserve">
25140/08 -117.900 R
</t>
        </r>
      </text>
    </comment>
    <comment ref="D682" authorId="302" shapeId="0">
      <text>
        <r>
          <rPr>
            <b/>
            <sz val="9"/>
            <rFont val="Tahoma"/>
          </rPr>
          <t>Jana Holíková:</t>
        </r>
        <r>
          <rPr>
            <sz val="9"/>
            <rFont val="Tahoma"/>
          </rPr>
          <t xml:space="preserve">
25075/04 -30.000 R
25076/04 -70.000 R
25086/05 -40.000 R
25087/05 -30.000 R
25109.07 -10.000 R
25140/08 -34.300 R
</t>
        </r>
      </text>
    </comment>
    <comment ref="D683" authorId="303" shapeId="0">
      <text>
        <r>
          <rPr>
            <b/>
            <sz val="9"/>
            <rFont val="Tahoma"/>
          </rPr>
          <t>Jana Holíková:</t>
        </r>
        <r>
          <rPr>
            <sz val="9"/>
            <rFont val="Tahoma"/>
          </rPr>
          <t xml:space="preserve">
25110.07 -50.000 R
25112.07 -100.000 R
25140/08 -10.000 R
</t>
        </r>
      </text>
    </comment>
    <comment ref="D684" authorId="304" shapeId="0">
      <text>
        <r>
          <rPr>
            <b/>
            <sz val="9"/>
            <rFont val="Tahoma"/>
          </rPr>
          <t>Jana Holíková:</t>
        </r>
        <r>
          <rPr>
            <sz val="9"/>
            <rFont val="Tahoma"/>
          </rPr>
          <t xml:space="preserve">
25140/08 -225.000 R
</t>
        </r>
      </text>
    </comment>
    <comment ref="D685" authorId="305" shapeId="0">
      <text>
        <r>
          <rPr>
            <b/>
            <sz val="9"/>
            <rFont val="Tahoma"/>
          </rPr>
          <t>Jana Holíková:</t>
        </r>
        <r>
          <rPr>
            <sz val="9"/>
            <rFont val="Tahoma"/>
          </rPr>
          <t xml:space="preserve">
25140/08 -86.000 R
</t>
        </r>
      </text>
    </comment>
    <comment ref="D686" authorId="306" shapeId="0">
      <text>
        <r>
          <rPr>
            <b/>
            <sz val="9"/>
            <rFont val="Tahoma"/>
          </rPr>
          <t>Jana Holíková:</t>
        </r>
        <r>
          <rPr>
            <sz val="9"/>
            <rFont val="Tahoma"/>
          </rPr>
          <t xml:space="preserve">
25140/08 -194.200 R
</t>
        </r>
      </text>
    </comment>
    <comment ref="D687" authorId="307" shapeId="0">
      <text>
        <r>
          <rPr>
            <b/>
            <sz val="9"/>
            <rFont val="Tahoma"/>
          </rPr>
          <t>Jana Holíková:</t>
        </r>
        <r>
          <rPr>
            <sz val="9"/>
            <rFont val="Tahoma"/>
          </rPr>
          <t xml:space="preserve">
25106.07 +300.000
</t>
        </r>
      </text>
    </comment>
    <comment ref="D688" authorId="308" shapeId="0">
      <text>
        <r>
          <rPr>
            <b/>
            <sz val="9"/>
            <rFont val="Tahoma"/>
          </rPr>
          <t>Jana Holíková:</t>
        </r>
        <r>
          <rPr>
            <sz val="9"/>
            <rFont val="Tahoma"/>
          </rPr>
          <t xml:space="preserve">
25005/01 +595.004,14
25011/01 +7.500
25012/01 +15.000
25013/01 +30.000
25014/01 +30.000
25015/01 +7.500
25016/01 +80.000
25034/03 +60.000
25075/04 +30.000
25076/04 +70.000
25086/05 +40.000
25087/05 +30.000
25088/05 +30.000
25089/05 +10.000
25090/05 +10.000
25108.07 +10.000
25109.07 +10.000
25110.07 +50.000
25111.07 +10.000
25112.07 +100.000
25140/08 -3.800.400 R
25198/11 +30.250
25199/11 +20.000
25200/11 +203.075,15
25215/11 -150.000
25218/11 +-335.000
zm § z 4344 na 4374
25247/12 +248.824,20
</t>
        </r>
      </text>
    </comment>
    <comment ref="D692" authorId="309" shapeId="0">
      <text>
        <r>
          <rPr>
            <b/>
            <sz val="9"/>
            <rFont val="Tahoma"/>
          </rPr>
          <t>Jana Holíková:</t>
        </r>
        <r>
          <rPr>
            <sz val="9"/>
            <rFont val="Tahoma"/>
          </rPr>
          <t xml:space="preserve">
25092/06 +1.169.144,35
</t>
        </r>
      </text>
    </comment>
    <comment ref="D695" authorId="310" shapeId="0">
      <text>
        <r>
          <rPr>
            <b/>
            <sz val="9"/>
            <rFont val="Tahoma"/>
          </rPr>
          <t>Jana Holíková:</t>
        </r>
        <r>
          <rPr>
            <sz val="9"/>
            <rFont val="Tahoma"/>
          </rPr>
          <t xml:space="preserve">
25237/12 -112.000
</t>
        </r>
      </text>
    </comment>
    <comment ref="D697" authorId="311" shapeId="0">
      <text>
        <r>
          <rPr>
            <b/>
            <sz val="9"/>
            <rFont val="Tahoma"/>
          </rPr>
          <t>Jana Holíková:</t>
        </r>
        <r>
          <rPr>
            <sz val="9"/>
            <rFont val="Tahoma"/>
          </rPr>
          <t xml:space="preserve">
25191/10 -100.000
</t>
        </r>
      </text>
    </comment>
    <comment ref="D699" authorId="312" shapeId="0">
      <text>
        <r>
          <rPr>
            <b/>
            <sz val="9"/>
            <rFont val="Tahoma"/>
          </rPr>
          <t>Jana Holíková:</t>
        </r>
        <r>
          <rPr>
            <sz val="9"/>
            <rFont val="Tahoma"/>
          </rPr>
          <t xml:space="preserve">
25019/02 +440.000
25101/07 -40.000
</t>
        </r>
      </text>
    </comment>
    <comment ref="D700" authorId="313" shapeId="0">
      <text>
        <r>
          <rPr>
            <b/>
            <sz val="9"/>
            <rFont val="Tahoma"/>
          </rPr>
          <t>Jana Holíková:</t>
        </r>
        <r>
          <rPr>
            <sz val="9"/>
            <rFont val="Tahoma"/>
          </rPr>
          <t xml:space="preserve">
25191/10 -199.496
</t>
        </r>
      </text>
    </comment>
    <comment ref="D703" authorId="314" shapeId="0">
      <text>
        <r>
          <rPr>
            <b/>
            <sz val="9"/>
            <rFont val="Tahoma"/>
          </rPr>
          <t>Jana Holíková:</t>
        </r>
        <r>
          <rPr>
            <sz val="9"/>
            <rFont val="Tahoma"/>
          </rPr>
          <t xml:space="preserve">
25060/04 -1.350.000
25122.07 +86.000
25191/10 
-100.000-600.000
25213/11 
-160.895 -71.798
25689/11 
-60.703 +50.000
25716/12
-5.000 -24.000 -30.000 -60.000 -18.000 -156.307
</t>
        </r>
      </text>
    </comment>
    <comment ref="D704" authorId="315" shapeId="0">
      <text>
        <r>
          <rPr>
            <b/>
            <sz val="9"/>
            <rFont val="Tahoma"/>
          </rPr>
          <t>Jana Holíková:</t>
        </r>
        <r>
          <rPr>
            <sz val="9"/>
            <rFont val="Tahoma"/>
          </rPr>
          <t xml:space="preserve">
25689/11 +10.703
</t>
        </r>
      </text>
    </comment>
    <comment ref="D708" authorId="316" shapeId="0">
      <text>
        <r>
          <rPr>
            <b/>
            <sz val="9"/>
            <rFont val="Tahoma"/>
          </rPr>
          <t>Jana Holíková:</t>
        </r>
        <r>
          <rPr>
            <sz val="9"/>
            <rFont val="Tahoma"/>
          </rPr>
          <t xml:space="preserve">
25092/06 +97.090,40
25191/10 -100.000
25654/10 -116.000
25690/11 +230.000
25716/12
-72.600
</t>
        </r>
      </text>
    </comment>
    <comment ref="D709" authorId="317" shapeId="0">
      <text>
        <r>
          <rPr>
            <b/>
            <sz val="9"/>
            <rFont val="Tahoma"/>
          </rPr>
          <t>Jana Holíková:</t>
        </r>
        <r>
          <rPr>
            <sz val="9"/>
            <rFont val="Tahoma"/>
          </rPr>
          <t xml:space="preserve">
25654/10 +116.000
25690/11 -230.000
</t>
        </r>
      </text>
    </comment>
    <comment ref="D713" authorId="318" shapeId="0">
      <text>
        <r>
          <rPr>
            <b/>
            <sz val="9"/>
            <rFont val="Tahoma"/>
          </rPr>
          <t>Jana Holíková:</t>
        </r>
        <r>
          <rPr>
            <sz val="9"/>
            <rFont val="Tahoma"/>
          </rPr>
          <t xml:space="preserve">
25256/12
-274.902 § 6171
25716/12
+5.000 +24.000 +30.000 +60.000 +18.000 +72.600 +16.000 +140.307 
</t>
        </r>
      </text>
    </comment>
    <comment ref="D714" authorId="319" shapeId="0">
      <text>
        <r>
          <rPr>
            <b/>
            <sz val="9"/>
            <rFont val="Tahoma"/>
          </rPr>
          <t>Jana Holíková:</t>
        </r>
        <r>
          <rPr>
            <sz val="9"/>
            <rFont val="Tahoma"/>
          </rPr>
          <t xml:space="preserve">
25123.07 +400.000
25256/12 -15.093 (1385)
25716/12
-15.093
+15.093 (1385)
</t>
        </r>
      </text>
    </comment>
    <comment ref="D720" authorId="320" shapeId="0">
      <text>
        <r>
          <rPr>
            <b/>
            <sz val="9"/>
            <rFont val="Tahoma"/>
          </rPr>
          <t>Jana Holíková:</t>
        </r>
        <r>
          <rPr>
            <sz val="9"/>
            <rFont val="Tahoma"/>
          </rPr>
          <t xml:space="preserve">
25068/04 +13.905
25213/11 
+160.895 +71.798
</t>
        </r>
      </text>
    </comment>
    <comment ref="D721" authorId="321" shapeId="0">
      <text>
        <r>
          <rPr>
            <b/>
            <sz val="9"/>
            <rFont val="Tahoma"/>
          </rPr>
          <t>Jana Holíková:</t>
        </r>
        <r>
          <rPr>
            <sz val="9"/>
            <rFont val="Tahoma"/>
          </rPr>
          <t xml:space="preserve">
25135/08 +294.000
dotace 13024
25256/12 +305.445 (13024)
</t>
        </r>
      </text>
    </comment>
    <comment ref="D730" authorId="322" shapeId="0">
      <text>
        <r>
          <rPr>
            <b/>
            <sz val="9"/>
            <rFont val="Tahoma"/>
          </rPr>
          <t>Jana Holíková:</t>
        </r>
        <r>
          <rPr>
            <sz val="9"/>
            <rFont val="Tahoma"/>
          </rPr>
          <t xml:space="preserve">
25712.12 +2.561,62
</t>
        </r>
      </text>
    </comment>
    <comment ref="D731" authorId="323" shapeId="0">
      <text>
        <r>
          <rPr>
            <b/>
            <sz val="9"/>
            <rFont val="Tahoma"/>
          </rPr>
          <t>Jana Holíková:</t>
        </r>
        <r>
          <rPr>
            <sz val="9"/>
            <rFont val="Tahoma"/>
          </rPr>
          <t xml:space="preserve">
25712.12 -2.561,62
</t>
        </r>
      </text>
    </comment>
    <comment ref="D735" authorId="324" shapeId="0">
      <text>
        <r>
          <rPr>
            <b/>
            <sz val="9"/>
            <rFont val="Tahoma"/>
          </rPr>
          <t>Jana Holíková:</t>
        </r>
        <r>
          <rPr>
            <sz val="9"/>
            <rFont val="Tahoma"/>
          </rPr>
          <t xml:space="preserve">
25681/11 -10.000
</t>
        </r>
      </text>
    </comment>
    <comment ref="D736" authorId="325" shapeId="0">
      <text>
        <r>
          <rPr>
            <b/>
            <sz val="9"/>
            <rFont val="Tahoma"/>
          </rPr>
          <t>Jana Holíková:</t>
        </r>
        <r>
          <rPr>
            <sz val="9"/>
            <rFont val="Tahoma"/>
          </rPr>
          <t xml:space="preserve">
25681/11 +10.000
</t>
        </r>
      </text>
    </comment>
    <comment ref="D739" authorId="326" shapeId="0">
      <text>
        <r>
          <rPr>
            <b/>
            <sz val="9"/>
            <rFont val="Tahoma"/>
          </rPr>
          <t>Jana Holíková:</t>
        </r>
        <r>
          <rPr>
            <sz val="9"/>
            <rFont val="Tahoma"/>
          </rPr>
          <t xml:space="preserve">
25171/09 +42.350
</t>
        </r>
      </text>
    </comment>
    <comment ref="D747" authorId="327" shapeId="0">
      <text>
        <r>
          <rPr>
            <b/>
            <sz val="9"/>
            <rFont val="Tahoma"/>
          </rPr>
          <t>Jana Holíková:</t>
        </r>
        <r>
          <rPr>
            <sz val="9"/>
            <rFont val="Tahoma"/>
          </rPr>
          <t xml:space="preserve">
25154/09 -462.062 R
25155/09 -502.000 R
</t>
        </r>
      </text>
    </comment>
    <comment ref="D751" authorId="328" shapeId="0">
      <text>
        <r>
          <rPr>
            <b/>
            <sz val="9"/>
            <rFont val="Tahoma"/>
          </rPr>
          <t>Jana Holíková:</t>
        </r>
        <r>
          <rPr>
            <sz val="9"/>
            <rFont val="Tahoma"/>
          </rPr>
          <t xml:space="preserve">
25106.07 +500.000
</t>
        </r>
      </text>
    </comment>
    <comment ref="D752" authorId="329" shapeId="0">
      <text>
        <r>
          <rPr>
            <b/>
            <sz val="9"/>
            <rFont val="Tahoma"/>
          </rPr>
          <t>Jana Holíková:</t>
        </r>
        <r>
          <rPr>
            <sz val="9"/>
            <rFont val="Tahoma"/>
          </rPr>
          <t xml:space="preserve">
25171/09 -42.350
</t>
        </r>
      </text>
    </comment>
    <comment ref="D753" authorId="330" shapeId="0">
      <text>
        <r>
          <rPr>
            <b/>
            <sz val="9"/>
            <rFont val="Tahoma"/>
          </rPr>
          <t>Jana Holíková:</t>
        </r>
        <r>
          <rPr>
            <sz val="9"/>
            <rFont val="Tahoma"/>
          </rPr>
          <t xml:space="preserve">
25018/02 +214.000
25062/04 +23.725
25063/04 +4.745
25082/05 +40.000
25091/06 +10.000
25146/08 +60.000
25153/09 +335.000
25154/09 +462.062
25155/09 +502.000
25189/10 +-502.000
(z § 4350 na § 4357)
25195/11 +10.000
</t>
        </r>
      </text>
    </comment>
    <comment ref="D759" authorId="331" shapeId="0">
      <text>
        <r>
          <rPr>
            <b/>
            <sz val="9"/>
            <rFont val="Tahoma"/>
          </rPr>
          <t>Jana Holíková:</t>
        </r>
        <r>
          <rPr>
            <sz val="9"/>
            <rFont val="Tahoma"/>
          </rPr>
          <t xml:space="preserve">
25061/04 +2.980.000
25176/10 +536.000 
25212/11 
-682.000 -2.624.000
</t>
        </r>
      </text>
    </comment>
    <comment ref="D760" authorId="332" shapeId="0">
      <text>
        <r>
          <rPr>
            <b/>
            <sz val="9"/>
            <rFont val="Tahoma"/>
          </rPr>
          <t>Jana Holíková:</t>
        </r>
        <r>
          <rPr>
            <sz val="9"/>
            <rFont val="Tahoma"/>
          </rPr>
          <t xml:space="preserve">
25061/04 +586.000
25176/10 +158.000
25212/11 
-133.000 -503.000
</t>
        </r>
      </text>
    </comment>
    <comment ref="D761" authorId="333" shapeId="0">
      <text>
        <r>
          <rPr>
            <b/>
            <sz val="9"/>
            <rFont val="Tahoma"/>
          </rPr>
          <t>Jana Holíková:</t>
        </r>
        <r>
          <rPr>
            <sz val="9"/>
            <rFont val="Tahoma"/>
          </rPr>
          <t xml:space="preserve">
25061/04 +1.065.000
25176/10 +244.000
25212/11 
- 268.000 -802.000
</t>
        </r>
      </text>
    </comment>
    <comment ref="D764" authorId="334" shapeId="0">
      <text>
        <r>
          <rPr>
            <b/>
            <sz val="9"/>
            <rFont val="Tahoma"/>
          </rPr>
          <t>Jana Holíková:</t>
        </r>
        <r>
          <rPr>
            <sz val="9"/>
            <rFont val="Tahoma"/>
          </rPr>
          <t xml:space="preserve">
25149/08 +50.000
</t>
        </r>
      </text>
    </comment>
    <comment ref="D767" authorId="335" shapeId="0">
      <text>
        <r>
          <rPr>
            <b/>
            <sz val="9"/>
            <rFont val="Tahoma"/>
          </rPr>
          <t>Jana Holíková:</t>
        </r>
        <r>
          <rPr>
            <sz val="9"/>
            <rFont val="Tahoma"/>
          </rPr>
          <t xml:space="preserve">
25104.07 +50.000
25149/08 -50.000
</t>
        </r>
      </text>
    </comment>
    <comment ref="D772" authorId="336" shapeId="0">
      <text>
        <r>
          <rPr>
            <b/>
            <sz val="9"/>
            <rFont val="Tahoma"/>
          </rPr>
          <t>Jana Holíková:</t>
        </r>
        <r>
          <rPr>
            <sz val="9"/>
            <rFont val="Tahoma"/>
          </rPr>
          <t xml:space="preserve">
25169/09 +21.950
25201/11 +700.000
25249/12 -500.000
</t>
        </r>
      </text>
    </comment>
    <comment ref="D774" authorId="337" shapeId="0">
      <text>
        <r>
          <rPr>
            <b/>
            <sz val="9"/>
            <rFont val="Tahoma"/>
          </rPr>
          <t>Jana Holíková:</t>
        </r>
        <r>
          <rPr>
            <sz val="9"/>
            <rFont val="Tahoma"/>
          </rPr>
          <t xml:space="preserve">
25107/07 +30.000
25138/08 +470.000
25168/09 +250.000
25175/09 +10.000
25181/10 
-10.000 bez
+10.000 úz 809
</t>
        </r>
      </text>
    </comment>
    <comment ref="D775" authorId="338" shapeId="0">
      <text>
        <r>
          <rPr>
            <b/>
            <sz val="9"/>
            <rFont val="Tahoma"/>
          </rPr>
          <t>Jana Holíková:</t>
        </r>
        <r>
          <rPr>
            <sz val="9"/>
            <rFont val="Tahoma"/>
          </rPr>
          <t xml:space="preserve">
25134/08 -1.202.300
</t>
        </r>
      </text>
    </comment>
    <comment ref="D777" authorId="339" shapeId="0">
      <text>
        <r>
          <rPr>
            <b/>
            <sz val="9"/>
            <rFont val="Tahoma"/>
          </rPr>
          <t>Jana Holíková:</t>
        </r>
        <r>
          <rPr>
            <sz val="9"/>
            <rFont val="Tahoma"/>
          </rPr>
          <t xml:space="preserve">
25104.07 -50.000
</t>
        </r>
      </text>
    </comment>
    <comment ref="D780" authorId="340" shapeId="0">
      <text>
        <r>
          <rPr>
            <b/>
            <sz val="9"/>
            <rFont val="Tahoma"/>
          </rPr>
          <t>Jana Holíková:</t>
        </r>
        <r>
          <rPr>
            <sz val="9"/>
            <rFont val="Tahoma"/>
          </rPr>
          <t xml:space="preserve">
25201/11 +700.000
</t>
        </r>
      </text>
    </comment>
    <comment ref="D782" authorId="341" shapeId="0">
      <text>
        <r>
          <rPr>
            <b/>
            <sz val="9"/>
            <rFont val="Tahoma"/>
          </rPr>
          <t>Jana Holíková:</t>
        </r>
        <r>
          <rPr>
            <sz val="9"/>
            <rFont val="Tahoma"/>
          </rPr>
          <t xml:space="preserve">
25102/07 +50.000
25201/11 -18.123,69
25226/12 -77.427,31
</t>
        </r>
      </text>
    </comment>
    <comment ref="D785" authorId="342" shapeId="0">
      <text>
        <r>
          <rPr>
            <b/>
            <sz val="9"/>
            <rFont val="Tahoma"/>
          </rPr>
          <t>Jana Holíková:</t>
        </r>
        <r>
          <rPr>
            <sz val="9"/>
            <rFont val="Tahoma"/>
          </rPr>
          <t xml:space="preserve">
25056/04 +27.427,50
</t>
        </r>
      </text>
    </comment>
    <comment ref="D788" authorId="343" shapeId="0">
      <text>
        <r>
          <rPr>
            <b/>
            <sz val="9"/>
            <rFont val="Tahoma"/>
          </rPr>
          <t>Jana Holíková:</t>
        </r>
        <r>
          <rPr>
            <sz val="9"/>
            <rFont val="Tahoma"/>
          </rPr>
          <t xml:space="preserve">
25098/06 +500.000
</t>
        </r>
      </text>
    </comment>
    <comment ref="D792" authorId="344" shapeId="0">
      <text>
        <r>
          <rPr>
            <b/>
            <sz val="9"/>
            <rFont val="Tahoma"/>
          </rPr>
          <t>Jana Holíková:</t>
        </r>
        <r>
          <rPr>
            <sz val="9"/>
            <rFont val="Tahoma"/>
          </rPr>
          <t xml:space="preserve">
25521.02 +302.065,30
</t>
        </r>
      </text>
    </comment>
    <comment ref="D793" authorId="345" shapeId="0">
      <text>
        <r>
          <rPr>
            <b/>
            <sz val="9"/>
            <rFont val="Tahoma"/>
          </rPr>
          <t>Jana Holíková:</t>
        </r>
        <r>
          <rPr>
            <sz val="9"/>
            <rFont val="Tahoma"/>
          </rPr>
          <t xml:space="preserve">
25554/05 +798.600
</t>
        </r>
      </text>
    </comment>
    <comment ref="D794" authorId="346" shapeId="0">
      <text>
        <r>
          <rPr>
            <b/>
            <sz val="9"/>
            <rFont val="Tahoma"/>
          </rPr>
          <t>Jana Holíková:</t>
        </r>
        <r>
          <rPr>
            <sz val="9"/>
            <rFont val="Tahoma"/>
          </rPr>
          <t xml:space="preserve">
25674/11 +40.424
</t>
        </r>
      </text>
    </comment>
    <comment ref="D795" authorId="347" shapeId="0">
      <text>
        <r>
          <rPr>
            <b/>
            <sz val="9"/>
            <rFont val="Tahoma"/>
          </rPr>
          <t>Jana Holíková:</t>
        </r>
        <r>
          <rPr>
            <sz val="9"/>
            <rFont val="Tahoma"/>
          </rPr>
          <t xml:space="preserve">
25554/05 +50.000
</t>
        </r>
      </text>
    </comment>
    <comment ref="D798" authorId="348" shapeId="0">
      <text>
        <r>
          <rPr>
            <b/>
            <sz val="9"/>
            <rFont val="Tahoma"/>
          </rPr>
          <t>Jana Holíková:</t>
        </r>
        <r>
          <rPr>
            <sz val="9"/>
            <rFont val="Tahoma"/>
          </rPr>
          <t xml:space="preserve">
25554/05 -50.000
</t>
        </r>
      </text>
    </comment>
    <comment ref="D800" authorId="349" shapeId="0">
      <text>
        <r>
          <rPr>
            <b/>
            <sz val="9"/>
            <rFont val="Tahoma"/>
          </rPr>
          <t>Jana Holíková:</t>
        </r>
        <r>
          <rPr>
            <sz val="9"/>
            <rFont val="Tahoma"/>
          </rPr>
          <t xml:space="preserve">
25521/02 -312.434,90
25554/05 -847.352
25674/11 -256.165,19
25705/12 -6.955
25710/12 -40.397
</t>
        </r>
      </text>
    </comment>
    <comment ref="D801" authorId="350" shapeId="0">
      <text>
        <r>
          <rPr>
            <b/>
            <sz val="9"/>
            <rFont val="Tahoma"/>
          </rPr>
          <t>Jana Holíková:</t>
        </r>
        <r>
          <rPr>
            <sz val="9"/>
            <rFont val="Tahoma"/>
          </rPr>
          <t xml:space="preserve">
25521/02 +10.369,60
25554/05 +48.752
25674/11 +215.741,19
25705/12 +6.955
25710/12 +40.397
</t>
        </r>
      </text>
    </comment>
    <comment ref="D807" authorId="351" shapeId="0">
      <text>
        <r>
          <rPr>
            <b/>
            <sz val="9"/>
            <rFont val="Tahoma"/>
          </rPr>
          <t>Jana Holíková:</t>
        </r>
        <r>
          <rPr>
            <sz val="9"/>
            <rFont val="Tahoma"/>
          </rPr>
          <t xml:space="preserve">
25521/02 -1.756
25185/10 +1.307.000
25674/11 -8.425
25251/12 -304.433,67
</t>
        </r>
      </text>
    </comment>
    <comment ref="D808" authorId="352" shapeId="0">
      <text>
        <r>
          <rPr>
            <b/>
            <sz val="9"/>
            <rFont val="Tahoma"/>
          </rPr>
          <t>Jana Holíková:</t>
        </r>
        <r>
          <rPr>
            <sz val="9"/>
            <rFont val="Tahoma"/>
          </rPr>
          <t xml:space="preserve">
25521/02 +1.756
25674/11 +8.425
</t>
        </r>
      </text>
    </comment>
    <comment ref="D822" authorId="353" shapeId="0">
      <text>
        <r>
          <rPr>
            <b/>
            <sz val="9"/>
            <rFont val="Tahoma"/>
          </rPr>
          <t>Jana Holíková:</t>
        </r>
        <r>
          <rPr>
            <sz val="9"/>
            <rFont val="Tahoma"/>
          </rPr>
          <t xml:space="preserve">
25098/06 +2.000.000
</t>
        </r>
      </text>
    </comment>
    <comment ref="D824" authorId="354" shapeId="0">
      <text>
        <r>
          <rPr>
            <b/>
            <sz val="9"/>
            <rFont val="Tahoma"/>
          </rPr>
          <t>Jana Holíková:</t>
        </r>
        <r>
          <rPr>
            <sz val="9"/>
            <rFont val="Tahoma"/>
          </rPr>
          <t xml:space="preserve">
25183/10 +324.000 úz 34054
25214/11 +2.000.000
</t>
        </r>
      </text>
    </comment>
    <comment ref="D828" authorId="355" shapeId="0">
      <text>
        <r>
          <rPr>
            <b/>
            <sz val="9"/>
            <rFont val="Tahoma"/>
          </rPr>
          <t>Jana Holíková:</t>
        </r>
        <r>
          <rPr>
            <sz val="9"/>
            <rFont val="Tahoma"/>
          </rPr>
          <t xml:space="preserve">
25238/12 +1.690.434
25704/12 +2.000.000
</t>
        </r>
      </text>
    </comment>
    <comment ref="D831" authorId="356" shapeId="0">
      <text>
        <r>
          <rPr>
            <b/>
            <sz val="9"/>
            <rFont val="Tahoma"/>
          </rPr>
          <t>Jana Holíková:</t>
        </r>
        <r>
          <rPr>
            <sz val="9"/>
            <rFont val="Tahoma"/>
          </rPr>
          <t xml:space="preserve">
25704/12 +500.000
25708/12 +100.000
</t>
        </r>
      </text>
    </comment>
    <comment ref="D832" authorId="357" shapeId="0">
      <text>
        <r>
          <rPr>
            <b/>
            <sz val="9"/>
            <rFont val="Tahoma"/>
          </rPr>
          <t>Jana Holíková:</t>
        </r>
        <r>
          <rPr>
            <sz val="9"/>
            <rFont val="Tahoma"/>
          </rPr>
          <t xml:space="preserve">
25708/12 -100.000
</t>
        </r>
      </text>
    </comment>
    <comment ref="D833" authorId="358" shapeId="0">
      <text>
        <r>
          <rPr>
            <b/>
            <sz val="9"/>
            <rFont val="Tahoma"/>
          </rPr>
          <t>Jana Holíková:</t>
        </r>
        <r>
          <rPr>
            <sz val="9"/>
            <rFont val="Tahoma"/>
          </rPr>
          <t xml:space="preserve">
25704/12 -500.000
</t>
        </r>
      </text>
    </comment>
    <comment ref="D834" authorId="359" shapeId="0">
      <text>
        <r>
          <rPr>
            <b/>
            <sz val="9"/>
            <rFont val="Tahoma"/>
          </rPr>
          <t>Jana Holíková:</t>
        </r>
        <r>
          <rPr>
            <sz val="9"/>
            <rFont val="Tahoma"/>
          </rPr>
          <t xml:space="preserve">
25704/12 -2.000.000
</t>
        </r>
      </text>
    </comment>
    <comment ref="D838" authorId="360" shapeId="0">
      <text>
        <r>
          <rPr>
            <b/>
            <sz val="9"/>
            <rFont val="Tahoma"/>
          </rPr>
          <t>Jana Holíková:</t>
        </r>
        <r>
          <rPr>
            <sz val="9"/>
            <rFont val="Tahoma"/>
          </rPr>
          <t xml:space="preserve">
25147/08 +310.000
25159/09 -930.000
25201/11 -8.502,48
</t>
        </r>
      </text>
    </comment>
    <comment ref="D839" authorId="361" shapeId="0">
      <text>
        <r>
          <rPr>
            <b/>
            <sz val="9"/>
            <rFont val="Tahoma"/>
          </rPr>
          <t>Jana Holíková:</t>
        </r>
        <r>
          <rPr>
            <sz val="9"/>
            <rFont val="Tahoma"/>
          </rPr>
          <t xml:space="preserve">
25023/02 +800.000
25590/07 +50.000 
</t>
        </r>
      </text>
    </comment>
    <comment ref="D844" authorId="362" shapeId="0">
      <text>
        <r>
          <rPr>
            <b/>
            <sz val="9"/>
            <rFont val="Tahoma"/>
          </rPr>
          <t>Jana Holíková:</t>
        </r>
        <r>
          <rPr>
            <sz val="9"/>
            <rFont val="Tahoma"/>
          </rPr>
          <t xml:space="preserve">
25683/11 -300.000
</t>
        </r>
      </text>
    </comment>
    <comment ref="D849" authorId="363" shapeId="0">
      <text>
        <r>
          <rPr>
            <b/>
            <sz val="9"/>
            <rFont val="Tahoma"/>
          </rPr>
          <t>Jana Holíková:</t>
        </r>
        <r>
          <rPr>
            <sz val="9"/>
            <rFont val="Tahoma"/>
          </rPr>
          <t xml:space="preserve">
25510/01 -50.000
25636/09 -100.000
25683/11 +300.000
</t>
        </r>
      </text>
    </comment>
    <comment ref="D851" authorId="364" shapeId="0">
      <text>
        <r>
          <rPr>
            <b/>
            <sz val="9"/>
            <rFont val="Tahoma"/>
          </rPr>
          <t>Jana Holíková:</t>
        </r>
        <r>
          <rPr>
            <sz val="9"/>
            <rFont val="Tahoma"/>
          </rPr>
          <t xml:space="preserve">
25510/01 +50.000
25683/11 -10.000
</t>
        </r>
      </text>
    </comment>
    <comment ref="D853" authorId="365" shapeId="0">
      <text>
        <r>
          <rPr>
            <b/>
            <sz val="9"/>
            <rFont val="Tahoma"/>
          </rPr>
          <t>Jana Holíková:</t>
        </r>
        <r>
          <rPr>
            <sz val="9"/>
            <rFont val="Tahoma"/>
          </rPr>
          <t xml:space="preserve">
25636/09 +100.000
</t>
        </r>
      </text>
    </comment>
    <comment ref="D854" authorId="366" shapeId="0">
      <text>
        <r>
          <rPr>
            <b/>
            <sz val="9"/>
            <rFont val="Tahoma"/>
          </rPr>
          <t>Jana Holíková:</t>
        </r>
        <r>
          <rPr>
            <sz val="9"/>
            <rFont val="Tahoma"/>
          </rPr>
          <t xml:space="preserve">
25201/11 -200.000
</t>
        </r>
      </text>
    </comment>
    <comment ref="D858" authorId="367" shapeId="0">
      <text>
        <r>
          <rPr>
            <b/>
            <sz val="9"/>
            <rFont val="Tahoma"/>
          </rPr>
          <t>Jana Holíková:</t>
        </r>
        <r>
          <rPr>
            <sz val="9"/>
            <rFont val="Tahoma"/>
          </rPr>
          <t xml:space="preserve">
25147/08 -310.000
25201/11
-14,07 -799,92
</t>
        </r>
      </text>
    </comment>
    <comment ref="D860" authorId="368" shapeId="0">
      <text>
        <r>
          <rPr>
            <b/>
            <sz val="9"/>
            <rFont val="Tahoma"/>
          </rPr>
          <t>Jana Holíková:</t>
        </r>
        <r>
          <rPr>
            <sz val="9"/>
            <rFont val="Tahoma"/>
          </rPr>
          <t xml:space="preserve">
25510/01 -30.000
25535/03 -20.000
25098/06 +1.000.000
25214/11 +1.000.000
25238/12 -50.000
dorovnání -327.000
dorovnání +145.813,99
</t>
        </r>
      </text>
    </comment>
    <comment ref="D865" authorId="369" shapeId="0">
      <text>
        <r>
          <rPr>
            <b/>
            <sz val="9"/>
            <rFont val="Tahoma"/>
          </rPr>
          <t>Jana Holíková:</t>
        </r>
        <r>
          <rPr>
            <sz val="9"/>
            <rFont val="Tahoma"/>
          </rPr>
          <t xml:space="preserve">
25510/01 +30.000
25535/03 +20.000
25683/11 +10.000
</t>
        </r>
      </text>
    </comment>
    <comment ref="D869" authorId="370" shapeId="0">
      <text>
        <r>
          <rPr>
            <b/>
            <sz val="9"/>
            <rFont val="Tahoma"/>
          </rPr>
          <t>Jana Holíková:</t>
        </r>
        <r>
          <rPr>
            <sz val="9"/>
            <rFont val="Tahoma"/>
          </rPr>
          <t xml:space="preserve">
25590/07 -50.000
</t>
        </r>
      </text>
    </comment>
    <comment ref="D875" authorId="371" shapeId="0">
      <text>
        <r>
          <rPr>
            <b/>
            <sz val="9"/>
            <rFont val="Tahoma"/>
          </rPr>
          <t>Jana Holíková:</t>
        </r>
        <r>
          <rPr>
            <sz val="9"/>
            <rFont val="Tahoma"/>
          </rPr>
          <t xml:space="preserve">
25098/06 +1.000.000
25674/11 +550.000
25238/12 +220.000
</t>
        </r>
      </text>
    </comment>
    <comment ref="D879" authorId="372" shapeId="0">
      <text>
        <r>
          <rPr>
            <b/>
            <sz val="9"/>
            <rFont val="Tahoma"/>
          </rPr>
          <t>Jana Holíková:</t>
        </r>
        <r>
          <rPr>
            <sz val="9"/>
            <rFont val="Tahoma"/>
          </rPr>
          <t xml:space="preserve">
25674/11 -550.000
</t>
        </r>
      </text>
    </comment>
    <comment ref="D880" authorId="373" shapeId="0">
      <text>
        <r>
          <rPr>
            <b/>
            <sz val="9"/>
            <rFont val="Tahoma"/>
          </rPr>
          <t>Jana Holíková:</t>
        </r>
        <r>
          <rPr>
            <sz val="9"/>
            <rFont val="Tahoma"/>
          </rPr>
          <t xml:space="preserve">
25023/02 -800.000
</t>
        </r>
      </text>
    </comment>
    <comment ref="D884" authorId="374" shapeId="0">
      <text>
        <r>
          <rPr>
            <b/>
            <sz val="9"/>
            <rFont val="Tahoma"/>
          </rPr>
          <t>Jana Holíková:</t>
        </r>
        <r>
          <rPr>
            <sz val="9"/>
            <rFont val="Tahoma"/>
          </rPr>
          <t xml:space="preserve">
25238/12 +50.000
</t>
        </r>
      </text>
    </comment>
    <comment ref="D888" authorId="375" shapeId="0">
      <text>
        <r>
          <rPr>
            <b/>
            <sz val="9"/>
            <rFont val="Tahoma"/>
          </rPr>
          <t>Jana Holíková:</t>
        </r>
        <r>
          <rPr>
            <sz val="9"/>
            <rFont val="Tahoma"/>
          </rPr>
          <t xml:space="preserve">
25238/12 -220.000
</t>
        </r>
      </text>
    </comment>
    <comment ref="D901" authorId="376" shapeId="0">
      <text>
        <r>
          <rPr>
            <b/>
            <sz val="9"/>
            <rFont val="Tahoma"/>
          </rPr>
          <t>Jana Holíková:</t>
        </r>
        <r>
          <rPr>
            <sz val="9"/>
            <rFont val="Tahoma"/>
          </rPr>
          <t xml:space="preserve">
25024/02 
+76.214,38 Máj
+111.686,75 Sady
</t>
        </r>
      </text>
    </comment>
    <comment ref="D902" authorId="377" shapeId="0">
      <text>
        <r>
          <rPr>
            <b/>
            <sz val="9"/>
            <rFont val="Tahoma"/>
          </rPr>
          <t>Jana Holíková:</t>
        </r>
        <r>
          <rPr>
            <sz val="9"/>
            <rFont val="Tahoma"/>
          </rPr>
          <t xml:space="preserve">
25024/02 
+212.592,52 K66
+261.781,31 K68
+349.438,48 Tyr
</t>
        </r>
      </text>
    </comment>
    <comment ref="D903" authorId="378" shapeId="0">
      <text>
        <r>
          <rPr>
            <b/>
            <sz val="9"/>
            <rFont val="Tahoma"/>
          </rPr>
          <t>Jana Holíková:</t>
        </r>
        <r>
          <rPr>
            <sz val="9"/>
            <rFont val="Tahoma"/>
          </rPr>
          <t xml:space="preserve">
25156/09
+6.450,70 úz253 1441
+58.056,30 úz911 1445
</t>
        </r>
      </text>
    </comment>
    <comment ref="D904" authorId="379" shapeId="0">
      <text>
        <r>
          <rPr>
            <b/>
            <sz val="9"/>
            <rFont val="Tahoma"/>
          </rPr>
          <t>Jana Holíková:</t>
        </r>
        <r>
          <rPr>
            <sz val="9"/>
            <rFont val="Tahoma"/>
          </rPr>
          <t xml:space="preserve">
25026/02 +3.730
</t>
        </r>
      </text>
    </comment>
    <comment ref="D905" authorId="380" shapeId="0">
      <text>
        <r>
          <rPr>
            <b/>
            <sz val="9"/>
            <rFont val="Tahoma"/>
          </rPr>
          <t>Jana Holíková:</t>
        </r>
        <r>
          <rPr>
            <sz val="9"/>
            <rFont val="Tahoma"/>
          </rPr>
          <t xml:space="preserve">
25024/02 +61.299
</t>
        </r>
      </text>
    </comment>
    <comment ref="D907" authorId="381" shapeId="0">
      <text>
        <r>
          <rPr>
            <b/>
            <sz val="9"/>
            <rFont val="Tahoma"/>
          </rPr>
          <t>Jana Holíková:</t>
        </r>
        <r>
          <rPr>
            <sz val="9"/>
            <rFont val="Tahoma"/>
          </rPr>
          <t xml:space="preserve">
25253/12 +230.000
</t>
        </r>
      </text>
    </comment>
    <comment ref="D908" authorId="382" shapeId="0">
      <text>
        <r>
          <rPr>
            <b/>
            <sz val="9"/>
            <rFont val="Tahoma"/>
          </rPr>
          <t>Jana Holíková:</t>
        </r>
        <r>
          <rPr>
            <sz val="9"/>
            <rFont val="Tahoma"/>
          </rPr>
          <t xml:space="preserve">
25248/12 -120.000
</t>
        </r>
      </text>
    </comment>
    <comment ref="D909" authorId="383" shapeId="0">
      <text>
        <r>
          <rPr>
            <b/>
            <sz val="9"/>
            <rFont val="Tahoma"/>
          </rPr>
          <t>Jana Holíková:</t>
        </r>
        <r>
          <rPr>
            <sz val="9"/>
            <rFont val="Tahoma"/>
          </rPr>
          <t xml:space="preserve">
25248/12 +400
</t>
        </r>
      </text>
    </comment>
    <comment ref="D910" authorId="384" shapeId="0">
      <text>
        <r>
          <rPr>
            <b/>
            <sz val="9"/>
            <rFont val="Tahoma"/>
          </rPr>
          <t>Jana Holíková:</t>
        </r>
        <r>
          <rPr>
            <sz val="9"/>
            <rFont val="Tahoma"/>
          </rPr>
          <t xml:space="preserve">
25248/12 
+90.657,28 +30.684,81 +1.657,91
</t>
        </r>
      </text>
    </comment>
    <comment ref="D912" authorId="385" shapeId="0">
      <text>
        <r>
          <rPr>
            <b/>
            <sz val="9"/>
            <rFont val="Tahoma"/>
          </rPr>
          <t>Jana Holíková:</t>
        </r>
        <r>
          <rPr>
            <sz val="9"/>
            <rFont val="Tahoma"/>
          </rPr>
          <t xml:space="preserve">
25057/04 +25.564.110
</t>
        </r>
      </text>
    </comment>
    <comment ref="D915" authorId="386" shapeId="0">
      <text>
        <r>
          <rPr>
            <b/>
            <sz val="9"/>
            <rFont val="Tahoma"/>
          </rPr>
          <t>Jana Holíková:</t>
        </r>
        <r>
          <rPr>
            <sz val="9"/>
            <rFont val="Tahoma"/>
          </rPr>
          <t xml:space="preserve">
25004/01 úz 33092
+ 913,14 (1431)
+3.011,86 (1435)
</t>
        </r>
      </text>
    </comment>
    <comment ref="D916" authorId="387" shapeId="0">
      <text>
        <r>
          <rPr>
            <b/>
            <sz val="9"/>
            <rFont val="Tahoma"/>
          </rPr>
          <t>Jana Holíková:</t>
        </r>
        <r>
          <rPr>
            <sz val="9"/>
            <rFont val="Tahoma"/>
          </rPr>
          <t xml:space="preserve">
25204/11 úz 33092
+ 252.863,08 (1431)
+ 834.018,92 (1435)
</t>
        </r>
      </text>
    </comment>
    <comment ref="D917" authorId="388" shapeId="0">
      <text>
        <r>
          <rPr>
            <b/>
            <sz val="9"/>
            <rFont val="Tahoma"/>
          </rPr>
          <t>Jana Holíková:</t>
        </r>
        <r>
          <rPr>
            <sz val="9"/>
            <rFont val="Tahoma"/>
          </rPr>
          <t xml:space="preserve">
25203/11 úz 33092
+ 24.701,86 (1431)
+ 81.747,14 (1435)
</t>
        </r>
      </text>
    </comment>
    <comment ref="D918" authorId="389" shapeId="0">
      <text>
        <r>
          <rPr>
            <b/>
            <sz val="9"/>
            <rFont val="Tahoma"/>
          </rPr>
          <t>Jana Holíková:</t>
        </r>
        <r>
          <rPr>
            <sz val="9"/>
            <rFont val="Tahoma"/>
          </rPr>
          <t xml:space="preserve">
25027/02 +15.187,53
</t>
        </r>
      </text>
    </comment>
    <comment ref="D919" authorId="390" shapeId="0">
      <text>
        <r>
          <rPr>
            <b/>
            <sz val="9"/>
            <rFont val="Tahoma"/>
          </rPr>
          <t>Jana Holíková:</t>
        </r>
        <r>
          <rPr>
            <sz val="9"/>
            <rFont val="Tahoma"/>
          </rPr>
          <t xml:space="preserve">
25027/02 +3.957,43
</t>
        </r>
      </text>
    </comment>
    <comment ref="D921" authorId="391" shapeId="0">
      <text>
        <r>
          <rPr>
            <b/>
            <sz val="9"/>
            <rFont val="Tahoma"/>
          </rPr>
          <t>Jana Holíková:</t>
        </r>
        <r>
          <rPr>
            <sz val="9"/>
            <rFont val="Tahoma"/>
          </rPr>
          <t xml:space="preserve">
25001/01 -3.178.500
25002/01 +99.036
25003/01 -432.200
25005/01 -595.004,14
25008/01 +3.000.000
25009/01 +145.092
25011/01 -7.500
25012/01 -15.000
25013/01 -30.000
25014/01 -30.000
25015/01 -7.500
25016/01 -80.000
25017/01 +472.672,50
25018/02 -214.000
25024/02 -641.178,72
25025/02 -104.517
25027/02 -19.144,96
25028/02 +463.363
25029/02 -400.000
25030/03 +21.520.868,17
25031/03 +1.247.432,21
25034/03 -60.000
25035/03 +-10.990
25036/03 +297.792
25042/03 +2.743.942,28
25044/03 -14.800.000
25045/03 -6.020.000
25054/04 +1.571.026,45
25056/04 -27.427,50
25058/04 +5.889.660
25059/04 -1.700.000
25061/04 -5.000.000
25066/04 -2.000.000
25067/04 -3.000.000
25069/04 +85.015
25070/04 +472.380
25071/01 +706.318,75
25072/04 +1.093.905,82
25073/04 -300.000
25074/04 -280.000
25077/05 +54.671,25
25078/05 +25.000.000
25080/05 -3.000.000
25081/05 -3.375.008,64
25083/05 -370.000
25084/05 -300.000
25092/06 -1.266.234,75
25093/06 +810.777
25094/06 +5.424.450
25098/06 -4.500.000
25099/06 -5.000.000
25100/06 +300.000
------------------------
25102/07 -50.000
25106/07 -800.000
25107/07 -30.000
25113.07 -109.500
25119.07 -500.000
25120.07 -3.000.000
25122.07 -86.100
25123.07 -400.000
25126.07 -9.000.000
25127.07 -2.000.000
25129.07 -910.000
25132/08 -300.000
25134/08 +1.202.300
25137/08 +2.000.000
25138/08 -470.000
25139/08 -177.565
25140/08 +4.501.800
25141/08 +4.000.000
25143/08 +69.477,18
25144/08 +470.747,50
25145/08 +5.000.000
25150/08 +132.500
25157/09 +141.260,58
25158/09 +483.823
25159/09 +930.000
25160/09 +1.300.000
25161/09 +3.850.000
25162/09 -2.499.999
25163/09 -56.855,41
25164/09 -8.886.847
25165/09 -1.156.926,85
25166/09 -168.585
25167/09 -79.980
25168/09 -250.000
25169/09 +17.666
25170/09 +671.703,90
25174/09 +33.960.000
25177/10 +150.000
25182/10 -80.800
25183/10 -500.000 
25184/10 -1.000.000
25185/10 -1.307.000
25191/10 +1.099.496
25193/10 -23.885.049
25196/11 +30.000
25198/11 -30.250
25199/11 -20.000
25200/11 -203.075,15
25201/11 -1.372.559,84
25202/11 +51.162
25205.11 +0,30
25206/11 +296.102
25207/11 
+3.819,97 +42.374,82
25208/11 
-152.000 +135.000
25209/11 +6.588,45
25212/11 +5.012.000
25214/11 -3.000.000
25215/11 +150.000
25216/11 
+530.000 +237.000
25219/11 +54.000
25668/11 -300.000
(mělo být z 610/2219/2405)
25208/12 -135.000
25220/12 -30.000
25221/12 +52.000
25225/12 +-13.641
25226/12 +77.427,31
25227/12 -118.459
25228/12 +910.000
25229/12 +930
25230/12 -23.420
25231/12 +109.500
25232/12 -40.000
25233/12 +32.100
25234/12 +995.434,77
25237/12 +112.000
25240/12 +234.649,25
25242/12 +139.959,54
25243/12 +50.000
25244/12 +3.508.109,62
25246/12 -222.532
25247/12 -248.824,20
25248/12 +5.391.199,63
25249/12 +1.750.000
25251/12 +304.443,67
25252/12 +1.049.889,53
25254/12 -764.800
25255/12 -5.132.771,51
25256/12 
+389.995 -305.445
25258/12
+382.500 +18.500,85
dorovnání
+327.000-27000
</t>
        </r>
      </text>
    </comment>
    <comment ref="D922" authorId="392" shapeId="0">
      <text>
        <r>
          <rPr>
            <b/>
            <sz val="9"/>
            <rFont val="Tahoma"/>
          </rPr>
          <t>Jana Holíková:</t>
        </r>
        <r>
          <rPr>
            <sz val="9"/>
            <rFont val="Tahoma"/>
          </rPr>
          <t xml:space="preserve">
25248/12 -20.000
</t>
        </r>
      </text>
    </comment>
  </commentList>
</comments>
</file>

<file path=xl/comments6.xml><?xml version="1.0" encoding="utf-8"?>
<comments xmlns="http://schemas.openxmlformats.org/spreadsheetml/2006/main">
  <authors>
    <author>tc={00870062-0071-450A-A253-0034003200FC}</author>
    <author>tc={00E30074-0066-4C55-8646-00FC00F90056}</author>
    <author>tc={004500DC-0006-45A6-87F8-009900FA0032}</author>
    <author>tc={006000DA-00EA-449C-AE39-004B00DF009A}</author>
    <author>tc={00D60057-0012-4498-AD13-0037009C0048}</author>
    <author>tc={0047008D-002D-4131-A0E8-00EA00E500B2}</author>
    <author>tc={008400E9-00DF-4C84-8610-00EB003200AE}</author>
    <author>tc={0027005A-00D1-4217-98DA-005700EC00AA}</author>
    <author>tc={000C006B-00F3-49CE-B892-00E0002000B7}</author>
    <author>tc={00730028-00A3-49A4-BE0F-003800B1004E}</author>
    <author>tc={007E00E2-00DD-4327-ADC2-00EB00410014}</author>
    <author>tc={00BE009D-00DF-435F-9ABE-0088006200F1}</author>
    <author>tc={00E30038-00A4-407F-81C5-00790029001F}</author>
    <author>tc={008D003E-002F-4DDE-8896-007500D80052}</author>
    <author>tc={00A800FA-0098-4059-811D-005A002A008E}</author>
    <author>tc={005E0017-0007-4B5B-9984-00B100920013}</author>
    <author>tc={001600E1-0063-468D-A10D-001000A10021}</author>
    <author>tc={00D80002-0063-4F0C-B8C7-000400870032}</author>
    <author>tc={005E0029-00F9-4CF4-8C44-008100590046}</author>
    <author>tc={006E0081-0000-4A7E-B6B3-00AB00330022}</author>
    <author>tc={00FA0072-007F-4A87-A442-006F005B001C}</author>
    <author>tc={00C80055-00C4-4882-9CB2-0029007B0070}</author>
    <author>tc={00F2006F-0095-4DD0-B1F6-006B00D7001D}</author>
    <author>tc={003700B5-0090-421B-A339-000E001B00C8}</author>
    <author>tc={0013006C-004A-43A3-A28F-00D7002400EB}</author>
    <author>tc={00780010-00DD-405A-9164-0087009600C5}</author>
    <author>tc={00D90076-00F9-4810-B8EF-0089007B00B4}</author>
    <author>tc={00FF0066-00D5-4B14-B4F7-002000840014}</author>
    <author>tc={004D00B0-00DE-4D88-9B02-0072003E00F9}</author>
    <author>tc={00C90047-00A5-4B15-BE83-009500380074}</author>
    <author>tc={00DD000A-00C3-44C9-8761-004D00D00020}</author>
    <author>tc={00F8005B-0073-40FF-B433-000C002A0047}</author>
    <author>tc={00200086-0046-4AAC-B868-009500CD00B1}</author>
    <author>tc={00E1005C-0036-41C0-B4A2-00EF001B007E}</author>
    <author>tc={00B300AE-001C-4B6C-AF1F-001200A90007}</author>
    <author>tc={00DE003D-006B-432D-8F07-000F00BA0046}</author>
    <author>tc={00970005-009E-4519-AF39-001700D30038}</author>
    <author>tc={0032005B-0086-462B-97E7-002A00F400B9}</author>
    <author>tc={00CF004E-00B0-4389-8B62-0002006D002F}</author>
    <author>tc={00010077-0051-47C9-BCE1-0014005E006B}</author>
    <author>tc={00E600D4-00EB-4A2C-9698-00E6008E0024}</author>
    <author>tc={00B3003C-00BB-4084-B128-006000FE00DF}</author>
    <author>tc={005A0080-009D-45EF-9AC4-004E003F0028}</author>
    <author>tc={000A00C5-006A-4AE5-AE14-00F3009400FB}</author>
    <author>tc={0076000B-001C-4096-A908-004700AB00F8}</author>
    <author>tc={004E0052-00BD-4726-A3EE-0080006B001A}</author>
    <author>tc={00390046-007F-413E-8385-00FF00A100FC}</author>
    <author>tc={009B0002-00C2-4CA3-AD2E-00FD00390013}</author>
    <author>tc={0080007A-00CB-4E66-B72D-00C0004A006E}</author>
    <author>tc={00B400AA-0072-43B8-B069-001F00FB0036}</author>
    <author>tc={003B008A-00E5-4E28-9BB7-009F00A90013}</author>
    <author>tc={00B7005D-0036-4749-A0CD-00340087001E}</author>
    <author>tc={001F0067-0036-47E9-AE0C-00BC001D0080}</author>
    <author>tc={000B009D-0026-49F8-B92D-007C00860031}</author>
    <author>tc={00410034-00E6-4622-AAF9-005C003D00D0}</author>
    <author>tc={001F006E-005F-489E-829A-00020068006D}</author>
    <author>tc={00920085-006C-4861-96B5-0005002A007D}</author>
    <author>tc={00F800F7-0019-4A28-B3C4-007C000100F3}</author>
    <author>tc={00A700BA-0024-493A-AAD6-00F000530056}</author>
    <author>tc={0099004A-00CD-441C-95CF-005E00BC008C}</author>
    <author>tc={00AF00EB-0084-41BC-A8D1-00FF004F00F7}</author>
    <author>tc={00D700A6-0091-4C80-BE62-009A00670086}</author>
    <author>tc={004700C6-000A-44BB-B792-0050009600E5}</author>
    <author>tc={00E9007B-00BC-40F2-BAED-0072002500C6}</author>
    <author>tc={00850077-002D-48FF-9A99-0042007A000C}</author>
    <author>tc={008800EB-00D9-4FA3-B297-003300110094}</author>
    <author>tc={000C0072-006D-4645-B134-00A7003B006F}</author>
    <author>tc={00AD006E-006A-49A1-B9D6-00EE00E40092}</author>
    <author>tc={00710068-00EC-44DD-8C7C-007500B000E4}</author>
    <author>tc={00E40028-0071-4574-9CD4-0085009B00FD}</author>
    <author>tc={00CF00FE-0080-483D-87A9-000E00CF00AC}</author>
    <author>tc={003B00B3-00C2-4256-AEB6-005400EC0065}</author>
    <author>tc={001100C0-0087-4814-B7B9-001E00280072}</author>
    <author>tc={0063007B-00DA-48B6-9410-00B200450022}</author>
    <author>tc={006F00B6-0053-4F0A-9D36-0055008900AA}</author>
    <author>tc={003E00D1-0028-4DCC-A8A5-0075000A003F}</author>
    <author>tc={00990075-004D-4A76-8832-008D00EF0050}</author>
    <author>tc={00AC00AC-00AB-4A02-9BC2-003000270093}</author>
    <author>tc={009400AD-0049-4154-9857-009300010034}</author>
    <author>tc={009A005F-00FB-424A-8754-002A00220054}</author>
    <author>tc={00CD00FA-0074-463A-9D34-00FE00EC00EA}</author>
    <author>tc={00090049-00C3-42D5-B1CF-0016002A009B}</author>
    <author>tc={007A00AD-00F5-4426-A84A-004800DC00C4}</author>
    <author>tc={00BC00FD-00F9-4DD2-832F-009A00D70018}</author>
    <author>tc={000B00ED-0017-466F-A5F4-001D00FB00E6}</author>
    <author>tc={008B0020-00F2-45C6-8C14-00A800030041}</author>
    <author>tc={0075006E-0051-495D-ABB8-00A4006800CE}</author>
    <author>tc={00E800B6-00D5-4402-9735-00D800090028}</author>
    <author>tc={002D004B-00F5-46EB-A742-000800D400D0}</author>
    <author>tc={00B4004A-0063-4EE5-8A9B-004300F300F9}</author>
    <author>tc={0067009E-0017-433F-8F14-00A800EE00CB}</author>
    <author>tc={001C000B-0018-4E4B-A902-006100760020}</author>
    <author>tc={00020004-00A7-4C09-8D21-005C001300EC}</author>
    <author>tc={00770034-000C-47AB-8021-00C10048009A}</author>
    <author>tc={001300A1-003E-48F3-AAFE-00A000DC00FA}</author>
    <author>tc={0007001C-0041-451B-A042-0036000300B5}</author>
    <author>tc={00BA005F-00E3-451F-881E-00DE00780054}</author>
    <author>tc={0027004D-006E-402D-A7E2-003A0021002B}</author>
    <author>tc={00E10051-0003-402C-91C9-006100ED004A}</author>
    <author>tc={001D0028-00FE-47C8-8AB6-00E100870006}</author>
    <author>tc={00140050-00DA-41E9-B6E0-007A00060076}</author>
    <author>tc={0042004F-0038-4DF8-BFDF-00EB008A00FB}</author>
    <author>tc={00BA0033-00D2-42B4-A38D-008000B10026}</author>
    <author>tc={0089003F-0003-4E12-AD36-00DB00140059}</author>
    <author>tc={008E0007-006F-4093-BCF2-001F00B90009}</author>
    <author>tc={00510033-0006-482B-9C0D-00B600F200F9}</author>
    <author>tc={00DF0025-00D6-4786-AA72-00A300B400B7}</author>
    <author>tc={000C0086-0040-4503-9188-0001000000EA}</author>
    <author>tc={000D001C-0007-4714-B955-00FF00A500FA}</author>
    <author>tc={008F0075-0031-40D8-9D09-00FE00D200F9}</author>
    <author>tc={00D9004B-001F-4AEE-BD8F-00FA001800E5}</author>
    <author>tc={0087002F-005C-458D-A533-00D6004C001F}</author>
    <author>tc={002F0022-0030-4335-A864-0014002E0001}</author>
    <author>tc={0037006B-00C9-4251-80CC-005300200003}</author>
    <author>tc={00A400A9-00ED-4185-AC0D-00A2006500E1}</author>
    <author>tc={00DC004E-00F6-48DB-BAAF-00C7007F003A}</author>
    <author>tc={00960089-0013-4993-BFBC-00F100620024}</author>
    <author>tc={008700BB-00DC-4EA5-BDAE-007100DC0033}</author>
    <author>tc={0085006B-0000-4F4B-99B2-0057005E0042}</author>
    <author>tc={004D0036-009A-4D28-B3B4-004C0032007F}</author>
    <author>tc={006D0026-0030-413A-A0B9-00A7002700FD}</author>
    <author>tc={00B60039-00AD-4274-880B-00F10097000C}</author>
    <author>tc={000F00DC-00E8-4B90-B647-007D0090000B}</author>
    <author>tc={00C00090-009F-48C3-B593-00690028001B}</author>
    <author>tc={0074006D-0076-4D67-861F-0050003700C6}</author>
    <author>tc={00160037-005F-400B-9B25-0026005E000D}</author>
    <author>tc={00B8008E-0049-419D-977F-006D00B400EF}</author>
    <author>tc={005C00F4-008C-4496-9BA1-00FB00F70071}</author>
    <author>tc={00C8009F-00C9-44BA-B1EE-005C004400C3}</author>
    <author>tc={00130049-0081-4024-BACF-004900C50027}</author>
    <author>tc={0071008A-0020-41FF-A4F4-009200B60035}</author>
    <author>tc={00D50009-009A-4812-A415-00A500860017}</author>
    <author>tc={00550061-009F-472E-BF0F-0000006500DE}</author>
    <author>tc={0061009B-00D2-412B-8C16-008800AA0064}</author>
    <author>tc={006400F9-00BE-4A4D-BD0C-0033002D0088}</author>
    <author>tc={0017002B-001A-4338-A8F4-0011009E0044}</author>
    <author>tc={00300003-0011-40CB-B06D-00B0002C007F}</author>
    <author>tc={00E60048-0054-475D-8B5E-00B8008B00BB}</author>
    <author>tc={007D0033-0067-4439-8F56-006E007B0081}</author>
    <author>tc={00DF0055-00FF-405F-9E66-00D300450005}</author>
    <author>tc={00D10026-008F-4E16-ADFC-008C0005002B}</author>
    <author>tc={00B4005E-0000-4C33-847E-00B800DF001B}</author>
    <author>tc={00390033-00B7-4733-85A6-008300CC007C}</author>
    <author>tc={0030003A-00CC-4405-BF3D-0077000600FC}</author>
    <author>tc={007100B8-004D-4856-9F50-002700C700D1}</author>
    <author>tc={00ED0014-0048-4871-A9CC-00EA0071002C}</author>
    <author>tc={004A0081-00D6-404E-8BEF-00A300970015}</author>
    <author>tc={00950012-00E0-40C4-AD8B-00A600F800DC}</author>
    <author>tc={00B3006F-0035-4787-A746-007C003900A7}</author>
    <author>tc={00B70005-0027-46A2-8F0D-0013005900A6}</author>
    <author>tc={005A0057-0081-4B7E-9CC9-00FF00A800BE}</author>
    <author>tc={008500D3-004F-48DE-8825-003C00FD0079}</author>
    <author>tc={002B00C3-00F3-4385-8A8E-008300500088}</author>
    <author>tc={00BB00A5-0047-48FD-AB4E-004200D6004C}</author>
    <author>tc={009F00C8-0020-4326-9662-00C800A500EF}</author>
    <author>tc={00DC0081-00B1-4453-951F-00DD0004001D}</author>
    <author>tc={004400B1-00AE-46F7-8C6A-00EB00040001}</author>
    <author>tc={002A003D-00D8-413B-BDE5-003200F30084}</author>
    <author>tc={00430042-0060-4525-B419-00980005007D}</author>
    <author>tc={00D20094-00BF-4ED1-9F8B-003E00200064}</author>
    <author>tc={00B200FF-0009-472E-A201-0058007F00C4}</author>
    <author>tc={00BE00DF-006C-405A-AC13-002A00FA0076}</author>
    <author>tc={00A1002F-000A-4ADD-A380-0076001D008C}</author>
    <author>tc={008D006A-005C-4890-BE99-005C0087008A}</author>
    <author>tc={0086001F-0026-470F-98A0-00C4009E008E}</author>
    <author>tc={00420039-0001-4EB5-A41B-002200490020}</author>
    <author>tc={0044009C-00CF-4EBA-B078-009F00AF001E}</author>
    <author>tc={007F009A-009A-495F-B152-007B00380005}</author>
    <author>tc={00DC00DA-0033-48BD-809D-00FA00BC00E3}</author>
    <author>tc={009F00E0-0074-4249-9809-00D7007A00E2}</author>
    <author>tc={004800A5-00FA-4F43-BA89-008600DC006D}</author>
    <author>tc={009D0011-00F7-4EBA-8B3F-005C00200033}</author>
    <author>tc={0021004D-0010-4B3E-8839-0035000B00B3}</author>
    <author>tc={00050072-009E-4398-B02B-00BD0024008A}</author>
    <author>tc={00260005-006C-4DF3-AC64-00C700F9007A}</author>
    <author>tc={000C00E3-00CA-4A59-8A0D-00B80062008C}</author>
    <author>tc={00B30035-00CA-4029-B34D-007D001900D5}</author>
    <author>tc={000B008D-00F8-4090-87B8-008600F200EF}</author>
    <author>tc={004D000B-00CE-42C1-AD61-00C8005400F1}</author>
    <author>tc={00630095-0077-4B8E-9D65-009400C40030}</author>
    <author>tc={00CC006C-00AC-4ADD-BE39-007700130090}</author>
    <author>tc={00DC003A-00E1-4BEB-BFFA-005400F2009F}</author>
    <author>tc={00010044-00CD-41D1-9463-00C100030035}</author>
    <author>tc={00E00082-001F-414F-B501-008A00D80091}</author>
    <author>tc={004700C0-00AF-4C11-A135-0075003000F8}</author>
    <author>tc={00DF0084-0081-4C4E-9E49-003D008100B2}</author>
    <author>tc={00600089-0081-492E-8D25-00FE000E0059}</author>
    <author>tc={00210067-004D-4928-80AA-00700022007B}</author>
    <author>tc={003E00D6-00C4-4F8B-B7B5-000400DC007D}</author>
    <author>tc={00EE0074-0046-4D95-B2D2-00C100130046}</author>
    <author>tc={006E00E3-0020-46F3-8F15-009700720054}</author>
    <author>tc={001E008C-00F7-4EA0-9E20-009000530043}</author>
    <author>tc={009B009C-0083-4155-B638-00AD009100D3}</author>
    <author>tc={00F8001A-00A4-48A4-AC7E-0030005E0096}</author>
    <author>tc={00150078-005E-49D2-9F53-007B00B10016}</author>
    <author>tc={00D20070-000D-4BFF-B505-0080000800B1}</author>
    <author>tc={0036008F-00CD-48A0-AD77-0031001D009E}</author>
    <author>tc={007900C8-007C-4B63-8057-006200BF002B}</author>
    <author>tc={00520014-00FC-46A1-B596-00830043002D}</author>
    <author>tc={004000D6-0014-43A2-AAD8-00A400950004}</author>
    <author>tc={00000008-00C2-4AD5-B52D-003300070031}</author>
    <author>tc={0013005E-0098-49E6-9C53-00D0006A0081}</author>
    <author>tc={00E200CE-0027-47DD-95B4-001300E100DB}</author>
    <author>tc={00B9009E-00BC-4187-A6F4-00E6007300BC}</author>
    <author>tc={00160099-0092-4F94-979C-008A00D200C4}</author>
    <author>tc={00DC00F6-0058-4401-9552-00FA006900FC}</author>
    <author>tc={00ED00F9-0027-4930-9E71-00580009003A}</author>
    <author>tc={00F40066-0092-44F7-BF96-00F9006500BC}</author>
    <author>tc={00F300DA-00CC-44B9-9C0B-00D6006100FC}</author>
    <author>tc={00F300F3-0004-4859-857B-000B003200D5}</author>
    <author>tc={00E400E0-00EF-4628-917B-0015003E00E4}</author>
    <author>tc={00670040-009B-4C6B-9406-003500D90054}</author>
    <author>tc={00B800A9-003F-47E3-8360-0065001600FC}</author>
    <author>tc={009D00BE-00B1-4AB9-8EBA-00BE00B40071}</author>
    <author>tc={001700FD-00FD-44C3-8C3A-001D00D300F0}</author>
    <author>tc={00CA00A9-00A3-4DCD-989D-0063003200D6}</author>
    <author>tc={00BE0055-0029-434D-BA90-0080000E00BA}</author>
    <author>tc={00B50034-0048-46C5-8969-0089001400DE}</author>
    <author>tc={002400F6-00CB-444E-B5B9-00CE0051001B}</author>
    <author>tc={00B70094-000E-43FD-A986-0065005900FD}</author>
    <author>tc={001C0028-00A9-493E-83D4-00540014001C}</author>
    <author>tc={00150038-00E7-4BF9-AD6D-00B300B100BD}</author>
    <author>tc={00CE00AA-00E9-45D1-B45C-00F300060038}</author>
    <author>tc={003A00F7-002D-4D1E-8404-0099000F0043}</author>
    <author>tc={00B2009C-00CC-47F4-8F05-00A4004B0042}</author>
    <author>tc={006E008C-006D-4736-AC9F-0035004F007D}</author>
    <author>tc={00AC0014-009E-4A69-9941-00F4007F0074}</author>
    <author>tc={001C0006-00E3-4BDA-9BBF-00EC00AD00AD}</author>
    <author>tc={00F300D4-0038-4A76-A247-009C00AA002E}</author>
    <author>tc={00EB002B-00F6-4E77-BBC0-006A00090087}</author>
    <author>tc={006B008B-0044-4BBD-B3A0-0030001F0076}</author>
    <author>tc={008800E8-003C-405A-A9D7-0036007700F1}</author>
    <author>tc={00450050-007F-47BD-9FD9-00AA008500E6}</author>
    <author>tc={002700EA-002E-4EB1-916C-000200BA0088}</author>
    <author>tc={00510076-0091-425F-B8BA-0006001B004D}</author>
    <author>tc={00CF00EA-0005-4DE9-B1C1-001D00AC0008}</author>
    <author>tc={009C008D-007C-4913-BD20-002C0094008A}</author>
    <author>tc={000B000E-0086-4BBD-B794-009B008F0036}</author>
    <author>tc={00AD0051-008C-46A5-9D3D-0016001400A1}</author>
    <author>tc={00FE00F1-00F9-4174-A59A-000F006E0038}</author>
    <author>tc={00CF003D-00D3-4999-BC77-0046001D008E}</author>
    <author>tc={0000002B-00C5-4C5F-82D8-00B700D90063}</author>
    <author>tc={0006002D-0052-44CD-884F-0000004100DA}</author>
    <author>tc={00C40033-0018-4D36-A3F8-0027003C00C0}</author>
    <author>tc={00B0009E-00A3-494D-B15C-006500790035}</author>
    <author>tc={00F400DB-00FC-431A-9476-00D00055007C}</author>
    <author>tc={00EE0011-00A1-4C2D-B9A3-007400DB003D}</author>
    <author>tc={008600D7-0055-4551-83A8-0022003800DD}</author>
    <author>tc={005C00CC-00F3-43E0-B048-0055003D00CF}</author>
    <author>tc={00490009-00F2-4F6C-8C4D-00E100CB00ED}</author>
    <author>tc={00500002-0034-4781-8804-005D002B002A}</author>
    <author>tc={009200AD-0038-4E4A-9BA5-006C00570071}</author>
    <author>tc={00E40043-004B-4EF6-8940-00F400E400D4}</author>
    <author>tc={004000CC-0008-4216-B076-00FF00240016}</author>
    <author>tc={00CF0004-00BE-455D-A2B8-00BC00290033}</author>
    <author>tc={007D00F1-00CE-45A8-BC61-002000700015}</author>
    <author>tc={00C700A7-0096-4B94-828E-00CA008C0051}</author>
    <author>tc={003600EB-0080-4E21-B605-007C006300BF}</author>
    <author>tc={008C0016-0086-46DA-A69D-0095000C00F1}</author>
    <author>tc={007E00E4-00C2-442D-AB67-00350000006C}</author>
    <author>tc={000300AA-008D-4244-A081-00E500AE004E}</author>
    <author>tc={00970048-000B-4EA6-B967-0020002600F0}</author>
    <author>tc={00D0007E-0047-4764-AC0A-003100DE0017}</author>
    <author>tc={00C400F4-0052-4376-A364-006D00B30048}</author>
    <author>tc={00570048-0051-4066-855C-00A700D90000}</author>
    <author>tc={008B00B5-00B1-4074-B934-006900680077}</author>
    <author>tc={007500C4-00FB-4B2D-A96F-007D00E6008F}</author>
    <author>tc={00580076-0012-47E1-84D2-00C9009000B8}</author>
    <author>tc={0020007A-002A-4F90-A73D-007500DF007A}</author>
    <author>tc={00A000B3-00D8-4AF2-9450-001400F70010}</author>
    <author>tc={00360013-00AE-4C7D-8417-00C5009E000A}</author>
    <author>tc={00690077-00CB-4EEE-A395-005500DC003E}</author>
    <author>tc={0051005B-0019-4147-B2A5-0065006E00C8}</author>
    <author>tc={00350027-00A2-428B-84AB-002B00C000CF}</author>
    <author>tc={001800CD-00CA-4650-A923-006F007E008E}</author>
    <author>tc={000300D1-002E-4A4B-8B42-00D300320038}</author>
    <author>tc={00830023-0058-45F5-94CD-003100530063}</author>
    <author>tc={0095003F-00F6-415C-BD92-0029009200D7}</author>
    <author>tc={008E0077-00E5-4E40-A10D-001400120028}</author>
    <author>tc={00B500AE-00D2-4852-A771-00AA00AF0096}</author>
    <author>tc={000F009E-00C6-4838-8502-00A300DF0025}</author>
    <author>tc={00E5004A-0075-41BD-9F82-003600C70058}</author>
    <author>tc={00DA0057-00D0-4444-B267-0059005E0088}</author>
    <author>tc={00F90086-00C3-4ED4-9BF8-00150001007F}</author>
    <author>tc={004800E9-00B2-46EF-8C04-0014002900A2}</author>
    <author>tc={001D001B-0047-4095-8250-00FD001F0079}</author>
    <author>tc={00C500C4-003C-4B45-B946-00E5007500A5}</author>
    <author>tc={003E000B-001D-489C-9168-009600D9003E}</author>
    <author>tc={004A007E-0002-47D1-BD94-0019001F0046}</author>
    <author>tc={006700D4-009C-44C2-9309-0080007B0022}</author>
    <author>tc={0034001B-0015-4BF6-A0E6-005100B90011}</author>
    <author>tc={001500C8-0051-49CF-BDA4-004600B200EE}</author>
    <author>tc={0006008D-00C9-48E4-9B9D-004B00E10071}</author>
    <author>tc={00BA006E-0091-43A9-9C8A-00BD000D0044}</author>
    <author>tc={00C20074-002C-45D4-A5C7-001100BF004A}</author>
    <author>tc={007D00C3-0014-430C-A1FC-004C00BA00DE}</author>
    <author>tc={001C00E0-004C-43D8-8599-00BF000E00F6}</author>
    <author>tc={007800BE-0091-422E-9D0D-0023009D005A}</author>
    <author>tc={00DA00E6-002D-48FB-AE4F-00B900CF0050}</author>
    <author>tc={003C0071-004A-4646-8C36-0087003200E8}</author>
    <author>tc={00D7004D-00F6-4C7D-8325-001600300059}</author>
    <author>tc={0051003A-0098-4C01-810D-00DA00700093}</author>
    <author>tc={0008003D-005B-4820-8F73-007500F30067}</author>
    <author>tc={00680010-006D-490F-AEED-00FC00C4008D}</author>
    <author>tc={00B100F2-00E6-471D-A5D1-00990027009E}</author>
    <author>tc={00CC00AA-00AC-4F65-839D-007200CC0057}</author>
    <author>tc={000800C8-006C-4D7B-B5B4-002F001F009F}</author>
    <author>tc={00D000A8-00ED-4A32-A77F-00DC00C50031}</author>
    <author>tc={00A100DB-0081-4001-9929-00D7005500AA}</author>
    <author>tc={00A80024-0029-4C77-9783-0061000B00A0}</author>
    <author>tc={000100F1-0090-49ED-9A9F-00E8000000EE}</author>
    <author>tc={00640077-0015-49BA-A566-003300DD00D1}</author>
    <author>tc={0070000D-004F-49CF-9A04-0073004E006A}</author>
    <author>tc={0086007A-00AF-4A97-8ED6-008B006E005A}</author>
    <author>tc={00C4009F-0098-4DF3-B593-00A7006200B0}</author>
    <author>tc={00520094-0035-4EE7-A386-00BD00D20075}</author>
    <author>tc={00B100C3-00CB-4257-92D3-00BE00080083}</author>
    <author>tc={00AE0056-00FC-44FE-BCD9-0082004E0039}</author>
    <author>tc={000B0016-00EA-4196-8378-004B00FD005F}</author>
    <author>tc={008C00F6-00D0-4509-A587-003B00D400BC}</author>
    <author>tc={00B800E0-00A2-427F-8745-00DF00B400D8}</author>
    <author>tc={008F007E-0026-45D3-A61E-001000E800DC}</author>
    <author>tc={00610090-0029-4189-8F93-003300B900FA}</author>
    <author>tc={00030014-0070-4B12-B4E9-0090006F00DD}</author>
    <author>tc={005800F0-008F-457C-83C4-00F2009D00D3}</author>
    <author>tc={002100DA-0049-4D26-9DBD-00CB00000077}</author>
    <author>tc={001400ED-00B4-4E37-B3E1-0024000D0002}</author>
    <author>tc={00C10039-0085-43EE-891D-0071007E0024}</author>
    <author>tc={003100F7-00E3-44BA-A71A-00F3002B0022}</author>
    <author>tc={000D002B-0056-400B-8EC5-007C00C200E3}</author>
    <author>tc={002800AF-0087-4B04-836A-0099004F0063}</author>
    <author>tc={00C800B5-0097-44A5-A76A-005E00200005}</author>
    <author>tc={006F00AD-005D-498C-B104-006600A800C2}</author>
    <author>tc={005D0020-002C-4D58-8DC6-007D00D100F4}</author>
    <author>tc={00D700BA-0006-4A15-AB94-0051007E004C}</author>
    <author>tc={009D00AA-0000-477E-A332-0053002000AE}</author>
    <author>tc={00BC008C-0000-42C8-9737-00C80023002A}</author>
    <author>tc={00830087-00D4-4436-AC0C-00B4000A00D1}</author>
    <author>tc={00BB006B-0071-4591-8387-00C70091004F}</author>
    <author>tc={00040019-00F1-4233-8C01-006500330095}</author>
    <author>tc={00F300B5-00B6-4AA1-8FB0-002E00CD00FB}</author>
    <author>tc={00C80076-00E1-4033-A2D0-007600C10029}</author>
    <author>tc={00C8004B-003E-46CC-8143-002500DB0014}</author>
    <author>tc={00BE009F-00AF-4B30-AF77-00FA007A000B}</author>
    <author>tc={00BA00DA-0025-4591-9D89-002B00F900D9}</author>
    <author>tc={004500E2-00EA-4C31-9453-0074005000E7}</author>
    <author>tc={0050005A-00D8-4545-B1F2-008C000700C5}</author>
    <author>tc={00DC0040-009B-4403-BC07-00FC00540052}</author>
    <author>tc={007800DF-00E8-4F91-AD9C-000E006C0094}</author>
    <author>tc={000300B0-0074-433E-8A70-009200530039}</author>
    <author>tc={00660010-00EF-4414-A1A8-0095003C007B}</author>
    <author>tc={003B0022-0029-4DA7-A19F-00E8000C0043}</author>
    <author>tc={0052009F-003F-4719-9CBF-006000300095}</author>
    <author>tc={002100D4-006C-4FA6-B447-00BC00310093}</author>
    <author>tc={009D0024-00F2-4559-8AC0-00E2006A00A9}</author>
    <author>tc={00CA00E2-0006-4C35-AE1B-00E3000C00FF}</author>
    <author>tc={001500A1-0090-4082-BC41-00F100420036}</author>
    <author>tc={00730089-00BA-43CA-ABA1-00E6005E00C1}</author>
    <author>tc={005C001B-0055-465D-A07F-0031006B0024}</author>
    <author>tc={003B0061-00E5-4B04-871F-000300FE0061}</author>
    <author>tc={00A400BE-002C-46E2-ADEF-008A00520027}</author>
    <author>tc={008300C8-0094-495F-B44F-000B00A4008A}</author>
    <author>tc={00AF00B9-001C-4B4E-9636-000100F900FF}</author>
    <author>tc={00C9005A-00A8-47A1-8609-004600BC001B}</author>
    <author>tc={009B0081-0031-4311-AEC4-007200E500FA}</author>
    <author>tc={002000B8-00B7-4E21-8CFD-00EF008C00D5}</author>
    <author>tc={00F100AE-0037-47D6-B31B-007D00B900B0}</author>
    <author>tc={0097005E-006B-499C-B755-001000F400F3}</author>
    <author>tc={00D700FC-00F5-4701-B419-007400D00050}</author>
    <author>tc={005300C3-00C3-4EA3-90D2-000B00EB0081}</author>
    <author>tc={006B0044-0000-4577-ACF2-00520040007D}</author>
    <author>tc={000F0028-005E-48BF-85E5-0000005400F4}</author>
    <author>tc={00120007-006C-4091-A2C9-0070009C002E}</author>
    <author>tc={0053004E-0078-46D6-9904-00B500120058}</author>
    <author>tc={0095009B-00EA-4DA0-B19B-00A600A000B8}</author>
    <author>tc={0027000D-004E-45F9-A08B-0026009B003E}</author>
    <author>tc={0042008D-005E-47EA-BDA7-0057007E00EA}</author>
    <author>tc={0073009A-008C-4CBA-86FB-003D00420071}</author>
    <author>tc={00680062-003E-462A-BC00-00A30040002C}</author>
    <author>tc={00C000F9-0074-49D6-BC23-0066008800D9}</author>
    <author>tc={0020001F-00C8-4DAF-B5AA-003B005100F2}</author>
    <author>tc={00150038-0001-4EE8-A39E-0067005C000B}</author>
    <author>tc={00F200D4-0044-4219-BDDF-00E200DB0041}</author>
    <author>tc={00A00062-00BE-43AE-936F-00C4003A00CC}</author>
    <author>tc={007000DF-009C-4965-9CCD-007D009D000F}</author>
    <author>tc={008900F6-006E-4848-A332-0036004600F8}</author>
    <author>tc={00E80056-00C9-4F1C-8099-00F500D8004A}</author>
    <author>tc={00E70052-00EC-49D8-A615-008A001A0003}</author>
    <author>tc={0064005F-0085-486B-8F76-00A600CF0089}</author>
    <author>tc={004D009D-003B-4A03-AB1B-0045009500CB}</author>
  </authors>
  <commentList>
    <comment ref="D37" authorId="0" shapeId="0">
      <text>
        <r>
          <rPr>
            <b/>
            <sz val="9"/>
            <rFont val="Tahoma"/>
          </rPr>
          <t>Jana Holíková:</t>
        </r>
        <r>
          <rPr>
            <sz val="9"/>
            <rFont val="Tahoma"/>
          </rPr>
          <t xml:space="preserve">
25127.07 -2.000.000
</t>
        </r>
      </text>
    </comment>
    <comment ref="D38" authorId="1" shapeId="0">
      <text>
        <r>
          <rPr>
            <b/>
            <sz val="9"/>
            <rFont val="Tahoma"/>
          </rPr>
          <t>Jana Holíková:</t>
        </r>
        <r>
          <rPr>
            <sz val="9"/>
            <rFont val="Tahoma"/>
          </rPr>
          <t xml:space="preserve">
25057/04 +25.564.110
</t>
        </r>
      </text>
    </comment>
    <comment ref="D42" authorId="2" shapeId="0">
      <text>
        <r>
          <rPr>
            <b/>
            <sz val="9"/>
            <rFont val="Tahoma"/>
          </rPr>
          <t>Jana Holíková:</t>
        </r>
        <r>
          <rPr>
            <sz val="9"/>
            <rFont val="Tahoma"/>
          </rPr>
          <t xml:space="preserve">
25031/03 +32.200
</t>
        </r>
      </text>
    </comment>
    <comment ref="D46" authorId="3" shapeId="0">
      <text>
        <r>
          <rPr>
            <b/>
            <sz val="9"/>
            <rFont val="Tahoma"/>
          </rPr>
          <t>Jana Holíková:</t>
        </r>
        <r>
          <rPr>
            <sz val="9"/>
            <rFont val="Tahoma"/>
          </rPr>
          <t xml:space="preserve">
25248/12 +240.000
</t>
        </r>
      </text>
    </comment>
    <comment ref="D54" authorId="4" shapeId="0">
      <text>
        <r>
          <rPr>
            <b/>
            <sz val="9"/>
            <rFont val="Tahoma"/>
          </rPr>
          <t>Jana Holíková:</t>
        </r>
        <r>
          <rPr>
            <sz val="9"/>
            <rFont val="Tahoma"/>
          </rPr>
          <t xml:space="preserve">
25248/12 +1.150.000
</t>
        </r>
      </text>
    </comment>
    <comment ref="D55" authorId="5" shapeId="0">
      <text>
        <r>
          <rPr>
            <b/>
            <sz val="9"/>
            <rFont val="Tahoma"/>
          </rPr>
          <t>Jana Holíková:</t>
        </r>
        <r>
          <rPr>
            <sz val="9"/>
            <rFont val="Tahoma"/>
          </rPr>
          <t xml:space="preserve">
</t>
        </r>
      </text>
    </comment>
    <comment ref="D58" authorId="6" shapeId="0">
      <text>
        <r>
          <rPr>
            <b/>
            <sz val="9"/>
            <rFont val="Tahoma"/>
          </rPr>
          <t>Jana Holíková:</t>
        </r>
        <r>
          <rPr>
            <sz val="9"/>
            <rFont val="Tahoma"/>
          </rPr>
          <t xml:space="preserve">
25248/12 +214.600
</t>
        </r>
      </text>
    </comment>
    <comment ref="D60" authorId="7" shapeId="0">
      <text>
        <r>
          <rPr>
            <b/>
            <sz val="9"/>
            <rFont val="Tahoma"/>
          </rPr>
          <t>Jana Holíková:</t>
        </r>
        <r>
          <rPr>
            <sz val="9"/>
            <rFont val="Tahoma"/>
          </rPr>
          <t xml:space="preserve">
25248/12 +500.461,39
</t>
        </r>
      </text>
    </comment>
    <comment ref="D61" authorId="8" shapeId="0">
      <text>
        <r>
          <rPr>
            <b/>
            <sz val="9"/>
            <rFont val="Tahoma"/>
          </rPr>
          <t>Jana Holíková:</t>
        </r>
        <r>
          <rPr>
            <sz val="9"/>
            <rFont val="Tahoma"/>
          </rPr>
          <t xml:space="preserve">
25248/12 +1.300.000
</t>
        </r>
      </text>
    </comment>
    <comment ref="D62" authorId="9" shapeId="0">
      <text>
        <r>
          <rPr>
            <b/>
            <sz val="9"/>
            <rFont val="Tahoma"/>
          </rPr>
          <t>Jana Holíková:</t>
        </r>
        <r>
          <rPr>
            <sz val="9"/>
            <rFont val="Tahoma"/>
          </rPr>
          <t xml:space="preserve">
25248/12 +650.000
</t>
        </r>
      </text>
    </comment>
    <comment ref="D69" authorId="10" shapeId="0">
      <text>
        <r>
          <rPr>
            <b/>
            <sz val="9"/>
            <rFont val="Tahoma"/>
          </rPr>
          <t>Jana Holíková:</t>
        </r>
        <r>
          <rPr>
            <sz val="9"/>
            <rFont val="Tahoma"/>
          </rPr>
          <t xml:space="preserve">
25089/05 +10.000
25111.07 +10.000
</t>
        </r>
      </text>
    </comment>
    <comment ref="D73" authorId="11" shapeId="0">
      <text>
        <r>
          <rPr>
            <b/>
            <sz val="9"/>
            <rFont val="Tahoma"/>
          </rPr>
          <t>Jana Holíková:</t>
        </r>
        <r>
          <rPr>
            <sz val="9"/>
            <rFont val="Tahoma"/>
          </rPr>
          <t xml:space="preserve">
25238/12 +1.690.434
</t>
        </r>
      </text>
    </comment>
    <comment ref="D77" authorId="12" shapeId="0">
      <text>
        <r>
          <rPr>
            <b/>
            <sz val="9"/>
            <rFont val="Tahoma"/>
          </rPr>
          <t>Jana Holíková:</t>
        </r>
        <r>
          <rPr>
            <sz val="9"/>
            <rFont val="Tahoma"/>
          </rPr>
          <t xml:space="preserve">
25184/10 -1.000.000
</t>
        </r>
      </text>
    </comment>
    <comment ref="D78" authorId="13" shapeId="0">
      <text>
        <r>
          <rPr>
            <b/>
            <sz val="9"/>
            <rFont val="Tahoma"/>
          </rPr>
          <t>Jana Holíková:</t>
        </r>
        <r>
          <rPr>
            <sz val="9"/>
            <rFont val="Tahoma"/>
          </rPr>
          <t xml:space="preserve">
25002/01 +99.036 (321)
25009/01 +145.092 (322)
25035/03 -10.990 (305)
25071/04 
+545.328,75 (321)
+160.990 (325)
25077/05 +54.671,25 (321)
25202/11 +51.162 (321)
25225/12 +13.641 (50
</t>
        </r>
      </text>
    </comment>
    <comment ref="D79" authorId="14" shapeId="0">
      <text>
        <r>
          <rPr>
            <b/>
            <sz val="9"/>
            <rFont val="Tahoma"/>
          </rPr>
          <t>Jana Holíková:</t>
        </r>
        <r>
          <rPr>
            <sz val="9"/>
            <rFont val="Tahoma"/>
          </rPr>
          <t xml:space="preserve">
25221/12 +52.000
</t>
        </r>
      </text>
    </comment>
    <comment ref="D93" authorId="15" shapeId="0">
      <text>
        <r>
          <rPr>
            <b/>
            <sz val="9"/>
            <rFont val="Tahoma"/>
          </rPr>
          <t>Jana Holíková:</t>
        </r>
        <r>
          <rPr>
            <sz val="9"/>
            <rFont val="Tahoma"/>
          </rPr>
          <t xml:space="preserve">
25137/08 +300.000
25153/09 +335.000
25195/11 +10.000
25248/12 +1.213.288,24
25253/12 +230.000
</t>
        </r>
      </text>
    </comment>
    <comment ref="D94" authorId="16" shapeId="0">
      <text>
        <r>
          <rPr>
            <b/>
            <sz val="9"/>
            <rFont val="Tahoma"/>
          </rPr>
          <t>Jana Holíková:</t>
        </r>
        <r>
          <rPr>
            <sz val="9"/>
            <rFont val="Tahoma"/>
          </rPr>
          <t xml:space="preserve">
25137/08 +1.700.000
25248/12 +106.250
</t>
        </r>
      </text>
    </comment>
    <comment ref="D98" authorId="17" shapeId="0">
      <text>
        <r>
          <rPr>
            <b/>
            <sz val="9"/>
            <rFont val="Tahoma"/>
          </rPr>
          <t>Jana Holíková:</t>
        </r>
        <r>
          <rPr>
            <sz val="9"/>
            <rFont val="Tahoma"/>
          </rPr>
          <t xml:space="preserve">
25090/05 +10.000
25143/08 +69.477,18
25240/12 +234.649,25
25258/12 
-234.649,25 -41.297,20 -15.590 -12.589,98
</t>
        </r>
      </text>
    </comment>
    <comment ref="D102" authorId="18" shapeId="0">
      <text>
        <r>
          <rPr>
            <b/>
            <sz val="9"/>
            <rFont val="Tahoma"/>
          </rPr>
          <t>Jana Holíková:</t>
        </r>
        <r>
          <rPr>
            <sz val="9"/>
            <rFont val="Tahoma"/>
          </rPr>
          <t xml:space="preserve">
25242/12 +139.959,54
25258/12 -139.959,54
</t>
        </r>
      </text>
    </comment>
    <comment ref="D103" authorId="19" shapeId="0">
      <text>
        <r>
          <rPr>
            <b/>
            <sz val="9"/>
            <rFont val="Tahoma"/>
          </rPr>
          <t>Jana Holíková:</t>
        </r>
        <r>
          <rPr>
            <sz val="9"/>
            <rFont val="Tahoma"/>
          </rPr>
          <t xml:space="preserve">
25144/08 +465.000
25170/09 +671.703,90
25258/12 
-671.703,90 -465.000
</t>
        </r>
      </text>
    </comment>
    <comment ref="D104" authorId="20" shapeId="0">
      <text>
        <r>
          <rPr>
            <b/>
            <sz val="9"/>
            <rFont val="Tahoma"/>
          </rPr>
          <t>Jana Holíková:</t>
        </r>
        <r>
          <rPr>
            <sz val="9"/>
            <rFont val="Tahoma"/>
          </rPr>
          <t xml:space="preserve">
25144/08 +5.747,50
</t>
        </r>
      </text>
    </comment>
    <comment ref="D106" authorId="21" shapeId="0">
      <text>
        <r>
          <rPr>
            <b/>
            <sz val="9"/>
            <rFont val="Tahoma"/>
          </rPr>
          <t>Jana Holíková:</t>
        </r>
        <r>
          <rPr>
            <sz val="9"/>
            <rFont val="Tahoma"/>
          </rPr>
          <t xml:space="preserve">
25243/12 +50.000
25258/12 -50.000
</t>
        </r>
      </text>
    </comment>
    <comment ref="D111" authorId="22" shapeId="0">
      <text>
        <r>
          <rPr>
            <b/>
            <sz val="9"/>
            <rFont val="Tahoma"/>
          </rPr>
          <t>Jana Holíková:</t>
        </r>
        <r>
          <rPr>
            <sz val="9"/>
            <rFont val="Tahoma"/>
          </rPr>
          <t xml:space="preserve">
25258/12
+139.959,54 +671.703,90 +382.500 +465.000 +234.649,25 +41.297,20 +15590 +50000 +12.589,98 +18.500,85
</t>
        </r>
      </text>
    </comment>
    <comment ref="D113" authorId="23" shapeId="0">
      <text>
        <r>
          <rPr>
            <b/>
            <sz val="9"/>
            <rFont val="Tahoma"/>
          </rPr>
          <t>Jana Holíková:</t>
        </r>
        <r>
          <rPr>
            <sz val="9"/>
            <rFont val="Tahoma"/>
          </rPr>
          <t xml:space="preserve">
25031/02 +700.000
</t>
        </r>
      </text>
    </comment>
    <comment ref="D114" authorId="24" shapeId="0">
      <text>
        <r>
          <rPr>
            <b/>
            <sz val="9"/>
            <rFont val="Tahoma"/>
          </rPr>
          <t>Jana Holíková:</t>
        </r>
        <r>
          <rPr>
            <sz val="9"/>
            <rFont val="Tahoma"/>
          </rPr>
          <t xml:space="preserve">
25028/02 +463.363
</t>
        </r>
      </text>
    </comment>
    <comment ref="D115" authorId="25" shapeId="0">
      <text>
        <r>
          <rPr>
            <b/>
            <sz val="9"/>
            <rFont val="Tahoma"/>
          </rPr>
          <t>Jana Holíková:</t>
        </r>
        <r>
          <rPr>
            <sz val="9"/>
            <rFont val="Tahoma"/>
          </rPr>
          <t xml:space="preserve">
25024/02 +62.538,16
</t>
        </r>
      </text>
    </comment>
    <comment ref="D116" authorId="26" shapeId="0">
      <text>
        <r>
          <rPr>
            <b/>
            <sz val="9"/>
            <rFont val="Tahoma"/>
          </rPr>
          <t>Jana Holíková:</t>
        </r>
        <r>
          <rPr>
            <sz val="9"/>
            <rFont val="Tahoma"/>
          </rPr>
          <t xml:space="preserve">
25024/02 +129.480,70
</t>
        </r>
      </text>
    </comment>
    <comment ref="D117" authorId="27" shapeId="0">
      <text>
        <r>
          <rPr>
            <b/>
            <sz val="9"/>
            <rFont val="Tahoma"/>
          </rPr>
          <t>Jana Holíková:</t>
        </r>
        <r>
          <rPr>
            <sz val="9"/>
            <rFont val="Tahoma"/>
          </rPr>
          <t xml:space="preserve">
25204/11 
+ 252.863,08 úz253 1441
+834.018,92 úz911 1445
</t>
        </r>
      </text>
    </comment>
    <comment ref="D118" authorId="28" shapeId="0">
      <text>
        <r>
          <rPr>
            <b/>
            <sz val="9"/>
            <rFont val="Tahoma"/>
          </rPr>
          <t>Jana Holíková:</t>
        </r>
        <r>
          <rPr>
            <sz val="9"/>
            <rFont val="Tahoma"/>
          </rPr>
          <t xml:space="preserve">
25203/11 
+ 6.450,70 úz253 1441
+58.056,30 úz911 1445
</t>
        </r>
      </text>
    </comment>
    <comment ref="D119" authorId="29" shapeId="0">
      <text>
        <r>
          <rPr>
            <b/>
            <sz val="9"/>
            <rFont val="Tahoma"/>
          </rPr>
          <t>Jana Holíková:</t>
        </r>
        <r>
          <rPr>
            <sz val="9"/>
            <rFont val="Tahoma"/>
          </rPr>
          <t xml:space="preserve">
25024/02 +169.544,53
</t>
        </r>
      </text>
    </comment>
    <comment ref="D120" authorId="30" shapeId="0">
      <text>
        <r>
          <rPr>
            <b/>
            <sz val="9"/>
            <rFont val="Tahoma"/>
          </rPr>
          <t>Jana Holíková:</t>
        </r>
        <r>
          <rPr>
            <sz val="9"/>
            <rFont val="Tahoma"/>
          </rPr>
          <t xml:space="preserve">
25024/02 +70.270,33
</t>
        </r>
      </text>
    </comment>
    <comment ref="D121" authorId="31" shapeId="0">
      <text>
        <r>
          <rPr>
            <b/>
            <sz val="9"/>
            <rFont val="Tahoma"/>
          </rPr>
          <t>Jana Holíková:</t>
        </r>
        <r>
          <rPr>
            <sz val="9"/>
            <rFont val="Tahoma"/>
          </rPr>
          <t xml:space="preserve">
25042/03 +2.743.942,28
</t>
        </r>
      </text>
    </comment>
    <comment ref="D122" authorId="32" shapeId="0">
      <text>
        <r>
          <rPr>
            <b/>
            <sz val="9"/>
            <rFont val="Tahoma"/>
          </rPr>
          <t>Jana Holíková:</t>
        </r>
        <r>
          <rPr>
            <sz val="9"/>
            <rFont val="Tahoma"/>
          </rPr>
          <t xml:space="preserve">
25031/02 
+37.912,80  1180
+ 6.500   1131
+455.819,41  1134
25088/05 +30.000
</t>
        </r>
      </text>
    </comment>
    <comment ref="D123" authorId="33" shapeId="0">
      <text>
        <r>
          <rPr>
            <b/>
            <sz val="9"/>
            <rFont val="Tahoma"/>
          </rPr>
          <t>Jana Holíková:</t>
        </r>
        <r>
          <rPr>
            <sz val="9"/>
            <rFont val="Tahoma"/>
          </rPr>
          <t xml:space="preserve">
25062/04 +23.725
25063/04 +4.745
25082/05 +40.000
25091/06 +10.000
25108/07 +10.000
25136/08 +17.245
25146/08 +60.000
</t>
        </r>
      </text>
    </comment>
    <comment ref="D125" authorId="34" shapeId="0">
      <text>
        <r>
          <rPr>
            <b/>
            <sz val="9"/>
            <rFont val="Tahoma"/>
          </rPr>
          <t>Jana Holíková:</t>
        </r>
        <r>
          <rPr>
            <sz val="9"/>
            <rFont val="Tahoma"/>
          </rPr>
          <t xml:space="preserve">
25004/01 úz 33092
+ 913,14 (1431)
+3.011,86 (1435)
</t>
        </r>
      </text>
    </comment>
    <comment ref="D126" authorId="35" shapeId="0">
      <text>
        <r>
          <rPr>
            <b/>
            <sz val="9"/>
            <rFont val="Tahoma"/>
          </rPr>
          <t>Jana Holíková:</t>
        </r>
        <r>
          <rPr>
            <sz val="9"/>
            <rFont val="Tahoma"/>
          </rPr>
          <t xml:space="preserve">
25203/11 úz 33092
+ 24.701,86 (1431)
+ 81.474,14 (1435)
</t>
        </r>
      </text>
    </comment>
    <comment ref="D127" authorId="36" shapeId="0">
      <text>
        <r>
          <rPr>
            <b/>
            <sz val="9"/>
            <rFont val="Tahoma"/>
          </rPr>
          <t>Jana Holíková:</t>
        </r>
        <r>
          <rPr>
            <sz val="9"/>
            <rFont val="Tahoma"/>
          </rPr>
          <t xml:space="preserve">
25026/02 +3.730
</t>
        </r>
      </text>
    </comment>
    <comment ref="D129" authorId="37" shapeId="0">
      <text>
        <r>
          <rPr>
            <b/>
            <sz val="9"/>
            <rFont val="Tahoma"/>
          </rPr>
          <t>Jana Holíková:</t>
        </r>
        <r>
          <rPr>
            <sz val="9"/>
            <rFont val="Tahoma"/>
          </rPr>
          <t xml:space="preserve">
25032/03
-50.000 741
+50.000 528
25033/03
-50.000 741
+50.000 416
25175/09 +10.000 (035)
25177/10 +150.000 (416)
25181/10 -10.000 (035)
25196/11 +30.000
</t>
        </r>
      </text>
    </comment>
    <comment ref="D130" authorId="38" shapeId="0">
      <text>
        <r>
          <rPr>
            <b/>
            <sz val="9"/>
            <rFont val="Tahoma"/>
          </rPr>
          <t>Jana Holíková:</t>
        </r>
        <r>
          <rPr>
            <sz val="9"/>
            <rFont val="Tahoma"/>
          </rPr>
          <t xml:space="preserve">
25068/04 +240.187
25169/09 +155.473
</t>
        </r>
      </text>
    </comment>
    <comment ref="D135" authorId="39" shapeId="0">
      <text>
        <r>
          <rPr>
            <b/>
            <sz val="9"/>
            <rFont val="Tahoma"/>
          </rPr>
          <t>Jana Holíková:</t>
        </r>
        <r>
          <rPr>
            <sz val="9"/>
            <rFont val="Tahoma"/>
          </rPr>
          <t xml:space="preserve">
25031/03 +15.000
</t>
        </r>
      </text>
    </comment>
    <comment ref="D151" authorId="40" shapeId="0">
      <text>
        <r>
          <rPr>
            <b/>
            <sz val="9"/>
            <rFont val="Tahoma"/>
          </rPr>
          <t>Jana Holíková:</t>
        </r>
        <r>
          <rPr>
            <sz val="9"/>
            <rFont val="Tahoma"/>
          </rPr>
          <t xml:space="preserve">
25074/04 -200.000
</t>
        </r>
      </text>
    </comment>
    <comment ref="D159" authorId="41" shapeId="0">
      <text>
        <r>
          <rPr>
            <b/>
            <sz val="9"/>
            <rFont val="Tahoma"/>
          </rPr>
          <t>Jana Holíková:</t>
        </r>
        <r>
          <rPr>
            <sz val="9"/>
            <rFont val="Tahoma"/>
          </rPr>
          <t xml:space="preserve">
25246/12 +151.008
</t>
        </r>
      </text>
    </comment>
    <comment ref="D160" authorId="42" shapeId="0">
      <text>
        <r>
          <rPr>
            <b/>
            <sz val="9"/>
            <rFont val="Tahoma"/>
          </rPr>
          <t>Jana Holíková:</t>
        </r>
        <r>
          <rPr>
            <sz val="9"/>
            <rFont val="Tahoma"/>
          </rPr>
          <t xml:space="preserve">
25061/04 -5000000
</t>
        </r>
      </text>
    </comment>
    <comment ref="D163" authorId="43" shapeId="0">
      <text>
        <r>
          <rPr>
            <b/>
            <sz val="9"/>
            <rFont val="Tahoma"/>
          </rPr>
          <t>Jana Holíková:</t>
        </r>
        <r>
          <rPr>
            <sz val="9"/>
            <rFont val="Tahoma"/>
          </rPr>
          <t xml:space="preserve">
25183/10 -500.000
</t>
        </r>
      </text>
    </comment>
    <comment ref="D164" authorId="44" shapeId="0">
      <text>
        <r>
          <rPr>
            <b/>
            <sz val="9"/>
            <rFont val="Tahoma"/>
          </rPr>
          <t>Jana Holíková:</t>
        </r>
        <r>
          <rPr>
            <sz val="9"/>
            <rFont val="Tahoma"/>
          </rPr>
          <t xml:space="preserve">
25047/03 -500.000
</t>
        </r>
      </text>
    </comment>
    <comment ref="D165" authorId="45" shapeId="0">
      <text>
        <r>
          <rPr>
            <b/>
            <sz val="9"/>
            <rFont val="Tahoma"/>
          </rPr>
          <t>Jana Holíková:</t>
        </r>
        <r>
          <rPr>
            <sz val="9"/>
            <rFont val="Tahoma"/>
          </rPr>
          <t xml:space="preserve">
25255/12 -5.132.771,51
</t>
        </r>
      </text>
    </comment>
    <comment ref="D168" authorId="46" shapeId="0">
      <text>
        <r>
          <rPr>
            <b/>
            <sz val="9"/>
            <rFont val="Tahoma"/>
          </rPr>
          <t>Jana Holíková:</t>
        </r>
        <r>
          <rPr>
            <sz val="9"/>
            <rFont val="Tahoma"/>
          </rPr>
          <t xml:space="preserve">
25058/04 +5.889.660
</t>
        </r>
      </text>
    </comment>
    <comment ref="D169" authorId="47" shapeId="0">
      <text>
        <r>
          <rPr>
            <b/>
            <sz val="9"/>
            <rFont val="Tahoma"/>
          </rPr>
          <t>Jana Holíková:</t>
        </r>
        <r>
          <rPr>
            <sz val="9"/>
            <rFont val="Tahoma"/>
          </rPr>
          <t xml:space="preserve">
25094/06 +5.424.450
</t>
        </r>
      </text>
    </comment>
    <comment ref="D171" authorId="48" shapeId="0">
      <text>
        <r>
          <rPr>
            <b/>
            <sz val="9"/>
            <rFont val="Tahoma"/>
          </rPr>
          <t>Jana Holíková:</t>
        </r>
        <r>
          <rPr>
            <sz val="9"/>
            <rFont val="Tahoma"/>
          </rPr>
          <t xml:space="preserve">
25193/10 -2.975.049
</t>
        </r>
      </text>
    </comment>
    <comment ref="D172" authorId="49" shapeId="0">
      <text>
        <r>
          <rPr>
            <b/>
            <sz val="9"/>
            <rFont val="Tahoma"/>
          </rPr>
          <t>Jana Holíková:</t>
        </r>
        <r>
          <rPr>
            <sz val="9"/>
            <rFont val="Tahoma"/>
          </rPr>
          <t xml:space="preserve">
25093/06 +748.448
</t>
        </r>
      </text>
    </comment>
    <comment ref="D173" authorId="50" shapeId="0">
      <text>
        <r>
          <rPr>
            <b/>
            <sz val="9"/>
            <rFont val="Tahoma"/>
          </rPr>
          <t>Jana Holíková:</t>
        </r>
        <r>
          <rPr>
            <sz val="9"/>
            <rFont val="Tahoma"/>
          </rPr>
          <t xml:space="preserve">
25093/06 +62.329
</t>
        </r>
      </text>
    </comment>
    <comment ref="D174" authorId="51" shapeId="0">
      <text>
        <r>
          <rPr>
            <b/>
            <sz val="9"/>
            <rFont val="Tahoma"/>
          </rPr>
          <t>Jana Holíková:</t>
        </r>
        <r>
          <rPr>
            <sz val="9"/>
            <rFont val="Tahoma"/>
          </rPr>
          <t xml:space="preserve">
25193/10 -20.300.000
</t>
        </r>
      </text>
    </comment>
    <comment ref="D175" authorId="52" shapeId="0">
      <text>
        <r>
          <rPr>
            <b/>
            <sz val="9"/>
            <rFont val="Tahoma"/>
          </rPr>
          <t>Jana Holíková:</t>
        </r>
        <r>
          <rPr>
            <sz val="9"/>
            <rFont val="Tahoma"/>
          </rPr>
          <t xml:space="preserve">
25193/10 -610.000
</t>
        </r>
      </text>
    </comment>
    <comment ref="D178" authorId="53" shapeId="0">
      <text>
        <r>
          <rPr>
            <b/>
            <sz val="9"/>
            <rFont val="Tahoma"/>
          </rPr>
          <t>Jana Holíková:</t>
        </r>
        <r>
          <rPr>
            <sz val="9"/>
            <rFont val="Tahoma"/>
          </rPr>
          <t xml:space="preserve">
25162/09 -2.499.999
</t>
        </r>
      </text>
    </comment>
    <comment ref="D179" authorId="54" shapeId="0">
      <text>
        <r>
          <rPr>
            <b/>
            <sz val="9"/>
            <rFont val="Tahoma"/>
          </rPr>
          <t>Jana Holíková:</t>
        </r>
        <r>
          <rPr>
            <sz val="9"/>
            <rFont val="Tahoma"/>
          </rPr>
          <t xml:space="preserve">
25254/12 -1.356.601
</t>
        </r>
      </text>
    </comment>
    <comment ref="D180" authorId="55" shapeId="0">
      <text>
        <r>
          <rPr>
            <b/>
            <sz val="9"/>
            <rFont val="Tahoma"/>
          </rPr>
          <t>Jana Holíková:</t>
        </r>
        <r>
          <rPr>
            <sz val="9"/>
            <rFont val="Tahoma"/>
          </rPr>
          <t xml:space="preserve">
25166/09 -168.585
</t>
        </r>
      </text>
    </comment>
    <comment ref="D181" authorId="56" shapeId="0">
      <text>
        <r>
          <rPr>
            <b/>
            <sz val="9"/>
            <rFont val="Tahoma"/>
          </rPr>
          <t>Jana Holíková:</t>
        </r>
        <r>
          <rPr>
            <sz val="9"/>
            <rFont val="Tahoma"/>
          </rPr>
          <t xml:space="preserve">
25244/12 -5.312.129
</t>
        </r>
      </text>
    </comment>
    <comment ref="D182" authorId="57" shapeId="0">
      <text>
        <r>
          <rPr>
            <b/>
            <sz val="9"/>
            <rFont val="Tahoma"/>
          </rPr>
          <t>Jana Holíková:</t>
        </r>
        <r>
          <rPr>
            <sz val="9"/>
            <rFont val="Tahoma"/>
          </rPr>
          <t xml:space="preserve">
25246/12 -151.008
</t>
        </r>
      </text>
    </comment>
    <comment ref="D187" authorId="58" shapeId="0">
      <text>
        <r>
          <rPr>
            <b/>
            <sz val="9"/>
            <rFont val="Tahoma"/>
          </rPr>
          <t>Jana Holíková:</t>
        </r>
        <r>
          <rPr>
            <sz val="9"/>
            <rFont val="Tahoma"/>
          </rPr>
          <t xml:space="preserve">
25130.07
-500.000 +735.000
</t>
        </r>
      </text>
    </comment>
    <comment ref="D188" authorId="59" shapeId="0">
      <text>
        <r>
          <rPr>
            <b/>
            <sz val="9"/>
            <rFont val="Tahoma"/>
          </rPr>
          <t>Jana Holíková:</t>
        </r>
        <r>
          <rPr>
            <sz val="9"/>
            <rFont val="Tahoma"/>
          </rPr>
          <t xml:space="preserve">
25003/01 -432.200
</t>
        </r>
      </text>
    </comment>
    <comment ref="D190" authorId="60" shapeId="0">
      <text>
        <r>
          <rPr>
            <b/>
            <sz val="9"/>
            <rFont val="Tahoma"/>
          </rPr>
          <t>Jana Holíková:</t>
        </r>
        <r>
          <rPr>
            <sz val="9"/>
            <rFont val="Tahoma"/>
          </rPr>
          <t xml:space="preserve">
25165/09 -55.091,76
25252/12 +49.994,72
</t>
        </r>
      </text>
    </comment>
    <comment ref="D191" authorId="61" shapeId="0">
      <text>
        <r>
          <rPr>
            <b/>
            <sz val="9"/>
            <rFont val="Tahoma"/>
          </rPr>
          <t>Jana Holíková:</t>
        </r>
        <r>
          <rPr>
            <sz val="9"/>
            <rFont val="Tahoma"/>
          </rPr>
          <t xml:space="preserve">
25101/07 -40.000
</t>
        </r>
      </text>
    </comment>
    <comment ref="D192" authorId="62" shapeId="0">
      <text>
        <r>
          <rPr>
            <b/>
            <sz val="9"/>
            <rFont val="Tahoma"/>
          </rPr>
          <t>Jana Holíková:</t>
        </r>
        <r>
          <rPr>
            <sz val="9"/>
            <rFont val="Tahoma"/>
          </rPr>
          <t xml:space="preserve">
25157/09 
+91.819,40 úz89028 1601
+49.441,18 úz89029 1605
</t>
        </r>
      </text>
    </comment>
    <comment ref="D194" authorId="63" shapeId="0">
      <text>
        <r>
          <rPr>
            <b/>
            <sz val="9"/>
            <rFont val="Tahoma"/>
          </rPr>
          <t>Jana Holíková:</t>
        </r>
        <r>
          <rPr>
            <sz val="9"/>
            <rFont val="Tahoma"/>
          </rPr>
          <t xml:space="preserve">
25136/08 -17.245 
dotace 
</t>
        </r>
      </text>
    </comment>
    <comment ref="D195" authorId="64" shapeId="0">
      <text>
        <r>
          <rPr>
            <b/>
            <sz val="9"/>
            <rFont val="Tahoma"/>
          </rPr>
          <t>Jana Holíková:</t>
        </r>
        <r>
          <rPr>
            <sz val="9"/>
            <rFont val="Tahoma"/>
          </rPr>
          <t xml:space="preserve">
25135/08 +294.000
</t>
        </r>
      </text>
    </comment>
    <comment ref="D196" authorId="65" shapeId="0">
      <text>
        <r>
          <rPr>
            <b/>
            <sz val="9"/>
            <rFont val="Tahoma"/>
          </rPr>
          <t>Jana Holíková:</t>
        </r>
        <r>
          <rPr>
            <sz val="9"/>
            <rFont val="Tahoma"/>
          </rPr>
          <t xml:space="preserve">
25234/12 +995.434,77
</t>
        </r>
      </text>
    </comment>
    <comment ref="D197" authorId="66" shapeId="0">
      <text>
        <r>
          <rPr>
            <b/>
            <sz val="9"/>
            <rFont val="Tahoma"/>
          </rPr>
          <t>Jana Holíková:</t>
        </r>
        <r>
          <rPr>
            <sz val="9"/>
            <rFont val="Tahoma"/>
          </rPr>
          <t xml:space="preserve">
25163/09 +1.563.852,31
</t>
        </r>
      </text>
    </comment>
    <comment ref="D198" authorId="67" shapeId="0">
      <text>
        <r>
          <rPr>
            <b/>
            <sz val="9"/>
            <rFont val="Tahoma"/>
          </rPr>
          <t>Jana Holíková:</t>
        </r>
        <r>
          <rPr>
            <sz val="9"/>
            <rFont val="Tahoma"/>
          </rPr>
          <t xml:space="preserve">
25194/10 +207.366
25224/12 +117.914
</t>
        </r>
      </text>
    </comment>
    <comment ref="D199" authorId="68" shapeId="0">
      <text>
        <r>
          <rPr>
            <b/>
            <sz val="9"/>
            <rFont val="Tahoma"/>
          </rPr>
          <t>Jana Holíková:</t>
        </r>
        <r>
          <rPr>
            <sz val="9"/>
            <rFont val="Tahoma"/>
          </rPr>
          <t xml:space="preserve">
25250/12 +115.881
</t>
        </r>
      </text>
    </comment>
    <comment ref="D201" authorId="69" shapeId="0">
      <text>
        <r>
          <rPr>
            <b/>
            <sz val="9"/>
            <rFont val="Tahoma"/>
          </rPr>
          <t>Jana Holíková:</t>
        </r>
        <r>
          <rPr>
            <sz val="9"/>
            <rFont val="Tahoma"/>
          </rPr>
          <t xml:space="preserve">
25072/04 +71.563,93
</t>
        </r>
      </text>
    </comment>
    <comment ref="D202" authorId="70" shapeId="0">
      <text>
        <r>
          <rPr>
            <b/>
            <sz val="9"/>
            <rFont val="Tahoma"/>
          </rPr>
          <t>Jana Holíková:</t>
        </r>
        <r>
          <rPr>
            <sz val="9"/>
            <rFont val="Tahoma"/>
          </rPr>
          <t xml:space="preserve">
25158/09 +483.823
</t>
        </r>
      </text>
    </comment>
    <comment ref="D203" authorId="71" shapeId="0">
      <text>
        <r>
          <rPr>
            <b/>
            <sz val="9"/>
            <rFont val="Tahoma"/>
          </rPr>
          <t>Jana Holíková:</t>
        </r>
        <r>
          <rPr>
            <sz val="9"/>
            <rFont val="Tahoma"/>
          </rPr>
          <t xml:space="preserve">
25055/03  -+ 25.723 
25246/12 -74.277
</t>
        </r>
      </text>
    </comment>
    <comment ref="D204" authorId="72" shapeId="0">
      <text>
        <r>
          <rPr>
            <b/>
            <sz val="9"/>
            <rFont val="Tahoma"/>
          </rPr>
          <t>Jana Holíková:</t>
        </r>
        <r>
          <rPr>
            <sz val="9"/>
            <rFont val="Tahoma"/>
          </rPr>
          <t xml:space="preserve">
25051/04 úz 33092
+117.955,01 1431
+495.553,09  1435
</t>
        </r>
      </text>
    </comment>
    <comment ref="D205" authorId="73" shapeId="0">
      <text>
        <r>
          <rPr>
            <b/>
            <sz val="9"/>
            <rFont val="Tahoma"/>
          </rPr>
          <t>Jana Holíková:</t>
        </r>
        <r>
          <rPr>
            <sz val="9"/>
            <rFont val="Tahoma"/>
          </rPr>
          <t xml:space="preserve">
25052/04 úz 33092
+138.438,27 1431
+581.607,57  1435
</t>
        </r>
      </text>
    </comment>
    <comment ref="D206" authorId="74" shapeId="0">
      <text>
        <r>
          <rPr>
            <b/>
            <sz val="9"/>
            <rFont val="Tahoma"/>
          </rPr>
          <t>Jana Holíková:</t>
        </r>
        <r>
          <rPr>
            <sz val="9"/>
            <rFont val="Tahoma"/>
          </rPr>
          <t xml:space="preserve">
25041/03 úz 33092
+108.476,76 1431
+455.733  1435
</t>
        </r>
      </text>
    </comment>
    <comment ref="D207" authorId="75" shapeId="0">
      <text>
        <r>
          <rPr>
            <b/>
            <sz val="9"/>
            <rFont val="Tahoma"/>
          </rPr>
          <t>Jana Holíková:</t>
        </r>
        <r>
          <rPr>
            <sz val="9"/>
            <rFont val="Tahoma"/>
          </rPr>
          <t xml:space="preserve">
25131/08 úz33092
+ 348.577,29 1441
+1.464.444,50 1445
</t>
        </r>
      </text>
    </comment>
    <comment ref="D208" authorId="76" shapeId="0">
      <text>
        <r>
          <rPr>
            <b/>
            <sz val="9"/>
            <rFont val="Tahoma"/>
          </rPr>
          <t>Jana Holíková:</t>
        </r>
        <r>
          <rPr>
            <sz val="9"/>
            <rFont val="Tahoma"/>
          </rPr>
          <t xml:space="preserve">
25115/07 úz33092
+ 269.533,32 1441
+1.132.364,58 1445
</t>
        </r>
      </text>
    </comment>
    <comment ref="D209" authorId="77" shapeId="0">
      <text>
        <r>
          <rPr>
            <b/>
            <sz val="9"/>
            <rFont val="Tahoma"/>
          </rPr>
          <t>Jana Holíková:</t>
        </r>
        <r>
          <rPr>
            <sz val="9"/>
            <rFont val="Tahoma"/>
          </rPr>
          <t xml:space="preserve">
25115/07 úz33092
+ 269.533,32 1441
+1.132.364,58 1445
</t>
        </r>
      </text>
    </comment>
    <comment ref="D210" authorId="78" shapeId="0">
      <text>
        <r>
          <rPr>
            <b/>
            <sz val="9"/>
            <rFont val="Tahoma"/>
          </rPr>
          <t>Jana Holíková:</t>
        </r>
        <r>
          <rPr>
            <sz val="9"/>
            <rFont val="Tahoma"/>
          </rPr>
          <t xml:space="preserve">
25048/03 úz33092
+ 280.004,26 1441
+1.176.355,23 1445
</t>
        </r>
      </text>
    </comment>
    <comment ref="D211" authorId="79" shapeId="0">
      <text>
        <r>
          <rPr>
            <b/>
            <sz val="9"/>
            <rFont val="Tahoma"/>
          </rPr>
          <t>Jana Holíková:</t>
        </r>
        <r>
          <rPr>
            <sz val="9"/>
            <rFont val="Tahoma"/>
          </rPr>
          <t xml:space="preserve">
25217/11 úz33092
+ 198.862,55 1441
+ 835.462,29 1445
</t>
        </r>
      </text>
    </comment>
    <comment ref="D212" authorId="80" shapeId="0">
      <text>
        <r>
          <rPr>
            <b/>
            <sz val="9"/>
            <rFont val="Tahoma"/>
          </rPr>
          <t>Jana Holíková:</t>
        </r>
        <r>
          <rPr>
            <sz val="9"/>
            <rFont val="Tahoma"/>
          </rPr>
          <t xml:space="preserve">
25183/10
+1.341.000 radnice
+324.000 podloubí MN1-5
</t>
        </r>
      </text>
    </comment>
    <comment ref="D214" authorId="81" shapeId="0">
      <text>
        <r>
          <rPr>
            <b/>
            <sz val="9"/>
            <rFont val="Tahoma"/>
          </rPr>
          <t>Jana Holíková:</t>
        </r>
        <r>
          <rPr>
            <sz val="9"/>
            <rFont val="Tahoma"/>
          </rPr>
          <t xml:space="preserve">
25246/12 +35.000
</t>
        </r>
      </text>
    </comment>
    <comment ref="D215" authorId="82" shapeId="0">
      <text>
        <r>
          <rPr>
            <b/>
            <sz val="9"/>
            <rFont val="Tahoma"/>
          </rPr>
          <t>Jana Holíková:</t>
        </r>
        <r>
          <rPr>
            <sz val="9"/>
            <rFont val="Tahoma"/>
          </rPr>
          <t xml:space="preserve">
25246/12 +5.019
</t>
        </r>
      </text>
    </comment>
    <comment ref="D216" authorId="83" shapeId="0">
      <text>
        <r>
          <rPr>
            <b/>
            <sz val="9"/>
            <rFont val="Tahoma"/>
          </rPr>
          <t>Jana Holíková:</t>
        </r>
        <r>
          <rPr>
            <sz val="9"/>
            <rFont val="Tahoma"/>
          </rPr>
          <t xml:space="preserve">
25246/12 -31.600
</t>
        </r>
      </text>
    </comment>
    <comment ref="D217" authorId="84" shapeId="0">
      <text>
        <r>
          <rPr>
            <b/>
            <sz val="9"/>
            <rFont val="Tahoma"/>
          </rPr>
          <t>Jana Holíková:</t>
        </r>
        <r>
          <rPr>
            <sz val="9"/>
            <rFont val="Tahoma"/>
          </rPr>
          <t xml:space="preserve">
25246/12 -91.374
</t>
        </r>
      </text>
    </comment>
    <comment ref="D218" authorId="85" shapeId="0">
      <text>
        <r>
          <rPr>
            <b/>
            <sz val="9"/>
            <rFont val="Tahoma"/>
          </rPr>
          <t>Jana Holíková:</t>
        </r>
        <r>
          <rPr>
            <sz val="9"/>
            <rFont val="Tahoma"/>
          </rPr>
          <t xml:space="preserve">
25103/07 z orj 541 na 029
</t>
        </r>
      </text>
    </comment>
    <comment ref="D220" authorId="86" shapeId="0">
      <text>
        <r>
          <rPr>
            <b/>
            <sz val="9"/>
            <rFont val="Tahoma"/>
          </rPr>
          <t>Jana Holíková:</t>
        </r>
        <r>
          <rPr>
            <sz val="9"/>
            <rFont val="Tahoma"/>
          </rPr>
          <t xml:space="preserve">
25246/12 -300
</t>
        </r>
      </text>
    </comment>
    <comment ref="D221" authorId="87" shapeId="0">
      <text>
        <r>
          <rPr>
            <b/>
            <sz val="9"/>
            <rFont val="Tahoma"/>
          </rPr>
          <t>Jana Holíková:</t>
        </r>
        <r>
          <rPr>
            <sz val="9"/>
            <rFont val="Tahoma"/>
          </rPr>
          <t xml:space="preserve">
25246/12 +5.000
</t>
        </r>
      </text>
    </comment>
    <comment ref="D223" authorId="88" shapeId="0">
      <text>
        <r>
          <rPr>
            <b/>
            <sz val="9"/>
            <rFont val="Tahoma"/>
          </rPr>
          <t>Jana Holíková:</t>
        </r>
        <r>
          <rPr>
            <sz val="9"/>
            <rFont val="Tahoma"/>
          </rPr>
          <t xml:space="preserve">
25085/05 +110.000
</t>
        </r>
      </text>
    </comment>
    <comment ref="D224" authorId="89" shapeId="0">
      <text>
        <r>
          <rPr>
            <b/>
            <sz val="9"/>
            <rFont val="Tahoma"/>
          </rPr>
          <t>Jana Holíková:</t>
        </r>
        <r>
          <rPr>
            <sz val="9"/>
            <rFont val="Tahoma"/>
          </rPr>
          <t xml:space="preserve">
25010/01 +4.737.000
</t>
        </r>
      </text>
    </comment>
    <comment ref="D226" authorId="90" shapeId="0">
      <text>
        <r>
          <rPr>
            <b/>
            <sz val="9"/>
            <rFont val="Tahoma"/>
          </rPr>
          <t>Jana Holíková:</t>
        </r>
        <r>
          <rPr>
            <sz val="9"/>
            <rFont val="Tahoma"/>
          </rPr>
          <t xml:space="preserve">
25073/04 +140.000
</t>
        </r>
      </text>
    </comment>
    <comment ref="D227" authorId="91" shapeId="0">
      <text>
        <r>
          <rPr>
            <b/>
            <sz val="9"/>
            <rFont val="Tahoma"/>
          </rPr>
          <t>Jana Holíková:</t>
        </r>
        <r>
          <rPr>
            <sz val="9"/>
            <rFont val="Tahoma"/>
          </rPr>
          <t xml:space="preserve">
25181/10 +10.000
</t>
        </r>
      </text>
    </comment>
    <comment ref="D228" authorId="92" shapeId="0">
      <text>
        <r>
          <rPr>
            <b/>
            <sz val="9"/>
            <rFont val="Tahoma"/>
          </rPr>
          <t>Jana Holíková:</t>
        </r>
        <r>
          <rPr>
            <sz val="9"/>
            <rFont val="Tahoma"/>
          </rPr>
          <t xml:space="preserve">
25053/03 +239.800
</t>
        </r>
      </text>
    </comment>
    <comment ref="D229" authorId="93" shapeId="0">
      <text>
        <r>
          <rPr>
            <b/>
            <sz val="9"/>
            <rFont val="Tahoma"/>
          </rPr>
          <t>Jana Holíková:</t>
        </r>
        <r>
          <rPr>
            <sz val="9"/>
            <rFont val="Tahoma"/>
          </rPr>
          <t xml:space="preserve">
25037/03
+ 12.834 úz 253 1441
+115.506 úz 911 1445
25118/07 
- 9.659,60 úz253 1441
-86.936,40 úz911 1445
25180/10
 +14.076 úz253 1441
+126.684 úz911 1445
</t>
        </r>
      </text>
    </comment>
    <comment ref="D230" authorId="94" shapeId="0">
      <text>
        <r>
          <rPr>
            <b/>
            <sz val="9"/>
            <rFont val="Tahoma"/>
          </rPr>
          <t>Jana Holíková:</t>
        </r>
        <r>
          <rPr>
            <sz val="9"/>
            <rFont val="Tahoma"/>
          </rPr>
          <t xml:space="preserve">
25038/03 
+ 9.850 úz 253 1441
+88.650 úz911 1445
25128.07 
- 7.511,70 úz253 1441
-67.605,30 úz911 1445
25222/12
+9.418,5 úz253 1441
+84.766,50 úz911 1445
</t>
        </r>
      </text>
    </comment>
    <comment ref="D231" authorId="95" shapeId="0">
      <text>
        <r>
          <rPr>
            <b/>
            <sz val="9"/>
            <rFont val="Tahoma"/>
          </rPr>
          <t>Jana Holíková:</t>
        </r>
        <r>
          <rPr>
            <sz val="9"/>
            <rFont val="Tahoma"/>
          </rPr>
          <t xml:space="preserve">
25040/03
+ 17.098,20 úz253 1441
+153.883,80 úz911 1445
25156/09
- 17.098,20 úz253 1441
-153.883,80 úz911 1445
25223/12 
+34.051,50 úz253 1441
+306.463,50 úz911 1445
</t>
        </r>
      </text>
    </comment>
    <comment ref="D232" authorId="96" shapeId="0">
      <text>
        <r>
          <rPr>
            <b/>
            <sz val="9"/>
            <rFont val="Tahoma"/>
          </rPr>
          <t>Jana Holíková:</t>
        </r>
        <r>
          <rPr>
            <sz val="9"/>
            <rFont val="Tahoma"/>
          </rPr>
          <t xml:space="preserve">
25046/03
 +9.159,75 úz253 1441
+82.437,75 úz911 1445
25116.07 
 -6.672,70 úz253 1441
-60.054,30 úz911 1445
25178/10 
+ 31.360,50 úz 253 1441
+282.244,50 úz 911 1445
</t>
        </r>
      </text>
    </comment>
    <comment ref="D233" authorId="97" shapeId="0">
      <text>
        <r>
          <rPr>
            <b/>
            <sz val="9"/>
            <rFont val="Tahoma"/>
          </rPr>
          <t>Jana Holíková:</t>
        </r>
        <r>
          <rPr>
            <sz val="9"/>
            <rFont val="Tahoma"/>
          </rPr>
          <t xml:space="preserve">
25039/03 
+ 11.663,45 úz 253 1441
+104.971,05 úz911 1445
25117.07 
- 7.299,90 úz253 1441
-65.699,10 úz911 1445
25179/10
+ 24.290,45 úz245 1441
+113.643 úz 911 1445
25257/12 -24.290,45 +12.627
25257/12 
-24.290,45 +12.627 úz253 1441
</t>
        </r>
      </text>
    </comment>
    <comment ref="D234" authorId="98" shapeId="0">
      <text>
        <r>
          <rPr>
            <b/>
            <sz val="9"/>
            <rFont val="Tahoma"/>
          </rPr>
          <t>Jana Holíková:</t>
        </r>
        <r>
          <rPr>
            <sz val="9"/>
            <rFont val="Tahoma"/>
          </rPr>
          <t xml:space="preserve">
25210/11 +169.263
25246/12 -+169.263
</t>
        </r>
      </text>
    </comment>
    <comment ref="D235" authorId="99" shapeId="0">
      <text>
        <r>
          <rPr>
            <b/>
            <sz val="9"/>
            <rFont val="Tahoma"/>
          </rPr>
          <t>Jana Holíková:</t>
        </r>
        <r>
          <rPr>
            <sz val="9"/>
            <rFont val="Tahoma"/>
          </rPr>
          <t xml:space="preserve">
25061/04 +4.631.000
25176/10 +938.000
</t>
        </r>
      </text>
    </comment>
    <comment ref="D240" authorId="100" shapeId="0">
      <text>
        <r>
          <rPr>
            <b/>
            <sz val="9"/>
            <rFont val="Tahoma"/>
          </rPr>
          <t>Jana Holíková:</t>
        </r>
        <r>
          <rPr>
            <sz val="9"/>
            <rFont val="Tahoma"/>
          </rPr>
          <t xml:space="preserve">
25165/09 -1.101.835,09
25252/12 +999.894,81
</t>
        </r>
      </text>
    </comment>
    <comment ref="D242" authorId="101" shapeId="0">
      <text>
        <r>
          <rPr>
            <b/>
            <sz val="9"/>
            <rFont val="Tahoma"/>
          </rPr>
          <t>Jana Holíková:</t>
        </r>
        <r>
          <rPr>
            <sz val="9"/>
            <rFont val="Tahoma"/>
          </rPr>
          <t xml:space="preserve">
25254/12 -13.964.800
</t>
        </r>
      </text>
    </comment>
    <comment ref="D243" authorId="102" shapeId="0">
      <text>
        <r>
          <rPr>
            <b/>
            <sz val="9"/>
            <rFont val="Tahoma"/>
          </rPr>
          <t>Jana Holíková:</t>
        </r>
        <r>
          <rPr>
            <sz val="9"/>
            <rFont val="Tahoma"/>
          </rPr>
          <t xml:space="preserve">
25164/09 -8.886.847
</t>
        </r>
      </text>
    </comment>
    <comment ref="D244" authorId="103" shapeId="0">
      <text>
        <r>
          <rPr>
            <b/>
            <sz val="9"/>
            <rFont val="Tahoma"/>
          </rPr>
          <t>Jana Holíková:</t>
        </r>
        <r>
          <rPr>
            <sz val="9"/>
            <rFont val="Tahoma"/>
          </rPr>
          <t xml:space="preserve">
25163/09 -1.817.357,44
</t>
        </r>
      </text>
    </comment>
    <comment ref="D245" authorId="104" shapeId="0">
      <text>
        <r>
          <rPr>
            <b/>
            <sz val="9"/>
            <rFont val="Tahoma"/>
          </rPr>
          <t>Jana Holíková:</t>
        </r>
        <r>
          <rPr>
            <sz val="9"/>
            <rFont val="Tahoma"/>
          </rPr>
          <t xml:space="preserve">
25163/09 +196.649,72
</t>
        </r>
      </text>
    </comment>
    <comment ref="D246" authorId="105" shapeId="0">
      <text>
        <r>
          <rPr>
            <b/>
            <sz val="9"/>
            <rFont val="Tahoma"/>
          </rPr>
          <t>Jana Holíková:</t>
        </r>
        <r>
          <rPr>
            <sz val="9"/>
            <rFont val="Tahoma"/>
          </rPr>
          <t xml:space="preserve">
25244/12 +8.820.238,62
</t>
        </r>
      </text>
    </comment>
    <comment ref="D247" authorId="106" shapeId="0">
      <text>
        <r>
          <rPr>
            <b/>
            <sz val="9"/>
            <rFont val="Tahoma"/>
          </rPr>
          <t>Jana Holíková:</t>
        </r>
        <r>
          <rPr>
            <sz val="9"/>
            <rFont val="Tahoma"/>
          </rPr>
          <t xml:space="preserve">
25054/03 +1.571.026,45
</t>
        </r>
      </text>
    </comment>
    <comment ref="D248" authorId="107" shapeId="0">
      <text>
        <r>
          <rPr>
            <b/>
            <sz val="9"/>
            <rFont val="Tahoma"/>
          </rPr>
          <t>Jana Holíková:</t>
        </r>
        <r>
          <rPr>
            <sz val="9"/>
            <rFont val="Tahoma"/>
          </rPr>
          <t xml:space="preserve">
25072/04 +1.022.341,89
</t>
        </r>
      </text>
    </comment>
    <comment ref="D249" authorId="108" shapeId="0">
      <text>
        <r>
          <rPr>
            <b/>
            <sz val="9"/>
            <rFont val="Tahoma"/>
          </rPr>
          <t>Jana Holíková:</t>
        </r>
        <r>
          <rPr>
            <sz val="9"/>
            <rFont val="Tahoma"/>
          </rPr>
          <t xml:space="preserve">
25114.07 +40.000
</t>
        </r>
      </text>
    </comment>
    <comment ref="D251" authorId="109" shapeId="0">
      <text>
        <r>
          <rPr>
            <b/>
            <sz val="9"/>
            <rFont val="Tahoma"/>
          </rPr>
          <t>Jana Holíková:</t>
        </r>
        <r>
          <rPr>
            <sz val="9"/>
            <rFont val="Tahoma"/>
          </rPr>
          <t xml:space="preserve">
25073/04 -140.000
</t>
        </r>
      </text>
    </comment>
    <comment ref="D252" authorId="110" shapeId="0">
      <text>
        <r>
          <rPr>
            <b/>
            <sz val="9"/>
            <rFont val="Tahoma"/>
          </rPr>
          <t>Jana Holíková:</t>
        </r>
        <r>
          <rPr>
            <sz val="9"/>
            <rFont val="Tahoma"/>
          </rPr>
          <t xml:space="preserve">
25167/09 -79.980
</t>
        </r>
      </text>
    </comment>
    <comment ref="D258" authorId="111" shapeId="0">
      <text>
        <r>
          <rPr>
            <b/>
            <sz val="9"/>
            <rFont val="Tahoma"/>
          </rPr>
          <t>Jana Holíková:</t>
        </r>
        <r>
          <rPr>
            <sz val="9"/>
            <rFont val="Tahoma"/>
          </rPr>
          <t xml:space="preserve">
25030/03 +21.520.868,17
</t>
        </r>
      </text>
    </comment>
    <comment ref="D269" authorId="112" shapeId="0">
      <text>
        <r>
          <rPr>
            <b/>
            <sz val="9"/>
            <rFont val="Tahoma"/>
          </rPr>
          <t>Jana Holíková:</t>
        </r>
        <r>
          <rPr>
            <sz val="9"/>
            <rFont val="Tahoma"/>
          </rPr>
          <t xml:space="preserve">
25691/11 -15.000
</t>
        </r>
      </text>
    </comment>
    <comment ref="D270" authorId="113" shapeId="0">
      <text>
        <r>
          <rPr>
            <b/>
            <sz val="9"/>
            <rFont val="Tahoma"/>
          </rPr>
          <t>Jana Holíková:</t>
        </r>
        <r>
          <rPr>
            <sz val="9"/>
            <rFont val="Tahoma"/>
          </rPr>
          <t xml:space="preserve">
25190/10 +174.082,70
25691/11 -43.000
</t>
        </r>
      </text>
    </comment>
    <comment ref="D271" authorId="114" shapeId="0">
      <text>
        <r>
          <rPr>
            <b/>
            <sz val="9"/>
            <rFont val="Tahoma"/>
          </rPr>
          <t>Jana Holíková:</t>
        </r>
        <r>
          <rPr>
            <sz val="9"/>
            <rFont val="Tahoma"/>
          </rPr>
          <t xml:space="preserve">
25190/10 -174.082,70
25691/11 -25.000
</t>
        </r>
      </text>
    </comment>
    <comment ref="D272" authorId="115" shapeId="0">
      <text>
        <r>
          <rPr>
            <b/>
            <sz val="9"/>
            <rFont val="Tahoma"/>
          </rPr>
          <t>Jana Holíková:</t>
        </r>
        <r>
          <rPr>
            <sz val="9"/>
            <rFont val="Tahoma"/>
          </rPr>
          <t xml:space="preserve">
25691/11 +83.000
25236/12 +17.000
</t>
        </r>
      </text>
    </comment>
    <comment ref="D275" authorId="116" shapeId="0">
      <text>
        <r>
          <rPr>
            <b/>
            <sz val="9"/>
            <rFont val="Tahoma"/>
          </rPr>
          <t>Jana Holíková:</t>
        </r>
        <r>
          <rPr>
            <sz val="9"/>
            <rFont val="Tahoma"/>
          </rPr>
          <t xml:space="preserve">
25519/02 +699.259
25564/05 +195.569,92
25608/08 +669.420,40
25187/10 +400.000
</t>
        </r>
      </text>
    </comment>
    <comment ref="D276" authorId="117" shapeId="0">
      <text>
        <r>
          <rPr>
            <b/>
            <sz val="9"/>
            <rFont val="Tahoma"/>
          </rPr>
          <t>Jana Holíková:</t>
        </r>
        <r>
          <rPr>
            <sz val="9"/>
            <rFont val="Tahoma"/>
          </rPr>
          <t xml:space="preserve">
25519/02 -699.259
25564/05 -195.569,92
25608/08 -669.420,40
25635/09 +200.000
25187/10 +700.000
25236/12 -17.000
</t>
        </r>
      </text>
    </comment>
    <comment ref="D278" authorId="118" shapeId="0">
      <text>
        <r>
          <rPr>
            <b/>
            <sz val="9"/>
            <rFont val="Tahoma"/>
          </rPr>
          <t>Jana Holíková:</t>
        </r>
        <r>
          <rPr>
            <sz val="9"/>
            <rFont val="Tahoma"/>
          </rPr>
          <t xml:space="preserve">
25635/09 -200.000
</t>
        </r>
      </text>
    </comment>
    <comment ref="D285" authorId="119" shapeId="0">
      <text>
        <r>
          <rPr>
            <b/>
            <sz val="9"/>
            <rFont val="Tahoma"/>
          </rPr>
          <t>Jana Holíková:</t>
        </r>
        <r>
          <rPr>
            <sz val="9"/>
            <rFont val="Tahoma"/>
          </rPr>
          <t xml:space="preserve">
25506/01 +98.736
</t>
        </r>
      </text>
    </comment>
    <comment ref="D286" authorId="120" shapeId="0">
      <text>
        <r>
          <rPr>
            <b/>
            <sz val="9"/>
            <rFont val="Tahoma"/>
          </rPr>
          <t>Jana Holíková:</t>
        </r>
        <r>
          <rPr>
            <sz val="9"/>
            <rFont val="Tahoma"/>
          </rPr>
          <t xml:space="preserve">
25633/09 +300.201
</t>
        </r>
      </text>
    </comment>
    <comment ref="D287" authorId="121" shapeId="0">
      <text>
        <r>
          <rPr>
            <b/>
            <sz val="9"/>
            <rFont val="Tahoma"/>
          </rPr>
          <t>Jana Holíková:</t>
        </r>
        <r>
          <rPr>
            <sz val="9"/>
            <rFont val="Tahoma"/>
          </rPr>
          <t xml:space="preserve">
25201/11 +700.000
</t>
        </r>
      </text>
    </comment>
    <comment ref="D288" authorId="122" shapeId="0">
      <text>
        <r>
          <rPr>
            <b/>
            <sz val="9"/>
            <rFont val="Tahoma"/>
          </rPr>
          <t>Jana Holíková:</t>
        </r>
        <r>
          <rPr>
            <sz val="9"/>
            <rFont val="Tahoma"/>
          </rPr>
          <t xml:space="preserve">
25249/12 -500.000
</t>
        </r>
      </text>
    </comment>
    <comment ref="D289" authorId="123" shapeId="0">
      <text>
        <r>
          <rPr>
            <b/>
            <sz val="9"/>
            <rFont val="Tahoma"/>
          </rPr>
          <t>Jana Holíková:</t>
        </r>
        <r>
          <rPr>
            <sz val="9"/>
            <rFont val="Tahoma"/>
          </rPr>
          <t xml:space="preserve">
25501/01 +18.732,10
</t>
        </r>
      </text>
    </comment>
    <comment ref="D290" authorId="124" shapeId="0">
      <text>
        <r>
          <rPr>
            <b/>
            <sz val="9"/>
            <rFont val="Tahoma"/>
          </rPr>
          <t>Jana Holíková:</t>
        </r>
        <r>
          <rPr>
            <sz val="9"/>
            <rFont val="Tahoma"/>
          </rPr>
          <t xml:space="preserve">
25506/01 -98.736
25169/09 +107.296
25633/09 -300.201
25639/09 +88.267,90
</t>
        </r>
      </text>
    </comment>
    <comment ref="D291" authorId="125" shapeId="0">
      <text>
        <r>
          <rPr>
            <b/>
            <sz val="9"/>
            <rFont val="Tahoma"/>
          </rPr>
          <t>Jana Holíková:</t>
        </r>
        <r>
          <rPr>
            <sz val="9"/>
            <rFont val="Tahoma"/>
          </rPr>
          <t xml:space="preserve">
25501/01 -18.732,10
25637/09 -393.000
25639/09 -88.267,90
</t>
        </r>
      </text>
    </comment>
    <comment ref="D292" authorId="126" shapeId="0">
      <text>
        <r>
          <rPr>
            <b/>
            <sz val="9"/>
            <rFont val="Tahoma"/>
          </rPr>
          <t>Jana Holíková:</t>
        </r>
        <r>
          <rPr>
            <sz val="9"/>
            <rFont val="Tahoma"/>
          </rPr>
          <t xml:space="preserve">
25525/02 +370.000
25580.07 +13.752,93
25637/09 +393.000
</t>
        </r>
      </text>
    </comment>
    <comment ref="D293" authorId="127" shapeId="0">
      <text>
        <r>
          <rPr>
            <b/>
            <sz val="9"/>
            <rFont val="Tahoma"/>
          </rPr>
          <t>Jana Holíková:</t>
        </r>
        <r>
          <rPr>
            <sz val="9"/>
            <rFont val="Tahoma"/>
          </rPr>
          <t xml:space="preserve">
25525/02 -370.000
25580.07 -13.752,93
</t>
        </r>
      </text>
    </comment>
    <comment ref="D296" authorId="128" shapeId="0">
      <text>
        <r>
          <rPr>
            <b/>
            <sz val="9"/>
            <rFont val="Tahoma"/>
          </rPr>
          <t>Jana Holíková:</t>
        </r>
        <r>
          <rPr>
            <sz val="9"/>
            <rFont val="Tahoma"/>
          </rPr>
          <t xml:space="preserve">
25513/01 +90.212,58
</t>
        </r>
      </text>
    </comment>
    <comment ref="D297" authorId="129" shapeId="0">
      <text>
        <r>
          <rPr>
            <b/>
            <sz val="9"/>
            <rFont val="Tahoma"/>
          </rPr>
          <t>Jana Holíková:</t>
        </r>
        <r>
          <rPr>
            <sz val="9"/>
            <rFont val="Tahoma"/>
          </rPr>
          <t xml:space="preserve">
25675/1
1 +59.895
</t>
        </r>
      </text>
    </comment>
    <comment ref="D298" authorId="130" shapeId="0">
      <text>
        <r>
          <rPr>
            <b/>
            <sz val="9"/>
            <rFont val="Tahoma"/>
          </rPr>
          <t>Jana Holíková:</t>
        </r>
        <r>
          <rPr>
            <sz val="9"/>
            <rFont val="Tahoma"/>
          </rPr>
          <t xml:space="preserve">
25505/01 +29.947,50
</t>
        </r>
      </text>
    </comment>
    <comment ref="D302" authorId="131" shapeId="0">
      <text>
        <r>
          <rPr>
            <b/>
            <sz val="9"/>
            <rFont val="Tahoma"/>
          </rPr>
          <t>Jana Holíková:</t>
        </r>
        <r>
          <rPr>
            <sz val="9"/>
            <rFont val="Tahoma"/>
          </rPr>
          <t xml:space="preserve">
25505/01 -29.947,50
25513/01 -90.212,58
25124.07 -2.000.000
25675/11 -59.895
</t>
        </r>
      </text>
    </comment>
    <comment ref="D305" authorId="132" shapeId="0">
      <text>
        <r>
          <rPr>
            <b/>
            <sz val="9"/>
            <rFont val="Tahoma"/>
          </rPr>
          <t>Jana Holíková:</t>
        </r>
        <r>
          <rPr>
            <sz val="9"/>
            <rFont val="Tahoma"/>
          </rPr>
          <t xml:space="preserve">
25538/03 +19.312,50
</t>
        </r>
      </text>
    </comment>
    <comment ref="D306" authorId="133" shapeId="0">
      <text>
        <r>
          <rPr>
            <b/>
            <sz val="9"/>
            <rFont val="Tahoma"/>
          </rPr>
          <t>Jana Holíková:</t>
        </r>
        <r>
          <rPr>
            <sz val="9"/>
            <rFont val="Tahoma"/>
          </rPr>
          <t xml:space="preserve">
25020/02 +250.000
25186/10 +500.000
</t>
        </r>
      </text>
    </comment>
    <comment ref="D308" authorId="134" shapeId="0">
      <text>
        <r>
          <rPr>
            <b/>
            <sz val="9"/>
            <rFont val="Tahoma"/>
          </rPr>
          <t>Jana Holíková:</t>
        </r>
        <r>
          <rPr>
            <sz val="9"/>
            <rFont val="Tahoma"/>
          </rPr>
          <t xml:space="preserve">
25538/03 -19.312,50
</t>
        </r>
      </text>
    </comment>
    <comment ref="D309" authorId="135" shapeId="0">
      <text>
        <r>
          <rPr>
            <b/>
            <sz val="9"/>
            <rFont val="Tahoma"/>
          </rPr>
          <t>Jana Holíková:</t>
        </r>
        <r>
          <rPr>
            <sz val="9"/>
            <rFont val="Tahoma"/>
          </rPr>
          <t xml:space="preserve">
25169/09 +7.519
</t>
        </r>
      </text>
    </comment>
    <comment ref="D312" authorId="136" shapeId="0">
      <text>
        <r>
          <rPr>
            <b/>
            <sz val="9"/>
            <rFont val="Tahoma"/>
          </rPr>
          <t>Jana Holíková:</t>
        </r>
        <r>
          <rPr>
            <sz val="9"/>
            <rFont val="Tahoma"/>
          </rPr>
          <t xml:space="preserve">
25081/05 +3.375.008,64
25173/09 -3.554.234,82
25701/12 +160.000
</t>
        </r>
      </text>
    </comment>
    <comment ref="D315" authorId="137" shapeId="0">
      <text>
        <r>
          <rPr>
            <b/>
            <sz val="9"/>
            <rFont val="Tahoma"/>
          </rPr>
          <t>Jana Holíková:</t>
        </r>
        <r>
          <rPr>
            <sz val="9"/>
            <rFont val="Tahoma"/>
          </rPr>
          <t xml:space="preserve">
25632/09 +66.512,10
25701/12 -75.000
</t>
        </r>
      </text>
    </comment>
    <comment ref="D317" authorId="138" shapeId="0">
      <text>
        <r>
          <rPr>
            <b/>
            <sz val="9"/>
            <rFont val="Tahoma"/>
          </rPr>
          <t>Jana Holíková:</t>
        </r>
        <r>
          <rPr>
            <sz val="9"/>
            <rFont val="Tahoma"/>
          </rPr>
          <t xml:space="preserve">
25632/09 -66.512,10
25701/12 -60.000
</t>
        </r>
      </text>
    </comment>
    <comment ref="D318" authorId="139" shapeId="0">
      <text>
        <r>
          <rPr>
            <b/>
            <sz val="9"/>
            <rFont val="Tahoma"/>
          </rPr>
          <t>Jana Holíková:</t>
        </r>
        <r>
          <rPr>
            <sz val="9"/>
            <rFont val="Tahoma"/>
          </rPr>
          <t xml:space="preserve">
25701/12 -25.000
</t>
        </r>
      </text>
    </comment>
    <comment ref="D324" authorId="140" shapeId="0">
      <text>
        <r>
          <rPr>
            <b/>
            <sz val="9"/>
            <rFont val="Tahoma"/>
          </rPr>
          <t>Jana Holíková:</t>
        </r>
        <r>
          <rPr>
            <sz val="9"/>
            <rFont val="Tahoma"/>
          </rPr>
          <t xml:space="preserve">
25186/10 -500.000
</t>
        </r>
      </text>
    </comment>
    <comment ref="D326" authorId="141" shapeId="0">
      <text>
        <r>
          <rPr>
            <b/>
            <sz val="9"/>
            <rFont val="Tahoma"/>
          </rPr>
          <t>Jana Holíková:</t>
        </r>
        <r>
          <rPr>
            <sz val="9"/>
            <rFont val="Tahoma"/>
          </rPr>
          <t xml:space="preserve">
25192/10 -50.000
</t>
        </r>
      </text>
    </comment>
    <comment ref="D327" authorId="142" shapeId="0">
      <text>
        <r>
          <rPr>
            <b/>
            <sz val="9"/>
            <rFont val="Tahoma"/>
          </rPr>
          <t>Jana Holíková:</t>
        </r>
        <r>
          <rPr>
            <sz val="9"/>
            <rFont val="Tahoma"/>
          </rPr>
          <t xml:space="preserve">
25192/10 -100.000
</t>
        </r>
      </text>
    </comment>
    <comment ref="D330" authorId="143" shapeId="0">
      <text>
        <r>
          <rPr>
            <b/>
            <sz val="9"/>
            <rFont val="Tahoma"/>
          </rPr>
          <t>Jana Holíková:</t>
        </r>
        <r>
          <rPr>
            <sz val="9"/>
            <rFont val="Tahoma"/>
          </rPr>
          <t xml:space="preserve">
25702/12 -99.920
</t>
        </r>
      </text>
    </comment>
    <comment ref="D332" authorId="144" shapeId="0">
      <text>
        <r>
          <rPr>
            <b/>
            <sz val="9"/>
            <rFont val="Tahoma"/>
          </rPr>
          <t>Jana Holíková:</t>
        </r>
        <r>
          <rPr>
            <sz val="9"/>
            <rFont val="Tahoma"/>
          </rPr>
          <t xml:space="preserve">
25562/05 +199.650
</t>
        </r>
      </text>
    </comment>
    <comment ref="D333" authorId="145" shapeId="0">
      <text>
        <r>
          <rPr>
            <b/>
            <sz val="9"/>
            <rFont val="Tahoma"/>
          </rPr>
          <t>Jana Holíková:</t>
        </r>
        <r>
          <rPr>
            <sz val="9"/>
            <rFont val="Tahoma"/>
          </rPr>
          <t xml:space="preserve">
25557/05 -96.485,40
25562/05 -199.650
25579.07 -460.000
25591/07 -96.600
25634/09 -244.650
25192/10 +150.000
25245/12 +115.000
</t>
        </r>
      </text>
    </comment>
    <comment ref="D334" authorId="146" shapeId="0">
      <text/>
    </comment>
    <comment ref="D335" authorId="147" shapeId="0">
      <text>
        <r>
          <rPr>
            <b/>
            <sz val="9"/>
            <rFont val="Tahoma"/>
          </rPr>
          <t>Jana Holíková:</t>
        </r>
        <r>
          <rPr>
            <sz val="9"/>
            <rFont val="Tahoma"/>
          </rPr>
          <t xml:space="preserve">
25579.07 +460.000
25591/01 +96.600
</t>
        </r>
      </text>
    </comment>
    <comment ref="D336" authorId="148" shapeId="0">
      <text>
        <r>
          <rPr>
            <b/>
            <sz val="9"/>
            <rFont val="Tahoma"/>
          </rPr>
          <t>Jana Holíková:</t>
        </r>
        <r>
          <rPr>
            <sz val="9"/>
            <rFont val="Tahoma"/>
          </rPr>
          <t xml:space="preserve">
25634/09 +244.650
</t>
        </r>
      </text>
    </comment>
    <comment ref="D337" authorId="149" shapeId="0">
      <text>
        <r>
          <rPr>
            <b/>
            <sz val="9"/>
            <rFont val="Tahoma"/>
          </rPr>
          <t>Jana Holíková:</t>
        </r>
        <r>
          <rPr>
            <sz val="9"/>
            <rFont val="Tahoma"/>
          </rPr>
          <t xml:space="preserve">
25702/12 +99.920
</t>
        </r>
      </text>
    </comment>
    <comment ref="D338" authorId="150" shapeId="0">
      <text>
        <r>
          <rPr>
            <b/>
            <sz val="9"/>
            <rFont val="Tahoma"/>
          </rPr>
          <t>Jana Holíková:</t>
        </r>
        <r>
          <rPr>
            <sz val="9"/>
            <rFont val="Tahoma"/>
          </rPr>
          <t xml:space="preserve">
25557.07 +96.485,40
</t>
        </r>
      </text>
    </comment>
    <comment ref="D340" authorId="151" shapeId="0">
      <text>
        <r>
          <rPr>
            <b/>
            <sz val="9"/>
            <rFont val="Tahoma"/>
          </rPr>
          <t>Jana Holíková:</t>
        </r>
        <r>
          <rPr>
            <sz val="9"/>
            <rFont val="Tahoma"/>
          </rPr>
          <t xml:space="preserve">
25245/12 -20.000
</t>
        </r>
      </text>
    </comment>
    <comment ref="D341" authorId="152" shapeId="0">
      <text>
        <r>
          <rPr>
            <b/>
            <sz val="9"/>
            <rFont val="Tahoma"/>
          </rPr>
          <t>Jana Holíková:</t>
        </r>
        <r>
          <rPr>
            <sz val="9"/>
            <rFont val="Tahoma"/>
          </rPr>
          <t xml:space="preserve">
25245/12 -20.000
</t>
        </r>
      </text>
    </comment>
    <comment ref="D342" authorId="153" shapeId="0">
      <text>
        <r>
          <rPr>
            <b/>
            <sz val="9"/>
            <rFont val="Tahoma"/>
          </rPr>
          <t>Jana Holíková:</t>
        </r>
        <r>
          <rPr>
            <sz val="9"/>
            <rFont val="Tahoma"/>
          </rPr>
          <t xml:space="preserve">
25245/12 -75.000
</t>
        </r>
      </text>
    </comment>
    <comment ref="D349" authorId="154" shapeId="0">
      <text>
        <r>
          <rPr>
            <b/>
            <sz val="9"/>
            <rFont val="Tahoma"/>
          </rPr>
          <t>Jana Holíková:</t>
        </r>
        <r>
          <rPr>
            <sz val="9"/>
            <rFont val="Tahoma"/>
          </rPr>
          <t xml:space="preserve">
25068/04 +226.282
25172/09 -75.741,16
25187/10 -1.100.000
25655/10 -143.052,25
</t>
        </r>
      </text>
    </comment>
    <comment ref="D350" authorId="155" shapeId="0">
      <text>
        <r>
          <rPr>
            <b/>
            <sz val="9"/>
            <rFont val="Tahoma"/>
          </rPr>
          <t>Jana Holíková:</t>
        </r>
        <r>
          <rPr>
            <sz val="9"/>
            <rFont val="Tahoma"/>
          </rPr>
          <t xml:space="preserve">
25068/04 +226.282
25172/09 -75.741,16
25655/10 +143.052,25
</t>
        </r>
      </text>
    </comment>
    <comment ref="D352" authorId="156" shapeId="0">
      <text>
        <r>
          <rPr>
            <b/>
            <sz val="9"/>
            <rFont val="Tahoma"/>
          </rPr>
          <t>Jana Holíková:</t>
        </r>
        <r>
          <rPr>
            <sz val="9"/>
            <rFont val="Tahoma"/>
          </rPr>
          <t xml:space="preserve">
25134/08 +230.000
</t>
        </r>
      </text>
    </comment>
    <comment ref="D354" authorId="157" shapeId="0">
      <text>
        <r>
          <rPr>
            <b/>
            <sz val="9"/>
            <rFont val="Tahoma"/>
          </rPr>
          <t>Jana Holíková:</t>
        </r>
        <r>
          <rPr>
            <sz val="9"/>
            <rFont val="Tahoma"/>
          </rPr>
          <t xml:space="preserve">
25563/05 
-775.379,13  5171
+775.379,13 5139
25169/09 +1.042
25641/09 +360.000
</t>
        </r>
      </text>
    </comment>
    <comment ref="D357" authorId="158" shapeId="0">
      <text>
        <r>
          <rPr>
            <b/>
            <sz val="9"/>
            <rFont val="Tahoma"/>
          </rPr>
          <t>Jana Holíková:</t>
        </r>
        <r>
          <rPr>
            <sz val="9"/>
            <rFont val="Tahoma"/>
          </rPr>
          <t xml:space="preserve">
25581.07 +121.839,10
</t>
        </r>
      </text>
    </comment>
    <comment ref="D358" authorId="159" shapeId="0">
      <text>
        <r>
          <rPr>
            <b/>
            <sz val="9"/>
            <rFont val="Tahoma"/>
          </rPr>
          <t>Jana Holíková:</t>
        </r>
        <r>
          <rPr>
            <sz val="9"/>
            <rFont val="Tahoma"/>
          </rPr>
          <t xml:space="preserve">
25582.07 +51.619
25641/09 +340.000
</t>
        </r>
      </text>
    </comment>
    <comment ref="D360" authorId="160" shapeId="0">
      <text>
        <r>
          <rPr>
            <b/>
            <sz val="9"/>
            <rFont val="Tahoma"/>
          </rPr>
          <t>Jana Holíková:</t>
        </r>
        <r>
          <rPr>
            <sz val="9"/>
            <rFont val="Tahoma"/>
          </rPr>
          <t xml:space="preserve">
25583.07 +10.890
</t>
        </r>
      </text>
    </comment>
    <comment ref="D361" authorId="161" shapeId="0">
      <text>
        <r>
          <rPr>
            <b/>
            <sz val="9"/>
            <rFont val="Tahoma"/>
          </rPr>
          <t>Jana Holíková:</t>
        </r>
        <r>
          <rPr>
            <sz val="9"/>
            <rFont val="Tahoma"/>
          </rPr>
          <t xml:space="preserve">
25532/03 +40.838
</t>
        </r>
      </text>
    </comment>
    <comment ref="D362" authorId="162" shapeId="0">
      <text>
        <r>
          <rPr>
            <b/>
            <sz val="9"/>
            <rFont val="Tahoma"/>
          </rPr>
          <t>Jana Holíková:</t>
        </r>
        <r>
          <rPr>
            <sz val="9"/>
            <rFont val="Tahoma"/>
          </rPr>
          <t xml:space="preserve">
25641/09 -700.000
</t>
        </r>
      </text>
    </comment>
    <comment ref="D363" authorId="163" shapeId="0">
      <text>
        <r>
          <rPr>
            <b/>
            <sz val="9"/>
            <rFont val="Tahoma"/>
          </rPr>
          <t>Jana Holíková:</t>
        </r>
        <r>
          <rPr>
            <sz val="9"/>
            <rFont val="Tahoma"/>
          </rPr>
          <t xml:space="preserve">
25532/03 -40.838
25581/07 -121.839,10
25582/07 -51.619
25583/07 -10.890
25134/08 -230.000
</t>
        </r>
      </text>
    </comment>
    <comment ref="D365" authorId="164" shapeId="0">
      <text>
        <r>
          <rPr>
            <b/>
            <sz val="9"/>
            <rFont val="Tahoma"/>
          </rPr>
          <t>Jana Holíková:</t>
        </r>
        <r>
          <rPr>
            <sz val="9"/>
            <rFont val="Tahoma"/>
          </rPr>
          <t xml:space="preserve">
25025/02 +104.517
25134/08 +67.000
25201/11 -500.000
25249/12 -550.000
</t>
        </r>
      </text>
    </comment>
    <comment ref="D366" authorId="165" shapeId="0">
      <text>
        <r>
          <rPr>
            <b/>
            <sz val="9"/>
            <rFont val="Tahoma"/>
          </rPr>
          <t>Jana Holíková:</t>
        </r>
        <r>
          <rPr>
            <sz val="9"/>
            <rFont val="Tahoma"/>
          </rPr>
          <t xml:space="preserve">
25134/08 -67.000
</t>
        </r>
      </text>
    </comment>
    <comment ref="D369" authorId="166" shapeId="0">
      <text>
        <r>
          <rPr>
            <b/>
            <sz val="9"/>
            <rFont val="Tahoma"/>
          </rPr>
          <t>Jana Holíková:</t>
        </r>
        <r>
          <rPr>
            <sz val="9"/>
            <rFont val="Tahoma"/>
          </rPr>
          <t xml:space="preserve">
25172/09 +75.741,16
</t>
        </r>
      </text>
    </comment>
    <comment ref="D379" authorId="167" shapeId="0">
      <text>
        <r>
          <rPr>
            <b/>
            <sz val="9"/>
            <rFont val="Tahoma"/>
          </rPr>
          <t>Jana Holíková:</t>
        </r>
        <r>
          <rPr>
            <sz val="9"/>
            <rFont val="Tahoma"/>
          </rPr>
          <t xml:space="preserve">
25141/08 -4.000.000
</t>
        </r>
      </text>
    </comment>
    <comment ref="D382" authorId="168" shapeId="0">
      <text>
        <r>
          <rPr>
            <b/>
            <sz val="9"/>
            <rFont val="Tahoma"/>
          </rPr>
          <t>Jana Holíková:</t>
        </r>
        <r>
          <rPr>
            <sz val="9"/>
            <rFont val="Tahoma"/>
          </rPr>
          <t xml:space="preserve">
25504/01 -300.000
25509/01 -80.000
25511/01 -20.000
</t>
        </r>
      </text>
    </comment>
    <comment ref="D384" authorId="169" shapeId="0">
      <text>
        <r>
          <rPr>
            <b/>
            <sz val="9"/>
            <rFont val="Tahoma"/>
          </rPr>
          <t>Jana Holíková:</t>
        </r>
        <r>
          <rPr>
            <sz val="9"/>
            <rFont val="Tahoma"/>
          </rPr>
          <t xml:space="preserve">
25541/04 +450.000
25694/11 -205.000
</t>
        </r>
      </text>
    </comment>
    <comment ref="D385" authorId="170" shapeId="0">
      <text>
        <r>
          <rPr>
            <b/>
            <sz val="9"/>
            <rFont val="Tahoma"/>
          </rPr>
          <t>Jana Holíková:</t>
        </r>
        <r>
          <rPr>
            <sz val="9"/>
            <rFont val="Tahoma"/>
          </rPr>
          <t xml:space="preserve">
25541/04 -450.000
25694/11 +205.000
</t>
        </r>
      </text>
    </comment>
    <comment ref="D386" authorId="171" shapeId="0">
      <text>
        <r>
          <rPr>
            <b/>
            <sz val="9"/>
            <rFont val="Tahoma"/>
          </rPr>
          <t>Jana Holíková:</t>
        </r>
        <r>
          <rPr>
            <sz val="9"/>
            <rFont val="Tahoma"/>
          </rPr>
          <t xml:space="preserve">
25504/01 +300.000
25555/05 -29.900
</t>
        </r>
      </text>
    </comment>
    <comment ref="D387" authorId="172" shapeId="0">
      <text>
        <r>
          <rPr>
            <b/>
            <sz val="9"/>
            <rFont val="Tahoma"/>
          </rPr>
          <t>Jana Holíková:</t>
        </r>
        <r>
          <rPr>
            <sz val="9"/>
            <rFont val="Tahoma"/>
          </rPr>
          <t xml:space="preserve">
25509/01 +80.000
25511/01 +20.000
25555/05 +29.900
25121.07 +803.000
</t>
        </r>
      </text>
    </comment>
    <comment ref="D390" authorId="173" shapeId="0">
      <text>
        <r>
          <rPr>
            <b/>
            <sz val="9"/>
            <rFont val="Tahoma"/>
          </rPr>
          <t>Jana Holíková:</t>
        </r>
        <r>
          <rPr>
            <sz val="9"/>
            <rFont val="Tahoma"/>
          </rPr>
          <t xml:space="preserve">
25576.07 +400.000
</t>
        </r>
      </text>
    </comment>
    <comment ref="D391" authorId="174" shapeId="0">
      <text>
        <r>
          <rPr>
            <b/>
            <sz val="9"/>
            <rFont val="Tahoma"/>
          </rPr>
          <t>Jana Holíková:</t>
        </r>
        <r>
          <rPr>
            <sz val="9"/>
            <rFont val="Tahoma"/>
          </rPr>
          <t xml:space="preserve">
25022/02 -210.000
25120.07 +3.000.000
25126.07 +9.000.000
25576.07 +350.000
25145/08 -5.000.000
25254/12 -3.700.000
</t>
        </r>
      </text>
    </comment>
    <comment ref="D392" authorId="175" shapeId="0">
      <text>
        <r>
          <rPr>
            <b/>
            <sz val="9"/>
            <rFont val="Tahoma"/>
          </rPr>
          <t>Jana Holíková:</t>
        </r>
        <r>
          <rPr>
            <sz val="9"/>
            <rFont val="Tahoma"/>
          </rPr>
          <t xml:space="preserve">
25576.07 -750.000
</t>
        </r>
      </text>
    </comment>
    <comment ref="D395" authorId="176" shapeId="0">
      <text>
        <r>
          <rPr>
            <b/>
            <sz val="9"/>
            <rFont val="Tahoma"/>
          </rPr>
          <t>Jana Holíková:</t>
        </r>
        <r>
          <rPr>
            <sz val="9"/>
            <rFont val="Tahoma"/>
          </rPr>
          <t xml:space="preserve">
25622/08 -250.000
</t>
        </r>
      </text>
    </comment>
    <comment ref="D396" authorId="177" shapeId="0">
      <text>
        <r>
          <rPr>
            <b/>
            <sz val="9"/>
            <rFont val="Tahoma"/>
          </rPr>
          <t>Jana Holíková:</t>
        </r>
        <r>
          <rPr>
            <sz val="9"/>
            <rFont val="Tahoma"/>
          </rPr>
          <t xml:space="preserve">
25589/07 -300.000
</t>
        </r>
      </text>
    </comment>
    <comment ref="D397" authorId="178" shapeId="0">
      <text>
        <r>
          <rPr>
            <b/>
            <sz val="9"/>
            <rFont val="Tahoma"/>
          </rPr>
          <t>Jana Holíková:</t>
        </r>
        <r>
          <rPr>
            <sz val="9"/>
            <rFont val="Tahoma"/>
          </rPr>
          <t xml:space="preserve">
25588/07 -19.000
</t>
        </r>
      </text>
    </comment>
    <comment ref="D402" authorId="179" shapeId="0">
      <text>
        <r>
          <rPr>
            <b/>
            <sz val="9"/>
            <rFont val="Tahoma"/>
          </rPr>
          <t>Jana Holíková:</t>
        </r>
        <r>
          <rPr>
            <sz val="9"/>
            <rFont val="Tahoma"/>
          </rPr>
          <t xml:space="preserve">
25622/08 +250.000
</t>
        </r>
      </text>
    </comment>
    <comment ref="D403" authorId="180" shapeId="0">
      <text>
        <r>
          <rPr>
            <b/>
            <sz val="9"/>
            <rFont val="Tahoma"/>
          </rPr>
          <t>Jana Holíková:</t>
        </r>
        <r>
          <rPr>
            <sz val="9"/>
            <rFont val="Tahoma"/>
          </rPr>
          <t xml:space="preserve">
25542/04 -80.000
25550/05 -35.000
25254/12 -900.000
</t>
        </r>
      </text>
    </comment>
    <comment ref="D405" authorId="181" shapeId="0">
      <text>
        <r>
          <rPr>
            <b/>
            <sz val="9"/>
            <rFont val="Tahoma"/>
          </rPr>
          <t>Jana Holíková:</t>
        </r>
        <r>
          <rPr>
            <sz val="9"/>
            <rFont val="Tahoma"/>
          </rPr>
          <t xml:space="preserve">
25550/05 +35.000
</t>
        </r>
      </text>
    </comment>
    <comment ref="D406" authorId="182" shapeId="0">
      <text>
        <r>
          <rPr>
            <b/>
            <sz val="9"/>
            <rFont val="Tahoma"/>
          </rPr>
          <t>Jana Holíková:</t>
        </r>
        <r>
          <rPr>
            <sz val="9"/>
            <rFont val="Tahoma"/>
          </rPr>
          <t xml:space="preserve">
25067/04 +3.000.000
25588/07 +19.000
25589/07 +300.000
</t>
        </r>
      </text>
    </comment>
    <comment ref="D409" authorId="183" shapeId="0">
      <text>
        <r>
          <rPr>
            <b/>
            <sz val="9"/>
            <rFont val="Tahoma"/>
          </rPr>
          <t>Jana Holíková:</t>
        </r>
        <r>
          <rPr>
            <sz val="9"/>
            <rFont val="Tahoma"/>
          </rPr>
          <t xml:space="preserve">
25542/04 +80.000
</t>
        </r>
      </text>
    </comment>
    <comment ref="D411" authorId="184" shapeId="0">
      <text>
        <r>
          <rPr>
            <b/>
            <sz val="9"/>
            <rFont val="Tahoma"/>
          </rPr>
          <t>Jana Holíková:</t>
        </r>
        <r>
          <rPr>
            <sz val="9"/>
            <rFont val="Tahoma"/>
          </rPr>
          <t xml:space="preserve">
25503/01 -90.000
25653/10 +70.000
</t>
        </r>
      </text>
    </comment>
    <comment ref="D412" authorId="185" shapeId="0">
      <text>
        <r>
          <rPr>
            <b/>
            <sz val="9"/>
            <rFont val="Tahoma"/>
          </rPr>
          <t>Jana Holíková:</t>
        </r>
        <r>
          <rPr>
            <sz val="9"/>
            <rFont val="Tahoma"/>
          </rPr>
          <t xml:space="preserve">
25507/01 -32.000
25508/01 - 104.000
25527/02 -17.000
25124.07 +2.000.000
25616/08 -301.000
25653/10 -70.000
25254/12 -1.700.000
</t>
        </r>
      </text>
    </comment>
    <comment ref="D413" authorId="186" shapeId="0">
      <text>
        <r>
          <rPr>
            <b/>
            <sz val="9"/>
            <rFont val="Tahoma"/>
          </rPr>
          <t>Jana Holíková:</t>
        </r>
        <r>
          <rPr>
            <sz val="9"/>
            <rFont val="Tahoma"/>
          </rPr>
          <t xml:space="preserve">
255508/01 +104.000
</t>
        </r>
      </text>
    </comment>
    <comment ref="D414" authorId="187" shapeId="0">
      <text>
        <r>
          <rPr>
            <b/>
            <sz val="9"/>
            <rFont val="Tahoma"/>
          </rPr>
          <t>Jana Holíková:</t>
        </r>
        <r>
          <rPr>
            <sz val="9"/>
            <rFont val="Tahoma"/>
          </rPr>
          <t xml:space="preserve">
25503/01 +90.000
</t>
        </r>
      </text>
    </comment>
    <comment ref="D417" authorId="188" shapeId="0">
      <text>
        <r>
          <rPr>
            <b/>
            <sz val="9"/>
            <rFont val="Tahoma"/>
          </rPr>
          <t>Jana Holíková:</t>
        </r>
        <r>
          <rPr>
            <sz val="9"/>
            <rFont val="Tahoma"/>
          </rPr>
          <t xml:space="preserve">
25527/02 +17.000
</t>
        </r>
      </text>
    </comment>
    <comment ref="D420" authorId="189" shapeId="0">
      <text>
        <r>
          <rPr>
            <b/>
            <sz val="9"/>
            <rFont val="Tahoma"/>
          </rPr>
          <t>Jana Holíková:</t>
        </r>
        <r>
          <rPr>
            <sz val="9"/>
            <rFont val="Tahoma"/>
          </rPr>
          <t xml:space="preserve">
25001/01 +472.200
25507/01 +32.000
</t>
        </r>
      </text>
    </comment>
    <comment ref="D422" authorId="190" shapeId="0">
      <text>
        <r>
          <rPr>
            <b/>
            <sz val="9"/>
            <rFont val="Tahoma"/>
          </rPr>
          <t>Jana Holíková:</t>
        </r>
        <r>
          <rPr>
            <sz val="9"/>
            <rFont val="Tahoma"/>
          </rPr>
          <t xml:space="preserve">
25526/02 -32.000
25552/05 -21.000
25578.07 -22.000
</t>
        </r>
      </text>
    </comment>
    <comment ref="D424" authorId="191" shapeId="0">
      <text>
        <r>
          <rPr>
            <b/>
            <sz val="9"/>
            <rFont val="Tahoma"/>
          </rPr>
          <t>Jana Holíková:</t>
        </r>
        <r>
          <rPr>
            <sz val="9"/>
            <rFont val="Tahoma"/>
          </rPr>
          <t xml:space="preserve">
25526/02 +32.000
25552/05 +21.000
</t>
        </r>
      </text>
    </comment>
    <comment ref="D425" authorId="192" shapeId="0">
      <text>
        <r>
          <rPr>
            <b/>
            <sz val="9"/>
            <rFont val="Tahoma"/>
          </rPr>
          <t>Jana Holíková:</t>
        </r>
        <r>
          <rPr>
            <sz val="9"/>
            <rFont val="Tahoma"/>
          </rPr>
          <t xml:space="preserve">
25001/01 +685.000
</t>
        </r>
      </text>
    </comment>
    <comment ref="D427" authorId="193" shapeId="0">
      <text>
        <r>
          <rPr>
            <b/>
            <sz val="9"/>
            <rFont val="Tahoma"/>
          </rPr>
          <t>Jana Holíková:</t>
        </r>
        <r>
          <rPr>
            <sz val="9"/>
            <rFont val="Tahoma"/>
          </rPr>
          <t xml:space="preserve">
25001/01 +2.021.300
</t>
        </r>
      </text>
    </comment>
    <comment ref="D429" authorId="194" shapeId="0">
      <text>
        <r>
          <rPr>
            <b/>
            <sz val="9"/>
            <rFont val="Tahoma"/>
          </rPr>
          <t>Jana Holíková:</t>
        </r>
        <r>
          <rPr>
            <sz val="9"/>
            <rFont val="Tahoma"/>
          </rPr>
          <t xml:space="preserve">
25095/06 -1.000.000
25688/11 +300.000
25706/12 -256.000
</t>
        </r>
      </text>
    </comment>
    <comment ref="D430" authorId="195" shapeId="0">
      <text>
        <r>
          <rPr>
            <b/>
            <sz val="9"/>
            <rFont val="Tahoma"/>
          </rPr>
          <t>Jana Holíková:</t>
        </r>
        <r>
          <rPr>
            <sz val="9"/>
            <rFont val="Tahoma"/>
          </rPr>
          <t xml:space="preserve">
25573/06 +437.000
25578.07 +22.000
25616/08 +301.000
</t>
        </r>
      </text>
    </comment>
    <comment ref="D435" authorId="196" shapeId="0">
      <text>
        <r>
          <rPr>
            <b/>
            <sz val="9"/>
            <rFont val="Tahoma"/>
          </rPr>
          <t>Jana Holíková:</t>
        </r>
        <r>
          <rPr>
            <sz val="9"/>
            <rFont val="Tahoma"/>
          </rPr>
          <t xml:space="preserve">
25059/04 +400.000
25679/11 +150.000
25706/12 +256.000
</t>
        </r>
      </text>
    </comment>
    <comment ref="D437" authorId="197" shapeId="0">
      <text>
        <r>
          <rPr>
            <b/>
            <sz val="9"/>
            <rFont val="Tahoma"/>
          </rPr>
          <t>Jana Holíková:</t>
        </r>
        <r>
          <rPr>
            <sz val="9"/>
            <rFont val="Tahoma"/>
          </rPr>
          <t xml:space="preserve">
25573/06 -437.000
</t>
        </r>
      </text>
    </comment>
    <comment ref="D438" authorId="198" shapeId="0">
      <text>
        <r>
          <rPr>
            <b/>
            <sz val="9"/>
            <rFont val="Tahoma"/>
          </rPr>
          <t>Jana Holíková:</t>
        </r>
        <r>
          <rPr>
            <sz val="9"/>
            <rFont val="Tahoma"/>
          </rPr>
          <t xml:space="preserve">
25121.07 -303.000
</t>
        </r>
      </text>
    </comment>
    <comment ref="D439" authorId="199" shapeId="0">
      <text>
        <r>
          <rPr>
            <b/>
            <sz val="9"/>
            <rFont val="Tahoma"/>
          </rPr>
          <t>Jana Holíková:</t>
        </r>
        <r>
          <rPr>
            <sz val="9"/>
            <rFont val="Tahoma"/>
          </rPr>
          <t xml:space="preserve">
25679/11 -150.000
</t>
        </r>
      </text>
    </comment>
    <comment ref="D440" authorId="200" shapeId="0">
      <text>
        <r>
          <rPr>
            <b/>
            <sz val="9"/>
            <rFont val="Tahoma"/>
          </rPr>
          <t>Jana Holíková:</t>
        </r>
        <r>
          <rPr>
            <sz val="9"/>
            <rFont val="Tahoma"/>
          </rPr>
          <t xml:space="preserve">
25668/11 -300.000
není v součtu §2219,
takže sníž započítat přes rez 
</t>
        </r>
      </text>
    </comment>
    <comment ref="D442" authorId="201" shapeId="0">
      <text>
        <r>
          <rPr>
            <b/>
            <sz val="9"/>
            <rFont val="Tahoma"/>
          </rPr>
          <t>Jana Holíková:</t>
        </r>
        <r>
          <rPr>
            <sz val="9"/>
            <rFont val="Tahoma"/>
          </rPr>
          <t xml:space="preserve">
25022/02 +210.000
</t>
        </r>
      </text>
    </comment>
    <comment ref="D443" authorId="202" shapeId="0">
      <text>
        <r>
          <rPr>
            <b/>
            <sz val="9"/>
            <rFont val="Tahoma"/>
          </rPr>
          <t>Jana Holíková:</t>
        </r>
        <r>
          <rPr>
            <sz val="9"/>
            <rFont val="Tahoma"/>
          </rPr>
          <t xml:space="preserve">
25020/02 -250.000
</t>
        </r>
      </text>
    </comment>
    <comment ref="D447" authorId="203" shapeId="0">
      <text>
        <r>
          <rPr>
            <b/>
            <sz val="9"/>
            <rFont val="Tahoma"/>
          </rPr>
          <t>Jana Holíková:</t>
        </r>
        <r>
          <rPr>
            <sz val="9"/>
            <rFont val="Tahoma"/>
          </rPr>
          <t xml:space="preserve">
25105.07 -500.000
25142/08 +470.000
25152/08 
-23.000  5169
+63.000  5171
25682/11 -9.000 5169
</t>
        </r>
      </text>
    </comment>
    <comment ref="D448" authorId="204" shapeId="0">
      <text>
        <r>
          <rPr>
            <b/>
            <sz val="9"/>
            <rFont val="Tahoma"/>
          </rPr>
          <t>Jana Holíková:</t>
        </r>
        <r>
          <rPr>
            <sz val="9"/>
            <rFont val="Tahoma"/>
          </rPr>
          <t xml:space="preserve">
25544/04 -25.000
25566/06 -9.000
</t>
        </r>
      </text>
    </comment>
    <comment ref="D449" authorId="205" shapeId="0">
      <text>
        <r>
          <rPr>
            <b/>
            <sz val="9"/>
            <rFont val="Tahoma"/>
          </rPr>
          <t>Jana Holíková:</t>
        </r>
        <r>
          <rPr>
            <sz val="9"/>
            <rFont val="Tahoma"/>
          </rPr>
          <t xml:space="preserve">
25682/11 -10.000
</t>
        </r>
      </text>
    </comment>
    <comment ref="D450" authorId="206" shapeId="0">
      <text>
        <r>
          <rPr>
            <b/>
            <sz val="9"/>
            <rFont val="Tahoma"/>
          </rPr>
          <t>Jana Holíková:</t>
        </r>
        <r>
          <rPr>
            <sz val="9"/>
            <rFont val="Tahoma"/>
          </rPr>
          <t xml:space="preserve">
25566/06 -18.000
25682/11 +22.000
</t>
        </r>
      </text>
    </comment>
    <comment ref="D451" authorId="207" shapeId="0">
      <text>
        <r>
          <rPr>
            <b/>
            <sz val="9"/>
            <rFont val="Tahoma"/>
          </rPr>
          <t>Jana Holíková:</t>
        </r>
        <r>
          <rPr>
            <sz val="9"/>
            <rFont val="Tahoma"/>
          </rPr>
          <t xml:space="preserve">
25682/11 -3.000
</t>
        </r>
      </text>
    </comment>
    <comment ref="D452" authorId="208" shapeId="0">
      <text>
        <r>
          <rPr>
            <b/>
            <sz val="9"/>
            <rFont val="Tahoma"/>
          </rPr>
          <t>Jana Holíková:</t>
        </r>
        <r>
          <rPr>
            <sz val="9"/>
            <rFont val="Tahoma"/>
          </rPr>
          <t xml:space="preserve">
25544/04 +25.000
</t>
        </r>
      </text>
    </comment>
    <comment ref="D453" authorId="209" shapeId="0">
      <text>
        <r>
          <rPr>
            <b/>
            <sz val="9"/>
            <rFont val="Tahoma"/>
          </rPr>
          <t>Jana Holíková:</t>
        </r>
        <r>
          <rPr>
            <sz val="9"/>
            <rFont val="Tahoma"/>
          </rPr>
          <t xml:space="preserve">
25566/06 +27.000
</t>
        </r>
      </text>
    </comment>
    <comment ref="D456" authorId="210" shapeId="0">
      <text>
        <r>
          <rPr>
            <b/>
            <sz val="9"/>
            <rFont val="Tahoma"/>
          </rPr>
          <t>Jana Holíková:</t>
        </r>
        <r>
          <rPr>
            <sz val="9"/>
            <rFont val="Tahoma"/>
          </rPr>
          <t xml:space="preserve">
25044/03 +14.800.000
25604/07 +420.000
25610/08 +33.000
25613/08 +70.000
</t>
        </r>
      </text>
    </comment>
    <comment ref="D457" authorId="211" shapeId="0">
      <text>
        <r>
          <rPr>
            <b/>
            <sz val="9"/>
            <rFont val="Tahoma"/>
          </rPr>
          <t>Jana Holíková:</t>
        </r>
        <r>
          <rPr>
            <sz val="9"/>
            <rFont val="Tahoma"/>
          </rPr>
          <t xml:space="preserve">
25533/03 +10.000
</t>
        </r>
      </text>
    </comment>
    <comment ref="D458" authorId="212" shapeId="0">
      <text>
        <r>
          <rPr>
            <b/>
            <sz val="9"/>
            <rFont val="Tahoma"/>
          </rPr>
          <t>Jana Holíková:</t>
        </r>
        <r>
          <rPr>
            <sz val="9"/>
            <rFont val="Tahoma"/>
          </rPr>
          <t xml:space="preserve">
25572/06 
-55.000  5171
+75.000 5169
25105.07 +2.000.000
</t>
        </r>
      </text>
    </comment>
    <comment ref="D460" authorId="213" shapeId="0">
      <text>
        <r>
          <rPr>
            <b/>
            <sz val="9"/>
            <rFont val="Tahoma"/>
          </rPr>
          <t>Jana Holíková:</t>
        </r>
        <r>
          <rPr>
            <sz val="9"/>
            <rFont val="Tahoma"/>
          </rPr>
          <t xml:space="preserve">
25533/03 -10.000
25095/06 
-1.443.000 5171
-   254.000 5169
</t>
        </r>
      </text>
    </comment>
    <comment ref="D462" authorId="214" shapeId="0">
      <text>
        <r>
          <rPr>
            <b/>
            <sz val="9"/>
            <rFont val="Tahoma"/>
          </rPr>
          <t>Jana Holíková:</t>
        </r>
        <r>
          <rPr>
            <sz val="9"/>
            <rFont val="Tahoma"/>
          </rPr>
          <t xml:space="preserve">
25006/01 -3.150
</t>
        </r>
      </text>
    </comment>
    <comment ref="D464" authorId="215" shapeId="0">
      <text>
        <r>
          <rPr>
            <b/>
            <sz val="9"/>
            <rFont val="Tahoma"/>
          </rPr>
          <t>Jana Holíková:</t>
        </r>
        <r>
          <rPr>
            <sz val="9"/>
            <rFont val="Tahoma"/>
          </rPr>
          <t xml:space="preserve">
25572/06 -20.000
25612/08 +12.000
25640/09 +12.000
25660/10 +14.000
</t>
        </r>
      </text>
    </comment>
    <comment ref="D465" authorId="216" shapeId="0">
      <text>
        <r>
          <rPr>
            <b/>
            <sz val="9"/>
            <rFont val="Tahoma"/>
          </rPr>
          <t>Jana Holíková:</t>
        </r>
        <r>
          <rPr>
            <sz val="9"/>
            <rFont val="Tahoma"/>
          </rPr>
          <t xml:space="preserve">
25604/07 -420.000
25142/08 -470.000
25152/08 -40.000
25610/08 -33.000
25612/08 -12.000
25613/08 -70.000
25640/09 -12.000
25660/10 -14.000
25239/12 -2.000.000
25254/12 -1.200.000
</t>
        </r>
      </text>
    </comment>
    <comment ref="D467" authorId="217" shapeId="0">
      <text>
        <r>
          <rPr>
            <b/>
            <sz val="9"/>
            <rFont val="Tahoma"/>
          </rPr>
          <t>Jana Holíková:</t>
        </r>
        <r>
          <rPr>
            <sz val="9"/>
            <rFont val="Tahoma"/>
          </rPr>
          <t xml:space="preserve">
25006/01 +3.150
</t>
        </r>
      </text>
    </comment>
    <comment ref="D470" authorId="218" shapeId="0">
      <text>
        <r>
          <rPr>
            <b/>
            <sz val="9"/>
            <rFont val="Tahoma"/>
          </rPr>
          <t>Jana Holíková:</t>
        </r>
        <r>
          <rPr>
            <sz val="9"/>
            <rFont val="Tahoma"/>
          </rPr>
          <t xml:space="preserve">
25160/09 -1.300.000
</t>
        </r>
      </text>
    </comment>
    <comment ref="D472" authorId="219" shapeId="0">
      <text>
        <r>
          <rPr>
            <b/>
            <sz val="9"/>
            <rFont val="Tahoma"/>
          </rPr>
          <t>Jana Holíková:</t>
        </r>
        <r>
          <rPr>
            <sz val="9"/>
            <rFont val="Tahoma"/>
          </rPr>
          <t xml:space="preserve">
25121.07 -100.000
25662/10 -7.500
</t>
        </r>
      </text>
    </comment>
    <comment ref="D473" authorId="220" shapeId="0">
      <text>
        <r>
          <rPr>
            <b/>
            <sz val="9"/>
            <rFont val="Tahoma"/>
          </rPr>
          <t>Jana Holíková:</t>
        </r>
        <r>
          <rPr>
            <sz val="9"/>
            <rFont val="Tahoma"/>
          </rPr>
          <t xml:space="preserve">
25121.07 -400.000
25662/10 +7.500
</t>
        </r>
      </text>
    </comment>
    <comment ref="D476" authorId="221" shapeId="0">
      <text>
        <r>
          <rPr>
            <b/>
            <sz val="9"/>
            <rFont val="Tahoma"/>
          </rPr>
          <t>Jana Holíková:</t>
        </r>
        <r>
          <rPr>
            <sz val="9"/>
            <rFont val="Tahoma"/>
          </rPr>
          <t xml:space="preserve">
25577.07 +86.625
25611/08 +79.860
</t>
        </r>
      </text>
    </comment>
    <comment ref="D477" authorId="222" shapeId="0">
      <text>
        <r>
          <rPr>
            <b/>
            <sz val="9"/>
            <rFont val="Tahoma"/>
          </rPr>
          <t>Jana Holíková:</t>
        </r>
        <r>
          <rPr>
            <sz val="9"/>
            <rFont val="Tahoma"/>
          </rPr>
          <t xml:space="preserve">
25007/01 -50.000
25577.07 -86.625
25611/08 -79.860
25254/12 -1.000.000
</t>
        </r>
      </text>
    </comment>
    <comment ref="D479" authorId="223" shapeId="0">
      <text>
        <r>
          <rPr>
            <b/>
            <sz val="9"/>
            <rFont val="Tahoma"/>
          </rPr>
          <t>Jana Holíková:</t>
        </r>
        <r>
          <rPr>
            <sz val="9"/>
            <rFont val="Tahoma"/>
          </rPr>
          <t xml:space="preserve">
25007/01 +50.000
</t>
        </r>
      </text>
    </comment>
    <comment ref="D482" authorId="224" shapeId="0">
      <text>
        <r>
          <rPr>
            <b/>
            <sz val="9"/>
            <rFont val="Tahoma"/>
          </rPr>
          <t>Jana Holíková:</t>
        </r>
        <r>
          <rPr>
            <sz val="9"/>
            <rFont val="Tahoma"/>
          </rPr>
          <t xml:space="preserve">
25095/06 -2.800.000
25623/09 -367.000
25625/09 +12.000
</t>
        </r>
      </text>
    </comment>
    <comment ref="D483" authorId="225" shapeId="0">
      <text>
        <r>
          <rPr>
            <b/>
            <sz val="9"/>
            <rFont val="Tahoma"/>
          </rPr>
          <t>Jana Holíková:</t>
        </r>
        <r>
          <rPr>
            <sz val="9"/>
            <rFont val="Tahoma"/>
          </rPr>
          <t xml:space="preserve">
25105/07 -1.000.000
25623/09 +393.000
</t>
        </r>
      </text>
    </comment>
    <comment ref="D484" authorId="226" shapeId="0">
      <text>
        <r>
          <rPr>
            <b/>
            <sz val="9"/>
            <rFont val="Tahoma"/>
          </rPr>
          <t>Jana Holíková:</t>
        </r>
        <r>
          <rPr>
            <sz val="9"/>
            <rFont val="Tahoma"/>
          </rPr>
          <t xml:space="preserve">
25623/09 -26.000
25625/09 -12.000
</t>
        </r>
      </text>
    </comment>
    <comment ref="D492" authorId="227" shapeId="0">
      <text>
        <r>
          <rPr>
            <b/>
            <sz val="9"/>
            <rFont val="Tahoma"/>
          </rPr>
          <t>Jana Holíková:</t>
        </r>
        <r>
          <rPr>
            <sz val="9"/>
            <rFont val="Tahoma"/>
          </rPr>
          <t xml:space="preserve">
25512/01 +-281.500
z 6121 na 5137
25045/03 +6.020.000
25064/04 +500.000
25595/07 -1.082.585
+  10.346  5139
+267.271  5137
+804.968  6122
</t>
        </r>
      </text>
    </comment>
    <comment ref="D494" authorId="228" shapeId="0">
      <text>
        <r>
          <rPr>
            <b/>
            <sz val="9"/>
            <rFont val="Tahoma"/>
          </rPr>
          <t>Jana Holíková:</t>
        </r>
        <r>
          <rPr>
            <sz val="9"/>
            <rFont val="Tahoma"/>
          </rPr>
          <t xml:space="preserve">
25060/04 +3.050.000
25183/10 +1.341.000 úz 34054
25246/12 
-1.341.000 úz 34054
+1.341.000 bez úz
</t>
        </r>
      </text>
    </comment>
    <comment ref="D497" authorId="229" shapeId="0">
      <text>
        <r>
          <rPr>
            <b/>
            <sz val="9"/>
            <rFont val="Tahoma"/>
          </rPr>
          <t>Jana Holíková:</t>
        </r>
        <r>
          <rPr>
            <sz val="9"/>
            <rFont val="Tahoma"/>
          </rPr>
          <t xml:space="preserve">
25125.07 +12.000
</t>
        </r>
      </text>
    </comment>
    <comment ref="D501" authorId="230" shapeId="0">
      <text>
        <r>
          <rPr>
            <b/>
            <sz val="9"/>
            <rFont val="Tahoma"/>
          </rPr>
          <t>Jana Holíková:</t>
        </r>
        <r>
          <rPr>
            <sz val="9"/>
            <rFont val="Tahoma"/>
          </rPr>
          <t xml:space="preserve">
25021/02 +20.000
</t>
        </r>
      </text>
    </comment>
    <comment ref="D504" authorId="231" shapeId="0">
      <text>
        <r>
          <rPr>
            <b/>
            <sz val="9"/>
            <rFont val="Tahoma"/>
          </rPr>
          <t>Jana Holíková:</t>
        </r>
        <r>
          <rPr>
            <sz val="9"/>
            <rFont val="Tahoma"/>
          </rPr>
          <t xml:space="preserve">
25518/02 změna org z 3730 
-300.080 na:
+ 75.020 3537 Dlouhá, Bud
+ 75.020 3538 Dlouhá u garáží
+ 75.020 3539 Sportovní
+ 75.020 3540 u Máje
25559/05 změna org 
-2.400.000 z 3730
+2.400.000 na 3538 Dlouhá u gar
25097/06 
+1.750.000 3540 Vančurova 38
+  300.000  3541 III.et
25571/06
- 500.000  3730 II.et
+500.000  3540 Vančurova 38 
25575.07
-75.000 3730 I.et
+75.000 3540 Vanč 38 u Máje
25598/07
-29.000  3540 Vanč 38
+29.000 3730 Jičínská 274
-75.000  3541 III.et
+75.000 3538 Dlouhá u gar
25627/09
-102.000 3541 II.et
- 26.000  3540 Vanč 38
 -12.000  3730 Jičín 274
+140.000 3538 Dlouá u gar
25638/09 
-5.000 3541 III.et
+5.000 3538 Dlouhá u gar
25644/09
-415.039,08  3730 Jičín 274  6121
+415.039,08  3730 Jičín 274  5171
</t>
        </r>
      </text>
    </comment>
    <comment ref="D509" authorId="232" shapeId="0">
      <text>
        <r>
          <rPr>
            <b/>
            <sz val="9"/>
            <rFont val="Tahoma"/>
          </rPr>
          <t>Jana Holíková:</t>
        </r>
        <r>
          <rPr>
            <sz val="9"/>
            <rFont val="Tahoma"/>
          </rPr>
          <t xml:space="preserve">
25064/04 -500.000
25065/04 -500.000
25543/04 -450.000
25078/05 -25.000.000
25079/05 -630.000
25174/09 -25.000.000
25239/12 +2.000.000
</t>
        </r>
      </text>
    </comment>
    <comment ref="D510" authorId="233" shapeId="0">
      <text>
        <r>
          <rPr>
            <b/>
            <sz val="9"/>
            <rFont val="Tahoma"/>
          </rPr>
          <t>Jana Holíková:</t>
        </r>
        <r>
          <rPr>
            <sz val="9"/>
            <rFont val="Tahoma"/>
          </rPr>
          <t xml:space="preserve">
25543/04 +450.000
</t>
        </r>
      </text>
    </comment>
    <comment ref="D514" authorId="234" shapeId="0">
      <text>
        <r>
          <rPr>
            <b/>
            <sz val="9"/>
            <rFont val="Tahoma"/>
          </rPr>
          <t>Jana Holíková:</t>
        </r>
        <r>
          <rPr>
            <sz val="9"/>
            <rFont val="Tahoma"/>
          </rPr>
          <t xml:space="preserve">
25539/03 +10.000
25095/06 -503.000
25105.07 -500.000
25661/10 +550.000
25673/11 +71.000
25254/12 -1.000.000
</t>
        </r>
      </text>
    </comment>
    <comment ref="D515" authorId="235" shapeId="0">
      <text>
        <r>
          <rPr>
            <b/>
            <sz val="9"/>
            <rFont val="Tahoma"/>
          </rPr>
          <t>Jana Holíková:</t>
        </r>
        <r>
          <rPr>
            <sz val="9"/>
            <rFont val="Tahoma"/>
          </rPr>
          <t xml:space="preserve">
25021/02 -20.000
25096/06 -550.000
25097/06 -2.050.000
25174/09 -2.160.000
</t>
        </r>
      </text>
    </comment>
    <comment ref="D517" authorId="236" shapeId="0">
      <text>
        <r>
          <rPr>
            <b/>
            <sz val="9"/>
            <rFont val="Tahoma"/>
          </rPr>
          <t>Jana Holíková:</t>
        </r>
        <r>
          <rPr>
            <sz val="9"/>
            <rFont val="Tahoma"/>
          </rPr>
          <t xml:space="preserve">
25174/09 -2.400.000
</t>
        </r>
      </text>
    </comment>
    <comment ref="D518" authorId="237" shapeId="0">
      <text>
        <r>
          <rPr>
            <b/>
            <sz val="9"/>
            <rFont val="Tahoma"/>
          </rPr>
          <t>Jana Holíková:</t>
        </r>
        <r>
          <rPr>
            <sz val="9"/>
            <rFont val="Tahoma"/>
          </rPr>
          <t xml:space="preserve">
25079/05 +460.000
25254/12 -700.000
</t>
        </r>
      </text>
    </comment>
    <comment ref="D519" authorId="238" shapeId="0">
      <text>
        <r>
          <rPr>
            <b/>
            <sz val="9"/>
            <rFont val="Tahoma"/>
          </rPr>
          <t>Jana Holíková:</t>
        </r>
        <r>
          <rPr>
            <sz val="9"/>
            <rFont val="Tahoma"/>
          </rPr>
          <t xml:space="preserve">
25520/02 -290.000
25043/03 -5.450.000
25539/03 -10.000
</t>
        </r>
      </text>
    </comment>
    <comment ref="D520" authorId="239" shapeId="0">
      <text>
        <r>
          <rPr>
            <b/>
            <sz val="9"/>
            <rFont val="Tahoma"/>
          </rPr>
          <t>Jana Holíková:</t>
        </r>
        <r>
          <rPr>
            <sz val="9"/>
            <rFont val="Tahoma"/>
          </rPr>
          <t xml:space="preserve">
25060/04 -400.000
</t>
        </r>
      </text>
    </comment>
    <comment ref="D521" authorId="240" shapeId="0">
      <text>
        <r>
          <rPr>
            <b/>
            <sz val="9"/>
            <rFont val="Tahoma"/>
          </rPr>
          <t>Jana Holíková:</t>
        </r>
        <r>
          <rPr>
            <sz val="9"/>
            <rFont val="Tahoma"/>
          </rPr>
          <t xml:space="preserve">
25125.07 -12.000
25628/09 -245.000
</t>
        </r>
      </text>
    </comment>
    <comment ref="D522" authorId="241" shapeId="0">
      <text>
        <r>
          <rPr>
            <b/>
            <sz val="9"/>
            <rFont val="Tahoma"/>
          </rPr>
          <t>Jana Holíková:</t>
        </r>
        <r>
          <rPr>
            <sz val="9"/>
            <rFont val="Tahoma"/>
          </rPr>
          <t xml:space="preserve">
25628/09 +245.000
</t>
        </r>
      </text>
    </comment>
    <comment ref="D523" authorId="242" shapeId="0">
      <text>
        <r>
          <rPr>
            <b/>
            <sz val="9"/>
            <rFont val="Tahoma"/>
          </rPr>
          <t>Jana Holíková:</t>
        </r>
        <r>
          <rPr>
            <sz val="9"/>
            <rFont val="Tahoma"/>
          </rPr>
          <t xml:space="preserve">
25661/10 -550.000
25637/11 -71.000
25254/12 -2.600.000
</t>
        </r>
      </text>
    </comment>
    <comment ref="D524" authorId="243" shapeId="0">
      <text>
        <r>
          <rPr>
            <b/>
            <sz val="9"/>
            <rFont val="Tahoma"/>
          </rPr>
          <t>Jana Holíková:</t>
        </r>
        <r>
          <rPr>
            <sz val="9"/>
            <rFont val="Tahoma"/>
          </rPr>
          <t xml:space="preserve">
25520/02 +290.000
</t>
        </r>
      </text>
    </comment>
    <comment ref="D525" authorId="244" shapeId="0">
      <text>
        <r>
          <rPr>
            <b/>
            <sz val="9"/>
            <rFont val="Tahoma"/>
          </rPr>
          <t>Jana Holíková:</t>
        </r>
        <r>
          <rPr>
            <sz val="9"/>
            <rFont val="Tahoma"/>
          </rPr>
          <t xml:space="preserve">
25060/04 -500.000
</t>
        </r>
      </text>
    </comment>
    <comment ref="D526" authorId="245" shapeId="0">
      <text>
        <r>
          <rPr>
            <b/>
            <sz val="9"/>
            <rFont val="Tahoma"/>
          </rPr>
          <t>Jana Holíková:</t>
        </r>
        <r>
          <rPr>
            <sz val="9"/>
            <rFont val="Tahoma"/>
          </rPr>
          <t xml:space="preserve">
25060/04 -800.000
</t>
        </r>
      </text>
    </comment>
    <comment ref="D528" authorId="246" shapeId="0">
      <text>
        <r>
          <rPr>
            <b/>
            <sz val="9"/>
            <rFont val="Tahoma"/>
          </rPr>
          <t>Jana Holíková:</t>
        </r>
        <r>
          <rPr>
            <sz val="9"/>
            <rFont val="Tahoma"/>
          </rPr>
          <t xml:space="preserve">
25174/09 -1.000.000
</t>
        </r>
      </text>
    </comment>
    <comment ref="D529" authorId="247" shapeId="0">
      <text>
        <r>
          <rPr>
            <b/>
            <sz val="9"/>
            <rFont val="Tahoma"/>
          </rPr>
          <t>Jana Holíková:</t>
        </r>
        <r>
          <rPr>
            <sz val="9"/>
            <rFont val="Tahoma"/>
          </rPr>
          <t xml:space="preserve">
25095/06 +6.000.000
25254/12 -356.601
</t>
        </r>
      </text>
    </comment>
    <comment ref="D530" authorId="248" shapeId="0">
      <text>
        <r>
          <rPr>
            <b/>
            <sz val="9"/>
            <rFont val="Tahoma"/>
          </rPr>
          <t>Jana Holíková:</t>
        </r>
        <r>
          <rPr>
            <sz val="9"/>
            <rFont val="Tahoma"/>
          </rPr>
          <t xml:space="preserve">
25520/02 -290.000
25043/03 -5.450.000
</t>
        </r>
      </text>
    </comment>
    <comment ref="D531" authorId="249" shapeId="0">
      <text>
        <r>
          <rPr>
            <b/>
            <sz val="9"/>
            <rFont val="Tahoma"/>
          </rPr>
          <t>Jana Holíková:</t>
        </r>
        <r>
          <rPr>
            <sz val="9"/>
            <rFont val="Tahoma"/>
          </rPr>
          <t xml:space="preserve">
25529/03 
z 5xxx na 6121
25066/04 +2.000000
25096/06 +550.000
</t>
        </r>
      </text>
    </comment>
    <comment ref="D532" authorId="250" shapeId="0">
      <text>
        <r>
          <rPr>
            <b/>
            <sz val="9"/>
            <rFont val="Tahoma"/>
          </rPr>
          <t>Jana Holíková:</t>
        </r>
        <r>
          <rPr>
            <sz val="9"/>
            <rFont val="Tahoma"/>
          </rPr>
          <t xml:space="preserve">
25079/05 +170.000
</t>
        </r>
      </text>
    </comment>
    <comment ref="D533" authorId="251" shapeId="0">
      <text>
        <r>
          <rPr>
            <b/>
            <sz val="9"/>
            <rFont val="Tahoma"/>
          </rPr>
          <t>Jana Holíková:</t>
        </r>
        <r>
          <rPr>
            <sz val="9"/>
            <rFont val="Tahoma"/>
          </rPr>
          <t xml:space="preserve">
25174/09 -500.000
</t>
        </r>
      </text>
    </comment>
    <comment ref="D534" authorId="252" shapeId="0">
      <text>
        <r>
          <rPr>
            <b/>
            <sz val="9"/>
            <rFont val="Tahoma"/>
          </rPr>
          <t>Jana Holíková:</t>
        </r>
        <r>
          <rPr>
            <sz val="9"/>
            <rFont val="Tahoma"/>
          </rPr>
          <t xml:space="preserve">
25174/09 
-250.000 -150.000
25658/10 +36.300
</t>
        </r>
      </text>
    </comment>
    <comment ref="D535" authorId="253" shapeId="0">
      <text>
        <r>
          <rPr>
            <b/>
            <sz val="9"/>
            <rFont val="Tahoma"/>
          </rPr>
          <t>Jana Holíková:</t>
        </r>
        <r>
          <rPr>
            <sz val="9"/>
            <rFont val="Tahoma"/>
          </rPr>
          <t xml:space="preserve">
25514/02 -oprava org z 3757 na 0518
</t>
        </r>
      </text>
    </comment>
    <comment ref="D536" authorId="254" shapeId="0">
      <text>
        <r>
          <rPr>
            <b/>
            <sz val="9"/>
            <rFont val="Tahoma"/>
          </rPr>
          <t>Jana Holíková:</t>
        </r>
        <r>
          <rPr>
            <sz val="9"/>
            <rFont val="Tahoma"/>
          </rPr>
          <t xml:space="preserve">
25658/10 -36.300
</t>
        </r>
      </text>
    </comment>
    <comment ref="D538" authorId="255" shapeId="0">
      <text>
        <r>
          <rPr>
            <b/>
            <sz val="9"/>
            <rFont val="Tahoma"/>
          </rPr>
          <t>Jana Holíková:</t>
        </r>
        <r>
          <rPr>
            <sz val="9"/>
            <rFont val="Tahoma"/>
          </rPr>
          <t xml:space="preserve">
25574.07 -60.000
25254/12 -700.000
</t>
        </r>
      </text>
    </comment>
    <comment ref="D541" authorId="256" shapeId="0">
      <text>
        <r>
          <rPr>
            <b/>
            <sz val="9"/>
            <rFont val="Tahoma"/>
          </rPr>
          <t>Jana Holíková:</t>
        </r>
        <r>
          <rPr>
            <sz val="9"/>
            <rFont val="Tahoma"/>
          </rPr>
          <t xml:space="preserve">
25065/04 +500.000
25574.07 +60.000
</t>
        </r>
      </text>
    </comment>
    <comment ref="D543" authorId="257" shapeId="0">
      <text>
        <r>
          <rPr>
            <b/>
            <sz val="9"/>
            <rFont val="Tahoma"/>
          </rPr>
          <t>Jana Holíková:</t>
        </r>
        <r>
          <rPr>
            <sz val="9"/>
            <rFont val="Tahoma"/>
          </rPr>
          <t xml:space="preserve">
25522/02 změna pol
49.659,91 z 6121 na 5191
25174/09 -2.500.000
25680/11 +-605.000
dopl úz 917
</t>
        </r>
      </text>
    </comment>
    <comment ref="D548" authorId="258" shapeId="0">
      <text>
        <r>
          <rPr>
            <b/>
            <sz val="9"/>
            <rFont val="Tahoma"/>
          </rPr>
          <t>Jana Holíková:</t>
        </r>
        <r>
          <rPr>
            <sz val="9"/>
            <rFont val="Tahoma"/>
          </rPr>
          <t xml:space="preserve">
25570/06 +363.000
</t>
        </r>
      </text>
    </comment>
    <comment ref="D549" authorId="259" shapeId="0">
      <text>
        <r>
          <rPr>
            <b/>
            <sz val="9"/>
            <rFont val="Tahoma"/>
          </rPr>
          <t>Jana Holíková:</t>
        </r>
        <r>
          <rPr>
            <sz val="9"/>
            <rFont val="Tahoma"/>
          </rPr>
          <t xml:space="preserve">
25570/06 +121.000
</t>
        </r>
      </text>
    </comment>
    <comment ref="D550" authorId="260" shapeId="0">
      <text>
        <r>
          <rPr>
            <b/>
            <sz val="9"/>
            <rFont val="Tahoma"/>
          </rPr>
          <t>Jana Holíková:</t>
        </r>
        <r>
          <rPr>
            <sz val="9"/>
            <rFont val="Tahoma"/>
          </rPr>
          <t xml:space="preserve">
25059/04 +1.300.000
25676/11 +79.000
25241/12 +300.000
25254/12 -700.000
</t>
        </r>
      </text>
    </comment>
    <comment ref="D551" authorId="261" shapeId="0">
      <text>
        <r>
          <rPr>
            <b/>
            <sz val="9"/>
            <rFont val="Tahoma"/>
          </rPr>
          <t>Jana Holíková:</t>
        </r>
        <r>
          <rPr>
            <sz val="9"/>
            <rFont val="Tahoma"/>
          </rPr>
          <t xml:space="preserve">
25008/01 -3.000.000
25080/05 +3.000.000
25570/06 -321.000
25161/09 -3.600.000
25676/11 -79.000
</t>
        </r>
      </text>
    </comment>
    <comment ref="D552" authorId="262" shapeId="0">
      <text>
        <r>
          <rPr>
            <b/>
            <sz val="9"/>
            <rFont val="Tahoma"/>
          </rPr>
          <t>Jana Holíková:</t>
        </r>
        <r>
          <rPr>
            <sz val="9"/>
            <rFont val="Tahoma"/>
          </rPr>
          <t xml:space="preserve">
25570/06 -163.000
</t>
        </r>
      </text>
    </comment>
    <comment ref="D554" authorId="263" shapeId="0">
      <text>
        <r>
          <rPr>
            <b/>
            <sz val="9"/>
            <rFont val="Tahoma"/>
          </rPr>
          <t>Jana Holíková:</t>
        </r>
        <r>
          <rPr>
            <sz val="9"/>
            <rFont val="Tahoma"/>
          </rPr>
          <t xml:space="preserve">
25241/12 -300.000
</t>
        </r>
      </text>
    </comment>
    <comment ref="D562" authorId="264" shapeId="0">
      <text>
        <r>
          <rPr>
            <b/>
            <sz val="9"/>
            <rFont val="Tahoma"/>
          </rPr>
          <t>Jana Holíková:</t>
        </r>
        <r>
          <rPr>
            <sz val="9"/>
            <rFont val="Tahoma"/>
          </rPr>
          <t xml:space="preserve">
25161/09 -250.000
</t>
        </r>
      </text>
    </comment>
    <comment ref="D564" authorId="265" shapeId="0">
      <text>
        <r>
          <rPr>
            <b/>
            <sz val="9"/>
            <rFont val="Tahoma"/>
          </rPr>
          <t>Jana Holíková:</t>
        </r>
        <r>
          <rPr>
            <sz val="9"/>
            <rFont val="Tahoma"/>
          </rPr>
          <t xml:space="preserve">
25150/08 -132.500
</t>
        </r>
      </text>
    </comment>
    <comment ref="D570" authorId="266" shapeId="0">
      <text>
        <r>
          <rPr>
            <b/>
            <sz val="9"/>
            <rFont val="Tahoma"/>
          </rPr>
          <t>Jana Holíková:</t>
        </r>
        <r>
          <rPr>
            <sz val="9"/>
            <rFont val="Tahoma"/>
          </rPr>
          <t xml:space="preserve">
25133/08 +87.635,98
25188/10 +54.040
</t>
        </r>
      </text>
    </comment>
    <comment ref="D571" authorId="267" shapeId="0">
      <text>
        <r>
          <rPr>
            <b/>
            <sz val="9"/>
            <rFont val="Tahoma"/>
          </rPr>
          <t>Jana Holíková:</t>
        </r>
        <r>
          <rPr>
            <sz val="9"/>
            <rFont val="Tahoma"/>
          </rPr>
          <t xml:space="preserve">
25073/04 +300.000 úz 695
25074/04 +70.000 úz 675
25133/08 -87.635,98
25139/08 +177.565
25148/08 -211.971,44  -8.002,10
25188/10 -54.040
25235/12 -3.003
</t>
        </r>
      </text>
    </comment>
    <comment ref="D572" authorId="268" shapeId="0">
      <text>
        <r>
          <rPr>
            <b/>
            <sz val="9"/>
            <rFont val="Tahoma"/>
          </rPr>
          <t>Jana Holíková:</t>
        </r>
        <r>
          <rPr>
            <sz val="9"/>
            <rFont val="Tahoma"/>
          </rPr>
          <t xml:space="preserve">
25148/08 +8.002,10
</t>
        </r>
      </text>
    </comment>
    <comment ref="D573" authorId="269" shapeId="0">
      <text>
        <r>
          <rPr>
            <b/>
            <sz val="9"/>
            <rFont val="Tahoma"/>
          </rPr>
          <t>Jana Holíková:</t>
        </r>
        <r>
          <rPr>
            <sz val="9"/>
            <rFont val="Tahoma"/>
          </rPr>
          <t xml:space="preserve">
25148/08 +211.971,44
</t>
        </r>
      </text>
    </comment>
    <comment ref="D574" authorId="270" shapeId="0">
      <text>
        <r>
          <rPr>
            <b/>
            <sz val="9"/>
            <rFont val="Tahoma"/>
          </rPr>
          <t>Jana Holíková:</t>
        </r>
        <r>
          <rPr>
            <sz val="9"/>
            <rFont val="Tahoma"/>
          </rPr>
          <t xml:space="preserve">
25235/12 +3.003
</t>
        </r>
      </text>
    </comment>
    <comment ref="D590" authorId="271" shapeId="0">
      <text>
        <r>
          <rPr>
            <b/>
            <sz val="9"/>
            <rFont val="Tahoma"/>
          </rPr>
          <t>Jana Holíková:</t>
        </r>
        <r>
          <rPr>
            <sz val="9"/>
            <rFont val="Tahoma"/>
          </rPr>
          <t xml:space="preserve">
25047/03 DOPLNĚNÍ ÚZ
</t>
        </r>
      </text>
    </comment>
    <comment ref="D599" authorId="272" shapeId="0">
      <text>
        <r>
          <rPr>
            <b/>
            <sz val="9"/>
            <rFont val="Tahoma"/>
          </rPr>
          <t>Jana Holíková:</t>
        </r>
        <r>
          <rPr>
            <sz val="9"/>
            <rFont val="Tahoma"/>
          </rPr>
          <t xml:space="preserve">
25035/03 -10.990
25051/04 úz 33092
+117.955,01 1431
+495.553,09 1435
</t>
        </r>
      </text>
    </comment>
    <comment ref="D603" authorId="273" shapeId="0">
      <text>
        <r>
          <rPr>
            <b/>
            <sz val="9"/>
            <rFont val="Tahoma"/>
          </rPr>
          <t>Jana Holíková:</t>
        </r>
        <r>
          <rPr>
            <sz val="9"/>
            <rFont val="Tahoma"/>
          </rPr>
          <t xml:space="preserve">
25052/03 úz 33092
+138.438,27  1431
+581.607,57  1435
25232/12 +40.000
</t>
        </r>
      </text>
    </comment>
    <comment ref="D607" authorId="274" shapeId="0">
      <text>
        <r>
          <rPr>
            <b/>
            <sz val="9"/>
            <rFont val="Tahoma"/>
          </rPr>
          <t>Jana Holíková:</t>
        </r>
        <r>
          <rPr>
            <sz val="9"/>
            <rFont val="Tahoma"/>
          </rPr>
          <t xml:space="preserve">
25037/03 
+ 12.834 úz253 1441
+115.506 úz911 1445
25041/03 úz 33092
+108.476,76 1431
+455.733     1435
25118/07
- 9.659,60 úz253 1441
-86.936,40 úz911 1445
25180/10
+ 14.076 úz253 1441
+126.684 úz911 1445
25233/12 -32.100
</t>
        </r>
      </text>
    </comment>
    <comment ref="D608" authorId="275" shapeId="0">
      <text>
        <r>
          <rPr>
            <b/>
            <sz val="9"/>
            <rFont val="Tahoma"/>
          </rPr>
          <t>Jana Holíková:</t>
        </r>
        <r>
          <rPr>
            <sz val="9"/>
            <rFont val="Tahoma"/>
          </rPr>
          <t xml:space="preserve">
25151/08 +131.057,57
25205/11 -0,30
</t>
        </r>
      </text>
    </comment>
    <comment ref="D611" authorId="276" shapeId="0">
      <text>
        <r>
          <rPr>
            <b/>
            <sz val="9"/>
            <rFont val="Tahoma"/>
          </rPr>
          <t>Jana Holíková:</t>
        </r>
        <r>
          <rPr>
            <sz val="9"/>
            <rFont val="Tahoma"/>
          </rPr>
          <t xml:space="preserve">
25151/08 -131.057,57
25202/11 -51.162 R
25230/12 -100.000 r
</t>
        </r>
      </text>
    </comment>
    <comment ref="D616" authorId="277" shapeId="0">
      <text>
        <r>
          <rPr>
            <b/>
            <sz val="9"/>
            <rFont val="Tahoma"/>
          </rPr>
          <t>Jana Holíková:</t>
        </r>
        <r>
          <rPr>
            <sz val="9"/>
            <rFont val="Tahoma"/>
          </rPr>
          <t xml:space="preserve">
25038/03
+ 9.850 úz253 1441
+88.650 úz911 1445
25119/07 +500.000
25128/07 
- 7.511,70 úz253 1441
-67.605,30 úz911 1445
25131/08 úz 33092
+ 348.577,29  1431
+1.464.444,50 1435 
25202/11 +51.162
25222/12
 +9.418,50 úz253 1441
+84.766,50 úz911 1445
</t>
        </r>
      </text>
    </comment>
    <comment ref="D620" authorId="278" shapeId="0">
      <text>
        <r>
          <rPr>
            <b/>
            <sz val="9"/>
            <rFont val="Tahoma"/>
          </rPr>
          <t>Jana Holíková:</t>
        </r>
        <r>
          <rPr>
            <sz val="9"/>
            <rFont val="Tahoma"/>
          </rPr>
          <t xml:space="preserve">
25036/03 -297.792
25040/03 
+ 17.098,20 úz253 1441
+153.883,80 úz911 1445
25132/08 +300.000
25156/09
- 17.098,20 úz253 1441
-153.883,80 úz911 1445
25194/10 úz 15019 1405
+207.366
25211/11
+ 291.991,60 úz 253 1441
+1.226.716,40 úz 911 1445
25223/12
+34.051,50 úz253 1441
+306.463,50 úz911 1445
25224/12 +117.914 úz15019 1405
</t>
        </r>
      </text>
    </comment>
    <comment ref="D621" authorId="279" shapeId="0">
      <text>
        <r>
          <rPr>
            <b/>
            <sz val="9"/>
            <rFont val="Tahoma"/>
          </rPr>
          <t>Jana Holíková:</t>
        </r>
        <r>
          <rPr>
            <sz val="9"/>
            <rFont val="Tahoma"/>
          </rPr>
          <t xml:space="preserve">
25206/11 
-296.102 -137.270
</t>
        </r>
      </text>
    </comment>
    <comment ref="D622" authorId="280" shapeId="0">
      <text>
        <r>
          <rPr>
            <b/>
            <sz val="9"/>
            <rFont val="Tahoma"/>
          </rPr>
          <t>Jana Holíková:</t>
        </r>
        <r>
          <rPr>
            <sz val="9"/>
            <rFont val="Tahoma"/>
          </rPr>
          <t xml:space="preserve">
25206/11 +137.270
</t>
        </r>
      </text>
    </comment>
    <comment ref="D624" authorId="281" shapeId="0">
      <text>
        <r>
          <rPr>
            <b/>
            <sz val="9"/>
            <rFont val="Tahoma"/>
          </rPr>
          <t>Jana Holíková:</t>
        </r>
        <r>
          <rPr>
            <sz val="9"/>
            <rFont val="Tahoma"/>
          </rPr>
          <t xml:space="preserve">
25046/03
+ 9.159,75 úz253 1441
+82.437,75 úz911 1445
25115.07 úz 33092
+   269.533,32 1431
+1.132.364,58 1435
25116.07 
- 6.672,70 úz253 1441
-60.054,30 úz911 1445
25178/10
+ 31.360,50 úz253 1441
+282.244,50 úz911 1445
25250/12 úz 15019 1405
</t>
        </r>
      </text>
    </comment>
    <comment ref="D625" authorId="282" shapeId="0">
      <text>
        <r>
          <rPr>
            <b/>
            <sz val="9"/>
            <rFont val="Tahoma"/>
          </rPr>
          <t>Jana Holíková:</t>
        </r>
        <r>
          <rPr>
            <sz val="9"/>
            <rFont val="Tahoma"/>
          </rPr>
          <t xml:space="preserve">
25207/11 -3.819,97
</t>
        </r>
      </text>
    </comment>
    <comment ref="D626" authorId="283" shapeId="0">
      <text>
        <r>
          <rPr>
            <b/>
            <sz val="9"/>
            <rFont val="Tahoma"/>
          </rPr>
          <t>Jana Holíková:</t>
        </r>
        <r>
          <rPr>
            <sz val="9"/>
            <rFont val="Tahoma"/>
          </rPr>
          <t xml:space="preserve">
25207/11 -42.374,82
</t>
        </r>
      </text>
    </comment>
    <comment ref="D628" authorId="284" shapeId="0">
      <text>
        <r>
          <rPr>
            <b/>
            <sz val="9"/>
            <rFont val="Tahoma"/>
          </rPr>
          <t>Jana Holíková:</t>
        </r>
        <r>
          <rPr>
            <sz val="9"/>
            <rFont val="Tahoma"/>
          </rPr>
          <t xml:space="preserve">
25039/03
+ 11.663,45 úz 253 1441
+104.971,05 úz911 1445
25048/03 úz33092
+ 280.004,26 1431
+1.176.355,23 1435
25117/07 
- 7.299,90 úz253 1441
-65.699,10 úz911 1445
25179/10
+ 24,290,45 úz253 1441
+113.643 úz 911 1445
25257/12 -24.290,45+12627
25257/12 
-24.290,45 +12.627 úz 253 1441
</t>
        </r>
      </text>
    </comment>
    <comment ref="D633" authorId="285" shapeId="0">
      <text>
        <r>
          <rPr>
            <b/>
            <sz val="9"/>
            <rFont val="Tahoma"/>
          </rPr>
          <t>Jana Holíková:</t>
        </r>
        <r>
          <rPr>
            <sz val="9"/>
            <rFont val="Tahoma"/>
          </rPr>
          <t xml:space="preserve">
25053/03 úz 833
+239.800
25084/05 +300.000
25100/06 -300.000
25182/10 +80.800
25210/11 +169.263 úz910
25217/11 úz 33092
+198.962,55 1431
+835.462,29 1435
</t>
        </r>
      </text>
    </comment>
    <comment ref="D636" authorId="286" shapeId="0">
      <text>
        <r>
          <rPr>
            <b/>
            <sz val="9"/>
            <rFont val="Tahoma"/>
          </rPr>
          <t>Jana Holíková:</t>
        </r>
        <r>
          <rPr>
            <sz val="9"/>
            <rFont val="Tahoma"/>
          </rPr>
          <t xml:space="preserve">
25219/11 -54.000
</t>
        </r>
      </text>
    </comment>
    <comment ref="D640" authorId="287" shapeId="0">
      <text>
        <r>
          <rPr>
            <b/>
            <sz val="9"/>
            <rFont val="Tahoma"/>
          </rPr>
          <t>Jana Holíková:</t>
        </r>
        <r>
          <rPr>
            <sz val="9"/>
            <rFont val="Tahoma"/>
          </rPr>
          <t xml:space="preserve">
25069/04 -85.015
25225/12 +13.641
</t>
        </r>
      </text>
    </comment>
    <comment ref="D641" authorId="288" shapeId="0">
      <text>
        <r>
          <rPr>
            <b/>
            <sz val="9"/>
            <rFont val="Tahoma"/>
          </rPr>
          <t>Jana Holíková:</t>
        </r>
        <r>
          <rPr>
            <sz val="9"/>
            <rFont val="Tahoma"/>
          </rPr>
          <t xml:space="preserve">
25209/11 -6.588,45
</t>
        </r>
      </text>
    </comment>
    <comment ref="D644" authorId="289" shapeId="0">
      <text>
        <r>
          <rPr>
            <b/>
            <sz val="9"/>
            <rFont val="Tahoma"/>
          </rPr>
          <t>Jana Holíková:</t>
        </r>
        <r>
          <rPr>
            <sz val="9"/>
            <rFont val="Tahoma"/>
          </rPr>
          <t xml:space="preserve">
25216/11 -180.000
</t>
        </r>
      </text>
    </comment>
    <comment ref="D646" authorId="290" shapeId="0">
      <text>
        <r>
          <rPr>
            <b/>
            <sz val="9"/>
            <rFont val="Tahoma"/>
          </rPr>
          <t>Jana Holíková:</t>
        </r>
        <r>
          <rPr>
            <sz val="9"/>
            <rFont val="Tahoma"/>
          </rPr>
          <t xml:space="preserve">
25216/11 -120.000
</t>
        </r>
      </text>
    </comment>
    <comment ref="D649" authorId="291" shapeId="0">
      <text>
        <r>
          <rPr>
            <b/>
            <sz val="9"/>
            <rFont val="Tahoma"/>
          </rPr>
          <t>Jana Holíková:</t>
        </r>
        <r>
          <rPr>
            <sz val="9"/>
            <rFont val="Tahoma"/>
          </rPr>
          <t xml:space="preserve">
25216/11 -50.000
</t>
        </r>
      </text>
    </comment>
    <comment ref="D650" authorId="292" shapeId="0">
      <text>
        <r>
          <rPr>
            <b/>
            <sz val="9"/>
            <rFont val="Tahoma"/>
          </rPr>
          <t>Jana Holíková:</t>
        </r>
        <r>
          <rPr>
            <sz val="9"/>
            <rFont val="Tahoma"/>
          </rPr>
          <t xml:space="preserve">
25216/11 -40.000
</t>
        </r>
      </text>
    </comment>
    <comment ref="D652" authorId="293" shapeId="0">
      <text>
        <r>
          <rPr>
            <b/>
            <sz val="9"/>
            <rFont val="Tahoma"/>
          </rPr>
          <t>Jana Holíková:</t>
        </r>
        <r>
          <rPr>
            <sz val="9"/>
            <rFont val="Tahoma"/>
          </rPr>
          <t xml:space="preserve">
25216/11 -320.000
</t>
        </r>
      </text>
    </comment>
    <comment ref="D657" authorId="294" shapeId="0">
      <text>
        <r>
          <rPr>
            <b/>
            <sz val="9"/>
            <rFont val="Tahoma"/>
          </rPr>
          <t>Jana Holíková:</t>
        </r>
        <r>
          <rPr>
            <sz val="9"/>
            <rFont val="Tahoma"/>
          </rPr>
          <t xml:space="preserve">
25010/01 +4.737.000
25029/02 +400.000 NJKL
25070/04 -472.380
25083/05 +370.000
25085/05 +110.000 úz 341
25177/10  -150.000 +150.000
25196/11 +-30.000
25208/11 +152.000
25220/12 +30.000
25227/12 +118.459
25230/12 +123.420
</t>
        </r>
      </text>
    </comment>
    <comment ref="D659" authorId="295" shapeId="0">
      <text>
        <r>
          <rPr>
            <b/>
            <sz val="9"/>
            <rFont val="Tahoma"/>
          </rPr>
          <t>Jana Holíková:</t>
        </r>
        <r>
          <rPr>
            <sz val="9"/>
            <rFont val="Tahoma"/>
          </rPr>
          <t xml:space="preserve">
25113.07 +109.500
25114.07 +40.000 úz34544
25129.07 +910.000
25208/11 -135.000
25208/12 +135.000
25228/12 -910.000
25231/12 -109.500
</t>
        </r>
      </text>
    </comment>
    <comment ref="D660" authorId="296" shapeId="0">
      <text>
        <r>
          <rPr>
            <b/>
            <sz val="9"/>
            <rFont val="Tahoma"/>
          </rPr>
          <t>Jana Holíková:</t>
        </r>
        <r>
          <rPr>
            <sz val="9"/>
            <rFont val="Tahoma"/>
          </rPr>
          <t xml:space="preserve">
25229/12 -930
</t>
        </r>
      </text>
    </comment>
    <comment ref="D662" authorId="297" shapeId="0">
      <text>
        <r>
          <rPr>
            <b/>
            <sz val="9"/>
            <rFont val="Tahoma"/>
          </rPr>
          <t>Jana Holíková:</t>
        </r>
        <r>
          <rPr>
            <sz val="9"/>
            <rFont val="Tahoma"/>
          </rPr>
          <t xml:space="preserve">
25216/11 -57.000
</t>
        </r>
      </text>
    </comment>
    <comment ref="D665" authorId="298" shapeId="0">
      <text>
        <r>
          <rPr>
            <b/>
            <sz val="9"/>
            <rFont val="Tahoma"/>
          </rPr>
          <t>Jana Holíková:</t>
        </r>
        <r>
          <rPr>
            <sz val="9"/>
            <rFont val="Tahoma"/>
          </rPr>
          <t xml:space="preserve">
25249/12 -200.000
</t>
        </r>
      </text>
    </comment>
    <comment ref="D669" authorId="299" shapeId="0">
      <text>
        <r>
          <rPr>
            <b/>
            <sz val="9"/>
            <rFont val="Tahoma"/>
          </rPr>
          <t>Jana Holíková:</t>
        </r>
        <r>
          <rPr>
            <sz val="9"/>
            <rFont val="Tahoma"/>
          </rPr>
          <t xml:space="preserve">
25140/08 -34.000 R
</t>
        </r>
      </text>
    </comment>
    <comment ref="D670" authorId="300" shapeId="0">
      <text>
        <r>
          <rPr>
            <b/>
            <sz val="9"/>
            <rFont val="Tahoma"/>
          </rPr>
          <t>Jana Holíková:</t>
        </r>
        <r>
          <rPr>
            <sz val="9"/>
            <rFont val="Tahoma"/>
          </rPr>
          <t xml:space="preserve">
25140/08 -117.900 R
</t>
        </r>
      </text>
    </comment>
    <comment ref="D673" authorId="301" shapeId="0">
      <text>
        <r>
          <rPr>
            <b/>
            <sz val="9"/>
            <rFont val="Tahoma"/>
          </rPr>
          <t>Jana Holíková:</t>
        </r>
        <r>
          <rPr>
            <sz val="9"/>
            <rFont val="Tahoma"/>
          </rPr>
          <t xml:space="preserve">
25075/04 -30.000 R
25076/04 -70.000 R
25086/05 -40.000 R
25087/05 -30.000 R
25109.07 -10.000 R
25140/08 -34.300 R
</t>
        </r>
      </text>
    </comment>
    <comment ref="D674" authorId="302" shapeId="0">
      <text>
        <r>
          <rPr>
            <b/>
            <sz val="9"/>
            <rFont val="Tahoma"/>
          </rPr>
          <t>Jana Holíková:</t>
        </r>
        <r>
          <rPr>
            <sz val="9"/>
            <rFont val="Tahoma"/>
          </rPr>
          <t xml:space="preserve">
25110.07 -50.000 R
25112.07 -100.000 R
25140/08 -10.000 R
</t>
        </r>
      </text>
    </comment>
    <comment ref="D675" authorId="303" shapeId="0">
      <text>
        <r>
          <rPr>
            <b/>
            <sz val="9"/>
            <rFont val="Tahoma"/>
          </rPr>
          <t>Jana Holíková:</t>
        </r>
        <r>
          <rPr>
            <sz val="9"/>
            <rFont val="Tahoma"/>
          </rPr>
          <t xml:space="preserve">
25140/08 -225.000 R
</t>
        </r>
      </text>
    </comment>
    <comment ref="D676" authorId="304" shapeId="0">
      <text>
        <r>
          <rPr>
            <b/>
            <sz val="9"/>
            <rFont val="Tahoma"/>
          </rPr>
          <t>Jana Holíková:</t>
        </r>
        <r>
          <rPr>
            <sz val="9"/>
            <rFont val="Tahoma"/>
          </rPr>
          <t xml:space="preserve">
25140/08 -86.000 R
</t>
        </r>
      </text>
    </comment>
    <comment ref="D677" authorId="305" shapeId="0">
      <text>
        <r>
          <rPr>
            <b/>
            <sz val="9"/>
            <rFont val="Tahoma"/>
          </rPr>
          <t>Jana Holíková:</t>
        </r>
        <r>
          <rPr>
            <sz val="9"/>
            <rFont val="Tahoma"/>
          </rPr>
          <t xml:space="preserve">
25140/08 -194.200 R
</t>
        </r>
      </text>
    </comment>
    <comment ref="D678" authorId="306" shapeId="0">
      <text>
        <r>
          <rPr>
            <b/>
            <sz val="9"/>
            <rFont val="Tahoma"/>
          </rPr>
          <t>Jana Holíková:</t>
        </r>
        <r>
          <rPr>
            <sz val="9"/>
            <rFont val="Tahoma"/>
          </rPr>
          <t xml:space="preserve">
25106.07 +300.000
</t>
        </r>
      </text>
    </comment>
    <comment ref="D679" authorId="307" shapeId="0">
      <text>
        <r>
          <rPr>
            <b/>
            <sz val="9"/>
            <rFont val="Tahoma"/>
          </rPr>
          <t>Jana Holíková:</t>
        </r>
        <r>
          <rPr>
            <sz val="9"/>
            <rFont val="Tahoma"/>
          </rPr>
          <t xml:space="preserve">
25005/01 +595.004,14
25011/01 +7.500
25012/01 +15.000
25013/01 +30.000
25014/01 +30.000
25015/01 +7.500
25016/01 +80.000
25034/03 +60.000
25075/04 +30.000
25076/04 +70.000
25086/05 +40.000
25087/05 +30.000
25088/05 +30.000
25089/05 +10.000
25090/05 +10.000
25108.07 +10.000
25109.07 +10.000
25110.07 +50.000
25111.07 +10.000
25112.07 +100.000
25140/08 -3.800.400 R
25198/11 +30.250
25199/11 +20.000
25200/11 +203.075,15
25215/11 -150.000
25218/11 +-335.000
zm § z 4344 na 4374
25247/12 +248.824,20
</t>
        </r>
      </text>
    </comment>
    <comment ref="D683" authorId="308" shapeId="0">
      <text>
        <r>
          <rPr>
            <b/>
            <sz val="9"/>
            <rFont val="Tahoma"/>
          </rPr>
          <t>Jana Holíková:</t>
        </r>
        <r>
          <rPr>
            <sz val="9"/>
            <rFont val="Tahoma"/>
          </rPr>
          <t xml:space="preserve">
25092/06 +1.169.144,35
</t>
        </r>
      </text>
    </comment>
    <comment ref="D686" authorId="309" shapeId="0">
      <text>
        <r>
          <rPr>
            <b/>
            <sz val="9"/>
            <rFont val="Tahoma"/>
          </rPr>
          <t>Jana Holíková:</t>
        </r>
        <r>
          <rPr>
            <sz val="9"/>
            <rFont val="Tahoma"/>
          </rPr>
          <t xml:space="preserve">
25237/12 -112.000
</t>
        </r>
      </text>
    </comment>
    <comment ref="D688" authorId="310" shapeId="0">
      <text>
        <r>
          <rPr>
            <b/>
            <sz val="9"/>
            <rFont val="Tahoma"/>
          </rPr>
          <t>Jana Holíková:</t>
        </r>
        <r>
          <rPr>
            <sz val="9"/>
            <rFont val="Tahoma"/>
          </rPr>
          <t xml:space="preserve">
25191/10 -100.000
</t>
        </r>
      </text>
    </comment>
    <comment ref="D690" authorId="311" shapeId="0">
      <text>
        <r>
          <rPr>
            <b/>
            <sz val="9"/>
            <rFont val="Tahoma"/>
          </rPr>
          <t>Jana Holíková:</t>
        </r>
        <r>
          <rPr>
            <sz val="9"/>
            <rFont val="Tahoma"/>
          </rPr>
          <t xml:space="preserve">
25019/02 +440.000
25101/07 -40.000
</t>
        </r>
      </text>
    </comment>
    <comment ref="D691" authorId="312" shapeId="0">
      <text>
        <r>
          <rPr>
            <b/>
            <sz val="9"/>
            <rFont val="Tahoma"/>
          </rPr>
          <t>Jana Holíková:</t>
        </r>
        <r>
          <rPr>
            <sz val="9"/>
            <rFont val="Tahoma"/>
          </rPr>
          <t xml:space="preserve">
25191/10 -199.496
</t>
        </r>
      </text>
    </comment>
    <comment ref="D694" authorId="313" shapeId="0">
      <text>
        <r>
          <rPr>
            <b/>
            <sz val="9"/>
            <rFont val="Tahoma"/>
          </rPr>
          <t>Jana Holíková:</t>
        </r>
        <r>
          <rPr>
            <sz val="9"/>
            <rFont val="Tahoma"/>
          </rPr>
          <t xml:space="preserve">
25060/04 -1.350.000
25122.07 +86.000
25191/10 
-100.000-600.000
25213/11 
-160.895 -71.798
25689/11 
-60.703 +50.000
25716/12
-5.000 -24.000 -30.000 -60.000 -18.000 -156.307
</t>
        </r>
      </text>
    </comment>
    <comment ref="D695" authorId="314" shapeId="0">
      <text>
        <r>
          <rPr>
            <b/>
            <sz val="9"/>
            <rFont val="Tahoma"/>
          </rPr>
          <t>Jana Holíková:</t>
        </r>
        <r>
          <rPr>
            <sz val="9"/>
            <rFont val="Tahoma"/>
          </rPr>
          <t xml:space="preserve">
25689/11 +10.703
</t>
        </r>
      </text>
    </comment>
    <comment ref="D699" authorId="315" shapeId="0">
      <text>
        <r>
          <rPr>
            <b/>
            <sz val="9"/>
            <rFont val="Tahoma"/>
          </rPr>
          <t>Jana Holíková:</t>
        </r>
        <r>
          <rPr>
            <sz val="9"/>
            <rFont val="Tahoma"/>
          </rPr>
          <t xml:space="preserve">
25092/06 +97.090,40
25191/10 -100.000
25654/10 -116.000
25690/11 +230.000
25716/12
-72.600
</t>
        </r>
      </text>
    </comment>
    <comment ref="D700" authorId="316" shapeId="0">
      <text>
        <r>
          <rPr>
            <b/>
            <sz val="9"/>
            <rFont val="Tahoma"/>
          </rPr>
          <t>Jana Holíková:</t>
        </r>
        <r>
          <rPr>
            <sz val="9"/>
            <rFont val="Tahoma"/>
          </rPr>
          <t xml:space="preserve">
25654/10 +116.000
25690/11 -230.000
</t>
        </r>
      </text>
    </comment>
    <comment ref="D704" authorId="317" shapeId="0">
      <text>
        <r>
          <rPr>
            <b/>
            <sz val="9"/>
            <rFont val="Tahoma"/>
          </rPr>
          <t>Jana Holíková:</t>
        </r>
        <r>
          <rPr>
            <sz val="9"/>
            <rFont val="Tahoma"/>
          </rPr>
          <t xml:space="preserve">
25256/12
-274.902 § 6171
25716/12
+5.000 +24.000 +30.000 +60.000 +18.000 +72.600 +16.000 +140.307 
</t>
        </r>
      </text>
    </comment>
    <comment ref="D705" authorId="318" shapeId="0">
      <text>
        <r>
          <rPr>
            <b/>
            <sz val="9"/>
            <rFont val="Tahoma"/>
          </rPr>
          <t>Jana Holíková:</t>
        </r>
        <r>
          <rPr>
            <sz val="9"/>
            <rFont val="Tahoma"/>
          </rPr>
          <t xml:space="preserve">
25123.07 +400.000
25256/12 -15.093 (1385)
25716/12
-15.093
+15.093 (1385)
</t>
        </r>
      </text>
    </comment>
    <comment ref="D711" authorId="319" shapeId="0">
      <text>
        <r>
          <rPr>
            <b/>
            <sz val="9"/>
            <rFont val="Tahoma"/>
          </rPr>
          <t>Jana Holíková:</t>
        </r>
        <r>
          <rPr>
            <sz val="9"/>
            <rFont val="Tahoma"/>
          </rPr>
          <t xml:space="preserve">
25068/04 +13.905
25213/11 
+160.895 +71.798
</t>
        </r>
      </text>
    </comment>
    <comment ref="D712" authorId="320" shapeId="0">
      <text>
        <r>
          <rPr>
            <b/>
            <sz val="9"/>
            <rFont val="Tahoma"/>
          </rPr>
          <t>Jana Holíková:</t>
        </r>
        <r>
          <rPr>
            <sz val="9"/>
            <rFont val="Tahoma"/>
          </rPr>
          <t xml:space="preserve">
25135/08 +294.000
dotace 13024
25256/12 +305.445 (13024)
</t>
        </r>
      </text>
    </comment>
    <comment ref="D726" authorId="321" shapeId="0">
      <text>
        <r>
          <rPr>
            <b/>
            <sz val="9"/>
            <rFont val="Tahoma"/>
          </rPr>
          <t>Jana Holíková:</t>
        </r>
        <r>
          <rPr>
            <sz val="9"/>
            <rFont val="Tahoma"/>
          </rPr>
          <t xml:space="preserve">
25681/11 -10.000
</t>
        </r>
      </text>
    </comment>
    <comment ref="D727" authorId="322" shapeId="0">
      <text>
        <r>
          <rPr>
            <b/>
            <sz val="9"/>
            <rFont val="Tahoma"/>
          </rPr>
          <t>Jana Holíková:</t>
        </r>
        <r>
          <rPr>
            <sz val="9"/>
            <rFont val="Tahoma"/>
          </rPr>
          <t xml:space="preserve">
25681/11 +10.000
</t>
        </r>
      </text>
    </comment>
    <comment ref="D730" authorId="323" shapeId="0">
      <text>
        <r>
          <rPr>
            <b/>
            <sz val="9"/>
            <rFont val="Tahoma"/>
          </rPr>
          <t>Jana Holíková:</t>
        </r>
        <r>
          <rPr>
            <sz val="9"/>
            <rFont val="Tahoma"/>
          </rPr>
          <t xml:space="preserve">
25171/09 +42.350
</t>
        </r>
      </text>
    </comment>
    <comment ref="D738" authorId="324" shapeId="0">
      <text>
        <r>
          <rPr>
            <b/>
            <sz val="9"/>
            <rFont val="Tahoma"/>
          </rPr>
          <t>Jana Holíková:</t>
        </r>
        <r>
          <rPr>
            <sz val="9"/>
            <rFont val="Tahoma"/>
          </rPr>
          <t xml:space="preserve">
25154/09 -462.062 R
25155/09 -502.000 R
</t>
        </r>
      </text>
    </comment>
    <comment ref="D742" authorId="325" shapeId="0">
      <text>
        <r>
          <rPr>
            <b/>
            <sz val="9"/>
            <rFont val="Tahoma"/>
          </rPr>
          <t>Jana Holíková:</t>
        </r>
        <r>
          <rPr>
            <sz val="9"/>
            <rFont val="Tahoma"/>
          </rPr>
          <t xml:space="preserve">
25106.07 +500.000
</t>
        </r>
      </text>
    </comment>
    <comment ref="D743" authorId="326" shapeId="0">
      <text>
        <r>
          <rPr>
            <b/>
            <sz val="9"/>
            <rFont val="Tahoma"/>
          </rPr>
          <t>Jana Holíková:</t>
        </r>
        <r>
          <rPr>
            <sz val="9"/>
            <rFont val="Tahoma"/>
          </rPr>
          <t xml:space="preserve">
25171/09 -42.350
</t>
        </r>
      </text>
    </comment>
    <comment ref="D744" authorId="327" shapeId="0">
      <text>
        <r>
          <rPr>
            <b/>
            <sz val="9"/>
            <rFont val="Tahoma"/>
          </rPr>
          <t>Jana Holíková:</t>
        </r>
        <r>
          <rPr>
            <sz val="9"/>
            <rFont val="Tahoma"/>
          </rPr>
          <t xml:space="preserve">
25018/02 +214.000
25062/04 +23.725
25063/04 +4.745
25082/05 +40.000
25091/06 +10.000
25146/08 +60.000
25153/09 +335.000
25154/09 +462.062
25155/09 +502.000
25189/10 +-502.000
(z § 4350 na § 4357)
25195/11 +10.000
</t>
        </r>
      </text>
    </comment>
    <comment ref="D749" authorId="328" shapeId="0">
      <text>
        <r>
          <rPr>
            <b/>
            <sz val="9"/>
            <rFont val="Tahoma"/>
          </rPr>
          <t>Jana Holíková:</t>
        </r>
        <r>
          <rPr>
            <sz val="9"/>
            <rFont val="Tahoma"/>
          </rPr>
          <t xml:space="preserve">
25061/04 +2.980.000
25176/10 +536.000 
25212/11 
-682.000 -2.624.000
</t>
        </r>
      </text>
    </comment>
    <comment ref="D750" authorId="329" shapeId="0">
      <text>
        <r>
          <rPr>
            <b/>
            <sz val="9"/>
            <rFont val="Tahoma"/>
          </rPr>
          <t>Jana Holíková:</t>
        </r>
        <r>
          <rPr>
            <sz val="9"/>
            <rFont val="Tahoma"/>
          </rPr>
          <t xml:space="preserve">
25061/04 +586.000
25176/10 +158.000
25212/11 
-133.000 -503.000
</t>
        </r>
      </text>
    </comment>
    <comment ref="D751" authorId="330" shapeId="0">
      <text>
        <r>
          <rPr>
            <b/>
            <sz val="9"/>
            <rFont val="Tahoma"/>
          </rPr>
          <t>Jana Holíková:</t>
        </r>
        <r>
          <rPr>
            <sz val="9"/>
            <rFont val="Tahoma"/>
          </rPr>
          <t xml:space="preserve">
25061/04 +1.065.000
25176/10 +244.000
25212/11 
- 268.000 -802.000
</t>
        </r>
      </text>
    </comment>
    <comment ref="D754" authorId="331" shapeId="0">
      <text>
        <r>
          <rPr>
            <b/>
            <sz val="9"/>
            <rFont val="Tahoma"/>
          </rPr>
          <t>Jana Holíková:</t>
        </r>
        <r>
          <rPr>
            <sz val="9"/>
            <rFont val="Tahoma"/>
          </rPr>
          <t xml:space="preserve">
25149/08 +50.000
</t>
        </r>
      </text>
    </comment>
    <comment ref="D757" authorId="332" shapeId="0">
      <text>
        <r>
          <rPr>
            <b/>
            <sz val="9"/>
            <rFont val="Tahoma"/>
          </rPr>
          <t>Jana Holíková:</t>
        </r>
        <r>
          <rPr>
            <sz val="9"/>
            <rFont val="Tahoma"/>
          </rPr>
          <t xml:space="preserve">
25104.07 +50.000
25149/08 -50.000
</t>
        </r>
      </text>
    </comment>
    <comment ref="D762" authorId="333" shapeId="0">
      <text>
        <r>
          <rPr>
            <b/>
            <sz val="9"/>
            <rFont val="Tahoma"/>
          </rPr>
          <t>Jana Holíková:</t>
        </r>
        <r>
          <rPr>
            <sz val="9"/>
            <rFont val="Tahoma"/>
          </rPr>
          <t xml:space="preserve">
25169/09 +21.950
25201/11 +700.000
25249/12 -500.000
</t>
        </r>
      </text>
    </comment>
    <comment ref="D764" authorId="334" shapeId="0">
      <text>
        <r>
          <rPr>
            <b/>
            <sz val="9"/>
            <rFont val="Tahoma"/>
          </rPr>
          <t>Jana Holíková:</t>
        </r>
        <r>
          <rPr>
            <sz val="9"/>
            <rFont val="Tahoma"/>
          </rPr>
          <t xml:space="preserve">
25107/07 +30.000
25138/08 +470.000
25168/09 +250.000
25175/09 +10.000
25181/10 
-10.000 bez
+10.000 úz 809
</t>
        </r>
      </text>
    </comment>
    <comment ref="D765" authorId="335" shapeId="0">
      <text>
        <r>
          <rPr>
            <b/>
            <sz val="9"/>
            <rFont val="Tahoma"/>
          </rPr>
          <t>Jana Holíková:</t>
        </r>
        <r>
          <rPr>
            <sz val="9"/>
            <rFont val="Tahoma"/>
          </rPr>
          <t xml:space="preserve">
25134/08 -1.202.300
</t>
        </r>
      </text>
    </comment>
    <comment ref="D767" authorId="336" shapeId="0">
      <text>
        <r>
          <rPr>
            <b/>
            <sz val="9"/>
            <rFont val="Tahoma"/>
          </rPr>
          <t>Jana Holíková:</t>
        </r>
        <r>
          <rPr>
            <sz val="9"/>
            <rFont val="Tahoma"/>
          </rPr>
          <t xml:space="preserve">
25104.07 -50.000
</t>
        </r>
      </text>
    </comment>
    <comment ref="D770" authorId="337" shapeId="0">
      <text>
        <r>
          <rPr>
            <b/>
            <sz val="9"/>
            <rFont val="Tahoma"/>
          </rPr>
          <t>Jana Holíková:</t>
        </r>
        <r>
          <rPr>
            <sz val="9"/>
            <rFont val="Tahoma"/>
          </rPr>
          <t xml:space="preserve">
25201/11 +700.000
</t>
        </r>
      </text>
    </comment>
    <comment ref="D772" authorId="338" shapeId="0">
      <text>
        <r>
          <rPr>
            <b/>
            <sz val="9"/>
            <rFont val="Tahoma"/>
          </rPr>
          <t>Jana Holíková:</t>
        </r>
        <r>
          <rPr>
            <sz val="9"/>
            <rFont val="Tahoma"/>
          </rPr>
          <t xml:space="preserve">
25102/07 +50.000
25201/11 -18.123,69
25226/12 -77.427,31
</t>
        </r>
      </text>
    </comment>
    <comment ref="D775" authorId="339" shapeId="0">
      <text>
        <r>
          <rPr>
            <b/>
            <sz val="9"/>
            <rFont val="Tahoma"/>
          </rPr>
          <t>Jana Holíková:</t>
        </r>
        <r>
          <rPr>
            <sz val="9"/>
            <rFont val="Tahoma"/>
          </rPr>
          <t xml:space="preserve">
25056/04 +27.427,50
</t>
        </r>
      </text>
    </comment>
    <comment ref="D778" authorId="340" shapeId="0">
      <text>
        <r>
          <rPr>
            <b/>
            <sz val="9"/>
            <rFont val="Tahoma"/>
          </rPr>
          <t>Jana Holíková:</t>
        </r>
        <r>
          <rPr>
            <sz val="9"/>
            <rFont val="Tahoma"/>
          </rPr>
          <t xml:space="preserve">
25098/06 +500.000
</t>
        </r>
      </text>
    </comment>
    <comment ref="D782" authorId="341" shapeId="0">
      <text>
        <r>
          <rPr>
            <b/>
            <sz val="9"/>
            <rFont val="Tahoma"/>
          </rPr>
          <t>Jana Holíková:</t>
        </r>
        <r>
          <rPr>
            <sz val="9"/>
            <rFont val="Tahoma"/>
          </rPr>
          <t xml:space="preserve">
25521.02 +302.065,30
</t>
        </r>
      </text>
    </comment>
    <comment ref="D783" authorId="342" shapeId="0">
      <text>
        <r>
          <rPr>
            <b/>
            <sz val="9"/>
            <rFont val="Tahoma"/>
          </rPr>
          <t>Jana Holíková:</t>
        </r>
        <r>
          <rPr>
            <sz val="9"/>
            <rFont val="Tahoma"/>
          </rPr>
          <t xml:space="preserve">
25554/05 +798.600
</t>
        </r>
      </text>
    </comment>
    <comment ref="D784" authorId="343" shapeId="0">
      <text>
        <r>
          <rPr>
            <b/>
            <sz val="9"/>
            <rFont val="Tahoma"/>
          </rPr>
          <t>Jana Holíková:</t>
        </r>
        <r>
          <rPr>
            <sz val="9"/>
            <rFont val="Tahoma"/>
          </rPr>
          <t xml:space="preserve">
25674/11 +40.424
</t>
        </r>
      </text>
    </comment>
    <comment ref="D785" authorId="344" shapeId="0">
      <text>
        <r>
          <rPr>
            <b/>
            <sz val="9"/>
            <rFont val="Tahoma"/>
          </rPr>
          <t>Jana Holíková:</t>
        </r>
        <r>
          <rPr>
            <sz val="9"/>
            <rFont val="Tahoma"/>
          </rPr>
          <t xml:space="preserve">
25554/05 +50.000
</t>
        </r>
      </text>
    </comment>
    <comment ref="D788" authorId="345" shapeId="0">
      <text>
        <r>
          <rPr>
            <b/>
            <sz val="9"/>
            <rFont val="Tahoma"/>
          </rPr>
          <t>Jana Holíková:</t>
        </r>
        <r>
          <rPr>
            <sz val="9"/>
            <rFont val="Tahoma"/>
          </rPr>
          <t xml:space="preserve">
25554/05 -50.000
</t>
        </r>
      </text>
    </comment>
    <comment ref="D790" authorId="346" shapeId="0">
      <text>
        <r>
          <rPr>
            <b/>
            <sz val="9"/>
            <rFont val="Tahoma"/>
          </rPr>
          <t>Jana Holíková:</t>
        </r>
        <r>
          <rPr>
            <sz val="9"/>
            <rFont val="Tahoma"/>
          </rPr>
          <t xml:space="preserve">
25521/02 -312.434,90
25554/05 -847.352
25674/11 -256.165,19
25705/12 -6.955
25710/12 -40.397
</t>
        </r>
      </text>
    </comment>
    <comment ref="D791" authorId="347" shapeId="0">
      <text>
        <r>
          <rPr>
            <b/>
            <sz val="9"/>
            <rFont val="Tahoma"/>
          </rPr>
          <t>Jana Holíková:</t>
        </r>
        <r>
          <rPr>
            <sz val="9"/>
            <rFont val="Tahoma"/>
          </rPr>
          <t xml:space="preserve">
25521/02 +10.369,60
25554/05 +48.752
25674/11 +215.741,19
25705/12 +6.955
25710/12 +40.397
</t>
        </r>
      </text>
    </comment>
    <comment ref="D796" authorId="348" shapeId="0">
      <text>
        <r>
          <rPr>
            <b/>
            <sz val="9"/>
            <rFont val="Tahoma"/>
          </rPr>
          <t>Jana Holíková:</t>
        </r>
        <r>
          <rPr>
            <sz val="9"/>
            <rFont val="Tahoma"/>
          </rPr>
          <t xml:space="preserve">
25521/02 -1.756
25185/10 +1.307.000
25674/11 -8.425
25251/12 -304.433,67
</t>
        </r>
      </text>
    </comment>
    <comment ref="D797" authorId="349" shapeId="0">
      <text>
        <r>
          <rPr>
            <b/>
            <sz val="9"/>
            <rFont val="Tahoma"/>
          </rPr>
          <t>Jana Holíková:</t>
        </r>
        <r>
          <rPr>
            <sz val="9"/>
            <rFont val="Tahoma"/>
          </rPr>
          <t xml:space="preserve">
25521/02 +1.756
25674/11 +8.425
</t>
        </r>
      </text>
    </comment>
    <comment ref="D811" authorId="350" shapeId="0">
      <text>
        <r>
          <rPr>
            <b/>
            <sz val="9"/>
            <rFont val="Tahoma"/>
          </rPr>
          <t>Jana Holíková:</t>
        </r>
        <r>
          <rPr>
            <sz val="9"/>
            <rFont val="Tahoma"/>
          </rPr>
          <t xml:space="preserve">
25098/06 +2.000.000
</t>
        </r>
      </text>
    </comment>
    <comment ref="D813" authorId="351" shapeId="0">
      <text>
        <r>
          <rPr>
            <b/>
            <sz val="9"/>
            <rFont val="Tahoma"/>
          </rPr>
          <t>Jana Holíková:</t>
        </r>
        <r>
          <rPr>
            <sz val="9"/>
            <rFont val="Tahoma"/>
          </rPr>
          <t xml:space="preserve">
25183/10 +324.000 úz 34054
25214/11 +2.000.000
</t>
        </r>
      </text>
    </comment>
    <comment ref="D817" authorId="352" shapeId="0">
      <text>
        <r>
          <rPr>
            <b/>
            <sz val="9"/>
            <rFont val="Tahoma"/>
          </rPr>
          <t>Jana Holíková:</t>
        </r>
        <r>
          <rPr>
            <sz val="9"/>
            <rFont val="Tahoma"/>
          </rPr>
          <t xml:space="preserve">
25238/12 +1.690.434
25704/12 +2.000.000
</t>
        </r>
      </text>
    </comment>
    <comment ref="D820" authorId="353" shapeId="0">
      <text>
        <r>
          <rPr>
            <b/>
            <sz val="9"/>
            <rFont val="Tahoma"/>
          </rPr>
          <t>Jana Holíková:</t>
        </r>
        <r>
          <rPr>
            <sz val="9"/>
            <rFont val="Tahoma"/>
          </rPr>
          <t xml:space="preserve">
25704/12 +500.000
25708/12 +100.000
</t>
        </r>
      </text>
    </comment>
    <comment ref="D821" authorId="354" shapeId="0">
      <text>
        <r>
          <rPr>
            <b/>
            <sz val="9"/>
            <rFont val="Tahoma"/>
          </rPr>
          <t>Jana Holíková:</t>
        </r>
        <r>
          <rPr>
            <sz val="9"/>
            <rFont val="Tahoma"/>
          </rPr>
          <t xml:space="preserve">
25708/12 -100.000
</t>
        </r>
      </text>
    </comment>
    <comment ref="D822" authorId="355" shapeId="0">
      <text>
        <r>
          <rPr>
            <b/>
            <sz val="9"/>
            <rFont val="Tahoma"/>
          </rPr>
          <t>Jana Holíková:</t>
        </r>
        <r>
          <rPr>
            <sz val="9"/>
            <rFont val="Tahoma"/>
          </rPr>
          <t xml:space="preserve">
25704/12 -500.000
</t>
        </r>
      </text>
    </comment>
    <comment ref="D823" authorId="356" shapeId="0">
      <text>
        <r>
          <rPr>
            <b/>
            <sz val="9"/>
            <rFont val="Tahoma"/>
          </rPr>
          <t>Jana Holíková:</t>
        </r>
        <r>
          <rPr>
            <sz val="9"/>
            <rFont val="Tahoma"/>
          </rPr>
          <t xml:space="preserve">
25704/12 -2.000.000
</t>
        </r>
      </text>
    </comment>
    <comment ref="D827" authorId="357" shapeId="0">
      <text>
        <r>
          <rPr>
            <b/>
            <sz val="9"/>
            <rFont val="Tahoma"/>
          </rPr>
          <t>Jana Holíková:</t>
        </r>
        <r>
          <rPr>
            <sz val="9"/>
            <rFont val="Tahoma"/>
          </rPr>
          <t xml:space="preserve">
25147/08 +310.000
25159/09 -930.000
25201/11 -8.502,48
</t>
        </r>
      </text>
    </comment>
    <comment ref="D828" authorId="358" shapeId="0">
      <text>
        <r>
          <rPr>
            <b/>
            <sz val="9"/>
            <rFont val="Tahoma"/>
          </rPr>
          <t>Jana Holíková:</t>
        </r>
        <r>
          <rPr>
            <sz val="9"/>
            <rFont val="Tahoma"/>
          </rPr>
          <t xml:space="preserve">
25023/02 +800.000
25590/07 +50.000 
</t>
        </r>
      </text>
    </comment>
    <comment ref="D833" authorId="359" shapeId="0">
      <text>
        <r>
          <rPr>
            <b/>
            <sz val="9"/>
            <rFont val="Tahoma"/>
          </rPr>
          <t>Jana Holíková:</t>
        </r>
        <r>
          <rPr>
            <sz val="9"/>
            <rFont val="Tahoma"/>
          </rPr>
          <t xml:space="preserve">
25683/11 -300.000
</t>
        </r>
      </text>
    </comment>
    <comment ref="D838" authorId="360" shapeId="0">
      <text>
        <r>
          <rPr>
            <b/>
            <sz val="9"/>
            <rFont val="Tahoma"/>
          </rPr>
          <t>Jana Holíková:</t>
        </r>
        <r>
          <rPr>
            <sz val="9"/>
            <rFont val="Tahoma"/>
          </rPr>
          <t xml:space="preserve">
25510/01 -50.000
25636/09 -100.000
25683/11 +300.000
</t>
        </r>
      </text>
    </comment>
    <comment ref="D840" authorId="361" shapeId="0">
      <text>
        <r>
          <rPr>
            <b/>
            <sz val="9"/>
            <rFont val="Tahoma"/>
          </rPr>
          <t>Jana Holíková:</t>
        </r>
        <r>
          <rPr>
            <sz val="9"/>
            <rFont val="Tahoma"/>
          </rPr>
          <t xml:space="preserve">
25510/01 +50.000
25683/11 -10.000
</t>
        </r>
      </text>
    </comment>
    <comment ref="D842" authorId="362" shapeId="0">
      <text>
        <r>
          <rPr>
            <b/>
            <sz val="9"/>
            <rFont val="Tahoma"/>
          </rPr>
          <t>Jana Holíková:</t>
        </r>
        <r>
          <rPr>
            <sz val="9"/>
            <rFont val="Tahoma"/>
          </rPr>
          <t xml:space="preserve">
25636/09 +100.000
</t>
        </r>
      </text>
    </comment>
    <comment ref="D843" authorId="363" shapeId="0">
      <text>
        <r>
          <rPr>
            <b/>
            <sz val="9"/>
            <rFont val="Tahoma"/>
          </rPr>
          <t>Jana Holíková:</t>
        </r>
        <r>
          <rPr>
            <sz val="9"/>
            <rFont val="Tahoma"/>
          </rPr>
          <t xml:space="preserve">
25201/11 -200.000
</t>
        </r>
      </text>
    </comment>
    <comment ref="D847" authorId="364" shapeId="0">
      <text>
        <r>
          <rPr>
            <b/>
            <sz val="9"/>
            <rFont val="Tahoma"/>
          </rPr>
          <t>Jana Holíková:</t>
        </r>
        <r>
          <rPr>
            <sz val="9"/>
            <rFont val="Tahoma"/>
          </rPr>
          <t xml:space="preserve">
25147/08 -310.000
25201/11
-14,07 -799,92
</t>
        </r>
      </text>
    </comment>
    <comment ref="D849" authorId="365" shapeId="0">
      <text>
        <r>
          <rPr>
            <b/>
            <sz val="9"/>
            <rFont val="Tahoma"/>
          </rPr>
          <t>Jana Holíková:</t>
        </r>
        <r>
          <rPr>
            <sz val="9"/>
            <rFont val="Tahoma"/>
          </rPr>
          <t xml:space="preserve">
25510/01 -30.000
25535/03 -20.000
25098/06 +1.000.000
25214/11 +1.000.000
25238/12 -50.000
</t>
        </r>
      </text>
    </comment>
    <comment ref="D854" authorId="366" shapeId="0">
      <text>
        <r>
          <rPr>
            <b/>
            <sz val="9"/>
            <rFont val="Tahoma"/>
          </rPr>
          <t>Jana Holíková:</t>
        </r>
        <r>
          <rPr>
            <sz val="9"/>
            <rFont val="Tahoma"/>
          </rPr>
          <t xml:space="preserve">
25510/01 +30.000
25535/03 +20.000
25683/11 +10.000
</t>
        </r>
      </text>
    </comment>
    <comment ref="D858" authorId="367" shapeId="0">
      <text>
        <r>
          <rPr>
            <b/>
            <sz val="9"/>
            <rFont val="Tahoma"/>
          </rPr>
          <t>Jana Holíková:</t>
        </r>
        <r>
          <rPr>
            <sz val="9"/>
            <rFont val="Tahoma"/>
          </rPr>
          <t xml:space="preserve">
25590/07 -50.000
</t>
        </r>
      </text>
    </comment>
    <comment ref="D864" authorId="368" shapeId="0">
      <text>
        <r>
          <rPr>
            <b/>
            <sz val="9"/>
            <rFont val="Tahoma"/>
          </rPr>
          <t>Jana Holíková:</t>
        </r>
        <r>
          <rPr>
            <sz val="9"/>
            <rFont val="Tahoma"/>
          </rPr>
          <t xml:space="preserve">
25098/06 +1.000.000
25674/11 +550.000
25238/12 +220.000
</t>
        </r>
      </text>
    </comment>
    <comment ref="D868" authorId="369" shapeId="0">
      <text>
        <r>
          <rPr>
            <b/>
            <sz val="9"/>
            <rFont val="Tahoma"/>
          </rPr>
          <t>Jana Holíková:</t>
        </r>
        <r>
          <rPr>
            <sz val="9"/>
            <rFont val="Tahoma"/>
          </rPr>
          <t xml:space="preserve">
25674/11 -550.000
</t>
        </r>
      </text>
    </comment>
    <comment ref="D869" authorId="370" shapeId="0">
      <text>
        <r>
          <rPr>
            <b/>
            <sz val="9"/>
            <rFont val="Tahoma"/>
          </rPr>
          <t>Jana Holíková:</t>
        </r>
        <r>
          <rPr>
            <sz val="9"/>
            <rFont val="Tahoma"/>
          </rPr>
          <t xml:space="preserve">
25023/02 -800.000
</t>
        </r>
      </text>
    </comment>
    <comment ref="D873" authorId="371" shapeId="0">
      <text>
        <r>
          <rPr>
            <b/>
            <sz val="9"/>
            <rFont val="Tahoma"/>
          </rPr>
          <t>Jana Holíková:</t>
        </r>
        <r>
          <rPr>
            <sz val="9"/>
            <rFont val="Tahoma"/>
          </rPr>
          <t xml:space="preserve">
25238/12 +50.000
</t>
        </r>
      </text>
    </comment>
    <comment ref="D877" authorId="372" shapeId="0">
      <text>
        <r>
          <rPr>
            <b/>
            <sz val="9"/>
            <rFont val="Tahoma"/>
          </rPr>
          <t>Jana Holíková:</t>
        </r>
        <r>
          <rPr>
            <sz val="9"/>
            <rFont val="Tahoma"/>
          </rPr>
          <t xml:space="preserve">
25238/12 -220.000
</t>
        </r>
      </text>
    </comment>
    <comment ref="D890" authorId="373" shapeId="0">
      <text>
        <r>
          <rPr>
            <b/>
            <sz val="9"/>
            <rFont val="Tahoma"/>
          </rPr>
          <t>Jana Holíková:</t>
        </r>
        <r>
          <rPr>
            <sz val="9"/>
            <rFont val="Tahoma"/>
          </rPr>
          <t xml:space="preserve">
25024/02 
+76.214,38 Máj
+111.686,75 Sady
</t>
        </r>
      </text>
    </comment>
    <comment ref="D891" authorId="374" shapeId="0">
      <text>
        <r>
          <rPr>
            <b/>
            <sz val="9"/>
            <rFont val="Tahoma"/>
          </rPr>
          <t>Jana Holíková:</t>
        </r>
        <r>
          <rPr>
            <sz val="9"/>
            <rFont val="Tahoma"/>
          </rPr>
          <t xml:space="preserve">
25024/02 
+212.592,52 K66
+261.781,31 K68
+349.438,48 Tyr
</t>
        </r>
      </text>
    </comment>
    <comment ref="D892" authorId="375" shapeId="0">
      <text>
        <r>
          <rPr>
            <b/>
            <sz val="9"/>
            <rFont val="Tahoma"/>
          </rPr>
          <t>Jana Holíková:</t>
        </r>
        <r>
          <rPr>
            <sz val="9"/>
            <rFont val="Tahoma"/>
          </rPr>
          <t xml:space="preserve">
25156/09
+6.450,70 úz253 1441
+58.056,30 úz911 1445
</t>
        </r>
      </text>
    </comment>
    <comment ref="D893" authorId="376" shapeId="0">
      <text>
        <r>
          <rPr>
            <b/>
            <sz val="9"/>
            <rFont val="Tahoma"/>
          </rPr>
          <t>Jana Holíková:</t>
        </r>
        <r>
          <rPr>
            <sz val="9"/>
            <rFont val="Tahoma"/>
          </rPr>
          <t xml:space="preserve">
25026/02 +3.730
</t>
        </r>
      </text>
    </comment>
    <comment ref="D894" authorId="377" shapeId="0">
      <text>
        <r>
          <rPr>
            <b/>
            <sz val="9"/>
            <rFont val="Tahoma"/>
          </rPr>
          <t>Jana Holíková:</t>
        </r>
        <r>
          <rPr>
            <sz val="9"/>
            <rFont val="Tahoma"/>
          </rPr>
          <t xml:space="preserve">
25024/02 +61.299
</t>
        </r>
      </text>
    </comment>
    <comment ref="D896" authorId="378" shapeId="0">
      <text>
        <r>
          <rPr>
            <b/>
            <sz val="9"/>
            <rFont val="Tahoma"/>
          </rPr>
          <t>Jana Holíková:</t>
        </r>
        <r>
          <rPr>
            <sz val="9"/>
            <rFont val="Tahoma"/>
          </rPr>
          <t xml:space="preserve">
25253/12 +230.000
</t>
        </r>
      </text>
    </comment>
    <comment ref="D897" authorId="379" shapeId="0">
      <text>
        <r>
          <rPr>
            <b/>
            <sz val="9"/>
            <rFont val="Tahoma"/>
          </rPr>
          <t>Jana Holíková:</t>
        </r>
        <r>
          <rPr>
            <sz val="9"/>
            <rFont val="Tahoma"/>
          </rPr>
          <t xml:space="preserve">
25248/12 -120.000
</t>
        </r>
      </text>
    </comment>
    <comment ref="D898" authorId="380" shapeId="0">
      <text>
        <r>
          <rPr>
            <b/>
            <sz val="9"/>
            <rFont val="Tahoma"/>
          </rPr>
          <t>Jana Holíková:</t>
        </r>
        <r>
          <rPr>
            <sz val="9"/>
            <rFont val="Tahoma"/>
          </rPr>
          <t xml:space="preserve">
25248/12 +400
</t>
        </r>
      </text>
    </comment>
    <comment ref="D899" authorId="381" shapeId="0">
      <text>
        <r>
          <rPr>
            <b/>
            <sz val="9"/>
            <rFont val="Tahoma"/>
          </rPr>
          <t>Jana Holíková:</t>
        </r>
        <r>
          <rPr>
            <sz val="9"/>
            <rFont val="Tahoma"/>
          </rPr>
          <t xml:space="preserve">
25248/12 
+90.657,28 +30.684,81 +1.657,91
</t>
        </r>
      </text>
    </comment>
    <comment ref="D901" authorId="382" shapeId="0">
      <text>
        <r>
          <rPr>
            <b/>
            <sz val="9"/>
            <rFont val="Tahoma"/>
          </rPr>
          <t>Jana Holíková:</t>
        </r>
        <r>
          <rPr>
            <sz val="9"/>
            <rFont val="Tahoma"/>
          </rPr>
          <t xml:space="preserve">
25057/04 +25.564.110
</t>
        </r>
      </text>
    </comment>
    <comment ref="D904" authorId="383" shapeId="0">
      <text>
        <r>
          <rPr>
            <b/>
            <sz val="9"/>
            <rFont val="Tahoma"/>
          </rPr>
          <t>Jana Holíková:</t>
        </r>
        <r>
          <rPr>
            <sz val="9"/>
            <rFont val="Tahoma"/>
          </rPr>
          <t xml:space="preserve">
25004/01 úz 33092
+ 913,14 (1431)
+3.011,86 (1435)
</t>
        </r>
      </text>
    </comment>
    <comment ref="D905" authorId="384" shapeId="0">
      <text>
        <r>
          <rPr>
            <b/>
            <sz val="9"/>
            <rFont val="Tahoma"/>
          </rPr>
          <t>Jana Holíková:</t>
        </r>
        <r>
          <rPr>
            <sz val="9"/>
            <rFont val="Tahoma"/>
          </rPr>
          <t xml:space="preserve">
25204/11 úz 33092
+ 252.863,08 (1431)
+ 834.018,92 (1435)
</t>
        </r>
      </text>
    </comment>
    <comment ref="D906" authorId="385" shapeId="0">
      <text>
        <r>
          <rPr>
            <b/>
            <sz val="9"/>
            <rFont val="Tahoma"/>
          </rPr>
          <t>Jana Holíková:</t>
        </r>
        <r>
          <rPr>
            <sz val="9"/>
            <rFont val="Tahoma"/>
          </rPr>
          <t xml:space="preserve">
25203/11 úz 33092
+ 24.701,86 (1431)
+ 81.747,14 (1435)
</t>
        </r>
      </text>
    </comment>
    <comment ref="D907" authorId="386" shapeId="0">
      <text>
        <r>
          <rPr>
            <b/>
            <sz val="9"/>
            <rFont val="Tahoma"/>
          </rPr>
          <t>Jana Holíková:</t>
        </r>
        <r>
          <rPr>
            <sz val="9"/>
            <rFont val="Tahoma"/>
          </rPr>
          <t xml:space="preserve">
25027/02 +15.187,53
</t>
        </r>
      </text>
    </comment>
    <comment ref="D908" authorId="387" shapeId="0">
      <text>
        <r>
          <rPr>
            <b/>
            <sz val="9"/>
            <rFont val="Tahoma"/>
          </rPr>
          <t>Jana Holíková:</t>
        </r>
        <r>
          <rPr>
            <sz val="9"/>
            <rFont val="Tahoma"/>
          </rPr>
          <t xml:space="preserve">
25027/02 +3.957,43
</t>
        </r>
      </text>
    </comment>
    <comment ref="D910" authorId="388" shapeId="0">
      <text>
        <r>
          <rPr>
            <b/>
            <sz val="9"/>
            <rFont val="Tahoma"/>
          </rPr>
          <t>Jana Holíková:</t>
        </r>
        <r>
          <rPr>
            <sz val="9"/>
            <rFont val="Tahoma"/>
          </rPr>
          <t xml:space="preserve">
25001/01 -3.178.500
25002/01 +99.036
25003/01 -432.200
25005/01 -595.004,14
25008/01 +3.000.000
25009/01 +145.092
25011/01 -7.500
25012/01 -15.000
25013/01 -30.000
25014/01 -30.000
25015/01 -7.500
25016/01 -80.000
25017/01 +472.672,50
25018/02 -214.000
25024/02 -641.178,72
25025/02 -104.517
25027/02 -19.144,96
25028/02 +463.363
25029/02 -400.000
25030/03 +21.520.868,17
25031/03 +1.247.432,21
25034/03 -60.000
25035/03 +-10.990
25036/03 +297.792
25042/03 +2.743.942,28
25044/03 -14.800.000
25045/03 -6.020.000
25054/04 +1.571.026,45
25056/04 -27.427,50
25058/04 +5.889.660
25059/04 -1.700.000
25061/04 -5.000.000
25066/04 -2.000.000
25067/04 -3.000.000
25069/04 +85.015
25070/04 +472.380
25071/01 +706.318,75
25072/04 +1.093.905,82
25073/04 -300.000
25074/04 -280.000
25077/05 +54.671,25
25078/05 +25.000.000
25080/05 -3.000.000
25081/05 -3.375.008,64
25083/05 -370.000
25084/05 -300.000
25092/06 -1.266.234,75
25093/06 +810.777
25094/06 +5.424.450
25098/06 -4.500.000
25099/06 -5.000.000
25100/06 +300.000
------------------------
25102/07 -50.000
25106/07 -800.000
25107/07 -30.000
25113.07 -109.500
25119.07 -500.000
25120.07 -3.000.000
25122.07 -86.100
25123.07 -400.000
25126.07 -9.000.000
25127.07 -2.000.000
25129.07 -910.000
25130.07 +235.000
25132/08 -300.000
25134/08 +1.202.300
25137/08 +2.000.000
25138/08 -470.000
25139/08 -177.565
25140/08 +4.501.800
25141/08 +4.000.000
25143/08 +69.477,18
25144/08 +470.747,50
25145/08 +5.000.000
25150/08 +132.500
25157/09 +141.260,58
25158/09 +483.823
25159/09 +930.000
25160/09 +1.300.000
25161/09 +3.850.000
25162/09 -2.499.999
25163/09 -56.855,41
25164/09 -8.886.847
25165/09 -1.156.926,85
25166/09 -168.585
25167/09 -79.980
25168/09 -250.000
25169/09 +17.666
25170/09 +671.703,90
25174/09 +33.960.000
25177/10 +150.000
25182/10 -80.800
25183/10 -500.000 
25184/10 -1.000.000
25185/10 -1.307.000
25191/10 +1.099.496
25193/10 -23.885.049
25196/11 +30.000
25198/11 -30.250
25199/11 -20.000
25200/11 -203.075,15
25201/11 -1.372.559,84
25202/11 +51.162
25205.11 +0,30
25206/11 +296.102
25207/11 
+3.819,97 +42.374,82
25208/11 
-152.000 +135.000
25209/11 +6.588,45
25212/11 +5.012.000
25214/11 -3.000.000
25215/11 +150.000
25216/11 
+530.000 +237.000
25219/11 +54.000
25668/11 -300.000
(mělo být z 610/2219/2405)
25208/12 -135.000
25220/12 -30.000
25221/12 +52.000
25225/12 +-13.641
25226/12 +77.427,31
25227/12 -118.459
25228/12 +910.000
25229/12 +930
25230/12 -23.420
25231/12 +109.500
25232/12 -40.000
25233/12 +32.100
25234/12 +995.434,77
25237/12 +112.000
25240/12 +234.649,25
25242/12 +139.959,54
25243/12 +50.000
25244/12 +3.508.109,62
25246/12 -222.532
25247/12 -248.824,20
25248/12 +5.391.199,63
25249/12 +1.750.000
25251/12 +304.443,67
25252/12 +1.049.889,53
25254/12 -764.800
25255/12 -5.132.771,51
25256/12 
+389.995 -305.445
25258/12
+382.500 +18.500,85
</t>
        </r>
      </text>
    </comment>
    <comment ref="D911" authorId="389" shapeId="0">
      <text>
        <r>
          <rPr>
            <b/>
            <sz val="9"/>
            <rFont val="Tahoma"/>
          </rPr>
          <t>Jana Holíková:</t>
        </r>
        <r>
          <rPr>
            <sz val="9"/>
            <rFont val="Tahoma"/>
          </rPr>
          <t xml:space="preserve">
25248/12 -20.000
</t>
        </r>
      </text>
    </comment>
  </commentList>
</comments>
</file>

<file path=xl/sharedStrings.xml><?xml version="1.0" encoding="utf-8"?>
<sst xmlns="http://schemas.openxmlformats.org/spreadsheetml/2006/main" count="8529" uniqueCount="3208">
  <si>
    <t>Příloha č. 1</t>
  </si>
  <si>
    <r>
      <rPr>
        <b/>
        <sz val="9"/>
        <rFont val="Arial CE"/>
      </rPr>
      <t xml:space="preserve">Rozpočtová skladba                                                                                                                                                                                                                                                    </t>
    </r>
    <r>
      <rPr>
        <sz val="8"/>
        <rFont val="Arial CE"/>
      </rPr>
      <t xml:space="preserve"> ORJ/odd.par./pol./org./ÚZ</t>
    </r>
  </si>
  <si>
    <r>
      <rPr>
        <b/>
        <sz val="14"/>
        <rFont val="Arial CE"/>
      </rPr>
      <t xml:space="preserve">Návrh rozpočtu města Nový Jičín 
na rok 2021                                                                                                                                                                                                                                                                                                                                                                                  </t>
    </r>
    <r>
      <rPr>
        <sz val="11"/>
        <rFont val="Arial CE"/>
      </rPr>
      <t xml:space="preserve"> (údaje </t>
    </r>
    <r>
      <rPr>
        <b/>
        <sz val="11"/>
        <rFont val="Arial CE"/>
      </rPr>
      <t>v textu</t>
    </r>
    <r>
      <rPr>
        <sz val="11"/>
        <rFont val="Arial CE"/>
      </rPr>
      <t xml:space="preserve"> jsou v tis. Kč)          </t>
    </r>
    <r>
      <rPr>
        <b/>
        <sz val="14"/>
        <rFont val="Arial CE"/>
      </rPr>
      <t xml:space="preserve">                  </t>
    </r>
  </si>
  <si>
    <r>
      <rPr>
        <b/>
        <sz val="12"/>
        <rFont val="Arial CE"/>
      </rPr>
      <t xml:space="preserve">Schválený
rozpočet 2020
</t>
    </r>
    <r>
      <rPr>
        <sz val="9"/>
        <rFont val="Arial CE"/>
      </rPr>
      <t>(v Kč)</t>
    </r>
  </si>
  <si>
    <r>
      <rPr>
        <b/>
        <sz val="12"/>
        <rFont val="Arial CE"/>
      </rPr>
      <t xml:space="preserve">Upravený
rozpočet                                                                                                                                                                                                                                                                                                                                                                                                                                                                                                                                         k 31.8.2020
</t>
    </r>
    <r>
      <rPr>
        <sz val="9"/>
        <rFont val="Arial CE"/>
      </rPr>
      <t>(v Kč)</t>
    </r>
  </si>
  <si>
    <r>
      <rPr>
        <b/>
        <sz val="12"/>
        <rFont val="Arial CE"/>
      </rPr>
      <t xml:space="preserve">Očekávané plnění
k 31.12. 2020
</t>
    </r>
    <r>
      <rPr>
        <sz val="9"/>
        <rFont val="Arial CE"/>
      </rPr>
      <t>(v Kč)</t>
    </r>
  </si>
  <si>
    <r>
      <rPr>
        <b/>
        <sz val="12"/>
        <rFont val="Arial CE"/>
      </rPr>
      <t xml:space="preserve">Skutečnost za
k 31.8. 2020
</t>
    </r>
    <r>
      <rPr>
        <sz val="9"/>
        <rFont val="Arial CE"/>
      </rPr>
      <t>(v Kč)</t>
    </r>
  </si>
  <si>
    <r>
      <rPr>
        <b/>
        <sz val="12"/>
        <rFont val="Arial CE"/>
      </rPr>
      <t xml:space="preserve">2021                                                                                                                                                                                                                                                                                                                                                                                                                      </t>
    </r>
    <r>
      <rPr>
        <sz val="9"/>
        <rFont val="Arial CE"/>
      </rPr>
      <t xml:space="preserve"> (v Kč)   </t>
    </r>
    <r>
      <rPr>
        <b/>
        <sz val="9"/>
        <rFont val="Arial CE"/>
      </rPr>
      <t xml:space="preserve">        </t>
    </r>
    <r>
      <rPr>
        <b/>
        <sz val="12"/>
        <rFont val="Arial CE"/>
      </rPr>
      <t xml:space="preserve">                                                                                                                                                                  </t>
    </r>
  </si>
  <si>
    <t>Příjmy</t>
  </si>
  <si>
    <t>Třída 1 - Daňové příjmy</t>
  </si>
  <si>
    <t>Třída 2 - Nedaňové příjmy</t>
  </si>
  <si>
    <t>Třída 3 - Kapitálové příjmy</t>
  </si>
  <si>
    <t>Třída 4 - Přijaté transfery (dotace)</t>
  </si>
  <si>
    <t>Příjmy celkem</t>
  </si>
  <si>
    <t>Třída 8 - Financování</t>
  </si>
  <si>
    <t>Úhrn zdrojů</t>
  </si>
  <si>
    <r>
      <rPr>
        <b/>
        <sz val="14"/>
        <rFont val="Arial CE"/>
      </rPr>
      <t>Výdaje:</t>
    </r>
    <r>
      <rPr>
        <sz val="14"/>
        <rFont val="Arial CE"/>
      </rPr>
      <t xml:space="preserve"> </t>
    </r>
    <r>
      <rPr>
        <i/>
        <sz val="12"/>
        <rFont val="Arial CE"/>
      </rPr>
      <t xml:space="preserve">(ORJ = organizační jednotka) </t>
    </r>
  </si>
  <si>
    <t>Třída 5 - Běžné výdaje</t>
  </si>
  <si>
    <t>Třída 6 - Kapitálové výdaje</t>
  </si>
  <si>
    <t>z toho:</t>
  </si>
  <si>
    <t xml:space="preserve">ORJ 1xx - Odbor správy majetku                                                                                                                                                                                                                                                                                                                                                                                                                                                                                          </t>
  </si>
  <si>
    <t>v tom: 102 - Vodní hospodářství</t>
  </si>
  <si>
    <t xml:space="preserve">           110 - Doprava</t>
  </si>
  <si>
    <t xml:space="preserve">           120 - Majetkoprávní záležitosti</t>
  </si>
  <si>
    <t xml:space="preserve">           139 - Komunální služby</t>
  </si>
  <si>
    <t xml:space="preserve">ORJ 6xx - Odbor rozvoje a investic                                                                                                                                                                                                                                                                                                                                                                                                                                                                                   </t>
  </si>
  <si>
    <t>v tom: 602 - Vodní hospodářství</t>
  </si>
  <si>
    <t xml:space="preserve">           610 - Doprava</t>
  </si>
  <si>
    <t xml:space="preserve">           615 - Zdravé město a marketing</t>
  </si>
  <si>
    <t xml:space="preserve">           639 - Komunální služby</t>
  </si>
  <si>
    <t xml:space="preserve">           641 - Dotace, návratné finanční výpomoci a dary cizích subjektům </t>
  </si>
  <si>
    <t>ORJ 009 - Obecní živnostenský úřad</t>
  </si>
  <si>
    <r>
      <rPr>
        <b/>
        <i/>
        <sz val="14"/>
        <rFont val="Arial CE"/>
      </rPr>
      <t xml:space="preserve">ORJ 011 - Návštěvnické centrum NJ-město klobouků </t>
    </r>
    <r>
      <rPr>
        <i/>
        <sz val="12"/>
        <rFont val="Arial CE"/>
      </rPr>
      <t>(org. složka)</t>
    </r>
  </si>
  <si>
    <t>ORJ 210 - Odbor dopravy</t>
  </si>
  <si>
    <t>ORJ 313 - Odbor přestupkových agend</t>
  </si>
  <si>
    <t xml:space="preserve">ORJ 317 - Odbor správních agend                                                                                                                                                                                                                                                                                                                                                                                                                                                                                          </t>
  </si>
  <si>
    <t>ORJ 4xx - Odbor školství, kultury a sportu</t>
  </si>
  <si>
    <t>v tom: 414 - Školství, sport</t>
  </si>
  <si>
    <t xml:space="preserve">           416 - Kultura</t>
  </si>
  <si>
    <t xml:space="preserve">           441 - Dotace, návratné finanční výpomoci a dary cizím subjektům</t>
  </si>
  <si>
    <t>ORJ 018 - Městská policie NJ</t>
  </si>
  <si>
    <t xml:space="preserve">ORJ 019 - Odbor organizační </t>
  </si>
  <si>
    <r>
      <rPr>
        <b/>
        <i/>
        <sz val="14"/>
        <rFont val="Arial CE"/>
      </rPr>
      <t>ORJ 919 - Odbor kancelář vedení města</t>
    </r>
    <r>
      <rPr>
        <i/>
        <sz val="12"/>
        <rFont val="Arial CE"/>
      </rPr>
      <t xml:space="preserve">                                                                                                                                                                                                                                                                                                                                                                                                                                                                                                                           </t>
    </r>
  </si>
  <si>
    <t>ORJ 5xx - Odbor sociálních věcí</t>
  </si>
  <si>
    <t>v tom: 528 - Sociální věci</t>
  </si>
  <si>
    <t xml:space="preserve">           541 - Dotace, návratné finanční výpomoci a dary cizím subjektům</t>
  </si>
  <si>
    <r>
      <rPr>
        <b/>
        <i/>
        <sz val="14"/>
        <rFont val="Arial CE"/>
      </rPr>
      <t xml:space="preserve">ORJ 029 - Prosenior NJ </t>
    </r>
    <r>
      <rPr>
        <i/>
        <sz val="12"/>
        <rFont val="Arial CE"/>
      </rPr>
      <t>(org. složka)</t>
    </r>
  </si>
  <si>
    <t>v tom:  Pečovatelská služba (org. 0390)</t>
  </si>
  <si>
    <t xml:space="preserve">            Denní stacionář (org. 1391)</t>
  </si>
  <si>
    <t xml:space="preserve">            Odlehčovací služba Pohoda (org. 1393)</t>
  </si>
  <si>
    <t>ORJ 035 - Odbor životního prostředí</t>
  </si>
  <si>
    <t>ORJ 037 - Odbor bytový</t>
  </si>
  <si>
    <t>ORJ 040 - Odbor územního plánování a stavebního řádu</t>
  </si>
  <si>
    <t xml:space="preserve">v tom: 041 - Dotace cizím subjektům </t>
  </si>
  <si>
    <t>ORJ 741 - Odbor finanční</t>
  </si>
  <si>
    <t>Výdaje celkem</t>
  </si>
  <si>
    <t xml:space="preserve">Příjmy </t>
  </si>
  <si>
    <t xml:space="preserve">Třída 1 - Daňové příjmy                                                                                                                                                                                                                                                                                                                                                                                                                                                                                                  </t>
  </si>
  <si>
    <r>
      <rPr>
        <b/>
        <sz val="10"/>
        <rFont val="Arial CE"/>
      </rPr>
      <t xml:space="preserve">Daň z příjmů fyzických osob placená plátci </t>
    </r>
    <r>
      <rPr>
        <sz val="9"/>
        <rFont val="Arial CE"/>
      </rPr>
      <t>(sdílená část)</t>
    </r>
    <r>
      <rPr>
        <b/>
        <sz val="10"/>
        <rFont val="Arial CE"/>
      </rPr>
      <t xml:space="preserve"> </t>
    </r>
    <r>
      <rPr>
        <sz val="10"/>
        <rFont val="Arial CE"/>
      </rPr>
      <t xml:space="preserve">                                                         </t>
    </r>
  </si>
  <si>
    <r>
      <rPr>
        <b/>
        <sz val="10"/>
        <rFont val="Arial CE"/>
      </rPr>
      <t xml:space="preserve">Daň z příjmů fyzických osob placená plátci </t>
    </r>
    <r>
      <rPr>
        <sz val="9"/>
        <rFont val="Arial CE"/>
      </rPr>
      <t xml:space="preserve">(motivační 1,5%)            </t>
    </r>
    <r>
      <rPr>
        <sz val="10"/>
        <rFont val="Arial CE"/>
      </rPr>
      <t xml:space="preserve">                                       </t>
    </r>
  </si>
  <si>
    <r>
      <rPr>
        <b/>
        <sz val="10"/>
        <rFont val="Arial CE"/>
      </rPr>
      <t>Daň z příjmů fyzických osob placená poplatníky</t>
    </r>
    <r>
      <rPr>
        <sz val="9"/>
        <rFont val="Arial CE"/>
      </rPr>
      <t xml:space="preserve"> (sdílená) </t>
    </r>
    <r>
      <rPr>
        <i/>
        <sz val="9"/>
        <rFont val="Arial CE"/>
      </rPr>
      <t xml:space="preserve"> </t>
    </r>
    <r>
      <rPr>
        <sz val="9"/>
        <rFont val="Arial CE"/>
      </rPr>
      <t xml:space="preserve">      </t>
    </r>
    <r>
      <rPr>
        <b/>
        <sz val="10"/>
        <rFont val="Arial CE"/>
      </rPr>
      <t xml:space="preserve">                                                   </t>
    </r>
  </si>
  <si>
    <r>
      <rPr>
        <b/>
        <sz val="10"/>
        <rFont val="Arial CE"/>
      </rPr>
      <t xml:space="preserve">Daň z příjmů fyzických osob vybíraná srážkou </t>
    </r>
    <r>
      <rPr>
        <sz val="9"/>
        <rFont val="Arial CE"/>
      </rPr>
      <t>(podle zvláštní sazby daně)</t>
    </r>
  </si>
  <si>
    <r>
      <rPr>
        <b/>
        <sz val="10"/>
        <rFont val="Arial CE"/>
      </rPr>
      <t xml:space="preserve">Daň z příjmů právnických osob </t>
    </r>
    <r>
      <rPr>
        <sz val="9"/>
        <rFont val="Arial CE"/>
      </rPr>
      <t xml:space="preserve">(sdílená)        </t>
    </r>
    <r>
      <rPr>
        <b/>
        <sz val="10"/>
        <rFont val="Arial CE"/>
      </rPr>
      <t xml:space="preserve">                                                                     </t>
    </r>
    <r>
      <rPr>
        <sz val="9"/>
        <rFont val="Arial CE"/>
      </rPr>
      <t xml:space="preserve"> </t>
    </r>
  </si>
  <si>
    <r>
      <rPr>
        <b/>
        <sz val="10"/>
        <rFont val="Arial CE"/>
      </rPr>
      <t xml:space="preserve">Daň z příjmů právnických osob za obec </t>
    </r>
    <r>
      <rPr>
        <sz val="9"/>
        <rFont val="Arial CE"/>
      </rPr>
      <t>(za město NJ) = 100%</t>
    </r>
  </si>
  <si>
    <r>
      <rPr>
        <b/>
        <sz val="10"/>
        <rFont val="Arial CE"/>
      </rPr>
      <t xml:space="preserve">Daň z přidané hodnoty </t>
    </r>
    <r>
      <rPr>
        <sz val="9"/>
        <rFont val="Arial CE"/>
      </rPr>
      <t xml:space="preserve">(sdílená) </t>
    </r>
    <r>
      <rPr>
        <b/>
        <sz val="9"/>
        <rFont val="Arial CE"/>
      </rPr>
      <t xml:space="preserve">           </t>
    </r>
    <r>
      <rPr>
        <b/>
        <sz val="10"/>
        <rFont val="Arial CE"/>
      </rPr>
      <t xml:space="preserve">                                                                                  </t>
    </r>
    <r>
      <rPr>
        <b/>
        <sz val="9"/>
        <rFont val="Arial CE"/>
      </rPr>
      <t xml:space="preserve"> </t>
    </r>
  </si>
  <si>
    <t>Odvody za odnětí půdy ze zemědělského půdního fondu</t>
  </si>
  <si>
    <t>Poplatky za odnětí pozemků plnění funkcí lesa</t>
  </si>
  <si>
    <t>Poplatky za povolené vypouštění odpadních vod do vod podzemních</t>
  </si>
  <si>
    <t>Poplatek za provoz systému shromažďování, sběru, přepravy, třídění, využívání a odstraňování komunálních odpadů</t>
  </si>
  <si>
    <t>Poplatek ze psů</t>
  </si>
  <si>
    <t>Poplatek za užívání veřejného prostranství</t>
  </si>
  <si>
    <t xml:space="preserve">z toho: odbor obecní živnostenský úřad </t>
  </si>
  <si>
    <r>
      <rPr>
        <sz val="10"/>
        <rFont val="Arial CE"/>
      </rPr>
      <t xml:space="preserve">            odbor správy majetku (</t>
    </r>
    <r>
      <rPr>
        <sz val="9"/>
        <rFont val="Arial CE"/>
      </rPr>
      <t>překopy+zábory+MP vyhrazené parkování)</t>
    </r>
  </si>
  <si>
    <r>
      <rPr>
        <sz val="10"/>
        <rFont val="Arial CE"/>
      </rPr>
      <t xml:space="preserve">            odbor životního prostředí</t>
    </r>
    <r>
      <rPr>
        <sz val="9"/>
        <rFont val="Arial CE"/>
      </rPr>
      <t xml:space="preserve"> (zvláštní užívání zeleně)</t>
    </r>
  </si>
  <si>
    <r>
      <rPr>
        <b/>
        <sz val="10"/>
        <rFont val="Arial CE"/>
      </rPr>
      <t xml:space="preserve">Poplatek za povolení k vjezdu do vybraných míst </t>
    </r>
    <r>
      <rPr>
        <sz val="9"/>
        <rFont val="Arial CE"/>
      </rPr>
      <t>(od r. 2020: příjmy z parkovacích automatů v městské památkové rezervaci 30 zůstávají TSM, NCNJ: abonentní a rezidentní karty 90)</t>
    </r>
  </si>
  <si>
    <t>z toho: TSM NJ (příjmy z parkovacích automatů )</t>
  </si>
  <si>
    <t xml:space="preserve">            NC NJ (příjmy z abonentních a rezidentních karet)</t>
  </si>
  <si>
    <t>Příjmy za zkoušky z odborné způsobilosti od žadatelů o řidičské oprávnění</t>
  </si>
  <si>
    <t>Příjmy úhrad za dobývání nerostů a poplatků za geologické práce</t>
  </si>
  <si>
    <t>Ostatní odvody z vybraných činností a služeb j.n.</t>
  </si>
  <si>
    <t>Správní poplatky</t>
  </si>
  <si>
    <t>z toho: odbor dopravy</t>
  </si>
  <si>
    <r>
      <rPr>
        <sz val="10"/>
        <rFont val="Arial CE"/>
      </rPr>
      <t xml:space="preserve">            obecní živnostenský úřad </t>
    </r>
    <r>
      <rPr>
        <sz val="9"/>
        <rFont val="Arial CE"/>
      </rPr>
      <t>(nové a změnové výpisy z živnost.rejstříku 378, vydání výpisů z živnost.rejstříku 2,                                                                                                                                                                                                                                                                                                                                                                                                                vydání povolení k hernímu prostoru 30, osvědčení zemědělský podnikatel 10)</t>
    </r>
  </si>
  <si>
    <t xml:space="preserve">            odbor územního plánování a stavebního řádu </t>
  </si>
  <si>
    <r>
      <rPr>
        <sz val="10"/>
        <rFont val="Arial CE"/>
      </rPr>
      <t xml:space="preserve">            odbor správních agend </t>
    </r>
    <r>
      <rPr>
        <sz val="9"/>
        <rFont val="Arial CE"/>
      </rPr>
      <t>(r. 2021: matrika 170, ohlaš. 40, CzechPoint 70, OP+CD 720)</t>
    </r>
  </si>
  <si>
    <r>
      <rPr>
        <sz val="10"/>
        <rFont val="Arial CE"/>
      </rPr>
      <t xml:space="preserve">            odbor životního prostředí </t>
    </r>
    <r>
      <rPr>
        <sz val="9"/>
        <rFont val="Arial CE"/>
      </rPr>
      <t>(r. 2021: rybářské a lovecké lístky 80, vodní hospodářství 100, odpady 2)</t>
    </r>
  </si>
  <si>
    <r>
      <rPr>
        <sz val="10"/>
        <rFont val="Arial CE"/>
      </rPr>
      <t xml:space="preserve">            odbor finanční </t>
    </r>
    <r>
      <rPr>
        <sz val="9"/>
        <rFont val="Arial CE"/>
      </rPr>
      <t>(ověřování + splátkové kalendáře)</t>
    </r>
  </si>
  <si>
    <t>Daň z hazardních her s vvýjimkou dílčí daně z technických her</t>
  </si>
  <si>
    <t>Dílčí daň z technických her</t>
  </si>
  <si>
    <r>
      <rPr>
        <b/>
        <sz val="10"/>
        <rFont val="Arial CE"/>
      </rPr>
      <t xml:space="preserve">Daň z nemovitých věcí </t>
    </r>
    <r>
      <rPr>
        <sz val="9"/>
        <rFont val="Arial CE"/>
      </rPr>
      <t xml:space="preserve">(výlučná)    </t>
    </r>
    <r>
      <rPr>
        <b/>
        <sz val="10"/>
        <rFont val="Arial CE"/>
      </rPr>
      <t xml:space="preserve">                                                                                                              </t>
    </r>
  </si>
  <si>
    <t>Příjmy z vlastní činnosti</t>
  </si>
  <si>
    <t xml:space="preserve">               § 1019 ostatní zemědělská a potravinářská činnost a rozvoj</t>
  </si>
  <si>
    <r>
      <rPr>
        <sz val="10"/>
        <rFont val="Arial CE"/>
      </rPr>
      <t xml:space="preserve">               § 1031 pěstební činnost </t>
    </r>
    <r>
      <rPr>
        <sz val="9"/>
        <rFont val="Arial CE"/>
      </rPr>
      <t>(těžba v městských lesích)</t>
    </r>
  </si>
  <si>
    <r>
      <rPr>
        <sz val="10"/>
        <rFont val="Arial CE"/>
      </rPr>
      <t xml:space="preserve">               § 2143 cestovní ruch</t>
    </r>
    <r>
      <rPr>
        <sz val="9"/>
        <rFont val="Arial CE"/>
      </rPr>
      <t xml:space="preserve"> (Návštěvnické centrum NJ-město klobouků)</t>
    </r>
  </si>
  <si>
    <r>
      <rPr>
        <sz val="10"/>
        <rFont val="Arial CE"/>
      </rPr>
      <t xml:space="preserve">               § 2229 Baby-Senior taxi </t>
    </r>
    <r>
      <rPr>
        <sz val="9"/>
        <rFont val="Arial CE"/>
      </rPr>
      <t>(prodej průkazek)</t>
    </r>
  </si>
  <si>
    <r>
      <rPr>
        <sz val="10"/>
        <rFont val="Arial CE"/>
      </rPr>
      <t xml:space="preserve">               § 3412 sportovní zařízení v majetku obce</t>
    </r>
    <r>
      <rPr>
        <sz val="9"/>
        <rFont val="Arial CE"/>
      </rPr>
      <t xml:space="preserve"> (bazé</t>
    </r>
    <r>
      <rPr>
        <sz val="9"/>
        <rFont val="Arial CE"/>
      </rPr>
      <t>n: Basketbalový klub,o.s.-vstupné, nájmy)</t>
    </r>
  </si>
  <si>
    <r>
      <rPr>
        <sz val="10"/>
        <rFont val="Arial CE"/>
      </rPr>
      <t xml:space="preserve">               § 3412 sportovní zařízení v majetku obce </t>
    </r>
    <r>
      <rPr>
        <sz val="9"/>
        <rFont val="Arial CE"/>
      </rPr>
      <t>(zimní stadión: Hokejový klub-vstupné, nájmy)</t>
    </r>
  </si>
  <si>
    <r>
      <rPr>
        <sz val="10"/>
        <rFont val="Arial CE"/>
      </rPr>
      <t xml:space="preserve">               § 3612 tržby za správu SVJ</t>
    </r>
    <r>
      <rPr>
        <sz val="9"/>
        <rFont val="Arial CE"/>
      </rPr>
      <t xml:space="preserve"> (odbor bytový)</t>
    </r>
  </si>
  <si>
    <r>
      <rPr>
        <sz val="10"/>
        <rFont val="Arial CE"/>
      </rPr>
      <t xml:space="preserve">               § 3613 tržby za metropolitní síť </t>
    </r>
    <r>
      <rPr>
        <sz val="9"/>
        <rFont val="Arial CE"/>
      </rPr>
      <t>(odbor organizační)</t>
    </r>
  </si>
  <si>
    <r>
      <rPr>
        <sz val="10"/>
        <rFont val="Arial CE"/>
      </rPr>
      <t xml:space="preserve">               § 3632 poplatky za hrobová místa</t>
    </r>
    <r>
      <rPr>
        <sz val="9"/>
        <rFont val="Arial CE"/>
      </rPr>
      <t xml:space="preserve"> (odbor správy majetku: od r. 2020 zůstává TSM)</t>
    </r>
  </si>
  <si>
    <r>
      <rPr>
        <sz val="10"/>
        <rFont val="Arial CE"/>
      </rPr>
      <t xml:space="preserve">               § 4351 </t>
    </r>
    <r>
      <rPr>
        <sz val="10"/>
        <rFont val="Arial CE"/>
      </rPr>
      <t xml:space="preserve">pečovatelská služba, denní stacionář, odlehč. služba Pohoda </t>
    </r>
    <r>
      <rPr>
        <sz val="9"/>
        <rFont val="Arial CE"/>
      </rPr>
      <t>(Prosenior NJ)</t>
    </r>
  </si>
  <si>
    <r>
      <rPr>
        <sz val="10"/>
        <rFont val="Arial CE"/>
      </rPr>
      <t xml:space="preserve">               § 5311 bezpečnost a veřejný pořádek </t>
    </r>
    <r>
      <rPr>
        <sz val="9"/>
        <rFont val="Arial CE"/>
      </rPr>
      <t>(Městská policie)</t>
    </r>
  </si>
  <si>
    <r>
      <rPr>
        <sz val="10"/>
        <rFont val="Arial CE"/>
      </rPr>
      <t xml:space="preserve">               § 6171 činnost místní správy </t>
    </r>
    <r>
      <rPr>
        <sz val="9"/>
        <rFont val="Arial CE"/>
      </rPr>
      <t>(kopírování pro veřejnost)</t>
    </r>
  </si>
  <si>
    <r>
      <rPr>
        <b/>
        <sz val="10"/>
        <rFont val="Arial CE"/>
      </rPr>
      <t xml:space="preserve">Ostatní příjmy z vlastní činnosti </t>
    </r>
    <r>
      <rPr>
        <sz val="9"/>
        <rFont val="Arial CE"/>
      </rPr>
      <t>(odbor správy majetku: věcná břemena s DPH 21%)</t>
    </r>
  </si>
  <si>
    <r>
      <rPr>
        <b/>
        <sz val="10"/>
        <rFont val="Arial CE"/>
      </rPr>
      <t xml:space="preserve">Odvody příspěvkových organizací </t>
    </r>
    <r>
      <rPr>
        <sz val="9"/>
        <rFont val="Arial CE"/>
      </rPr>
      <t>(z fondu investic: odpisy z nemovitého majetku)</t>
    </r>
    <r>
      <rPr>
        <b/>
        <i/>
        <sz val="9"/>
        <rFont val="Arial CE"/>
      </rPr>
      <t xml:space="preserve">       </t>
    </r>
    <r>
      <rPr>
        <sz val="9"/>
        <rFont val="Arial CE"/>
      </rPr>
      <t xml:space="preserve">      </t>
    </r>
  </si>
  <si>
    <r>
      <rPr>
        <b/>
        <sz val="10"/>
        <rFont val="Arial CE"/>
      </rPr>
      <t xml:space="preserve">Příjmy z pronájmu pozemků </t>
    </r>
    <r>
      <rPr>
        <sz val="9"/>
        <rFont val="Arial CE"/>
      </rPr>
      <t>(odbor správy majetku: s 0% DPH 1140, s 21% DPH 850 + zápočet oplocení p. Perútka 8,78833)</t>
    </r>
  </si>
  <si>
    <t>Příjmy z pronájmů ostatních nemovitých věcí a jejich částí</t>
  </si>
  <si>
    <r>
      <rPr>
        <sz val="10"/>
        <rFont val="Arial CE"/>
      </rPr>
      <t xml:space="preserve">              § 2212 vyhrazené parkování formou nájemní smlouvy </t>
    </r>
    <r>
      <rPr>
        <sz val="9"/>
        <rFont val="Arial CE"/>
      </rPr>
      <t>(odbor správy majetku: v režimu DPH)</t>
    </r>
  </si>
  <si>
    <r>
      <rPr>
        <sz val="10"/>
        <rFont val="Arial CE"/>
      </rPr>
      <t xml:space="preserve">              § 2310 nájem ostatních nemovitostí </t>
    </r>
    <r>
      <rPr>
        <sz val="9"/>
        <rFont val="Arial CE"/>
      </rPr>
      <t>(odbor správy majetku)</t>
    </r>
  </si>
  <si>
    <r>
      <rPr>
        <sz val="10"/>
        <rFont val="Arial CE"/>
      </rPr>
      <t xml:space="preserve">              § 2321 nájem Kanalizace od SmVaK (DSO) </t>
    </r>
    <r>
      <rPr>
        <sz val="9"/>
        <rFont val="Arial CE"/>
      </rPr>
      <t>- účet 2310441 Plán financování obnovy (PFO)</t>
    </r>
  </si>
  <si>
    <r>
      <rPr>
        <sz val="10"/>
        <rFont val="Arial CE"/>
      </rPr>
      <t xml:space="preserve">              § 3122 nájem EDUCA </t>
    </r>
    <r>
      <rPr>
        <sz val="9"/>
        <rFont val="Arial CE"/>
      </rPr>
      <t>(odbor bytový)</t>
    </r>
  </si>
  <si>
    <r>
      <rPr>
        <sz val="10"/>
        <rFont val="Arial CE"/>
      </rPr>
      <t xml:space="preserve">              § 3612 z bytů v majetku města</t>
    </r>
    <r>
      <rPr>
        <sz val="9"/>
        <rFont val="Arial CE"/>
      </rPr>
      <t xml:space="preserve"> (odbor bytový: nájmy 32000, zálohy na služby 18500, vyplácení přeplatků, pacht Suvorovova 441,650)</t>
    </r>
  </si>
  <si>
    <r>
      <rPr>
        <sz val="10"/>
        <rFont val="Arial CE"/>
      </rPr>
      <t xml:space="preserve">              § 3613 v nebytových prostorech </t>
    </r>
    <r>
      <rPr>
        <sz val="9"/>
        <rFont val="Arial CE"/>
      </rPr>
      <t>(odbor organizační: Kavamat 3, Metropolitní síť 83,405+1194,7929)</t>
    </r>
  </si>
  <si>
    <r>
      <rPr>
        <sz val="10"/>
        <rFont val="Arial CE"/>
      </rPr>
      <t xml:space="preserve">              § 3613 v nebyt.prostorech </t>
    </r>
    <r>
      <rPr>
        <sz val="9"/>
        <rFont val="Arial CE"/>
      </rPr>
      <t>(odbor správy majetku: s DPH 0% je 100 =nájem plynovodu, s DPH 21%=325)</t>
    </r>
  </si>
  <si>
    <r>
      <rPr>
        <sz val="10"/>
        <rFont val="Arial CE"/>
      </rPr>
      <t xml:space="preserve">              § 3613 v nebytových prostorech </t>
    </r>
    <r>
      <rPr>
        <sz val="9"/>
        <rFont val="Arial CE"/>
      </rPr>
      <t>(odbor bytový: nájmy 13500, zálohy na služby 3000, kryté stání Loučka 240, krátkodobé 20, Hotel Praha 746, zálohy na služby a energie Hotel Praha 216, nájem teplovod Smet.sady 134)</t>
    </r>
  </si>
  <si>
    <r>
      <rPr>
        <sz val="10"/>
        <rFont val="Arial CE"/>
      </rPr>
      <t xml:space="preserve">              § 3634 v zásobování teplem </t>
    </r>
    <r>
      <rPr>
        <sz val="9"/>
        <rFont val="Arial CE"/>
      </rPr>
      <t>(VEOLIA)</t>
    </r>
  </si>
  <si>
    <r>
      <rPr>
        <sz val="10"/>
        <rFont val="Arial CE"/>
      </rPr>
      <t xml:space="preserve">              § 4351 v domech s pečovatelskou službou </t>
    </r>
    <r>
      <rPr>
        <sz val="9"/>
        <rFont val="Arial CE"/>
      </rPr>
      <t xml:space="preserve">(nájmy: krátkodobé 18), </t>
    </r>
    <r>
      <rPr>
        <sz val="8"/>
        <rFont val="Arial CE"/>
      </rPr>
      <t>pozn.:skut.k 31.8.2020 vč.pol.2329</t>
    </r>
  </si>
  <si>
    <r>
      <rPr>
        <sz val="10"/>
        <rFont val="Arial CE"/>
      </rPr>
      <t xml:space="preserve">              § 4379 v klubech seniorů </t>
    </r>
    <r>
      <rPr>
        <sz val="9"/>
        <rFont val="Arial CE"/>
      </rPr>
      <t xml:space="preserve">(nájmy: dlouhodobé 16, krátkodobé 11) </t>
    </r>
  </si>
  <si>
    <t>Příjmy z úroků</t>
  </si>
  <si>
    <t>Sankční platby přijaté od jiných subjektů</t>
  </si>
  <si>
    <r>
      <rPr>
        <sz val="10"/>
        <rFont val="Arial CE"/>
      </rPr>
      <t xml:space="preserve">z toho:  § 2141 vnitřní obchod </t>
    </r>
    <r>
      <rPr>
        <sz val="9"/>
        <rFont val="Arial CE"/>
      </rPr>
      <t>(obecní živnostenský úřad: ve správním řízení 5, v blokovém řízení 15)</t>
    </r>
  </si>
  <si>
    <t xml:space="preserve">             § 2169 stavební úřad</t>
  </si>
  <si>
    <t xml:space="preserve">             § 2223 dopravní přestupky </t>
  </si>
  <si>
    <r>
      <rPr>
        <sz val="10"/>
        <rFont val="Arial CE"/>
      </rPr>
      <t xml:space="preserve">             § 2223 dopravní přestupky </t>
    </r>
    <r>
      <rPr>
        <sz val="9"/>
        <rFont val="Arial CE"/>
      </rPr>
      <t>(radary)</t>
    </r>
  </si>
  <si>
    <t xml:space="preserve">             § 3613 smluvní pokuta Čerťák (odbor bytový)</t>
  </si>
  <si>
    <t xml:space="preserve">             § 3633 smluvní pokuta IS RD Za Školou</t>
  </si>
  <si>
    <t xml:space="preserve">             § 3769 ostatní správa v ochraně životního prostředí       </t>
  </si>
  <si>
    <r>
      <rPr>
        <sz val="10"/>
        <rFont val="Arial CE"/>
      </rPr>
      <t xml:space="preserve">             § 5311 bezpečnost a veřejný pořádek </t>
    </r>
    <r>
      <rPr>
        <sz val="9"/>
        <rFont val="Arial CE"/>
      </rPr>
      <t>(Městská policie: na místě zaplacené 500, na místě nezapl. 150)</t>
    </r>
  </si>
  <si>
    <r>
      <rPr>
        <sz val="10"/>
        <rFont val="Arial CE"/>
      </rPr>
      <t xml:space="preserve">             § 6171 pokuty </t>
    </r>
    <r>
      <rPr>
        <sz val="9"/>
        <rFont val="Arial CE"/>
      </rPr>
      <t>(odbor přestupkových agend)</t>
    </r>
  </si>
  <si>
    <r>
      <rPr>
        <sz val="10"/>
        <rFont val="Arial CE"/>
      </rPr>
      <t xml:space="preserve">             § 6171 pokuty </t>
    </r>
    <r>
      <rPr>
        <sz val="9"/>
        <rFont val="Arial CE"/>
      </rPr>
      <t>(odbor správních agend)</t>
    </r>
  </si>
  <si>
    <r>
      <rPr>
        <b/>
        <sz val="10"/>
        <rFont val="Arial CE"/>
      </rPr>
      <t xml:space="preserve">Ostatní příjmy z fin.vypořádání předch.let od jiných veřej.rozpočtů </t>
    </r>
    <r>
      <rPr>
        <sz val="10"/>
        <rFont val="Arial CE"/>
      </rPr>
      <t xml:space="preserve">doplatek dotace 2019-volby do EP </t>
    </r>
  </si>
  <si>
    <r>
      <rPr>
        <b/>
        <sz val="10"/>
        <rFont val="Arial CE"/>
      </rPr>
      <t xml:space="preserve">Ostatní přijaté vratky transferů </t>
    </r>
    <r>
      <rPr>
        <sz val="10"/>
        <rFont val="Arial CE"/>
      </rPr>
      <t>(příspěvků a dotací)</t>
    </r>
  </si>
  <si>
    <t>z toho § 3111 MŠ vratky příspěvků 2019 na energie (org.305+307+309)</t>
  </si>
  <si>
    <t xml:space="preserve">           § 3111 MŠ vratky dotace 2019 - Šablony I (org. 0309)</t>
  </si>
  <si>
    <t xml:space="preserve">           § 3111 vratky veř.výpomoci 2019 - individuální žádosti kultura+sport (org.1180)</t>
  </si>
  <si>
    <t xml:space="preserve">           § 3113 ZŠ vratky příspěvků 2019 na energie (org.321+325)</t>
  </si>
  <si>
    <t xml:space="preserve">           § 3113 ZŠ vratky dotace 2019 - Šablony I  (org. 0323)</t>
  </si>
  <si>
    <t xml:space="preserve">           § 3233 SVČ Fokus vratky příspěvků 2019 na energie</t>
  </si>
  <si>
    <t xml:space="preserve">           § 3311 Beskydské divadlo vratky příspěvků 2019 na energie</t>
  </si>
  <si>
    <t xml:space="preserve">           § 3392 MěKS vratky příspěvků 2019 na energie</t>
  </si>
  <si>
    <t xml:space="preserve">           § 3412 Basketbalový klub z.s.-vratky příspěvků 2019 energie a provoz</t>
  </si>
  <si>
    <t xml:space="preserve">           § 3419 vratky veř.výpomoci 2019 - sport (org.1134, 1136,1137, 1141, 1180)</t>
  </si>
  <si>
    <t xml:space="preserve">           § 3429 vratky veř.výpomoci 2019 - sport (org. 1141)</t>
  </si>
  <si>
    <t xml:space="preserve">           § 4171- § 4379 dávky a podpory v soc.zabezpečení z minulých let</t>
  </si>
  <si>
    <t>Příjmy z prodeje krd a drobného dld majetku</t>
  </si>
  <si>
    <r>
      <rPr>
        <b/>
        <sz val="10"/>
        <rFont val="Arial CE"/>
      </rPr>
      <t xml:space="preserve">Přijaté neinvestiční dary </t>
    </r>
    <r>
      <rPr>
        <sz val="9"/>
        <rFont val="Arial CE"/>
      </rPr>
      <t xml:space="preserve">(Veolia Dalkia ČR-financování kulturních a společenských akcí města) </t>
    </r>
  </si>
  <si>
    <t>Přijaté pojistné náhrady</t>
  </si>
  <si>
    <t>Přijaté nekapitálové příspěvky a náhrady</t>
  </si>
  <si>
    <r>
      <rPr>
        <sz val="10"/>
        <rFont val="Arial CE"/>
      </rPr>
      <t xml:space="preserve">             § 2141 vnitřní obchod </t>
    </r>
    <r>
      <rPr>
        <sz val="9"/>
        <rFont val="Arial CE"/>
      </rPr>
      <t>(obecní živnostenský úřad: náklady řízení)</t>
    </r>
  </si>
  <si>
    <r>
      <rPr>
        <sz val="10"/>
        <rFont val="Arial CE"/>
      </rPr>
      <t xml:space="preserve">             § 2223 bezpečnost silničního provozu </t>
    </r>
    <r>
      <rPr>
        <sz val="9"/>
        <rFont val="Arial CE"/>
      </rPr>
      <t>(dopravní přestupky: náklady řízení)</t>
    </r>
  </si>
  <si>
    <r>
      <rPr>
        <sz val="10"/>
        <rFont val="Arial CE"/>
      </rPr>
      <t xml:space="preserve">             § 3612 bytové hospodářství </t>
    </r>
    <r>
      <rPr>
        <sz val="9"/>
        <rFont val="Arial CE"/>
      </rPr>
      <t>(odbor bytový: úhrada nákladů soudních řízení+poplatky z prodlení)</t>
    </r>
  </si>
  <si>
    <r>
      <rPr>
        <sz val="10"/>
        <rFont val="Arial CE"/>
      </rPr>
      <t xml:space="preserve">             § 3613 nebytové hospodářství </t>
    </r>
    <r>
      <rPr>
        <sz val="9"/>
        <rFont val="Arial CE"/>
      </rPr>
      <t>(odb.bytový: úhrada nákladů soudních řízení+popl.z prodlení,OSM 3,84798)</t>
    </r>
  </si>
  <si>
    <r>
      <rPr>
        <sz val="10"/>
        <rFont val="Arial CE"/>
      </rPr>
      <t xml:space="preserve">             § 3631 veřejné osvětlení (náhrada za </t>
    </r>
    <r>
      <rPr>
        <sz val="9"/>
        <rFont val="Arial CE"/>
      </rPr>
      <t>VO na území obce Šenov u NJ+F67</t>
    </r>
    <r>
      <rPr>
        <sz val="10"/>
        <rFont val="Arial CE"/>
      </rPr>
      <t>)</t>
    </r>
  </si>
  <si>
    <r>
      <rPr>
        <sz val="10"/>
        <rFont val="Arial CE"/>
      </rPr>
      <t xml:space="preserve">             § 3632 pohřebnictví (</t>
    </r>
    <r>
      <rPr>
        <sz val="9"/>
        <rFont val="Arial CE"/>
      </rPr>
      <t>příspěvek od Česko-něm fondu budoucnosti na sanaci čestných hrobů NJ</t>
    </r>
    <r>
      <rPr>
        <sz val="10"/>
        <rFont val="Arial CE"/>
      </rPr>
      <t>)</t>
    </r>
  </si>
  <si>
    <r>
      <rPr>
        <sz val="10"/>
        <rFont val="Arial CE"/>
      </rPr>
      <t xml:space="preserve">             § 3639 náklady řízení </t>
    </r>
    <r>
      <rPr>
        <sz val="9"/>
        <rFont val="Arial CE"/>
      </rPr>
      <t>(odbor finanční)</t>
    </r>
  </si>
  <si>
    <r>
      <rPr>
        <sz val="10"/>
        <rFont val="Arial CE"/>
      </rPr>
      <t xml:space="preserve">             § 3722 sběr a svoz komunálních odpadů </t>
    </r>
    <r>
      <rPr>
        <sz val="9"/>
        <rFont val="Arial CE"/>
      </rPr>
      <t xml:space="preserve">(příspěvek od EKOKOMu)               </t>
    </r>
  </si>
  <si>
    <r>
      <rPr>
        <sz val="10"/>
        <rFont val="Arial CE"/>
      </rPr>
      <t xml:space="preserve">             § 3769 ostatní správa v ochraně životního prostředí</t>
    </r>
    <r>
      <rPr>
        <sz val="9"/>
        <rFont val="Arial CE"/>
      </rPr>
      <t xml:space="preserve">       </t>
    </r>
  </si>
  <si>
    <r>
      <rPr>
        <sz val="10"/>
        <rFont val="Arial CE"/>
      </rPr>
      <t xml:space="preserve">             § 4329 ostatní soc.péče a pomoc dětem a mládeži</t>
    </r>
    <r>
      <rPr>
        <sz val="9"/>
        <rFont val="Arial CE"/>
      </rPr>
      <t xml:space="preserve">   </t>
    </r>
  </si>
  <si>
    <r>
      <rPr>
        <sz val="10"/>
        <rFont val="Arial CE"/>
      </rPr>
      <t xml:space="preserve">             § 5311 bezpečnost a veřejný pořádek</t>
    </r>
    <r>
      <rPr>
        <sz val="9"/>
        <rFont val="Arial CE"/>
      </rPr>
      <t xml:space="preserve"> (Městská policie: náhrady)</t>
    </r>
  </si>
  <si>
    <r>
      <rPr>
        <sz val="10"/>
        <rFont val="Arial CE"/>
      </rPr>
      <t xml:space="preserve">             § 6171 činnost místní správy </t>
    </r>
    <r>
      <rPr>
        <sz val="9"/>
        <rFont val="Arial CE"/>
      </rPr>
      <t>(odbor přestupkových agend: náklady řízení)</t>
    </r>
  </si>
  <si>
    <r>
      <rPr>
        <sz val="10"/>
        <rFont val="Arial CE"/>
      </rPr>
      <t xml:space="preserve">             § 6171 činnost místní správy</t>
    </r>
    <r>
      <rPr>
        <sz val="9"/>
        <rFont val="Arial CE"/>
      </rPr>
      <t xml:space="preserve"> (náhrady škod, dobropisy z min.let)</t>
    </r>
  </si>
  <si>
    <r>
      <rPr>
        <sz val="10"/>
        <rFont val="Arial CE"/>
      </rPr>
      <t xml:space="preserve">             § 6171 činnost místní správy</t>
    </r>
    <r>
      <rPr>
        <sz val="9"/>
        <rFont val="Arial CE"/>
      </rPr>
      <t xml:space="preserve"> (odbor finanční: exekuční a soudní náklady)</t>
    </r>
  </si>
  <si>
    <r>
      <rPr>
        <sz val="10"/>
        <rFont val="Arial CE"/>
      </rPr>
      <t xml:space="preserve">             § 6409 ostatní činnosti j.n. (</t>
    </r>
    <r>
      <rPr>
        <sz val="9"/>
        <rFont val="Arial CE"/>
      </rPr>
      <t>příspěvek na opravu kamenného divadla</t>
    </r>
    <r>
      <rPr>
        <sz val="10"/>
        <rFont val="Arial CE"/>
      </rPr>
      <t>)</t>
    </r>
  </si>
  <si>
    <t>Neidentifikované příjmy</t>
  </si>
  <si>
    <t>Ostatní nedaňové příjmy j.n.</t>
  </si>
  <si>
    <t>z toho: § 2292 dopravní obslužnost (odbor dopravy)</t>
  </si>
  <si>
    <r>
      <rPr>
        <sz val="10"/>
        <rFont val="Arial CE"/>
      </rPr>
      <t xml:space="preserve">             § 3341 kabelová televize Straník-přihlášky</t>
    </r>
    <r>
      <rPr>
        <sz val="9"/>
        <rFont val="Arial CE"/>
      </rPr>
      <t xml:space="preserve"> </t>
    </r>
    <r>
      <rPr>
        <sz val="10"/>
        <rFont val="Arial CE"/>
      </rPr>
      <t>(odbor správy majetku)</t>
    </r>
  </si>
  <si>
    <t xml:space="preserve">             § 3612 bytové hospodářství (odbor bytový)</t>
  </si>
  <si>
    <t xml:space="preserve">             § 3613 nebytové hospodářství (odbor bytový)</t>
  </si>
  <si>
    <r>
      <rPr>
        <sz val="10"/>
        <rFont val="Arial CE"/>
      </rPr>
      <t xml:space="preserve">             § 3613 chata Jičínka </t>
    </r>
    <r>
      <rPr>
        <sz val="10"/>
        <rFont val="Arial CE"/>
      </rPr>
      <t>(org. 4381)=účet 2310440, OSM kovošrot 0,310 + ostatní=účet 2310600</t>
    </r>
  </si>
  <si>
    <r>
      <rPr>
        <sz val="10"/>
        <rFont val="Arial CE"/>
      </rPr>
      <t xml:space="preserve">             § 3632</t>
    </r>
    <r>
      <rPr>
        <sz val="10"/>
        <rFont val="Arial CE"/>
      </rPr>
      <t xml:space="preserve"> pohřebnictví (odbor sociálních věcí - příjmy ze sociálních pohřbů)</t>
    </r>
  </si>
  <si>
    <r>
      <rPr>
        <sz val="10"/>
        <rFont val="Arial CE"/>
      </rPr>
      <t xml:space="preserve">             § 3639 provoz internetu ve Straníku </t>
    </r>
    <r>
      <rPr>
        <sz val="10"/>
        <rFont val="Arial CE"/>
      </rPr>
      <t>(odbor správy majetku)</t>
    </r>
  </si>
  <si>
    <t xml:space="preserve">             § 4351 domy s pečovatelskou službou (odbor bytový)</t>
  </si>
  <si>
    <t xml:space="preserve">             § 4399 ostatní záležitosti soc.věcí a politiky zaměstnanosti</t>
  </si>
  <si>
    <t xml:space="preserve">             § 6171 odbor organizační (DPH)</t>
  </si>
  <si>
    <t xml:space="preserve">             § 6409 odbor organizační </t>
  </si>
  <si>
    <r>
      <rPr>
        <b/>
        <sz val="10"/>
        <rFont val="Arial CE"/>
      </rPr>
      <t xml:space="preserve">Splátky půjč.prostředků od podnik.subjektů-FO </t>
    </r>
    <r>
      <rPr>
        <sz val="10"/>
        <rFont val="Arial CE"/>
      </rPr>
      <t>(návratná fin.výpomoc 2019 org.1180-Ing.Žitníková, projekt Beránek s plandavým ouškem)</t>
    </r>
  </si>
  <si>
    <r>
      <rPr>
        <b/>
        <sz val="10"/>
        <rFont val="Arial CE"/>
      </rPr>
      <t xml:space="preserve">Příjmy z prodeje pozemků </t>
    </r>
    <r>
      <rPr>
        <sz val="10"/>
        <rFont val="Arial CE"/>
      </rPr>
      <t>(v mil. Kč: za Kauflandem 5,95 + Dolní Brána 3,9 + IS Za Školou 3.etapa 44,064+ Lokalita Pod Skalkou 14,478 + chata Bludovice 0,8 + SBD Venkov 1,8 + trafostanice ČP 0,4 + ost. 2,5)</t>
    </r>
  </si>
  <si>
    <t xml:space="preserve">Příjmy z prodeje ostatních nemovitých věcí a jejich částí </t>
  </si>
  <si>
    <t xml:space="preserve">z toho: bytový dům Purkyňova 40 (podíl města 64/100) </t>
  </si>
  <si>
    <t xml:space="preserve">            nebytový dům Karla Čapka 15</t>
  </si>
  <si>
    <t xml:space="preserve">            bytový dům Hoblíkova 32</t>
  </si>
  <si>
    <t xml:space="preserve">            bytový dům Dolní Brána 26</t>
  </si>
  <si>
    <t xml:space="preserve">            nebytový dům Hoblíkova 3</t>
  </si>
  <si>
    <t xml:space="preserve">            nebytový dům U Jezu - celý areál - odhad</t>
  </si>
  <si>
    <t xml:space="preserve">            bytový dům Beskydská 176 (Škola života) - odhad</t>
  </si>
  <si>
    <t xml:space="preserve">            vodovodní řady města na pozemcích Žilina, Bludovice, NJ (ORJ 102)</t>
  </si>
  <si>
    <r>
      <rPr>
        <b/>
        <sz val="10"/>
        <rFont val="Arial CE"/>
      </rPr>
      <t>Příjmy z prodeje ostatního hmotného dlouhodobého majetku</t>
    </r>
    <r>
      <rPr>
        <sz val="9"/>
        <rFont val="Arial CE"/>
      </rPr>
      <t xml:space="preserve"> </t>
    </r>
  </si>
  <si>
    <r>
      <rPr>
        <b/>
        <sz val="10"/>
        <rFont val="Arial CE"/>
      </rPr>
      <t>Ostatní příjmy z prodeje dlouhodobého majetku</t>
    </r>
    <r>
      <rPr>
        <sz val="9"/>
        <rFont val="Arial CE"/>
      </rPr>
      <t xml:space="preserve"> (odbor organizační: metropolitní síť)</t>
    </r>
  </si>
  <si>
    <r>
      <rPr>
        <b/>
        <sz val="10"/>
        <rFont val="Arial CE"/>
      </rPr>
      <t xml:space="preserve">Přijaté dary na pořízení dlouhodobého majetku </t>
    </r>
    <r>
      <rPr>
        <sz val="10"/>
        <rFont val="Arial CE"/>
      </rPr>
      <t>(chodník Na Valech-spoluúčast, komunikace ČSAD r. 2021)</t>
    </r>
  </si>
  <si>
    <t>Přijaté příspěvky na pořízení dlouhodobého majetku</t>
  </si>
  <si>
    <t>Ostatní investiční příjmy j.n.</t>
  </si>
  <si>
    <t xml:space="preserve">             Modernizace kotelny zimního stadionu- bude u dotace na Rekonstrukci střechy</t>
  </si>
  <si>
    <t xml:space="preserve">             Vybudování kotelny v DPS U Jičínky 25</t>
  </si>
  <si>
    <t xml:space="preserve">             Místo pro přecházení Bludovice u České školy</t>
  </si>
  <si>
    <t xml:space="preserve">             Stavební úprava a nástavba objektu SVČ Fokus</t>
  </si>
  <si>
    <t>Třída 4  - Přijaté transfery</t>
  </si>
  <si>
    <t xml:space="preserve">Neinvestiční přijaté transfery z všeobecné pokladní správy státního rozpočtu </t>
  </si>
  <si>
    <t xml:space="preserve">               kompenzační bonus v souvislosti s kriz.opatřeními spojenými s výskytem koronaviru </t>
  </si>
  <si>
    <t xml:space="preserve">               na společné volby do Senátu Parlamentu ČR a zastupitelstev krajů</t>
  </si>
  <si>
    <r>
      <rPr>
        <b/>
        <sz val="10"/>
        <rFont val="Arial CE"/>
      </rPr>
      <t xml:space="preserve">Neinvestiční přijaté transfery ze státního rozpočtu v rámci souhrnného dotačního vztahu </t>
    </r>
    <r>
      <rPr>
        <sz val="10"/>
        <rFont val="Arial CE"/>
      </rPr>
      <t>(2020: příspěvek na výkon státní správy, z toho základní působnost 958935,0949 + matriční působnost 709659,9826 + příspěvek za narozené 520950 + příspěvek za sňatek 433320 + příspěvek za úmrtí 542800 + příspěvek za určení otcovství 39919 + stavební působnost 4236063,649 + pověřený obecní úřad 7723640,937 + rozšířená působnost 23616817,65 + obč.průkazy (5454 ks) + veřejné opatrovnictví 1363000 (47 opatr.) + 1530786 územní plánování + 236555 řidičské průkazy (2057 ks) + zaokrouhleno)                                                                                                                                                                                                                                                                                                                                                                                                                                                                     (2021: ...................................)</t>
    </r>
  </si>
  <si>
    <t xml:space="preserve">Ostatní neinvestiční přijaté transfery ze státního rozpočtu </t>
  </si>
  <si>
    <r>
      <rPr>
        <sz val="10"/>
        <rFont val="Arial CE"/>
      </rPr>
      <t xml:space="preserve">              ostatní </t>
    </r>
    <r>
      <rPr>
        <sz val="9"/>
        <rFont val="Arial CE"/>
      </rPr>
      <t>(minimální podíl melioračních dřevin, aj.)</t>
    </r>
  </si>
  <si>
    <t xml:space="preserve">              Výkon pěstounské péče (ÚZ 13010)</t>
  </si>
  <si>
    <t xml:space="preserve">              Výkon sociálněprávní ochrany dětí (ÚZ 13011)</t>
  </si>
  <si>
    <t xml:space="preserve">              Na výkon sociální práce mimo SPOD (ÚZ 13015)</t>
  </si>
  <si>
    <t xml:space="preserve">                                                        ÚZ 13351</t>
  </si>
  <si>
    <t xml:space="preserve">              MMR IROP SR NIV-EÚ bytového domu Revoluční 36 (ÚZ 17015)</t>
  </si>
  <si>
    <t xml:space="preserve">              MMR IROP EU NIV-EÚ bytového domu Revoluční 36 (ÚZ 17016)</t>
  </si>
  <si>
    <t xml:space="preserve">              Mze-zmírnění dopadů kůrovcové kalamity v lesích 1.10.2017-31.12.2018 (ÚZ 29030)</t>
  </si>
  <si>
    <t xml:space="preserve">                                                 ÚZ 33063</t>
  </si>
  <si>
    <t xml:space="preserve">                                                 ÚZ 34053</t>
  </si>
  <si>
    <t xml:space="preserve">              Min.kultury-Program regenerace MPR a MPZ</t>
  </si>
  <si>
    <t>Neinvestiční přijaté transfery od obcí</t>
  </si>
  <si>
    <r>
      <rPr>
        <sz val="10"/>
        <rFont val="Arial CE"/>
      </rPr>
      <t xml:space="preserve">z toho: za veřejnoprávní smlouvy s ostatními obcemi na úseku přestupků </t>
    </r>
    <r>
      <rPr>
        <sz val="9"/>
        <rFont val="Arial CE"/>
      </rPr>
      <t>(odbor přestupkových agend)</t>
    </r>
  </si>
  <si>
    <r>
      <rPr>
        <sz val="10"/>
        <rFont val="Arial CE"/>
      </rPr>
      <t xml:space="preserve">             za veřejnopravní smlouvy s ostatními obcemi </t>
    </r>
    <r>
      <rPr>
        <sz val="9"/>
        <rFont val="Arial CE"/>
      </rPr>
      <t>(Městská policie-odchyt psů)</t>
    </r>
  </si>
  <si>
    <t xml:space="preserve">             za poskytování odlehčovací služby Pohoda (ProSenior NJ)</t>
  </si>
  <si>
    <t xml:space="preserve">             na poskytování podpory soc.služeb dle zákona o soc.službách ORJ 541, org.1113</t>
  </si>
  <si>
    <t xml:space="preserve">             na poskytování podpory soc.služeb dle zákona o soc.službách ORJ 541, org.1114</t>
  </si>
  <si>
    <t xml:space="preserve">             za veřejnoprávní smlouvy s ostatními obcemi (odbor životního prostředí - veř.zeleň)</t>
  </si>
  <si>
    <r>
      <rPr>
        <sz val="10"/>
        <rFont val="Arial CE"/>
      </rPr>
      <t xml:space="preserve">             za veřejnoprávní smlouvy s ostatními obcemi </t>
    </r>
    <r>
      <rPr>
        <sz val="9"/>
        <rFont val="Arial CE"/>
      </rPr>
      <t>(</t>
    </r>
    <r>
      <rPr>
        <sz val="10"/>
        <rFont val="Arial CE"/>
      </rPr>
      <t>stavební úřad</t>
    </r>
    <r>
      <rPr>
        <sz val="9"/>
        <rFont val="Arial CE"/>
      </rPr>
      <t>)</t>
    </r>
  </si>
  <si>
    <t xml:space="preserve">Neinvestiční přijaté transfery od krajů </t>
  </si>
  <si>
    <t xml:space="preserve">              pořízení ochranných prostředků a pomůcek pro dopravce veř.dopravy- covid-19 (ÚZ 27009) </t>
  </si>
  <si>
    <t xml:space="preserve">              Okresní a kraj.soutěže typu AaB-SVČ Fokus (ÚZ 133)</t>
  </si>
  <si>
    <t xml:space="preserve">              podpora technických atraktivit v NJ (ÚZ 201)</t>
  </si>
  <si>
    <t xml:space="preserve">              zajištění výkonu regionálních funkcí knihoven-MěKS (ÚZ 345)</t>
  </si>
  <si>
    <r>
      <rPr>
        <sz val="10"/>
        <rFont val="Arial CE"/>
      </rPr>
      <t xml:space="preserve">              poskytování sociálních služeb (ÚZ 13305) - </t>
    </r>
    <r>
      <rPr>
        <sz val="9"/>
        <rFont val="Arial CE"/>
      </rPr>
      <t>pro Prosenior</t>
    </r>
  </si>
  <si>
    <r>
      <rPr>
        <sz val="9"/>
        <rFont val="Arial CE"/>
      </rPr>
      <t>2360100/741/6330/</t>
    </r>
    <r>
      <rPr>
        <b/>
        <sz val="9"/>
        <rFont val="Arial CE"/>
      </rPr>
      <t>4134</t>
    </r>
    <r>
      <rPr>
        <sz val="9"/>
        <rFont val="Arial CE"/>
      </rPr>
      <t>/0/0</t>
    </r>
  </si>
  <si>
    <r>
      <rPr>
        <b/>
        <sz val="10"/>
        <rFont val="Arial CE"/>
      </rPr>
      <t xml:space="preserve">Převody z rozpočtových účtů </t>
    </r>
    <r>
      <rPr>
        <sz val="9"/>
        <rFont val="Arial CE"/>
      </rPr>
      <t>(sociální fond)</t>
    </r>
  </si>
  <si>
    <t>Investiční přijaté transfery ze SF</t>
  </si>
  <si>
    <t xml:space="preserve">              SFŽP -IV- nákup vozidel na alternativní pohon pro město NJ (ÚZ 90992)</t>
  </si>
  <si>
    <t xml:space="preserve">              SZIF-dotace pro JSDH Straník</t>
  </si>
  <si>
    <t xml:space="preserve">              SZIF- IV-SR-Program na rozvoj venkova-proj.Oprava kamenného divadla Skalky (ÚZ 89509)</t>
  </si>
  <si>
    <t xml:space="preserve">              SZIF- IV-EU-Program na rozvoj venkova-proj.Oprava kamenného divadla Skalky (ÚZ 89510)</t>
  </si>
  <si>
    <t>Ostatní investiční přijaté transfery ze státního rozpočtu</t>
  </si>
  <si>
    <t xml:space="preserve">             Zborovská 11 (revitalizace bytového domu) - dle rozhodnutí o poskytnutí dotace</t>
  </si>
  <si>
    <t xml:space="preserve">             Na Lani 212 (revitalizace bytového domu) -  dle rozhodnutí o poskytnutí dotace</t>
  </si>
  <si>
    <t xml:space="preserve">              MMR - Místo pro přecházení na silnici I/57 Bludovice u NJ (ÚZ 17969) </t>
  </si>
  <si>
    <t xml:space="preserve">              MMR IROP SR IV-EÚ bytového domu Revoluční 36 (ÚZ 17968)</t>
  </si>
  <si>
    <t xml:space="preserve">              MMR IROP EU IV-EÚ bytového domu Revoluční 36 (ÚZ 17969)</t>
  </si>
  <si>
    <t xml:space="preserve">              MMR IROP SR IV-Regulační plán MPR NJ (ÚZ 17968)</t>
  </si>
  <si>
    <t xml:space="preserve">              MMR IROP EU IV-Regulační plán MPR NJ (ÚZ 17969)</t>
  </si>
  <si>
    <t xml:space="preserve">              Opatření ke snížení energ.náročnosti VO - EFEKT 2021 (ÚZ 22500) </t>
  </si>
  <si>
    <t xml:space="preserve">                                          ÚZ 33502</t>
  </si>
  <si>
    <t xml:space="preserve">                                          ÚZ 34544</t>
  </si>
  <si>
    <t>Investiční přijaté transfery od krajů</t>
  </si>
  <si>
    <t xml:space="preserve">             Huckelovy vily (ÚZ 201) - dotace</t>
  </si>
  <si>
    <t xml:space="preserve">             Podpora technických atraktivit v NJ (ÚZ 201)</t>
  </si>
  <si>
    <t xml:space="preserve">             Rozšíření průmyslové zóny 2.etapa - dotace MSK (ÚZ 201)</t>
  </si>
  <si>
    <t xml:space="preserve">             Cyklostezka NJ-Hostašovice - úsek vojenská vlečka (ÚZ 719)</t>
  </si>
  <si>
    <r>
      <rPr>
        <b/>
        <sz val="10"/>
        <rFont val="Arial CE"/>
      </rPr>
      <t xml:space="preserve">Změna stavu krátkodobých prostředků na bankovních účtech </t>
    </r>
    <r>
      <rPr>
        <sz val="9"/>
        <rFont val="Arial CE"/>
      </rPr>
      <t>(zapojení konečného zůstatku k 31.12.2020 na účtech města)</t>
    </r>
  </si>
  <si>
    <r>
      <rPr>
        <b/>
        <sz val="10"/>
        <rFont val="Arial CE"/>
      </rPr>
      <t xml:space="preserve">Aktivní krátkodobé operace řízení likvidity - příjmy </t>
    </r>
    <r>
      <rPr>
        <sz val="9"/>
        <rFont val="Arial CE"/>
      </rPr>
      <t>(zhodnocování volných finančních zdrojů města)</t>
    </r>
  </si>
  <si>
    <r>
      <rPr>
        <b/>
        <sz val="10"/>
        <rFont val="Arial CE"/>
      </rPr>
      <t>Dlouhodobé přijaté půjčené prostředky</t>
    </r>
    <r>
      <rPr>
        <sz val="9"/>
        <rFont val="Arial CE"/>
      </rPr>
      <t xml:space="preserve"> (investiční úvěr na akce: Revitalizace K Archívu 2+Revitalizace Zborovská 11+Revitalizace Na Lani 212)</t>
    </r>
  </si>
  <si>
    <t>Změna stavu dlouhodobých prostředků na bankovních účtech</t>
  </si>
  <si>
    <t>Operace z peněžních účtů organizace nemající charakter příjmů a výdajů vládního sektoru</t>
  </si>
  <si>
    <t xml:space="preserve">            splátky úvěru do DSO regionu Novojičínska - Kanalizace Žilina-Loučka</t>
  </si>
  <si>
    <t xml:space="preserve">            DPH - přenesená daňová povinnost</t>
  </si>
  <si>
    <t>Výdaje</t>
  </si>
  <si>
    <t>ORJ 1xx - Odbor správy majetku</t>
  </si>
  <si>
    <t>102 - Vodní hospodářství</t>
  </si>
  <si>
    <r>
      <rPr>
        <b/>
        <sz val="10"/>
        <rFont val="Arial CE"/>
      </rPr>
      <t>Pitná voda</t>
    </r>
    <r>
      <rPr>
        <sz val="9"/>
        <rFont val="Arial CE"/>
      </rPr>
      <t xml:space="preserve"> (účet 2310800)</t>
    </r>
  </si>
  <si>
    <t>0387/2310/5151</t>
  </si>
  <si>
    <t xml:space="preserve">           dovoz pitné vody </t>
  </si>
  <si>
    <t>0387/2310/5169</t>
  </si>
  <si>
    <r>
      <rPr>
        <sz val="10"/>
        <rFont val="Arial CE"/>
      </rPr>
      <t xml:space="preserve">           </t>
    </r>
    <r>
      <rPr>
        <sz val="9"/>
        <rFont val="Arial CE"/>
      </rPr>
      <t xml:space="preserve">PD k opravám, pasport vodovodů </t>
    </r>
  </si>
  <si>
    <t>0387/2310/5171</t>
  </si>
  <si>
    <r>
      <rPr>
        <sz val="10"/>
        <rFont val="Arial CE"/>
      </rPr>
      <t xml:space="preserve">           </t>
    </r>
    <r>
      <rPr>
        <sz val="9"/>
        <rFont val="Arial CE"/>
      </rPr>
      <t>opravy a udržba</t>
    </r>
  </si>
  <si>
    <r>
      <rPr>
        <b/>
        <sz val="10"/>
        <rFont val="Arial CE"/>
      </rPr>
      <t xml:space="preserve">Odvádění a čištění odpadních vod a nakládání s kaly </t>
    </r>
    <r>
      <rPr>
        <sz val="9"/>
        <rFont val="Arial CE"/>
      </rPr>
      <t>(účet 2310800)</t>
    </r>
  </si>
  <si>
    <t>0387/2321/5151</t>
  </si>
  <si>
    <t xml:space="preserve">            studená voda </t>
  </si>
  <si>
    <t>0387/2321/5169</t>
  </si>
  <si>
    <t xml:space="preserve">            revize, poplatky, PD k opravám, pasport kanalizace</t>
  </si>
  <si>
    <t>0387/2321/5171</t>
  </si>
  <si>
    <t xml:space="preserve">            opravy a údržba</t>
  </si>
  <si>
    <r>
      <rPr>
        <sz val="10"/>
        <rFont val="Arial CE"/>
      </rPr>
      <t xml:space="preserve">            Plán financování obnovy </t>
    </r>
    <r>
      <rPr>
        <sz val="9"/>
        <rFont val="Arial CE"/>
      </rPr>
      <t>(účet 2310441) - opr. a udržování (rekonstrukce - obnova kanallizačních šachet ul. Slezská a Na Prachárně)</t>
    </r>
  </si>
  <si>
    <r>
      <rPr>
        <b/>
        <sz val="10"/>
        <rFont val="Arial CE"/>
      </rPr>
      <t xml:space="preserve">Úpravy drobných vodních toků </t>
    </r>
    <r>
      <rPr>
        <sz val="10"/>
        <rFont val="Arial CE"/>
      </rPr>
      <t>(účet 231 0800)</t>
    </r>
  </si>
  <si>
    <t>0387/2333/5169</t>
  </si>
  <si>
    <t xml:space="preserve">            revize, poplatky, PD k opravám</t>
  </si>
  <si>
    <t>0387/2333/5171</t>
  </si>
  <si>
    <t>110 - Doprava</t>
  </si>
  <si>
    <r>
      <rPr>
        <b/>
        <sz val="10"/>
        <rFont val="Arial CE"/>
      </rPr>
      <t xml:space="preserve">Silnice </t>
    </r>
    <r>
      <rPr>
        <sz val="8"/>
        <rFont val="Arial CE"/>
      </rPr>
      <t>(účet 2310800)</t>
    </r>
  </si>
  <si>
    <t>z toho: Investice celkem</t>
  </si>
  <si>
    <t>0517/2212/6351</t>
  </si>
  <si>
    <t xml:space="preserve">                  parkovací automaty - obnova (TSM)</t>
  </si>
  <si>
    <t xml:space="preserve">                  dvoumístné vozidlo o celkové hmotnosti 3,5 t se sklápěcí korbou (TSM)</t>
  </si>
  <si>
    <t xml:space="preserve">                  dřevěné prodejní stánky (TSM)</t>
  </si>
  <si>
    <t>0517/2212/5331</t>
  </si>
  <si>
    <r>
      <rPr>
        <sz val="10"/>
        <rFont val="Arial CE"/>
      </rPr>
      <t xml:space="preserve">             veřejně prospěšné práce </t>
    </r>
    <r>
      <rPr>
        <sz val="9"/>
        <rFont val="Arial CE"/>
      </rPr>
      <t>(TSM)</t>
    </r>
  </si>
  <si>
    <r>
      <rPr>
        <sz val="10"/>
        <rFont val="Arial CE"/>
      </rPr>
      <t xml:space="preserve">             oprava a údržba místních komunikací </t>
    </r>
    <r>
      <rPr>
        <sz val="9"/>
        <rFont val="Arial CE"/>
      </rPr>
      <t>(TSM)</t>
    </r>
  </si>
  <si>
    <t>0517/2212/5139</t>
  </si>
  <si>
    <t xml:space="preserve">             nákup materiálu jinde nezařazený</t>
  </si>
  <si>
    <t>0386/2212/5171</t>
  </si>
  <si>
    <t xml:space="preserve">             oprava a údržba místních komunikací - město</t>
  </si>
  <si>
    <t>0386/2212/5169</t>
  </si>
  <si>
    <r>
      <rPr>
        <sz val="10"/>
        <rFont val="Arial CE"/>
      </rPr>
      <t xml:space="preserve">             </t>
    </r>
    <r>
      <rPr>
        <sz val="10"/>
        <rFont val="Arial CE"/>
      </rPr>
      <t>služby -  PD k opravám, revize, poplatky</t>
    </r>
  </si>
  <si>
    <r>
      <rPr>
        <sz val="10"/>
        <rFont val="Arial CE"/>
      </rPr>
      <t xml:space="preserve">             </t>
    </r>
    <r>
      <rPr>
        <sz val="10"/>
        <rFont val="Arial CE"/>
      </rPr>
      <t>služby -  pasport místních komunikací</t>
    </r>
  </si>
  <si>
    <t>0386/2212/5164</t>
  </si>
  <si>
    <r>
      <rPr>
        <sz val="10"/>
        <rFont val="Arial CE"/>
      </rPr>
      <t xml:space="preserve">             </t>
    </r>
    <r>
      <rPr>
        <sz val="10"/>
        <rFont val="Arial CE"/>
      </rPr>
      <t>nájemné</t>
    </r>
  </si>
  <si>
    <r>
      <rPr>
        <b/>
        <sz val="10"/>
        <rFont val="Arial CE"/>
      </rPr>
      <t xml:space="preserve">Ostatní záležitosti pozemních komunikací </t>
    </r>
    <r>
      <rPr>
        <sz val="9"/>
        <rFont val="Arial CE"/>
      </rPr>
      <t>(účet 2310800)</t>
    </r>
  </si>
  <si>
    <t>0386/2219/5169</t>
  </si>
  <si>
    <t xml:space="preserve">             služby - PD k opravám, revize, poplatky</t>
  </si>
  <si>
    <t>0386/2219/5171</t>
  </si>
  <si>
    <t xml:space="preserve">             opravy a udržování chodníků</t>
  </si>
  <si>
    <t>0386/2219/5362</t>
  </si>
  <si>
    <t xml:space="preserve">             platby daní a poplatků, sankce</t>
  </si>
  <si>
    <t>0517/2219/5331</t>
  </si>
  <si>
    <t xml:space="preserve">             parkoviště (TSM)</t>
  </si>
  <si>
    <r>
      <rPr>
        <b/>
        <sz val="10"/>
        <rFont val="Arial CE"/>
      </rPr>
      <t>Provoz veřejné silniční dopravy</t>
    </r>
    <r>
      <rPr>
        <sz val="9"/>
        <rFont val="Arial CE"/>
      </rPr>
      <t xml:space="preserve"> (účet 2310800)</t>
    </r>
  </si>
  <si>
    <t>0386/2221/5169</t>
  </si>
  <si>
    <t>z toho: služby - revize, poplatky, PD k opravám</t>
  </si>
  <si>
    <t>0386/2221/5171</t>
  </si>
  <si>
    <t xml:space="preserve">            opravy autobusových přístřešků</t>
  </si>
  <si>
    <t>120 - Majetkoprávní záležitosti</t>
  </si>
  <si>
    <t>Komunální služby a územní rozvoj j.n.</t>
  </si>
  <si>
    <t>0092/3639/6130</t>
  </si>
  <si>
    <r>
      <rPr>
        <sz val="10"/>
        <rFont val="Arial CE"/>
      </rPr>
      <t xml:space="preserve">z toho: investice - výkupy pozemků </t>
    </r>
    <r>
      <rPr>
        <sz val="9"/>
        <rFont val="Arial CE"/>
      </rPr>
      <t>(ostatní 0,5+Orlita 0,9+Jednota 0,2)</t>
    </r>
  </si>
  <si>
    <t>0002/3639/5122</t>
  </si>
  <si>
    <r>
      <rPr>
        <sz val="10"/>
        <rFont val="Arial CE"/>
      </rPr>
      <t xml:space="preserve">            věcná břemena (</t>
    </r>
    <r>
      <rPr>
        <sz val="9"/>
        <rFont val="Arial CE"/>
      </rPr>
      <t>účet 2310440)</t>
    </r>
  </si>
  <si>
    <r>
      <rPr>
        <sz val="10"/>
        <rFont val="Arial CE"/>
      </rPr>
      <t xml:space="preserve">            věcná břemena (</t>
    </r>
    <r>
      <rPr>
        <sz val="9"/>
        <rFont val="Arial CE"/>
      </rPr>
      <t>účet 2310800)</t>
    </r>
  </si>
  <si>
    <t>0092/3639/5021</t>
  </si>
  <si>
    <t xml:space="preserve">            majetkoprávní - ostatní osobní výdaje (dohoda)</t>
  </si>
  <si>
    <t>0092/3639/5166</t>
  </si>
  <si>
    <t xml:space="preserve">            majetkoprávní - sociální pojištění</t>
  </si>
  <si>
    <t>0092/3639/5169</t>
  </si>
  <si>
    <t xml:space="preserve">            majetkoprávní - zdravotní pojištění</t>
  </si>
  <si>
    <t>0092/3639/5164</t>
  </si>
  <si>
    <t xml:space="preserve">            majetkoprávní - nájemné</t>
  </si>
  <si>
    <t xml:space="preserve">            majetkoprávní - znalecké posudky</t>
  </si>
  <si>
    <t xml:space="preserve">            majetkoprávní - posudky a geometrické plány</t>
  </si>
  <si>
    <t>0092/3639/5179</t>
  </si>
  <si>
    <t xml:space="preserve">            majetkoprávní - ostatní nákupy jinde nezařazené (kauce - veřejná dražba)</t>
  </si>
  <si>
    <t>0092/3639/5361</t>
  </si>
  <si>
    <t xml:space="preserve">            majetkoprávní - nákup kolků</t>
  </si>
  <si>
    <t>0092/3639/5362</t>
  </si>
  <si>
    <t xml:space="preserve">            majetkoprávní - správní poplatky</t>
  </si>
  <si>
    <t xml:space="preserve">139 - Komunální služby </t>
  </si>
  <si>
    <r>
      <rPr>
        <b/>
        <sz val="10"/>
        <rFont val="Arial CE"/>
      </rPr>
      <t>Rozhlas a televize</t>
    </r>
    <r>
      <rPr>
        <sz val="9"/>
        <rFont val="Arial CE"/>
      </rPr>
      <t xml:space="preserve"> (účet 2310800) </t>
    </r>
  </si>
  <si>
    <t>0513/3341/5171</t>
  </si>
  <si>
    <t xml:space="preserve">            opravy a udržování</t>
  </si>
  <si>
    <t>0513/3341/5362</t>
  </si>
  <si>
    <t xml:space="preserve">            poplatky</t>
  </si>
  <si>
    <r>
      <rPr>
        <b/>
        <sz val="10"/>
        <rFont val="Arial CE"/>
      </rPr>
      <t xml:space="preserve">Využití volného času dětí a mládeže </t>
    </r>
    <r>
      <rPr>
        <sz val="9"/>
        <rFont val="Arial CE"/>
      </rPr>
      <t>(účet 2310800)</t>
    </r>
  </si>
  <si>
    <t>0382/3421/5137</t>
  </si>
  <si>
    <t xml:space="preserve">             Dětská hřiště - drobný hmotný dlouhodobý majetek</t>
  </si>
  <si>
    <t>0382/3421/5139</t>
  </si>
  <si>
    <t xml:space="preserve">             Dětská hřiště - nákup materiálu</t>
  </si>
  <si>
    <t>0382/3421/5169</t>
  </si>
  <si>
    <t xml:space="preserve">             Dětská hřiště -ostatní služby (revize, PD k opravám)</t>
  </si>
  <si>
    <t>0382/3421/5171</t>
  </si>
  <si>
    <t xml:space="preserve">             Dětská hřiště - opravy a údržba </t>
  </si>
  <si>
    <t>0517/3421/5331</t>
  </si>
  <si>
    <t xml:space="preserve">             Dětská hřiště - příspěvek na údržbu a opravy TSM </t>
  </si>
  <si>
    <r>
      <rPr>
        <b/>
        <sz val="10"/>
        <rFont val="Arial CE"/>
      </rPr>
      <t xml:space="preserve">Nebytové hospodářství </t>
    </r>
    <r>
      <rPr>
        <sz val="9"/>
        <rFont val="Arial CE"/>
      </rPr>
      <t>(účet 2310800)</t>
    </r>
  </si>
  <si>
    <t>0382/3613/5137</t>
  </si>
  <si>
    <t xml:space="preserve">             drobný hmotný dlouhodobý majetek</t>
  </si>
  <si>
    <t>0382/3613/5139</t>
  </si>
  <si>
    <t xml:space="preserve">              nákup materiálu jinde nezařazeného</t>
  </si>
  <si>
    <t>0382/3613/5151</t>
  </si>
  <si>
    <t xml:space="preserve">              voda</t>
  </si>
  <si>
    <t>0382/3613/5154</t>
  </si>
  <si>
    <t xml:space="preserve">              elektrická energie</t>
  </si>
  <si>
    <t>0382/3613/5169</t>
  </si>
  <si>
    <t xml:space="preserve">              nákup služeb</t>
  </si>
  <si>
    <t xml:space="preserve">              nákup služeb - nátěry lam, košů, laviček v MPR</t>
  </si>
  <si>
    <t>0382/3613/5171</t>
  </si>
  <si>
    <t xml:space="preserve">              opravy a údržba</t>
  </si>
  <si>
    <r>
      <rPr>
        <b/>
        <sz val="10"/>
        <rFont val="Arial CE"/>
      </rPr>
      <t xml:space="preserve">Veřejné osvětlení (VO) </t>
    </r>
    <r>
      <rPr>
        <sz val="9"/>
        <rFont val="Arial CE"/>
      </rPr>
      <t>(účet 2310800)</t>
    </r>
  </si>
  <si>
    <t>0382/3631/5169</t>
  </si>
  <si>
    <t xml:space="preserve">             nákup služeb</t>
  </si>
  <si>
    <t>0382/3631/5171</t>
  </si>
  <si>
    <t xml:space="preserve">             opravy a údržba VO</t>
  </si>
  <si>
    <t>0517/3631/5331</t>
  </si>
  <si>
    <t xml:space="preserve">             příspěvek TSM</t>
  </si>
  <si>
    <t>0382/3631/5154</t>
  </si>
  <si>
    <t xml:space="preserve">             elektrická energie </t>
  </si>
  <si>
    <r>
      <rPr>
        <b/>
        <sz val="10"/>
        <rFont val="Arial CE"/>
      </rPr>
      <t xml:space="preserve">Pohřebnictví </t>
    </r>
    <r>
      <rPr>
        <sz val="10"/>
        <rFont val="Arial CE"/>
      </rPr>
      <t xml:space="preserve">(účet 2310800) </t>
    </r>
  </si>
  <si>
    <t>z toho: investice celkem = inv. příspěvky TSM</t>
  </si>
  <si>
    <t>0517/3632/6351</t>
  </si>
  <si>
    <t xml:space="preserve">                    Oplocení hřbitova v městské části Žilina</t>
  </si>
  <si>
    <t xml:space="preserve">                    Zastřešení prostoru před márnicí na hřbitově v Novém Jičíně </t>
  </si>
  <si>
    <t xml:space="preserve">                    Upgrade softwaru pro pasportizaci hřbitovů </t>
  </si>
  <si>
    <t xml:space="preserve">                    Oprava kamenné zdi</t>
  </si>
  <si>
    <t xml:space="preserve">                    Projektová dokumentace ke GO smuteční síně a márnice</t>
  </si>
  <si>
    <t>0517/3632/5331</t>
  </si>
  <si>
    <t xml:space="preserve">             příspěvek TSM - údržba</t>
  </si>
  <si>
    <t>0382/3632/5169</t>
  </si>
  <si>
    <t xml:space="preserve">             nákup služeb - pasport ozelenění hřbitova</t>
  </si>
  <si>
    <t>0382/3632/5171</t>
  </si>
  <si>
    <t xml:space="preserve">             opravy a údržba hřbitova</t>
  </si>
  <si>
    <r>
      <rPr>
        <b/>
        <sz val="10"/>
        <rFont val="Arial CE"/>
      </rPr>
      <t>Komunální služby a územní rozvoj j.n.</t>
    </r>
    <r>
      <rPr>
        <sz val="9"/>
        <rFont val="Arial CE"/>
      </rPr>
      <t xml:space="preserve"> </t>
    </r>
  </si>
  <si>
    <t>0382/3639/6121</t>
  </si>
  <si>
    <r>
      <rPr>
        <sz val="10"/>
        <rFont val="Arial CE"/>
      </rPr>
      <t xml:space="preserve">z toho: investice celkem - zápočet oplocení p. Perútka </t>
    </r>
    <r>
      <rPr>
        <sz val="9"/>
        <rFont val="Arial CE"/>
      </rPr>
      <t>(účet 2310440)</t>
    </r>
  </si>
  <si>
    <t>0382/3639/5139</t>
  </si>
  <si>
    <r>
      <rPr>
        <sz val="10"/>
        <rFont val="Arial CE"/>
      </rPr>
      <t xml:space="preserve">            přípojky na televizní kabelové rozvody Straník - materiál</t>
    </r>
    <r>
      <rPr>
        <sz val="9"/>
        <rFont val="Arial CE"/>
      </rPr>
      <t xml:space="preserve"> (účet 231 0800)</t>
    </r>
  </si>
  <si>
    <r>
      <rPr>
        <b/>
        <sz val="10"/>
        <rFont val="Arial CE"/>
      </rPr>
      <t xml:space="preserve">Ostatní záležitosti bydlení, komunálních služeb a územního rozvoje </t>
    </r>
    <r>
      <rPr>
        <sz val="9"/>
        <rFont val="Arial CE"/>
      </rPr>
      <t>(účet 2310800)</t>
    </r>
  </si>
  <si>
    <t>0517/3699/5331</t>
  </si>
  <si>
    <r>
      <rPr>
        <sz val="10"/>
        <rFont val="Arial CE"/>
      </rPr>
      <t xml:space="preserve">z toho: mobiliář </t>
    </r>
    <r>
      <rPr>
        <sz val="9"/>
        <rFont val="Arial CE"/>
      </rPr>
      <t>(TSM 200)</t>
    </r>
  </si>
  <si>
    <t xml:space="preserve">ORJ 6XX - Odbor rozvoje a investic </t>
  </si>
  <si>
    <t>602 - Vodní hospodářství</t>
  </si>
  <si>
    <r>
      <rPr>
        <b/>
        <sz val="10"/>
        <rFont val="Arial CE"/>
      </rPr>
      <t>Pitná voda</t>
    </r>
    <r>
      <rPr>
        <sz val="9"/>
        <rFont val="Arial CE"/>
      </rPr>
      <t xml:space="preserve"> (účet 2310800)</t>
    </r>
  </si>
  <si>
    <t>4387/2310/6121</t>
  </si>
  <si>
    <t xml:space="preserve">                      Vodovod Loučka, Císařská </t>
  </si>
  <si>
    <t>5380/2310/6121</t>
  </si>
  <si>
    <t xml:space="preserve">                      Akumulační nádrž na vodu Straník PD</t>
  </si>
  <si>
    <t>5387/2310/6121</t>
  </si>
  <si>
    <t xml:space="preserve">                      Vodovod Žilina, Pstruží potok - Životice </t>
  </si>
  <si>
    <t>6387/2310/6121</t>
  </si>
  <si>
    <t xml:space="preserve">                      Vodovod Bludovice, Záhumenní </t>
  </si>
  <si>
    <r>
      <rPr>
        <b/>
        <sz val="10"/>
        <rFont val="Arial CE"/>
      </rPr>
      <t xml:space="preserve">Odvádění a čištění odpadních vod a nakládání s kaly </t>
    </r>
    <r>
      <rPr>
        <sz val="9"/>
        <rFont val="Arial CE"/>
      </rPr>
      <t>(účet 2310800)</t>
    </r>
  </si>
  <si>
    <t>5410/2321/6121</t>
  </si>
  <si>
    <t xml:space="preserve">                      Kanalizace Žilina, U Mlýna PD - ukončeno 8/2020</t>
  </si>
  <si>
    <t>5430/2321/6121</t>
  </si>
  <si>
    <r>
      <rPr>
        <sz val="10"/>
        <rFont val="Arial CE"/>
      </rPr>
      <t xml:space="preserve">                      </t>
    </r>
    <r>
      <rPr>
        <sz val="10"/>
        <rFont val="Arial CE"/>
      </rPr>
      <t xml:space="preserve">Zatrubnění dešťové kanalizace Žilina p. č. 951 </t>
    </r>
  </si>
  <si>
    <t>5434/2321/6121</t>
  </si>
  <si>
    <t xml:space="preserve">                      Jednotná kanalizace Žilina, Příčná </t>
  </si>
  <si>
    <t>8387/2321/6121</t>
  </si>
  <si>
    <t xml:space="preserve">                      Kanalizace Žilina, Okružní PD</t>
  </si>
  <si>
    <t>9387/2321/6121</t>
  </si>
  <si>
    <t xml:space="preserve">                      Kanalizace Trlicova - aktualizace PD</t>
  </si>
  <si>
    <t>XXXX/2321/6121</t>
  </si>
  <si>
    <t xml:space="preserve">                      Odvodnění lokality Loučka, Na Lani (cyklostezka, kryté stání) PD</t>
  </si>
  <si>
    <r>
      <rPr>
        <b/>
        <sz val="10"/>
        <rFont val="Arial CE"/>
      </rPr>
      <t xml:space="preserve">Úpravy drobných vodních toků </t>
    </r>
    <r>
      <rPr>
        <sz val="9"/>
        <rFont val="Arial CE"/>
      </rPr>
      <t>(účet 2310800)</t>
    </r>
  </si>
  <si>
    <t>5412/2333/6121</t>
  </si>
  <si>
    <t xml:space="preserve">                      Úprava Stranického potoka 3. etapa - ukončeno 3/2020</t>
  </si>
  <si>
    <t>610 - Doprava</t>
  </si>
  <si>
    <r>
      <rPr>
        <b/>
        <sz val="10"/>
        <rFont val="Arial CE"/>
      </rPr>
      <t xml:space="preserve">Silnice </t>
    </r>
    <r>
      <rPr>
        <sz val="9"/>
        <rFont val="Arial CE"/>
      </rPr>
      <t>(účet 2310800)</t>
    </r>
  </si>
  <si>
    <t xml:space="preserve">                     Velkoplošné opravy MK nad 500 000 Kč - služby</t>
  </si>
  <si>
    <t xml:space="preserve">                     Velkoplošné opravy MK nad 500 000 Kč </t>
  </si>
  <si>
    <t>4385/2212/6121</t>
  </si>
  <si>
    <t xml:space="preserve">                     Rondel Gen. Hlaďo - K Nemocnici PD</t>
  </si>
  <si>
    <t>5376/2212/6121</t>
  </si>
  <si>
    <t xml:space="preserve">                     Příjezdová  komunikace areál ČSAD</t>
  </si>
  <si>
    <t>5377/2212/6121</t>
  </si>
  <si>
    <t xml:space="preserve">                     Přechod včetně rondelu K Nemocnici, Pod Skalkou, B. Martinů PD</t>
  </si>
  <si>
    <t>5378/2212/6121</t>
  </si>
  <si>
    <t xml:space="preserve">                     Příjezdová  komunikace ČOV Kojetín PD</t>
  </si>
  <si>
    <t>5379/2212/6121</t>
  </si>
  <si>
    <t xml:space="preserve">                     Rozšíření komunikace Kojetín p. č. 625/1 (Bala) </t>
  </si>
  <si>
    <t>5390/2212/6121</t>
  </si>
  <si>
    <t xml:space="preserve">                     Most - propustek Straník č. p. 86 </t>
  </si>
  <si>
    <t>5391/2212/6121</t>
  </si>
  <si>
    <r>
      <rPr>
        <sz val="10"/>
        <rFont val="Arial CE"/>
      </rPr>
      <t xml:space="preserve">                     M</t>
    </r>
    <r>
      <rPr>
        <sz val="10"/>
        <rFont val="Arial CE"/>
      </rPr>
      <t>ost Jiráskova, pod gymnáziem PD</t>
    </r>
  </si>
  <si>
    <t>5397/2212/6121</t>
  </si>
  <si>
    <t xml:space="preserve">                     Komunikace Žilina, Za Školou p. č. 616/2</t>
  </si>
  <si>
    <t>5414/2212/6121</t>
  </si>
  <si>
    <t xml:space="preserve">                     Komunikace  Žilina, Potoční</t>
  </si>
  <si>
    <t>5432/2212/6121</t>
  </si>
  <si>
    <t xml:space="preserve">                     Přechod SVČ Fokus, K Nemocnici </t>
  </si>
  <si>
    <t xml:space="preserve"> </t>
  </si>
  <si>
    <t>5433/2212/6121</t>
  </si>
  <si>
    <t xml:space="preserve">                     Lávka Novosady PD</t>
  </si>
  <si>
    <t>8386/2212/6121</t>
  </si>
  <si>
    <t xml:space="preserve">                     Most Revoluční u domu č. p. 105 </t>
  </si>
  <si>
    <t>9386/2212/6121</t>
  </si>
  <si>
    <t xml:space="preserve">                     Most Loučka, V Kútě PD</t>
  </si>
  <si>
    <t>9388/2212/6121</t>
  </si>
  <si>
    <t xml:space="preserve">                     Stacionární místo pro radar Bludovice </t>
  </si>
  <si>
    <t>XXXX/2212/6121</t>
  </si>
  <si>
    <t xml:space="preserve">                     Most Dolní Brána (u Laposu) </t>
  </si>
  <si>
    <t xml:space="preserve">                     Komunikace - propojení Hoblíkova - Žižkova PD</t>
  </si>
  <si>
    <t xml:space="preserve">                     Komunikace K Archivu PD</t>
  </si>
  <si>
    <t xml:space="preserve">                     Rekonstrukce komunikace Straník - Kojetín PD</t>
  </si>
  <si>
    <r>
      <rPr>
        <b/>
        <sz val="10"/>
        <rFont val="Arial CE"/>
      </rPr>
      <t xml:space="preserve">Ostatní záležitosti pozemních komunikací </t>
    </r>
    <r>
      <rPr>
        <sz val="9"/>
        <rFont val="Arial CE"/>
      </rPr>
      <t>(účet 2310800)</t>
    </r>
  </si>
  <si>
    <t xml:space="preserve">                     Velkoplošné opravy chodníků nad 500 000 Kč - služby</t>
  </si>
  <si>
    <t xml:space="preserve">                     Velkoplošné opravy chodníků nad 500 000 Kč </t>
  </si>
  <si>
    <t>0507/2219/6121</t>
  </si>
  <si>
    <t xml:space="preserve">                    Chodníkové těleso Žilina, Pstruží potok - Životice (opěrná zeď) 4. etapa</t>
  </si>
  <si>
    <t>2384/2219/6121</t>
  </si>
  <si>
    <t xml:space="preserve">                    Laudonovo nádvoří </t>
  </si>
  <si>
    <t>2386/2219/6121</t>
  </si>
  <si>
    <t xml:space="preserve">                    Cyklostezka NJ - Hostašovice, vlečka </t>
  </si>
  <si>
    <t>5370/2219/6121</t>
  </si>
  <si>
    <t xml:space="preserve">                    Čerťák 3. etapa</t>
  </si>
  <si>
    <t>5371/2219/6121</t>
  </si>
  <si>
    <t xml:space="preserve">                    Cykloboxy PD</t>
  </si>
  <si>
    <t>5372/2219/6121</t>
  </si>
  <si>
    <t xml:space="preserve">                    Prodloužení turistické trasy Čerťák PD</t>
  </si>
  <si>
    <t>5373/2219/6121</t>
  </si>
  <si>
    <t xml:space="preserve">                    Parkoviště Žilina p. č. 673/2 (u kostela)</t>
  </si>
  <si>
    <t>5374/2219/6121</t>
  </si>
  <si>
    <t xml:space="preserve">                    Parkoviště Straník, hřbitov</t>
  </si>
  <si>
    <t>5375/2219/6121</t>
  </si>
  <si>
    <t xml:space="preserve">                    Chodníkové těleso, opěrná zeď Revoluční I/57 </t>
  </si>
  <si>
    <t>5385/2219/6121</t>
  </si>
  <si>
    <t xml:space="preserve">                    Chodníkové těleso Loučka, Na Drážkách</t>
  </si>
  <si>
    <t>5393/2219/6121</t>
  </si>
  <si>
    <t xml:space="preserve">                    Chodníkové těleso Na Valech - ukončeno 03/2020</t>
  </si>
  <si>
    <t>5404/2219/6121</t>
  </si>
  <si>
    <t xml:space="preserve">                    Rozšíření cyklostezky Bludovice</t>
  </si>
  <si>
    <t>5406/2219/6121</t>
  </si>
  <si>
    <t xml:space="preserve">                    Parkovací stání Dlouhá (úsek Palackého - Budovatelů)</t>
  </si>
  <si>
    <t>5417/2219/6121</t>
  </si>
  <si>
    <t xml:space="preserve">                    Chodníkové těleso k autobusové zastávce Bocheta </t>
  </si>
  <si>
    <t>5419/2219/6121</t>
  </si>
  <si>
    <t xml:space="preserve">                    Parkoviště Dlouhá č. o. 8 - 14, 2. etapa </t>
  </si>
  <si>
    <t>5420/2219/6121</t>
  </si>
  <si>
    <t xml:space="preserve">                    Rozšíření odstavných ploch Vančurova  č. o. 2 -10 PD</t>
  </si>
  <si>
    <t>5421/2219/6121</t>
  </si>
  <si>
    <t xml:space="preserve">                    Parkoviště B. Martinů - krátkodobé stání</t>
  </si>
  <si>
    <t>5431/2219/6121</t>
  </si>
  <si>
    <t xml:space="preserve">                    Chodníkové těleso u silnice I/57 p. č. 700/1 Bludovice </t>
  </si>
  <si>
    <t>7385/2219/6121</t>
  </si>
  <si>
    <t xml:space="preserve">                    Kontejnerová stání </t>
  </si>
  <si>
    <t>8384/2219/6121</t>
  </si>
  <si>
    <t xml:space="preserve">                    Parkoviště Restaurace Na Skalkách </t>
  </si>
  <si>
    <t>XXXX/2219/6121</t>
  </si>
  <si>
    <t xml:space="preserve">                    Společná stezka pro chodce a cyklisty, Rybníčky  PD</t>
  </si>
  <si>
    <t xml:space="preserve">                    Parkoviště Hoblíkova PD</t>
  </si>
  <si>
    <t xml:space="preserve">                    Parkoviště Budovatelů, bytové domy č. o. 5, 7, 9  PD</t>
  </si>
  <si>
    <t xml:space="preserve">                    Parkovací stání Dlouhá, bytové domy č. o. 42 - 48 PD</t>
  </si>
  <si>
    <t xml:space="preserve">                    Parkoviště Dlouhá (výměníková stanice - bytový dům č. o. 40) PD</t>
  </si>
  <si>
    <t xml:space="preserve">                    Parkoviště Luční p. č.  218/9 PD</t>
  </si>
  <si>
    <t xml:space="preserve">                    Parkovací stání Revoluční p. č. 673/13 PD</t>
  </si>
  <si>
    <t xml:space="preserve">                    Parkoviště Smetanovy sady, bytové domy č. o. 20, 22, 24 PD</t>
  </si>
  <si>
    <t xml:space="preserve">                    Zpevněné plochy a mobiliář  Tyršova </t>
  </si>
  <si>
    <t xml:space="preserve">                    Regenerace panelového sídliště Nerudova PD</t>
  </si>
  <si>
    <t xml:space="preserve">                    Chodníkové těleso U Stadionu  PD</t>
  </si>
  <si>
    <t xml:space="preserve">                    Zpevněné plochy okolo Beskydského divadla PD</t>
  </si>
  <si>
    <r>
      <rPr>
        <b/>
        <sz val="10"/>
        <rFont val="Arial CE"/>
      </rPr>
      <t>Provoz veřejné silniční dopravy</t>
    </r>
    <r>
      <rPr>
        <sz val="9"/>
        <rFont val="Arial CE"/>
      </rPr>
      <t xml:space="preserve"> (účet 2310800)</t>
    </r>
  </si>
  <si>
    <t>5398/2221/6121</t>
  </si>
  <si>
    <t xml:space="preserve">                    Autobusová zastávká Žilina, U Partyzána </t>
  </si>
  <si>
    <t>5407/2221/6121</t>
  </si>
  <si>
    <t xml:space="preserve">                    Autobusová zastávka Žilina, U Požární zbrojnice</t>
  </si>
  <si>
    <t>5422/2221/6121</t>
  </si>
  <si>
    <t xml:space="preserve">                    Autobusová zastávká Pod Svincem - ukončeno 09/2020</t>
  </si>
  <si>
    <t>XXXX/2221/6121</t>
  </si>
  <si>
    <t xml:space="preserve">                    Autobusová zastávka Straník na pozemku p. č. 191/45</t>
  </si>
  <si>
    <t xml:space="preserve">615 - Oddělení rozvoje - plány, marketing, Zdravé město </t>
  </si>
  <si>
    <t>Komunální služby - nebytové prostory  - oddělení investic (účet 2310800)</t>
  </si>
  <si>
    <t>1388/3613/5169</t>
  </si>
  <si>
    <t xml:space="preserve">                    Studie - oddělení investic</t>
  </si>
  <si>
    <t>Komunální služby a rozvoj - plány, propagace, marketing, Zdravé město (účet 2310800)</t>
  </si>
  <si>
    <t>1388/3639/5021</t>
  </si>
  <si>
    <t xml:space="preserve">                    Dohody (odměny) Architektonická soutěž Hala NJ</t>
  </si>
  <si>
    <t>1388/3639/5139</t>
  </si>
  <si>
    <t xml:space="preserve">                    Ostatní materiál</t>
  </si>
  <si>
    <t>1388/3639/5164</t>
  </si>
  <si>
    <t xml:space="preserve">                   Jarní škola NSZM - nájmy místností</t>
  </si>
  <si>
    <t>1388/3639/5166</t>
  </si>
  <si>
    <t xml:space="preserve">                    Konzultační služby (z toho městský architekt 460 000 Kč)</t>
  </si>
  <si>
    <t>1388/3639/5169</t>
  </si>
  <si>
    <t xml:space="preserve">                    Rozvojové plány, studie, propagace, marketing, Zdravé město, particip.rozpočet, administrace projektů, architektonické soutěže (víceúčelová sportovní hala), SPRM, rozvojové studie (revitalizace Horního nádraží, cykloopatření B. Martinů, urbanistická studie sportovní areál), pořízení sčítačů pro monitoring cyklodopravy, Jarní škola Zdravých měst   </t>
  </si>
  <si>
    <t>1388/3639/5175</t>
  </si>
  <si>
    <t xml:space="preserve">                   Pohoštění</t>
  </si>
  <si>
    <t>1388/3639/5222</t>
  </si>
  <si>
    <t xml:space="preserve">                   Mládež kraji</t>
  </si>
  <si>
    <t>1388/3639/5229</t>
  </si>
  <si>
    <t xml:space="preserve">                   Členský poplatek národní síť zdravých měst a MAS Lašsko</t>
  </si>
  <si>
    <t>1388/3639/6122</t>
  </si>
  <si>
    <t xml:space="preserve">                   Mobilní zastřešení Straník - participativní rozpočet</t>
  </si>
  <si>
    <t xml:space="preserve">639 - Komunální služby a územní rozvoj </t>
  </si>
  <si>
    <r>
      <rPr>
        <b/>
        <sz val="10"/>
        <rFont val="Arial CE"/>
      </rPr>
      <t xml:space="preserve">Sportovní zařízení v majetku obce </t>
    </r>
    <r>
      <rPr>
        <sz val="9"/>
        <rFont val="Arial CE"/>
      </rPr>
      <t>(účet 2310800)</t>
    </r>
  </si>
  <si>
    <t>XXXX/3412/6121</t>
  </si>
  <si>
    <t xml:space="preserve">                   Skatepark ve sportovním areálu U Stadionu PD</t>
  </si>
  <si>
    <t xml:space="preserve">                   Tenisová hala na ul. B. Martinů PD</t>
  </si>
  <si>
    <r>
      <rPr>
        <b/>
        <sz val="10"/>
        <rFont val="Arial CE"/>
      </rPr>
      <t xml:space="preserve">Nebytové hospodářství </t>
    </r>
    <r>
      <rPr>
        <sz val="9"/>
        <rFont val="Arial CE"/>
      </rPr>
      <t>(účet 2310800)</t>
    </r>
  </si>
  <si>
    <t>5368/3613/6121</t>
  </si>
  <si>
    <t xml:space="preserve">                   Čítárna</t>
  </si>
  <si>
    <t>5369/3613/6121</t>
  </si>
  <si>
    <t xml:space="preserve">                   Úprava Smetanových sadů PD</t>
  </si>
  <si>
    <t>5424/3613/6121</t>
  </si>
  <si>
    <t xml:space="preserve">                   Oplocení vč. ochranné bariéry Školy života Žilina, Beskydská PD</t>
  </si>
  <si>
    <t>6389/3613/6121</t>
  </si>
  <si>
    <t xml:space="preserve">                   Kryté stání Loučka - opatření proti vodě, přeložka VO</t>
  </si>
  <si>
    <t>XXXX/3613/6121</t>
  </si>
  <si>
    <t xml:space="preserve">                   Sociálně-provozní objekt ve sport.areálu U Stadionu PD</t>
  </si>
  <si>
    <r>
      <rPr>
        <b/>
        <sz val="10"/>
        <rFont val="Arial CE"/>
      </rPr>
      <t xml:space="preserve">Veřejné osvětlení (VO) </t>
    </r>
    <r>
      <rPr>
        <sz val="9"/>
        <rFont val="Arial CE"/>
      </rPr>
      <t>(účet 2310800)</t>
    </r>
  </si>
  <si>
    <t>5362/3631/5169</t>
  </si>
  <si>
    <t xml:space="preserve">                   VO Generel</t>
  </si>
  <si>
    <t>0541/3631/6121</t>
  </si>
  <si>
    <t xml:space="preserve">                   VO Nádražní - ukončeno 8/2020</t>
  </si>
  <si>
    <t>0542/3631/6121</t>
  </si>
  <si>
    <t xml:space="preserve">                   VO Purkyňova</t>
  </si>
  <si>
    <t>5435/3631/6121</t>
  </si>
  <si>
    <t xml:space="preserve">                   Opatření ke snížení energ.náročnosti VO - EFEKT 2021</t>
  </si>
  <si>
    <t>4395/3631/6121</t>
  </si>
  <si>
    <t xml:space="preserve">                   VO Bludovice, pneuservis - ukončeno 6/2020</t>
  </si>
  <si>
    <t>5359/3631/6121</t>
  </si>
  <si>
    <t xml:space="preserve">                   VO Štefanikova ČSOB</t>
  </si>
  <si>
    <t>5360/3631/6121</t>
  </si>
  <si>
    <t xml:space="preserve">                   VO Hřbitovní</t>
  </si>
  <si>
    <t>5363/3631/6121</t>
  </si>
  <si>
    <t xml:space="preserve">                   VO cyklostezka průmyslová zóna PD</t>
  </si>
  <si>
    <t>5364/3631/6121</t>
  </si>
  <si>
    <t xml:space="preserve">                   VO Smetanovy sady a Skalky </t>
  </si>
  <si>
    <t>5365/3631/6121</t>
  </si>
  <si>
    <t xml:space="preserve">                   VO Skalky - parkoviště </t>
  </si>
  <si>
    <t>5366/3631/6121</t>
  </si>
  <si>
    <t xml:space="preserve">                   VO Štefanikova ČS (okolo ČSOB)</t>
  </si>
  <si>
    <t>5367/3631/6121</t>
  </si>
  <si>
    <t xml:space="preserve">                   VO Loučka - Křenová, Jičínská, Za Potokem</t>
  </si>
  <si>
    <t>6383/3631/6121</t>
  </si>
  <si>
    <t xml:space="preserve">                   VO K Archivu PD</t>
  </si>
  <si>
    <r>
      <rPr>
        <b/>
        <sz val="10"/>
        <rFont val="Arial CE"/>
      </rPr>
      <t>Hřbitovy</t>
    </r>
    <r>
      <rPr>
        <sz val="9"/>
        <rFont val="Arial CE"/>
      </rPr>
      <t xml:space="preserve"> (účet 2310800)</t>
    </r>
  </si>
  <si>
    <t>5361/3632/5171</t>
  </si>
  <si>
    <t xml:space="preserve">                   Sanace čestných hrobů</t>
  </si>
  <si>
    <t>5361/3632/6121</t>
  </si>
  <si>
    <r>
      <rPr>
        <b/>
        <sz val="10"/>
        <rFont val="Arial CE"/>
      </rPr>
      <t>Výstavba a údržba místních inženýrských sítí (IS)</t>
    </r>
    <r>
      <rPr>
        <sz val="9"/>
        <rFont val="Arial CE"/>
      </rPr>
      <t xml:space="preserve"> (účet 2310800)</t>
    </r>
  </si>
  <si>
    <t>0538/3633/6121</t>
  </si>
  <si>
    <t xml:space="preserve">                   Rozšíření průmyslové zóny PD</t>
  </si>
  <si>
    <t>0539/3633/6121</t>
  </si>
  <si>
    <t xml:space="preserve">                   IS Žilina, Za Školou</t>
  </si>
  <si>
    <t>5425/3633/6121</t>
  </si>
  <si>
    <t xml:space="preserve">                   IS RD Bocheta PD 4. etapa</t>
  </si>
  <si>
    <t>641 - Oddělení rozvoje - dotace ČOV, topení Kojetín, kotlíkové dotace</t>
  </si>
  <si>
    <t>1388/2321/6371</t>
  </si>
  <si>
    <t xml:space="preserve">                    Dotace ČOV</t>
  </si>
  <si>
    <t>1388/3634/6371</t>
  </si>
  <si>
    <t xml:space="preserve">                    Dotace na ekologické vytápění Kojetín</t>
  </si>
  <si>
    <t>1388/3713/6342</t>
  </si>
  <si>
    <t xml:space="preserve">                    Kotlíkové dotace MSK</t>
  </si>
  <si>
    <r>
      <rPr>
        <b/>
        <sz val="10"/>
        <rFont val="Arial CE"/>
      </rPr>
      <t xml:space="preserve">Vnitřní obchod </t>
    </r>
    <r>
      <rPr>
        <sz val="9"/>
        <rFont val="Arial CE"/>
      </rPr>
      <t>(nákup materiálu 16, zpracování dat 3, ostatní služby 366, věcné dary 10, neinvestiční transfery neziskovým organizacím 80, reklamní tabule MPR 200)</t>
    </r>
  </si>
  <si>
    <r>
      <rPr>
        <b/>
        <sz val="10"/>
        <rFont val="Arial CE"/>
      </rPr>
      <t>Rozhlas a televize</t>
    </r>
    <r>
      <rPr>
        <b/>
        <sz val="9"/>
        <rFont val="Arial CE"/>
      </rPr>
      <t xml:space="preserve"> </t>
    </r>
    <r>
      <rPr>
        <sz val="9"/>
        <rFont val="Arial CE"/>
      </rPr>
      <t>(TV Polar, záznamy ze ZM)</t>
    </r>
  </si>
  <si>
    <r>
      <rPr>
        <b/>
        <sz val="10"/>
        <rFont val="Arial CE"/>
      </rPr>
      <t xml:space="preserve">Ostatní záležitosti kultury, církví a sdělovacích prostředků </t>
    </r>
    <r>
      <rPr>
        <sz val="9"/>
        <rFont val="Arial CE"/>
      </rPr>
      <t>(odměny za užití duševního vlastnictví 20)</t>
    </r>
  </si>
  <si>
    <t>ORJ 011 - Návštěvnické centrum Nový Jičín - město klobouků</t>
  </si>
  <si>
    <r>
      <rPr>
        <b/>
        <sz val="10"/>
        <rFont val="Arial CE"/>
      </rPr>
      <t xml:space="preserve">Vnitřní obchod  </t>
    </r>
    <r>
      <rPr>
        <b/>
        <sz val="9"/>
        <rFont val="Arial CE"/>
      </rPr>
      <t xml:space="preserve">- </t>
    </r>
    <r>
      <rPr>
        <sz val="9"/>
        <rFont val="Arial CE"/>
      </rPr>
      <t xml:space="preserve">opravy a údržba 25, materiál 38, služby 64, příspěvek TSM celkem (jarmarky, vánoční strom, výzdoba,…) 454, pohoštění 5, DHM 100, stroje, přístroje, zařízení 540.  </t>
    </r>
  </si>
  <si>
    <r>
      <rPr>
        <b/>
        <sz val="10"/>
        <rFont val="Arial CE"/>
      </rPr>
      <t>Cestovní ruch</t>
    </r>
    <r>
      <rPr>
        <b/>
        <sz val="9"/>
        <rFont val="Arial CE"/>
      </rPr>
      <t xml:space="preserve"> </t>
    </r>
    <r>
      <rPr>
        <sz val="9"/>
        <rFont val="Arial CE"/>
      </rPr>
      <t xml:space="preserve">(platy 3600, dohody 360, soc.poj. 982 080, zdrav. poj. 356 400, náhrada mezd za nemoc 20, platby daní a popl. Stát. rozp. 6,5, knihy, tisk 6, drobný hmotný maj. 480, materiál (kalendáře, upom. Př., tiskoviny,…) 640, materiál DPH 374,5, poštovné 4, telefony 10, pronájem 277, služby zprac. dat. 30, nákup služeb (prop. inz., služby) 1170, nákup služeb DPH (služby spojené s kelímky NICKNACK) 170 976, opravy a údržba 80, cestovné 10, pohoštění 80, ost.nák.j.n. 4,5, neinvest. transféry 140, neinvest. přísp. Pivobraní 170. </t>
    </r>
  </si>
  <si>
    <r>
      <rPr>
        <b/>
        <sz val="10"/>
        <rFont val="Arial CE"/>
      </rPr>
      <t>Ost.záležitosti kultury, církví a sdělovacích prostředků</t>
    </r>
    <r>
      <rPr>
        <sz val="10"/>
        <rFont val="Arial CE"/>
      </rPr>
      <t xml:space="preserve"> (</t>
    </r>
    <r>
      <rPr>
        <sz val="9"/>
        <rFont val="Arial CE"/>
      </rPr>
      <t xml:space="preserve">platby za autorská práva - OSA, Integram) </t>
    </r>
  </si>
  <si>
    <r>
      <rPr>
        <b/>
        <sz val="10"/>
        <rFont val="Arial CE"/>
      </rPr>
      <t>Mezinárodní spolupráce</t>
    </r>
    <r>
      <rPr>
        <sz val="9"/>
        <rFont val="Arial CE"/>
      </rPr>
      <t xml:space="preserve"> - materiál 55, materiál DPH 5, PHM 5, nájemné 20, služby 280, cestovné 40, pohoštění 110.</t>
    </r>
  </si>
  <si>
    <t>Bezpečnost silničního provozu (BESIP)</t>
  </si>
  <si>
    <t xml:space="preserve">             DHM 6, materiál 3, nájemné 42, služby 10, opravy a udržování 7, pohoštění 2, věcné dary 6 </t>
  </si>
  <si>
    <r>
      <rPr>
        <b/>
        <sz val="10"/>
        <rFont val="Arial CE"/>
      </rPr>
      <t xml:space="preserve">Ostatní záležitosti v silniční dopravě - </t>
    </r>
    <r>
      <rPr>
        <sz val="10"/>
        <rFont val="Arial CE"/>
      </rPr>
      <t>odvod ekologické daně 12/2019</t>
    </r>
  </si>
  <si>
    <r>
      <rPr>
        <b/>
        <sz val="10"/>
        <rFont val="Arial CE"/>
      </rPr>
      <t>Dopravní obslužnost</t>
    </r>
    <r>
      <rPr>
        <sz val="10"/>
        <rFont val="Arial CE"/>
      </rPr>
      <t xml:space="preserve"> - veřejná doprava</t>
    </r>
  </si>
  <si>
    <t>z toho: územní dopravní obslužnost dle smlouvy s MSK</t>
  </si>
  <si>
    <r>
      <rPr>
        <sz val="10"/>
        <rFont val="Arial CE"/>
      </rPr>
      <t xml:space="preserve">             příspěvek na MHD</t>
    </r>
    <r>
      <rPr>
        <sz val="9"/>
        <rFont val="Arial CE"/>
      </rPr>
      <t xml:space="preserve"> (ARRIVA) - dle smlouvy </t>
    </r>
  </si>
  <si>
    <r>
      <rPr>
        <sz val="10"/>
        <rFont val="Arial CE"/>
      </rPr>
      <t xml:space="preserve">             příspěvek na ochranné chem prostředky a pomůcky pro dopravce veř.dopravy </t>
    </r>
    <r>
      <rPr>
        <sz val="9"/>
        <rFont val="Arial CE"/>
      </rPr>
      <t>(ARRIVA) - z MSK (úz 27009)</t>
    </r>
  </si>
  <si>
    <r>
      <rPr>
        <sz val="10"/>
        <rFont val="Arial CE"/>
      </rPr>
      <t xml:space="preserve">             kompenzace ztráty dopravci za rozšíření tarifu "město" 2020: </t>
    </r>
    <r>
      <rPr>
        <sz val="10"/>
        <rFont val="Arial CE"/>
      </rPr>
      <t xml:space="preserve">dokrytí ztráty za provozování skibusu: </t>
    </r>
  </si>
  <si>
    <t xml:space="preserve">                dokrytí ztráty za provozovaní autobusového spojení Hranice na Moravě </t>
  </si>
  <si>
    <r>
      <rPr>
        <b/>
        <sz val="10"/>
        <rFont val="Arial CE"/>
      </rPr>
      <t xml:space="preserve">Bezpečnost silničního provozu - </t>
    </r>
    <r>
      <rPr>
        <sz val="10"/>
        <rFont val="Arial CE"/>
      </rPr>
      <t>znalecké posudky při řešení dopravních deliktů+tlumočení</t>
    </r>
  </si>
  <si>
    <r>
      <rPr>
        <b/>
        <sz val="10"/>
        <rFont val="Arial CE"/>
      </rPr>
      <t xml:space="preserve">Činnost místní správy - </t>
    </r>
    <r>
      <rPr>
        <sz val="10"/>
        <rFont val="Arial CE"/>
      </rPr>
      <t>ostatní platy (refundace vč.pojist.), konzult.a porad.služby, náhrady svědkům</t>
    </r>
  </si>
  <si>
    <t>ORJ 317 - Odbor správních agend</t>
  </si>
  <si>
    <t>Volby do zastupitelstev krajů</t>
  </si>
  <si>
    <t xml:space="preserve">Volby do Poslanecké sněmovny </t>
  </si>
  <si>
    <t>414 - Školství</t>
  </si>
  <si>
    <t>Předškolní zařízení</t>
  </si>
  <si>
    <t xml:space="preserve">příspěvky a dotace vlastní: na provoz MŠ </t>
  </si>
  <si>
    <t xml:space="preserve">                                            na údržbu MŠ </t>
  </si>
  <si>
    <t xml:space="preserve">                                            na investice</t>
  </si>
  <si>
    <r>
      <rPr>
        <sz val="10"/>
        <rFont val="Arial CE"/>
      </rPr>
      <t xml:space="preserve">             v tom:  </t>
    </r>
    <r>
      <rPr>
        <b/>
        <i/>
        <sz val="10"/>
        <rFont val="Arial CE"/>
      </rPr>
      <t>MŠ Sady</t>
    </r>
    <r>
      <rPr>
        <sz val="10"/>
        <rFont val="Arial CE"/>
      </rPr>
      <t xml:space="preserve"> (org. 305)</t>
    </r>
  </si>
  <si>
    <t xml:space="preserve">                               - příspěvek na provoz, včetně energií 850, včetně odpisů z nemovitého majetku </t>
  </si>
  <si>
    <t xml:space="preserve">                              </t>
  </si>
  <si>
    <r>
      <rPr>
        <sz val="10"/>
        <rFont val="Arial CE"/>
      </rPr>
      <t xml:space="preserve">                               - příspěvek na údržbu </t>
    </r>
    <r>
      <rPr>
        <sz val="9"/>
        <rFont val="Arial CE"/>
      </rPr>
      <t>(oprava střešních svodů MŠ Revoluční a zásaků vody do kanalizace, oprava venkovního schodiště - zahradad Sm.sady, orpava chodníků na zaahradě MŠ Revoluční, malování a nátěry, oprava terasy MŠ Revoluční ) při zapojení FI 100</t>
    </r>
  </si>
  <si>
    <r>
      <rPr>
        <sz val="10"/>
        <rFont val="Arial CE"/>
      </rPr>
      <t xml:space="preserve">                               - příspěvek na investice</t>
    </r>
    <r>
      <rPr>
        <sz val="9"/>
        <rFont val="Arial CE"/>
      </rPr>
      <t xml:space="preserve"> (revitalizace zahrady MŠ Smetanovy sady, elektroinstalace MŠ Jiráskova-havarijní stav, rekonstrukce vzduchotechniky MŠ Jiráskova)</t>
    </r>
  </si>
  <si>
    <r>
      <rPr>
        <b/>
        <i/>
        <sz val="10"/>
        <rFont val="Arial CE"/>
      </rPr>
      <t xml:space="preserve">                          MŠ Máj</t>
    </r>
    <r>
      <rPr>
        <sz val="10"/>
        <rFont val="Arial CE"/>
      </rPr>
      <t xml:space="preserve"> (org. 307)</t>
    </r>
  </si>
  <si>
    <t xml:space="preserve">                               - příspěvek na provoz, včetně energií 1270, včetně odpisů z nemovitého majetku </t>
  </si>
  <si>
    <r>
      <rPr>
        <sz val="10"/>
        <rFont val="Arial CE"/>
      </rPr>
      <t xml:space="preserve">                               - příspěvek na údržbu </t>
    </r>
    <r>
      <rPr>
        <sz val="9"/>
        <rFont val="Arial CE"/>
      </rPr>
      <t>(malování a nátěry, oprava plotu, výměna podlahových krytin, PD sanace sušárny a prádelny MŠ Vančurova, zajištění dešťové mřížky okapů u MŠ Jubilejní, oprava výtahu) při zapojení FR a FI 170</t>
    </r>
  </si>
  <si>
    <r>
      <rPr>
        <sz val="10"/>
        <rFont val="Arial CE"/>
      </rPr>
      <t xml:space="preserve">                               - příspěvek na investice</t>
    </r>
    <r>
      <rPr>
        <sz val="9"/>
        <rFont val="Arial CE"/>
      </rPr>
      <t xml:space="preserve"> (myčka ) zapojení FI 50</t>
    </r>
  </si>
  <si>
    <r>
      <rPr>
        <sz val="10"/>
        <rFont val="Arial CE"/>
      </rPr>
      <t xml:space="preserve">                          </t>
    </r>
    <r>
      <rPr>
        <b/>
        <i/>
        <sz val="10"/>
        <rFont val="Arial CE"/>
      </rPr>
      <t>MŠ Trojlístek</t>
    </r>
    <r>
      <rPr>
        <sz val="10"/>
        <rFont val="Arial CE"/>
      </rPr>
      <t xml:space="preserve"> (org. 309)</t>
    </r>
  </si>
  <si>
    <r>
      <rPr>
        <sz val="10"/>
        <rFont val="Arial CE"/>
      </rPr>
      <t xml:space="preserve">                               - příspěvek na údržbu </t>
    </r>
    <r>
      <rPr>
        <sz val="9"/>
        <rFont val="Arial CE"/>
      </rPr>
      <t>(oprava plotu MŠ Kom - poslední etapa, oprava kuchyněk a parapetů MŠ Máchova, oprava výtahu MŠ Máchova, výměna podlahových krytin, malování a nátěry, oprava sprchy MŠ Beskydská, ochranný val proti zatečení MŠ Beskydská)</t>
    </r>
  </si>
  <si>
    <r>
      <rPr>
        <sz val="10"/>
        <rFont val="Arial CE"/>
      </rPr>
      <t xml:space="preserve">                               - příspěvek na investice </t>
    </r>
    <r>
      <rPr>
        <sz val="9"/>
        <rFont val="Arial CE"/>
      </rPr>
      <t xml:space="preserve">(PD rekonstrukce elektroinstalace MŠ Máchova, myčka) </t>
    </r>
    <r>
      <rPr>
        <sz val="10"/>
        <rFont val="Arial CE"/>
      </rPr>
      <t>zapojení FI 50</t>
    </r>
  </si>
  <si>
    <t>Základní školy</t>
  </si>
  <si>
    <t xml:space="preserve">rezerva+vyhodnocení žáků </t>
  </si>
  <si>
    <t xml:space="preserve">příspěvky vlastní: na provoz ZŠ </t>
  </si>
  <si>
    <t xml:space="preserve">                             na údržbu ZŠ </t>
  </si>
  <si>
    <t xml:space="preserve">                             na investice</t>
  </si>
  <si>
    <r>
      <rPr>
        <sz val="10"/>
        <rFont val="Arial CE"/>
      </rPr>
      <t xml:space="preserve">              v tom:  </t>
    </r>
    <r>
      <rPr>
        <b/>
        <i/>
        <sz val="10"/>
        <rFont val="Arial CE"/>
      </rPr>
      <t xml:space="preserve">ZŠ Jubilejní </t>
    </r>
    <r>
      <rPr>
        <sz val="10"/>
        <rFont val="Arial CE"/>
      </rPr>
      <t xml:space="preserve">celkem (org. 321) </t>
    </r>
  </si>
  <si>
    <t xml:space="preserve">                              - příspěvek na provoz, včetně energií 3700, včetně odpisů z nemovitého majetku </t>
  </si>
  <si>
    <r>
      <rPr>
        <sz val="10"/>
        <rFont val="Arial CE"/>
      </rPr>
      <t xml:space="preserve">                              - přísp.na údržbu</t>
    </r>
    <r>
      <rPr>
        <sz val="9"/>
        <rFont val="Arial CE"/>
      </rPr>
      <t xml:space="preserve"> (Jubilejní: malování a nátěry, stabilizace střešního pláště proti větru, ZŠ Dlouhá: PD sanace havraijní stav ve ŠJ, malování a nátěry, vnitřní obložení stěn šatny, úprava podlahy v tělocvičně)</t>
    </r>
  </si>
  <si>
    <r>
      <rPr>
        <sz val="10"/>
        <rFont val="Arial CE"/>
      </rPr>
      <t xml:space="preserve">                              - příspěvek na investice </t>
    </r>
    <r>
      <rPr>
        <sz val="9"/>
        <rFont val="Arial CE"/>
      </rPr>
      <t xml:space="preserve">(Jubilejní: rek. školního hřiště, zpracování žádosti, rekonstukce učeben dílen, náklady související s dotací IROP, plynový kotel ve ŠJ, krouhač zeleniny, objednávkový systém ŠJ, Dlouhá: PD rekonstrukce výtahu a bezbariérovosti budovy) při </t>
    </r>
    <r>
      <rPr>
        <sz val="10"/>
        <rFont val="Arial CE"/>
      </rPr>
      <t>zapojení FI 300</t>
    </r>
  </si>
  <si>
    <r>
      <rPr>
        <sz val="10"/>
        <rFont val="Arial CE"/>
      </rPr>
      <t xml:space="preserve">              v tom:  </t>
    </r>
    <r>
      <rPr>
        <b/>
        <i/>
        <sz val="10"/>
        <rFont val="Arial CE"/>
      </rPr>
      <t xml:space="preserve">ZŠ Komenského 66 </t>
    </r>
    <r>
      <rPr>
        <sz val="10"/>
        <rFont val="Arial CE"/>
      </rPr>
      <t>(org. 322)</t>
    </r>
  </si>
  <si>
    <t xml:space="preserve">                              - příspěvek na provoz, včetně energií 1700, včetně odpisů z nemovitého majetku </t>
  </si>
  <si>
    <r>
      <rPr>
        <sz val="10"/>
        <rFont val="Arial CE"/>
      </rPr>
      <t xml:space="preserve">                              - příspěvek na údržbu </t>
    </r>
    <r>
      <rPr>
        <sz val="9"/>
        <rFont val="Arial CE"/>
      </rPr>
      <t>(malování a nátěry, čištění fasády, výměna plechových podhledů v přízemí, oprava výtahu, zapojení FR a FI 320)</t>
    </r>
  </si>
  <si>
    <r>
      <rPr>
        <sz val="10"/>
        <rFont val="Arial CE"/>
      </rPr>
      <t xml:space="preserve">                              - příspěvek na investice </t>
    </r>
    <r>
      <rPr>
        <sz val="9"/>
        <rFont val="Arial CE"/>
      </rPr>
      <t xml:space="preserve">(spoluúčast města na projektu IROP, modernizace odborné učebny F, Ch, Z,) </t>
    </r>
  </si>
  <si>
    <r>
      <rPr>
        <sz val="10"/>
        <rFont val="Arial CE"/>
      </rPr>
      <t xml:space="preserve">                          </t>
    </r>
    <r>
      <rPr>
        <b/>
        <i/>
        <sz val="10"/>
        <rFont val="Arial CE"/>
      </rPr>
      <t>ZŠ Komenského 68</t>
    </r>
    <r>
      <rPr>
        <sz val="10"/>
        <rFont val="Arial CE"/>
      </rPr>
      <t xml:space="preserve"> (org. 323)</t>
    </r>
  </si>
  <si>
    <t xml:space="preserve">                              - příspěvek na provoz, včetně energií 1400, včetně odpisů z nemovitého majetku </t>
  </si>
  <si>
    <r>
      <rPr>
        <sz val="10"/>
        <rFont val="Arial CE"/>
      </rPr>
      <t xml:space="preserve">                              - příspěvek na údržbu </t>
    </r>
    <r>
      <rPr>
        <sz val="9"/>
        <rFont val="Arial CE"/>
      </rPr>
      <t>(oprava elektroinstalace-poslední etapa,</t>
    </r>
    <r>
      <rPr>
        <sz val="9"/>
        <rFont val="Arial CE"/>
      </rPr>
      <t>oprava ZTI</t>
    </r>
    <r>
      <rPr>
        <sz val="9"/>
        <rFont val="Arial CE"/>
      </rPr>
      <t>, malování a nátěry, oprava podlah) při zapojení FR 45</t>
    </r>
  </si>
  <si>
    <r>
      <rPr>
        <sz val="10"/>
        <rFont val="Arial CE"/>
      </rPr>
      <t xml:space="preserve">                             - příspěvek na investice</t>
    </r>
    <r>
      <rPr>
        <sz val="9"/>
        <rFont val="Arial CE"/>
      </rPr>
      <t xml:space="preserve"> (spoluúčast na projektu  IROP Digitalizace k Hitech.výuce, konvektomat) -při zapojení FI 160</t>
    </r>
  </si>
  <si>
    <r>
      <rPr>
        <sz val="10"/>
        <rFont val="Arial CE"/>
      </rPr>
      <t xml:space="preserve">                         </t>
    </r>
    <r>
      <rPr>
        <b/>
        <i/>
        <sz val="10"/>
        <rFont val="Arial CE"/>
      </rPr>
      <t xml:space="preserve">ZŠ Tyršova </t>
    </r>
    <r>
      <rPr>
        <sz val="10"/>
        <rFont val="Arial CE"/>
      </rPr>
      <t>(org. 325)</t>
    </r>
  </si>
  <si>
    <t xml:space="preserve">                             - příspěvek na provoz (vč. Montessori 250), vč.energií 2000, vč.odpisů z nem.majetku</t>
  </si>
  <si>
    <r>
      <rPr>
        <sz val="10"/>
        <rFont val="Arial CE"/>
      </rPr>
      <t xml:space="preserve">                             - příspěvek na údržbu</t>
    </r>
    <r>
      <rPr>
        <sz val="9"/>
        <rFont val="Arial CE"/>
      </rPr>
      <t xml:space="preserve"> (malování a nátěry)</t>
    </r>
  </si>
  <si>
    <t xml:space="preserve">                             - příspěvek na investice (myčka, server a diskové pole) </t>
  </si>
  <si>
    <t>Střediska volného času</t>
  </si>
  <si>
    <r>
      <rPr>
        <sz val="10"/>
        <rFont val="Arial CE"/>
      </rPr>
      <t xml:space="preserve">z toho: </t>
    </r>
    <r>
      <rPr>
        <b/>
        <i/>
        <sz val="10"/>
        <rFont val="Arial CE"/>
      </rPr>
      <t>SVČ Fokus</t>
    </r>
  </si>
  <si>
    <t xml:space="preserve">                  - příspěvek na provoz, včetně energií 670, včetně odpisů z nemovitého majetku </t>
  </si>
  <si>
    <t xml:space="preserve">                  - příspěvek na údržbu (oprava podlah v posilovně)</t>
  </si>
  <si>
    <r>
      <rPr>
        <sz val="10"/>
        <rFont val="Arial CE"/>
      </rPr>
      <t xml:space="preserve">                  - příspěvek na investice </t>
    </r>
    <r>
      <rPr>
        <sz val="9"/>
        <rFont val="Arial CE"/>
      </rPr>
      <t xml:space="preserve">(revitalizace projektu ITI+spoluúčast+zateplení nástavby části budovy (876 tis.Kč) , zrcadlová stěna, PD na ohřev teplé vody) zapojení FI 140 </t>
    </r>
  </si>
  <si>
    <r>
      <rPr>
        <b/>
        <sz val="10"/>
        <rFont val="Arial CE"/>
      </rPr>
      <t>Ostatní tělovýchovná činnost</t>
    </r>
    <r>
      <rPr>
        <sz val="10"/>
        <rFont val="Arial CE"/>
      </rPr>
      <t xml:space="preserve"> </t>
    </r>
  </si>
  <si>
    <t>416 - Kultura</t>
  </si>
  <si>
    <r>
      <rPr>
        <b/>
        <sz val="10"/>
        <rFont val="Arial CE"/>
      </rPr>
      <t xml:space="preserve">Divadelní činnost - </t>
    </r>
    <r>
      <rPr>
        <b/>
        <i/>
        <sz val="10"/>
        <rFont val="Arial CE"/>
      </rPr>
      <t>Beskydské divadlo</t>
    </r>
    <r>
      <rPr>
        <b/>
        <sz val="9"/>
        <rFont val="Arial CE"/>
      </rPr>
      <t xml:space="preserve"> </t>
    </r>
    <r>
      <rPr>
        <sz val="9"/>
        <rFont val="Arial CE"/>
      </rPr>
      <t>(org. 504)</t>
    </r>
  </si>
  <si>
    <t xml:space="preserve">z toho: příspěvek na provoz, včetně energií 2000, včetně odpisů z nemovitého majetku </t>
  </si>
  <si>
    <r>
      <rPr>
        <sz val="10"/>
        <rFont val="Arial CE"/>
      </rPr>
      <t xml:space="preserve">             příspěvek na údržbu </t>
    </r>
    <r>
      <rPr>
        <sz val="9"/>
        <rFont val="Arial CE"/>
      </rPr>
      <t xml:space="preserve">(zesílení stropních desek ve výchovní části přístavby vč.stav. úprav, oprava vzduchotechniky) při zapojení FI 200 </t>
    </r>
  </si>
  <si>
    <t xml:space="preserve">          - příspěvek na investice </t>
  </si>
  <si>
    <t>Ostatní záležitosti kultury</t>
  </si>
  <si>
    <r>
      <rPr>
        <sz val="10"/>
        <rFont val="Arial CE"/>
      </rPr>
      <t xml:space="preserve">z toho: osadní výbory </t>
    </r>
    <r>
      <rPr>
        <sz val="9"/>
        <rFont val="Arial CE"/>
      </rPr>
      <t>(Žilina, Straník, Bludovice, Kojetín, Loučka)</t>
    </r>
  </si>
  <si>
    <t xml:space="preserve">             kronika, služby, materiál, pohoštění, dar, ocenění osobností, ples, poplatky OSA a INTEGRAM atd.)</t>
  </si>
  <si>
    <t>Zachování a obnova kulturních památek</t>
  </si>
  <si>
    <r>
      <rPr>
        <sz val="10"/>
        <rFont val="Arial CE"/>
      </rPr>
      <t>z toho: dohody (</t>
    </r>
    <r>
      <rPr>
        <sz val="9"/>
        <rFont val="Arial CE"/>
      </rPr>
      <t>odborné texty na tabulky)</t>
    </r>
  </si>
  <si>
    <t xml:space="preserve">             Instalace a vytvoření tabulek s QR kódy ke kulturním památkám (domy a sochy)</t>
  </si>
  <si>
    <t xml:space="preserve">             Propagace v rámci EHD (vlajky a jiné), postřiky hradebních zdí, vč. likvidace náletů </t>
  </si>
  <si>
    <t xml:space="preserve">             Drobné opravy poškození, očištění soch a restaurování křížů, Kaple v Janáčkových sadech-úprava po fixaci maleb, oprva hradební zdi (ve dvoře HoteluPraha)</t>
  </si>
  <si>
    <t>Pořízení, zachování a obnova hodnot místního historického povědomí</t>
  </si>
  <si>
    <r>
      <rPr>
        <sz val="10"/>
        <rFont val="Arial CE"/>
      </rPr>
      <t xml:space="preserve">z toho: </t>
    </r>
    <r>
      <rPr>
        <sz val="9"/>
        <rFont val="Arial CE"/>
      </rPr>
      <t xml:space="preserve"> oprava křížů a kaplí </t>
    </r>
  </si>
  <si>
    <r>
      <rPr>
        <sz val="10"/>
        <rFont val="Arial CE"/>
      </rPr>
      <t xml:space="preserve">            elektrická energie </t>
    </r>
    <r>
      <rPr>
        <sz val="9"/>
        <rFont val="Arial CE"/>
      </rPr>
      <t xml:space="preserve">(zvonění kaple Kojetín, Bludovice) </t>
    </r>
  </si>
  <si>
    <t>Zájmová činnost v kultuře</t>
  </si>
  <si>
    <t>z toho: Osvětová beseda Straník</t>
  </si>
  <si>
    <r>
      <rPr>
        <sz val="10"/>
        <rFont val="Arial CE"/>
      </rPr>
      <t xml:space="preserve">z toho: </t>
    </r>
    <r>
      <rPr>
        <b/>
        <i/>
        <sz val="10"/>
        <rFont val="Arial CE"/>
      </rPr>
      <t>Městské kulturní středisko</t>
    </r>
    <r>
      <rPr>
        <b/>
        <sz val="10"/>
        <rFont val="Arial CE"/>
      </rPr>
      <t xml:space="preserve"> </t>
    </r>
    <r>
      <rPr>
        <sz val="9"/>
        <rFont val="Arial CE"/>
      </rPr>
      <t>(org. 501)</t>
    </r>
  </si>
  <si>
    <t xml:space="preserve">           -  příspěvek na provoz MěKS a Kina Květen, vč.energií 1350, vč.odpisů z nem.majetku 175 </t>
  </si>
  <si>
    <t xml:space="preserve">                                     včetně Novojičínského kulturního léta a Slavností města </t>
  </si>
  <si>
    <r>
      <rPr>
        <sz val="10"/>
        <rFont val="Arial CE"/>
      </rPr>
      <t xml:space="preserve">          -  příspěvek na investice </t>
    </r>
    <r>
      <rPr>
        <sz val="9"/>
        <rFont val="Arial CE"/>
      </rPr>
      <t>auto)</t>
    </r>
  </si>
  <si>
    <r>
      <rPr>
        <sz val="10"/>
        <rFont val="Arial CE"/>
      </rPr>
      <t xml:space="preserve">           -  příspěvek na údržbu </t>
    </r>
    <r>
      <rPr>
        <sz val="9"/>
        <rFont val="Arial CE"/>
      </rPr>
      <t xml:space="preserve">(oprava vstupu knihovny a části budovy garáže proti vzlínání vlhkosti, oprava asfaltové plochy před pódiem amfiteátru Skalky,oprava správního domku-pouze PD, přečalounění sedaček v kině, oprava digitálního projektoru , oprava plechového krytu v chodníkovém tělese u kina, oprava proskleného vnitřního prostoru kina) při zapojení FI 600 </t>
    </r>
  </si>
  <si>
    <t>Ostatní záležitosti kultury, církví a sdělovacích prostředků</t>
  </si>
  <si>
    <t>z toho: výdaje na občanské záležitosti (včetně vítání občánků a jubileí)</t>
  </si>
  <si>
    <t>441 - Dotace, návratné finanční výpomoci a dary cizím subjektům</t>
  </si>
  <si>
    <t>Dotace, návratné finanční výpomoci a dary cizím subjektům</t>
  </si>
  <si>
    <t>z toho: podpora celoroční činnosti v kulturní oblasti (org. 1121)</t>
  </si>
  <si>
    <t xml:space="preserve">            podpora jednorázových kulturních akcí (org. 1122)</t>
  </si>
  <si>
    <t xml:space="preserve">            podpora sportovní činnosti dospělých nad 20 let (org. 1131)</t>
  </si>
  <si>
    <t xml:space="preserve">            podpora sportovní činnosti dětí a mládeže do 20 let (org. 1132)</t>
  </si>
  <si>
    <t xml:space="preserve">            podpora jednorázových sportovních akcí (org. 1133)</t>
  </si>
  <si>
    <t xml:space="preserve">            podpora provozu, údržby a oprava sportovišť a sportovních zařízení (org. 1134)</t>
  </si>
  <si>
    <t xml:space="preserve">            podpora ostatního sportu mládeže do 20 let (org. 1136)</t>
  </si>
  <si>
    <t xml:space="preserve">            podpora výkonostního sportu dospělých nad 20 let (org. 1137)</t>
  </si>
  <si>
    <t xml:space="preserve">            podpora celoroční činnosti v oblasti využití volného času (org. 1141)</t>
  </si>
  <si>
    <t xml:space="preserve">            podpora jednorázových akcí v oblasti využití volného času (org. 1142)</t>
  </si>
  <si>
    <t xml:space="preserve">            podpora na zachování a obnovu kulturních památek (org. 1150)</t>
  </si>
  <si>
    <r>
      <rPr>
        <sz val="10"/>
        <rFont val="Arial CE"/>
      </rPr>
      <t xml:space="preserve">            mimořádné dotace a dary (org. 1180): </t>
    </r>
    <r>
      <rPr>
        <sz val="9"/>
        <rFont val="Arial CE"/>
      </rPr>
      <t>MŠ Beruška 165, ZŠ Galaxie 220 a MŠ Bludovice 33,816 -všechny 3 subjekty na úhradu režijních nákladů na stravování dětí včetně dovozu, ZO ČSOP Bartošovice 90 záchrana handicapovaných zvířat, Česká křesťanská akademie 15, rezerva 100</t>
    </r>
  </si>
  <si>
    <t>ORJ 018 - Městská policie</t>
  </si>
  <si>
    <t xml:space="preserve">Bezpečnost a veřejný pořádek </t>
  </si>
  <si>
    <r>
      <rPr>
        <sz val="10"/>
        <rFont val="Arial CE"/>
      </rPr>
      <t>z toho</t>
    </r>
    <r>
      <rPr>
        <b/>
        <sz val="10"/>
        <rFont val="Arial CE"/>
      </rPr>
      <t xml:space="preserve"> provoz:</t>
    </r>
    <r>
      <rPr>
        <sz val="10"/>
        <rFont val="Arial CE"/>
      </rPr>
      <t xml:space="preserve"> platy</t>
    </r>
    <r>
      <rPr>
        <sz val="9"/>
        <rFont val="Arial CE"/>
      </rPr>
      <t xml:space="preserve"> 16 000, zák.odvody 3 968 + 1 440 ochr.pomůcky 0, zdrav.pomůcky 2, výstroj 275, knihy, časopisy a tisk 1, DHM 151, materiál 127,5 včetně prevence kriminality, elektř.10, PHM 240, služby pošt 1, telekomunikace 242, nájemné 30, konzultace  porad.služby 3, školení 27, konference 2, služby 579, opravy a udrž. 283, služby zpracování dat 80, cestovné 7, neinv.přísp.a náhrady-prac.úrazy 50, kolky 10, náhrady za nemoc 100,</t>
    </r>
    <r>
      <rPr>
        <sz val="10"/>
        <rFont val="Arial CE"/>
      </rPr>
      <t xml:space="preserve"> správní poplatky 6, </t>
    </r>
    <r>
      <rPr>
        <b/>
        <sz val="10"/>
        <rFont val="Arial CE"/>
      </rPr>
      <t xml:space="preserve">investice: </t>
    </r>
    <r>
      <rPr>
        <sz val="9"/>
        <rFont val="Arial CE"/>
      </rPr>
      <t>radiostanice</t>
    </r>
  </si>
  <si>
    <t>ORJ 019 - Odbor organizační</t>
  </si>
  <si>
    <r>
      <rPr>
        <b/>
        <sz val="10"/>
        <rFont val="Arial CE"/>
      </rPr>
      <t xml:space="preserve">Ochrana obyvatelstva </t>
    </r>
    <r>
      <rPr>
        <sz val="9"/>
        <rFont val="Arial CE"/>
      </rPr>
      <t>(letáky+uživat.příručky 1, DHM 80, zpracování dat-data hosting, GSM přenosy 25, systém varování před povodněmi-hladinoměry dle servisní smlouvy 23, opravy a udržování systému varování před povodněmi 40)</t>
    </r>
  </si>
  <si>
    <r>
      <rPr>
        <b/>
        <sz val="10"/>
        <rFont val="Arial CE"/>
      </rPr>
      <t xml:space="preserve">Činnost ost. orgánů státní správy v oblasti civil.nouzového hospod. </t>
    </r>
    <r>
      <rPr>
        <sz val="9"/>
        <rFont val="Arial CE"/>
      </rPr>
      <t>(čerpá se jen při živelních pohromách: přikrývky 50, písek+pytle+... 70, zabezpečení chodu evak.středisek 3, teplo 3, elektrická energie 4, PHM 10, služby: ubytovací,stravovací,dopravní,... 60)</t>
    </r>
  </si>
  <si>
    <r>
      <rPr>
        <b/>
        <sz val="10"/>
        <rFont val="Arial CE"/>
      </rPr>
      <t xml:space="preserve">Ostatní správa v oblasti krizového řízení </t>
    </r>
    <r>
      <rPr>
        <sz val="9"/>
        <rFont val="Arial CE"/>
      </rPr>
      <t>(PHM do elektrocentrály 1, služby 2, materiál 1, knihy+učební pomůcky+tisk 1) - čerpá se jen v mimořádných událostech</t>
    </r>
  </si>
  <si>
    <r>
      <rPr>
        <b/>
        <sz val="10"/>
        <rFont val="Arial CE"/>
      </rPr>
      <t xml:space="preserve">Požární ochrana - profesionální část </t>
    </r>
    <r>
      <rPr>
        <sz val="9"/>
        <rFont val="Arial CE"/>
      </rPr>
      <t>(příspěvek HZS MSK dle smlouvy zvýšené o inflaci-předpoklad 2,7 %)</t>
    </r>
  </si>
  <si>
    <r>
      <rPr>
        <b/>
        <sz val="10"/>
        <rFont val="Arial CE"/>
      </rPr>
      <t xml:space="preserve">Požární ochrana - dobrovolná část </t>
    </r>
    <r>
      <rPr>
        <sz val="9"/>
        <rFont val="Arial CE"/>
      </rPr>
      <t>(pro hasiče Straník: OOPP 6, DHM - hadice a proudnice, svítilny na přilby 250, materiál 5, PHM 18, služby+internet 3,6, školení 3, nákup služeb-technické prohlídky vozidel, měření emisí, výměna pneu,... 10, opravy a udržování-příprava na STK, drobné opravy vozového parku 35, cestovné 2)</t>
    </r>
  </si>
  <si>
    <t xml:space="preserve">Činnost místní správy </t>
  </si>
  <si>
    <r>
      <rPr>
        <sz val="9"/>
        <rFont val="Arial CE"/>
      </rPr>
      <t xml:space="preserve">z toho </t>
    </r>
    <r>
      <rPr>
        <b/>
        <sz val="9"/>
        <rFont val="Arial CE"/>
      </rPr>
      <t>provoz</t>
    </r>
    <r>
      <rPr>
        <sz val="9"/>
        <rFont val="Arial CE"/>
      </rPr>
      <t>: činnost místní správy-</t>
    </r>
    <r>
      <rPr>
        <b/>
        <sz val="9"/>
        <rFont val="Arial CE"/>
      </rPr>
      <t>org.381</t>
    </r>
    <r>
      <rPr>
        <sz val="9"/>
        <rFont val="Arial CE"/>
      </rPr>
      <t xml:space="preserve"> v tom: odměny za užití duševního vlastnictví-OSA 40, ochranné pomůcky - OOPP pro nové zaměstnance a obměna stávajících 100, léky a zdrav.materiál 32,5, knihy+učební pomůcky+tisk 100, Novojičínský zpravodaj 500, drobný hmotný majetek-nábytek a vybavení velké zas.míst. 1600, náb. kanc úředníci 500, mobily, skartovačky, kan.židle, skříně, police 380, podlah.krytiny 200, zařiz. předm. WC radnice 30, vybavení kuchyňky Div. 8 50, materiál-kancelářský, hygienický, čistící, doručovací, ikebana, automobily-mazadla, nemrznoucí směsi,... 1075, voda 350, teplo 2100, elektr.energie 1500, pevná paliva 1, PHM 150, služby pošt 1700, telekomun.71, nájemné 126, právní služby 435,6, služby BOZP 72,6, bezplatné právní služby pro veřejnost 50, psychologické poradenství k výběrovým řízením 20, zpracování dat 260, služby vč. úklidu,servisu kopírek, vozidel, nové logo města, elektrorevize, servis vozidel 3215, opravy a udržování - malování, nátěry oken a dveří 870, výměna dlažby ve vchodu Radnice 400, oprava kanalizace garáže Div. 8 100, výměna oken Úzká 1000, oprava soc. zařízení radnice 1500, velká zas. místnost + kancelář tajemníka 700, ostatní opravy 1000, pohoštění 200, ostatní nákupy (čl. přísp. auditorů a tajemníků) 4,5, kolky 1, daně a poplatky vč. dálničních známek 21, ostatní výdaje 2.</t>
    </r>
  </si>
  <si>
    <r>
      <rPr>
        <sz val="9"/>
        <rFont val="Arial CE"/>
      </rPr>
      <t>z toho</t>
    </r>
    <r>
      <rPr>
        <b/>
        <sz val="9"/>
        <rFont val="Arial CE"/>
      </rPr>
      <t xml:space="preserve"> investice: </t>
    </r>
    <r>
      <rPr>
        <sz val="9"/>
        <rFont val="Arial CE"/>
      </rPr>
      <t>činnost místní správy-</t>
    </r>
    <r>
      <rPr>
        <b/>
        <sz val="9"/>
        <rFont val="Arial CE"/>
      </rPr>
      <t>org.381:</t>
    </r>
    <r>
      <rPr>
        <sz val="9"/>
        <rFont val="Arial CE"/>
      </rPr>
      <t xml:space="preserve"> PD na zpracování vstupu do budovy na ul. Div. 1 (vestibul a kantýna) 150, projekt na paternoster 100, PD na sociální zař. Divadelní 8 80, studie využitelnosti dvorní části radnice 150</t>
    </r>
  </si>
  <si>
    <r>
      <rPr>
        <u/>
        <sz val="9"/>
        <rFont val="Arial CE"/>
      </rPr>
      <t xml:space="preserve">Úsek informatiky </t>
    </r>
    <r>
      <rPr>
        <sz val="9"/>
        <rFont val="Arial CE"/>
      </rPr>
      <t xml:space="preserve">- </t>
    </r>
    <r>
      <rPr>
        <b/>
        <sz val="9"/>
        <rFont val="Arial CE"/>
      </rPr>
      <t>provoz - org.3381</t>
    </r>
    <r>
      <rPr>
        <sz val="9"/>
        <rFont val="Arial CE"/>
      </rPr>
      <t xml:space="preserve"> (v tom: drobný hmotný majetek-nové PC a LCD monitory, notebooky, kopírky, tiskárny, nákup a instalace nového plátna do auly, web kamera - nový HW, Free wifi Div. 8, drobné síťové prvky, UPS, nový plotr 870, materiál 365, nájemné 40, školení 20, služby zpracování dat 3912,4, ost.služby-znalecké posudky, osvědčení 50, opravy a udržování 580, nákup softwaru 140.</t>
    </r>
  </si>
  <si>
    <r>
      <rPr>
        <u/>
        <sz val="9"/>
        <rFont val="Arial CE"/>
      </rPr>
      <t>Úsek informatiky</t>
    </r>
    <r>
      <rPr>
        <b/>
        <sz val="9"/>
        <rFont val="Arial CE"/>
      </rPr>
      <t xml:space="preserve"> </t>
    </r>
    <r>
      <rPr>
        <sz val="9"/>
        <rFont val="Arial CE"/>
      </rPr>
      <t xml:space="preserve">- </t>
    </r>
    <r>
      <rPr>
        <b/>
        <sz val="9"/>
        <rFont val="Arial CE"/>
      </rPr>
      <t>investice - org.3381</t>
    </r>
    <r>
      <rPr>
        <sz val="9"/>
        <rFont val="Arial CE"/>
      </rPr>
      <t xml:space="preserve"> programové vybavení- antivir, SW TC zálohování 101, vyvolávací systém - rozšíření 20, eko webové stránky 0, rozvoj GIS 350, nový IS 2000; elektronická úřední deska 600.</t>
    </r>
  </si>
  <si>
    <r>
      <rPr>
        <sz val="10"/>
        <rFont val="Arial CE"/>
      </rPr>
      <t>Chata Jičínka-</t>
    </r>
    <r>
      <rPr>
        <b/>
        <sz val="10"/>
        <rFont val="Arial CE"/>
      </rPr>
      <t>org.4381</t>
    </r>
    <r>
      <rPr>
        <sz val="10"/>
        <rFont val="Arial CE"/>
      </rPr>
      <t xml:space="preserve"> </t>
    </r>
    <r>
      <rPr>
        <sz val="9"/>
        <rFont val="Arial CE"/>
      </rPr>
      <t xml:space="preserve">(v tom: drobný hmotný majetek 50, materiál 10, voda 15, elektr.energie 140, PHM 1, služby-praní, odpady,... 50, opravy a udržování 50, místní poplatky 17, </t>
    </r>
    <r>
      <rPr>
        <b/>
        <sz val="9"/>
        <rFont val="Arial CE"/>
      </rPr>
      <t>investice:</t>
    </r>
    <r>
      <rPr>
        <sz val="9"/>
        <rFont val="Arial CE"/>
      </rPr>
      <t xml:space="preserve"> další etapa - úprava stropu, podlah, elektronistalace, zpevnění základů)</t>
    </r>
  </si>
  <si>
    <r>
      <rPr>
        <sz val="10"/>
        <rFont val="Arial CE"/>
      </rPr>
      <t>Mobilní telefony-</t>
    </r>
    <r>
      <rPr>
        <b/>
        <sz val="10"/>
        <rFont val="Arial CE"/>
      </rPr>
      <t>org.7381</t>
    </r>
  </si>
  <si>
    <r>
      <rPr>
        <sz val="10"/>
        <rFont val="Arial CE"/>
      </rPr>
      <t>Pevné telefony-</t>
    </r>
    <r>
      <rPr>
        <b/>
        <sz val="10"/>
        <rFont val="Arial CE"/>
      </rPr>
      <t>org.8381</t>
    </r>
  </si>
  <si>
    <r>
      <rPr>
        <sz val="10"/>
        <rFont val="Arial CE"/>
      </rPr>
      <t>Dotace na OSPOD-</t>
    </r>
    <r>
      <rPr>
        <b/>
        <sz val="10"/>
        <rFont val="Arial CE"/>
      </rPr>
      <t>org. 1385</t>
    </r>
    <r>
      <rPr>
        <sz val="10"/>
        <rFont val="Arial CE"/>
      </rPr>
      <t xml:space="preserve"> </t>
    </r>
    <r>
      <rPr>
        <sz val="9"/>
        <rFont val="Arial CE"/>
      </rPr>
      <t xml:space="preserve">(v tom: knihy 6, DHM 46, materiál 17, PHM 23, služby telekomunikací 12, zpracování dat 72,6, ostatní služby 24) </t>
    </r>
  </si>
  <si>
    <r>
      <rPr>
        <b/>
        <sz val="10"/>
        <rFont val="Arial CE"/>
      </rPr>
      <t>Pojištění funkčně nespecifikované</t>
    </r>
    <r>
      <rPr>
        <sz val="9"/>
        <rFont val="Arial CE"/>
      </rPr>
      <t xml:space="preserve"> (pojištění 1300, náhrady za nezpůsobenou újmu 50)</t>
    </r>
  </si>
  <si>
    <t>ORJ 919 - Odbor kancelář vedení města</t>
  </si>
  <si>
    <r>
      <rPr>
        <b/>
        <sz val="10"/>
        <rFont val="Arial CE"/>
      </rPr>
      <t>Zastupitelstva obcí</t>
    </r>
    <r>
      <rPr>
        <sz val="9"/>
        <rFont val="Arial CE"/>
      </rPr>
      <t xml:space="preserve"> (ost.platy-refundace mzdy 25, odměny členů ZM 7150, zák.odvody 942,4+643,5, refund.zák.odvodů 12, školení a vzdělávání pro uvolněné ZM 8, parkovné 0,5, cestovné (ubytování a doprava) 15, pohoštění 75, poplatky na konference 5, ošatné-svatby 40, dary 30)</t>
    </r>
  </si>
  <si>
    <r>
      <rPr>
        <sz val="9"/>
        <rFont val="Arial CE"/>
      </rPr>
      <t>z toho provoz: činnost místní správy-</t>
    </r>
    <r>
      <rPr>
        <b/>
        <sz val="9"/>
        <rFont val="Arial CE"/>
      </rPr>
      <t>org.381</t>
    </r>
    <r>
      <rPr>
        <sz val="9"/>
        <rFont val="Arial CE"/>
      </rPr>
      <t xml:space="preserve"> v tom: platy 85000, ost.platy 10, dohody 1300, refundace 10, zák.odvody 21402,4+7767+490+1, školení a vzdělávání 1000, nákup ostatních služeb 2400, cestovné 250, poplatky na konference 20, ostatní (ošatné ceremoniářky,matrikářky,hudebníci) 260, náhrady 40, náhrady mezd v nemoci 700.</t>
    </r>
  </si>
  <si>
    <r>
      <rPr>
        <sz val="10"/>
        <rFont val="Arial CE"/>
      </rPr>
      <t>Dotace na OSPOD-</t>
    </r>
    <r>
      <rPr>
        <b/>
        <sz val="10"/>
        <rFont val="Arial CE"/>
      </rPr>
      <t>org. 1385</t>
    </r>
    <r>
      <rPr>
        <sz val="10"/>
        <rFont val="Arial CE"/>
      </rPr>
      <t xml:space="preserve"> </t>
    </r>
    <r>
      <rPr>
        <sz val="9"/>
        <rFont val="Arial CE"/>
      </rPr>
      <t>v tom: platy 5600,dohody 24, zák.odvody 1406+506,16, školení 120, cestovné 13</t>
    </r>
  </si>
  <si>
    <r>
      <rPr>
        <b/>
        <sz val="10"/>
        <rFont val="Arial CE"/>
      </rPr>
      <t>Sociální fond</t>
    </r>
    <r>
      <rPr>
        <sz val="10"/>
        <rFont val="Arial CE"/>
      </rPr>
      <t xml:space="preserve"> </t>
    </r>
    <r>
      <rPr>
        <sz val="9"/>
        <rFont val="Arial CE"/>
      </rPr>
      <t xml:space="preserve">(nájemné-aktivity odborů 60,7 , stravování 2269,8, nákup ost. služeb - akce odborové org. 160 , rekreace zaměstnanců 1165,5, pohoštění-setkání zaměstnanců+bývalých zaměstnanců 100 , ošatné uvolnění ZM+pověření neuvolnění ZM 90 , dary obyvatelstvu při úmrtí zaměstnance nebo člena rodiny 100, jubilea 94, penzijní a životní pojištění zaměstn. 1860 + investice z ORJ 019 ze zůstatku SF 300) </t>
    </r>
  </si>
  <si>
    <t>Převody vlastním fondům v rozpočtech územní úrovně</t>
  </si>
  <si>
    <t>528 - Sociální věci</t>
  </si>
  <si>
    <t>Dopravní obslužnost mimo veřejnou službu - BST (org. 5555)</t>
  </si>
  <si>
    <r>
      <rPr>
        <b/>
        <sz val="10"/>
        <rFont val="Arial CE"/>
      </rPr>
      <t xml:space="preserve">Nebytové hospodářství </t>
    </r>
    <r>
      <rPr>
        <sz val="9"/>
        <rFont val="Arial CE"/>
      </rPr>
      <t>(Sokolovská 9: drobný hmotný majetek 2, materiál 1, služby 1)</t>
    </r>
  </si>
  <si>
    <r>
      <rPr>
        <b/>
        <sz val="10"/>
        <rFont val="Arial CE"/>
      </rPr>
      <t xml:space="preserve">Pohřebnictví </t>
    </r>
    <r>
      <rPr>
        <sz val="9"/>
        <rFont val="Arial CE"/>
      </rPr>
      <t>(úhrada sociálních pohřbů)</t>
    </r>
  </si>
  <si>
    <t xml:space="preserve">Ostatní sociální péče a pomoc dětem a mládeži </t>
  </si>
  <si>
    <t>z toho: věcné dary/nákup materiálu (státní příspěvek na výkon OSPOD) ÚZ 13011, org. 1385</t>
  </si>
  <si>
    <t xml:space="preserve">             terapeutické pobyty pro děti ze sociálně znevýhodněného prostředí</t>
  </si>
  <si>
    <t xml:space="preserve">             odvod výživného 2019</t>
  </si>
  <si>
    <r>
      <rPr>
        <b/>
        <sz val="10"/>
        <rFont val="Arial CE"/>
      </rPr>
      <t xml:space="preserve">Ostatní sociální péče a pomoc rodině a manželství </t>
    </r>
    <r>
      <rPr>
        <sz val="10"/>
        <rFont val="Arial CE"/>
      </rPr>
      <t>(výkon pěstounské péče)</t>
    </r>
  </si>
  <si>
    <t xml:space="preserve">             nákup služeb (státní příspěvek na výkon pěstounské péče) ÚZ 13010</t>
  </si>
  <si>
    <t>Sociální rehabilitace</t>
  </si>
  <si>
    <r>
      <rPr>
        <b/>
        <sz val="10"/>
        <rFont val="Arial CE"/>
      </rPr>
      <t xml:space="preserve">             </t>
    </r>
    <r>
      <rPr>
        <sz val="10"/>
        <rFont val="Arial CE"/>
      </rPr>
      <t>neinvestiční transfery krajům (smlouva o závazku vůči MSK) ÚZ 00030</t>
    </r>
  </si>
  <si>
    <t>Ostatní sociální péče a pomoc ostatním skupinám obyvatelstva</t>
  </si>
  <si>
    <t>z toho: nákup služeb - Komunitní plánování (org. 0439)</t>
  </si>
  <si>
    <t xml:space="preserve">             komunitní plánování  II. - Efektivní systém plánování soc.služeb v NJ (org.1441)</t>
  </si>
  <si>
    <t>Podpora samostatného bydlení</t>
  </si>
  <si>
    <t xml:space="preserve">             neinvestiční transfery krajům (smlouva o závazku vůči MSK) ÚZ 00030</t>
  </si>
  <si>
    <t>Sociálně aktivizační služby pro rodiny s dětmi</t>
  </si>
  <si>
    <t>Azylové domy, nízkoprahová denní centra a noclehárny</t>
  </si>
  <si>
    <t>Ostatní služby a činnosti v oblasti sociální prevence</t>
  </si>
  <si>
    <t>z toho:   Klub seniorů Nový Jičín (org. 383)</t>
  </si>
  <si>
    <t xml:space="preserve">             Klub seniorů Straník (org. 2383)</t>
  </si>
  <si>
    <t xml:space="preserve">             Klub seniorů Loučka (org. 3383)</t>
  </si>
  <si>
    <t xml:space="preserve">             Kavárničky - setkání seniorů v DPS (org. 3393)</t>
  </si>
  <si>
    <r>
      <rPr>
        <b/>
        <sz val="10"/>
        <rFont val="Arial CE"/>
      </rPr>
      <t xml:space="preserve">Záležitosti soc. věcí a politiky nezaměstn. j.n. </t>
    </r>
    <r>
      <rPr>
        <sz val="9"/>
        <rFont val="Arial CE"/>
      </rPr>
      <t xml:space="preserve">(nákup tiskopisů receptů a žádanek na omamné látky, průkazy BST) </t>
    </r>
  </si>
  <si>
    <t xml:space="preserve">Rezerva </t>
  </si>
  <si>
    <t>541 - Dotace, návratné finanční výpomoci a dary cizím subjektům</t>
  </si>
  <si>
    <t>Dotace, návratné finanční výpomoci a dary cizím subjektům celkem:</t>
  </si>
  <si>
    <t>z toho: podpora celoroční činnosti v oblasti sociální (org. 1111)</t>
  </si>
  <si>
    <t xml:space="preserve">             podpora jednorázových akcí v oblasti sociální (org. 1112)</t>
  </si>
  <si>
    <t xml:space="preserve">             podpora sociálních služeb dle zákona o soc.službách (org. 1113)</t>
  </si>
  <si>
    <t xml:space="preserve">             podpora občanů města v pobytových soc. zařízeních (org. 1114)</t>
  </si>
  <si>
    <t xml:space="preserve">             podpora domácí hospicové péče (org. 1115)</t>
  </si>
  <si>
    <t xml:space="preserve">             podpora dobrovolnictví dle zákona o dobrovolnické službě (org. 1116)</t>
  </si>
  <si>
    <t xml:space="preserve">             dary obyvatelstvu - dobrovolní dárci krve (org. 1180)</t>
  </si>
  <si>
    <t xml:space="preserve">             individuální dotace a dary (org. 1180)</t>
  </si>
  <si>
    <t>ORJ 029 - ProSenior Nový Jičín</t>
  </si>
  <si>
    <t>Osobní asistence, pečovatelská služba a podpora samostatného bydlení</t>
  </si>
  <si>
    <r>
      <rPr>
        <sz val="9"/>
        <rFont val="Arial CE"/>
      </rPr>
      <t xml:space="preserve">z toho </t>
    </r>
    <r>
      <rPr>
        <b/>
        <sz val="9"/>
        <rFont val="Arial CE"/>
      </rPr>
      <t>Pečovatelská služba (org.390)</t>
    </r>
    <r>
      <rPr>
        <sz val="9"/>
        <rFont val="Arial CE"/>
      </rPr>
      <t xml:space="preserve">: platy 3920+650, dohody 60, zákonné odvody 972+158, 355+75, potraviny 1, ochranné osobní pomůcky 40, léky+zdrav.mater.3, prádlo+oděv 2, knihy+tisk 1,5, DHM  50, materiál  72,1, elektř. 50, PHM 120, služby telekomunikací 18, mobily 12, pevné linky 2, školení a vzdělávání 50, zpracování dat 18, služby 50, opravy a udržování 90, cestovné 20, účastnické poplatky na konference 8, ostatní nákupy 0, neinvestiční transfery spolkům 2,9, náhrady mezd v době nemoci 35     </t>
    </r>
  </si>
  <si>
    <r>
      <rPr>
        <sz val="9"/>
        <rFont val="Arial CE"/>
      </rPr>
      <t xml:space="preserve">z toho </t>
    </r>
    <r>
      <rPr>
        <b/>
        <sz val="9"/>
        <rFont val="Arial CE"/>
      </rPr>
      <t>Denní stacionář=Domovinka (org.1391)</t>
    </r>
    <r>
      <rPr>
        <sz val="9"/>
        <rFont val="Arial CE"/>
      </rPr>
      <t>: platy 900 310, dohody 10, zákonné odvody221+81 80+28, ochr.os.pomůcky 8, prádlo+oděv 1,5, knihy+tisk 1, DHM 10, materiál 12, elektrická energie 10, služby telekomunikací 1,3, školení a vzdělávání 10, zpracování dat 5, služby 33, opravy a údržba 5, cestovné 1, účastn.popl.na konferencích 0,5, náhrady mezd v době nemoci   11</t>
    </r>
  </si>
  <si>
    <r>
      <rPr>
        <sz val="9"/>
        <rFont val="Arial CE"/>
      </rPr>
      <t xml:space="preserve">z toho </t>
    </r>
    <r>
      <rPr>
        <b/>
        <sz val="9"/>
        <rFont val="Arial CE"/>
      </rPr>
      <t>Pohoda (org.1393)</t>
    </r>
    <r>
      <rPr>
        <sz val="9"/>
        <rFont val="Arial CE"/>
      </rPr>
      <t xml:space="preserve">: platy 2 800+604, dohody 200, zákonné odvody 685+150 250+54,5, OOP+oděvy 20+5, DHM 40, materiál 36, elektř.12, telef. 1,3, školení a vzdělávání 18, zpracování dat 15, služby 6, opravy a údržba 7, cestovné 1, poplatky na konference 0,5, náhrady v době nemoci  25                                               </t>
    </r>
  </si>
  <si>
    <t xml:space="preserve">Ozdravování hospodářských zvířat </t>
  </si>
  <si>
    <r>
      <rPr>
        <b/>
        <sz val="10"/>
        <rFont val="Arial CE"/>
      </rPr>
      <t xml:space="preserve">Pěstební činnost </t>
    </r>
    <r>
      <rPr>
        <sz val="9"/>
        <rFont val="Arial CE"/>
      </rPr>
      <t>(znovuzalesnění po kůrovci) - TSM: 0</t>
    </r>
  </si>
  <si>
    <t>Správa v lesním hospodářství</t>
  </si>
  <si>
    <r>
      <rPr>
        <b/>
        <sz val="10"/>
        <rFont val="Arial CE"/>
      </rPr>
      <t xml:space="preserve">Celospolečenské funkce lesů </t>
    </r>
    <r>
      <rPr>
        <sz val="9"/>
        <rFont val="Arial CE"/>
      </rPr>
      <t>(cesty a svážnice+oprava kamenného divadla)</t>
    </r>
  </si>
  <si>
    <t xml:space="preserve">Ostatní záležitosti lesního hospodářství </t>
  </si>
  <si>
    <r>
      <rPr>
        <b/>
        <sz val="10"/>
        <rFont val="Arial CE"/>
      </rPr>
      <t xml:space="preserve">Ostatní správa ve vodním hospodářství </t>
    </r>
    <r>
      <rPr>
        <sz val="9"/>
        <rFont val="Arial CE"/>
      </rPr>
      <t>(havárie)</t>
    </r>
  </si>
  <si>
    <r>
      <rPr>
        <b/>
        <sz val="10"/>
        <rFont val="Arial CE"/>
      </rPr>
      <t>Sběr a svoz nebezpečných odpadů</t>
    </r>
    <r>
      <rPr>
        <b/>
        <sz val="9"/>
        <rFont val="Arial CE"/>
      </rPr>
      <t xml:space="preserve"> </t>
    </r>
    <r>
      <rPr>
        <sz val="9"/>
        <rFont val="Arial CE"/>
      </rPr>
      <t>(TSM: 50)</t>
    </r>
  </si>
  <si>
    <t xml:space="preserve">Sběr a svoz komunálních odpadů </t>
  </si>
  <si>
    <t>z toho: TSM - příspěvek na provoz</t>
  </si>
  <si>
    <t xml:space="preserve">            ostatní provoz město</t>
  </si>
  <si>
    <r>
      <rPr>
        <sz val="10"/>
        <rFont val="Arial CE"/>
      </rPr>
      <t xml:space="preserve">z toho: TSM příspěvek na investice </t>
    </r>
    <r>
      <rPr>
        <sz val="8"/>
        <rFont val="Arial CE"/>
      </rPr>
      <t>(</t>
    </r>
    <r>
      <rPr>
        <sz val="9"/>
        <rFont val="Arial CE"/>
      </rPr>
      <t>auto, vany, PD zprůjezdnění, unimobuňka)</t>
    </r>
  </si>
  <si>
    <r>
      <rPr>
        <b/>
        <sz val="10"/>
        <rFont val="Arial CE"/>
      </rPr>
      <t xml:space="preserve">Monitoring půdy a podzemní vody </t>
    </r>
    <r>
      <rPr>
        <sz val="9"/>
        <rFont val="Arial CE"/>
      </rPr>
      <t xml:space="preserve">(sledování vrtů na Kojetíně) </t>
    </r>
  </si>
  <si>
    <r>
      <rPr>
        <b/>
        <sz val="10"/>
        <rFont val="Arial CE"/>
      </rPr>
      <t>Chráněné části přírody</t>
    </r>
    <r>
      <rPr>
        <sz val="9"/>
        <rFont val="Arial CE"/>
      </rPr>
      <t xml:space="preserve"> (památné stromy, významné krajinné prvky)</t>
    </r>
  </si>
  <si>
    <t>Rekultivace půdy</t>
  </si>
  <si>
    <t>Péče o vzhled obcí a veřejnou zeleň</t>
  </si>
  <si>
    <t>z toho: akce + Zelené město 150</t>
  </si>
  <si>
    <r>
      <rPr>
        <sz val="10"/>
        <rFont val="Arial CE"/>
      </rPr>
      <t xml:space="preserve">             údržba zeleně - </t>
    </r>
    <r>
      <rPr>
        <sz val="9"/>
        <rFont val="Arial CE"/>
      </rPr>
      <t>TSM</t>
    </r>
  </si>
  <si>
    <t xml:space="preserve">                                     - ostatní (OŽP)</t>
  </si>
  <si>
    <r>
      <rPr>
        <sz val="10"/>
        <rFont val="Arial CE"/>
      </rPr>
      <t xml:space="preserve">             příspěvek na investice TSM pro rok 2021 </t>
    </r>
    <r>
      <rPr>
        <sz val="8"/>
        <rFont val="Arial CE"/>
      </rPr>
      <t xml:space="preserve">(nakladač, demolice skladu, revitalizace středista veřejné zeleně, demolice regulačních stanic) </t>
    </r>
  </si>
  <si>
    <t>Ekologická výchova a osvěta</t>
  </si>
  <si>
    <r>
      <rPr>
        <b/>
        <sz val="10"/>
        <rFont val="Arial CE"/>
      </rPr>
      <t xml:space="preserve">Ostatní ekologické záležitosti </t>
    </r>
    <r>
      <rPr>
        <sz val="9"/>
        <rFont val="Arial CE"/>
      </rPr>
      <t>(zpracování Adaptační strategie na změnu klimatu)</t>
    </r>
  </si>
  <si>
    <t xml:space="preserve">ORJ 037 - Odbor bytový </t>
  </si>
  <si>
    <r>
      <rPr>
        <b/>
        <sz val="10"/>
        <rFont val="Arial"/>
      </rPr>
      <t>Střední odborné školy</t>
    </r>
    <r>
      <rPr>
        <sz val="10"/>
        <rFont val="Arial"/>
      </rPr>
      <t xml:space="preserve"> </t>
    </r>
    <r>
      <rPr>
        <sz val="9"/>
        <rFont val="Arial"/>
      </rPr>
      <t>(EDUCA) - běžné opravy 100, zápočet investic a nájmu 275</t>
    </r>
  </si>
  <si>
    <t>Sportovní zařízení v majetku obce</t>
  </si>
  <si>
    <r>
      <rPr>
        <b/>
        <i/>
        <sz val="10"/>
        <rFont val="Arial"/>
      </rPr>
      <t xml:space="preserve">   </t>
    </r>
    <r>
      <rPr>
        <b/>
        <i/>
        <u/>
        <sz val="10"/>
        <rFont val="Arial"/>
      </rPr>
      <t>Sportovní hala s bazénem:</t>
    </r>
    <r>
      <rPr>
        <i/>
        <sz val="10"/>
        <rFont val="Arial"/>
      </rPr>
      <t xml:space="preserve"> org. 0515, 1515, 2515, 3515</t>
    </r>
  </si>
  <si>
    <t>z toho: investice celkem</t>
  </si>
  <si>
    <r>
      <rPr>
        <sz val="10"/>
        <rFont val="Arial"/>
      </rPr>
      <t xml:space="preserve">             - venkovní </t>
    </r>
    <r>
      <rPr>
        <b/>
        <sz val="10"/>
        <rFont val="Arial"/>
      </rPr>
      <t>bazén</t>
    </r>
    <r>
      <rPr>
        <sz val="10"/>
        <rFont val="Arial"/>
      </rPr>
      <t xml:space="preserve"> org. 2515 (vybudování kamenného koberce) </t>
    </r>
  </si>
  <si>
    <t xml:space="preserve">             - generální úprava dámských a pánských sprch  (finance převedeny z 5171)</t>
  </si>
  <si>
    <t xml:space="preserve">             - podlaha basketbalové haly - PD + realizace (za předpokladu dotace MŠMT a spoluúčast města)</t>
  </si>
  <si>
    <t xml:space="preserve">             - zpracování PD rekonstrukce vnitřního bazénu</t>
  </si>
  <si>
    <t>z toho: opravy a udržování celkem (znal.posudky,služby+opravy+údržba)</t>
  </si>
  <si>
    <t xml:space="preserve">             - v tom: výměna žaluzie v přívodním tunelu vzduchotechniky s předehřevem vzduchu</t>
  </si>
  <si>
    <t xml:space="preserve">                          nepředvídané opravy</t>
  </si>
  <si>
    <t xml:space="preserve">                          PD - střecha dešťové svody</t>
  </si>
  <si>
    <t xml:space="preserve">                          oprava tobogánu - venkovní bazén</t>
  </si>
  <si>
    <t xml:space="preserve">                          oprava dětského brouzdaliště - venkovní bazén</t>
  </si>
  <si>
    <t xml:space="preserve">                          dohoda o narovnání Ridera Stavební, a.s.</t>
  </si>
  <si>
    <t>z toho: provoz celkem</t>
  </si>
  <si>
    <r>
      <rPr>
        <sz val="10"/>
        <rFont val="Arial"/>
      </rPr>
      <t xml:space="preserve">          - dotace Basketbalovému klubu, z.s. (provoz+energie)          AÚ 437  </t>
    </r>
    <r>
      <rPr>
        <sz val="8"/>
        <rFont val="Arial"/>
      </rPr>
      <t>navyšeno o 600 tis. - koberec</t>
    </r>
  </si>
  <si>
    <t xml:space="preserve">          - elektřina - přečerpávací šachta</t>
  </si>
  <si>
    <t xml:space="preserve">          - SBI - zabezpečovací systém MP</t>
  </si>
  <si>
    <r>
      <rPr>
        <b/>
        <i/>
        <sz val="10"/>
        <rFont val="Arial"/>
      </rPr>
      <t xml:space="preserve">   </t>
    </r>
    <r>
      <rPr>
        <b/>
        <i/>
        <u/>
        <sz val="10"/>
        <rFont val="Arial"/>
      </rPr>
      <t>Zimní stadión</t>
    </r>
    <r>
      <rPr>
        <b/>
        <i/>
        <sz val="10"/>
        <rFont val="Arial"/>
      </rPr>
      <t>: org. 0522</t>
    </r>
  </si>
  <si>
    <t xml:space="preserve">             - rekonstrukce střechy - realizace rekonstrukce (příslib ZM 3.6.2019  = 56 mil. Kč)</t>
  </si>
  <si>
    <t xml:space="preserve">             - Cvičná brankářská střelnice pro hokejisty - PD a realizace</t>
  </si>
  <si>
    <t xml:space="preserve">             - dotace Hokejovému klubu, z.s. (provoz+energie)         AÚ 437</t>
  </si>
  <si>
    <t xml:space="preserve">             - SBI - zabezpečovací systém MP</t>
  </si>
  <si>
    <t xml:space="preserve">             - dodání mantinelů minihokej, stacionárních laviček, boxy na sezení do kabin (inventář položka 6122)</t>
  </si>
  <si>
    <t xml:space="preserve">z toho: opravy a udržování celkem </t>
  </si>
  <si>
    <t xml:space="preserve">            - nepředvídatelné výdaje </t>
  </si>
  <si>
    <t xml:space="preserve">            - oprava venkovních schodů a opěrné zídky </t>
  </si>
  <si>
    <t xml:space="preserve">            - oprava kanalizační přípojky - 60 m</t>
  </si>
  <si>
    <t>Bytové hospodářství</t>
  </si>
  <si>
    <t xml:space="preserve">             Bytový dům K archívu 2, NJ - PD pro realizaci </t>
  </si>
  <si>
    <t xml:space="preserve">             Pořízení EPS v DPS Revoluční 6 (požární hlásiče s napojením na pult centrální ochrany na MP)</t>
  </si>
  <si>
    <t xml:space="preserve">             Na Lani 212 -  2019 = PD na revitalizaci bytového domu,  2020 = realizace akce</t>
  </si>
  <si>
    <t xml:space="preserve">             Jičínská  272 - PD na revitalizaci bytového domu </t>
  </si>
  <si>
    <t xml:space="preserve">             Jičínská  275 - PD na revitalizaci bytového domu </t>
  </si>
  <si>
    <t xml:space="preserve">             Zborovská 11 revitalizace bytového domu, relizace akce včetně zasklení lodžií vč. dozorů - dotace 5.992.790,43</t>
  </si>
  <si>
    <t xml:space="preserve">             Na Lani 212  revitalizace bytového domu,  realizace akce vč. Dozorů- dotace 3.605.622,22</t>
  </si>
  <si>
    <t xml:space="preserve">             Bytový dům K Archivu 2, NJ - realizace dle PD (2021-2022) vč. dozorů (úvěr)</t>
  </si>
  <si>
    <t xml:space="preserve">                             Trlicova 59 - PD revitalizace bytového domu</t>
  </si>
  <si>
    <t xml:space="preserve">             Masarykovo 15 - (bývalý bytový podnik) - zpracování PD na vybudování cca 5 bytů  a střechy dle studie</t>
  </si>
  <si>
    <t xml:space="preserve">z toho: opravy a údržba celkem  </t>
  </si>
  <si>
    <t xml:space="preserve">             Bytový fond města - společné opravy:  </t>
  </si>
  <si>
    <t xml:space="preserve">                          - generální opravy volných bytů (vrácené byty zdevastované nebo po exekucích) - Rámcová smlouva 23 mil.Kč/4 roky</t>
  </si>
  <si>
    <t xml:space="preserve">                          - generální opravy bytů v MPR</t>
  </si>
  <si>
    <t xml:space="preserve">                          - výměna bytových vodoměrů teplé a studené vody </t>
  </si>
  <si>
    <r>
      <rPr>
        <sz val="10"/>
        <rFont val="Arial"/>
      </rPr>
      <t xml:space="preserve">             </t>
    </r>
    <r>
      <rPr>
        <b/>
        <i/>
        <sz val="10"/>
        <rFont val="Arial"/>
      </rPr>
      <t>úsek 1 (p. Najvarová):</t>
    </r>
    <r>
      <rPr>
        <sz val="10"/>
        <rFont val="Arial"/>
      </rPr>
      <t xml:space="preserve">  - navýšeno o úsek Pavelky</t>
    </r>
  </si>
  <si>
    <t xml:space="preserve">                          - běžná údržba a opravy, výměny zař. předmětů </t>
  </si>
  <si>
    <t xml:space="preserve">                          - akce úsek 1 celkem:</t>
  </si>
  <si>
    <t xml:space="preserve">                             Suvorovova 120+122 - výmalba sp. prostor, oprava omítek chodby a schodiště, výměna PVC na schodišti </t>
  </si>
  <si>
    <t xml:space="preserve">                             Dlouhá 19 - oprava celé střechny (havarijní stav)</t>
  </si>
  <si>
    <r>
      <rPr>
        <sz val="10"/>
        <rFont val="Arial"/>
      </rPr>
      <t xml:space="preserve">             </t>
    </r>
    <r>
      <rPr>
        <b/>
        <i/>
        <sz val="10"/>
        <rFont val="Arial"/>
      </rPr>
      <t>úsek 2 (p. Bartoňová):</t>
    </r>
    <r>
      <rPr>
        <sz val="10"/>
        <rFont val="Arial"/>
      </rPr>
      <t xml:space="preserve"> </t>
    </r>
  </si>
  <si>
    <t xml:space="preserve">                          - akce úsek 2 celkem:</t>
  </si>
  <si>
    <t xml:space="preserve">                             DPS Revoluční 6 - oprava balkónů a soklu dle PD (2019 = dům č. 4, 2020 = domy č. 2 + 6)</t>
  </si>
  <si>
    <t xml:space="preserve">                             DPS Pod Lipami 19 - výměna digestoří ve všech bytech + odvětrání koupelen</t>
  </si>
  <si>
    <t xml:space="preserve">                             DPS Pod Lipami, Revoluční, U Jičínky - porevizní opravy hromosvodů </t>
  </si>
  <si>
    <t xml:space="preserve">                             DPS U Jičínky - oprava střechy (havarijní stav) </t>
  </si>
  <si>
    <t xml:space="preserve">                             DPS Pod Lipami - oprava balkónů havárie (40ks) I. Etapa vč. P</t>
  </si>
  <si>
    <r>
      <rPr>
        <sz val="10"/>
        <rFont val="Arial"/>
      </rPr>
      <t xml:space="preserve">             </t>
    </r>
    <r>
      <rPr>
        <b/>
        <i/>
        <sz val="10"/>
        <rFont val="Arial"/>
      </rPr>
      <t>úsek 3 (p. Pavelka):</t>
    </r>
  </si>
  <si>
    <t xml:space="preserve">                          - běžná údržba, nepředvídatelné opravy</t>
  </si>
  <si>
    <r>
      <rPr>
        <sz val="10"/>
        <rFont val="Arial"/>
      </rPr>
      <t xml:space="preserve">            </t>
    </r>
    <r>
      <rPr>
        <b/>
        <i/>
        <sz val="10"/>
        <rFont val="Arial"/>
      </rPr>
      <t xml:space="preserve"> úsek 4 - MPR (p. Saksová):  </t>
    </r>
  </si>
  <si>
    <t xml:space="preserve">                         - běžná údržba a opravy, výměny zařizovacích předmětů </t>
  </si>
  <si>
    <t xml:space="preserve">                         - akce úsek 4 celkem: </t>
  </si>
  <si>
    <t xml:space="preserve">                                      Dobrovského 5 - oprava pilířů a podloubí</t>
  </si>
  <si>
    <t xml:space="preserve">                                      MN 8/8 - oprava fasády  </t>
  </si>
  <si>
    <t xml:space="preserve">                                      Havlíčkova 8 - izolace spodní stavby proti vodě a vlhkosti</t>
  </si>
  <si>
    <t xml:space="preserve">                                      Havlíčkova 11 - částečná oprava fasády do výšky 1. patra</t>
  </si>
  <si>
    <t xml:space="preserve">                                      Úzká 17 - oprava + nátěr fasády, výměna vchodových dveří</t>
  </si>
  <si>
    <t xml:space="preserve">                                      Resslova 1 - výměna oken a oprava fasády PD </t>
  </si>
  <si>
    <t xml:space="preserve">                                      Opravy obsazených bytů (dle žádostí nájemců) </t>
  </si>
  <si>
    <t xml:space="preserve">             Bytový dům K Archívu 2 - opravy a údržba - org. 7518</t>
  </si>
  <si>
    <t xml:space="preserve">             domovníci (mzdy a odvody, AÚ 0800)</t>
  </si>
  <si>
    <r>
      <rPr>
        <sz val="10"/>
        <rFont val="Arial"/>
      </rPr>
      <t xml:space="preserve">             </t>
    </r>
    <r>
      <rPr>
        <b/>
        <sz val="10"/>
        <rFont val="Arial"/>
      </rPr>
      <t>služby</t>
    </r>
    <r>
      <rPr>
        <sz val="10"/>
        <rFont val="Arial"/>
      </rPr>
      <t xml:space="preserve"> org. 0518 + 7518 (projektové dokumentace na opravy, úklidy,revize,výtahy, hasící technika,odečty,poruch.služba,fekálie,deratizace,čištění kanalizace,komíny, SBI - revize EPS EZS,...)</t>
    </r>
  </si>
  <si>
    <t xml:space="preserve">             příspěvek do fondu oprav v SVJ (kotelny Vančurova 16) (AÚ 0437, pol. 5192)</t>
  </si>
  <si>
    <r>
      <rPr>
        <sz val="10"/>
        <rFont val="Arial"/>
      </rPr>
      <t xml:space="preserve">             náklady na </t>
    </r>
    <r>
      <rPr>
        <b/>
        <sz val="10"/>
        <rFont val="Arial"/>
      </rPr>
      <t>energie</t>
    </r>
    <r>
      <rPr>
        <sz val="10"/>
        <rFont val="Arial"/>
      </rPr>
      <t xml:space="preserve"> v bytových domech (vodné + stočné, teplo + TUV, plyn, elektřina)</t>
    </r>
  </si>
  <si>
    <t xml:space="preserve">             TSM  - požadavky Redmine, OB příspěvek - AÚ 0437, po. 5169</t>
  </si>
  <si>
    <t>Nebytové hospodářství</t>
  </si>
  <si>
    <t>Investice celkem:</t>
  </si>
  <si>
    <t xml:space="preserve">              Hückelovy vily (práce spojené s odstraněním dřevomorky) - dotace 4 mil. Kč - průběžně čerpáno</t>
  </si>
  <si>
    <t xml:space="preserve">              Hückelovy vily - zpracování studií vily J. Hückela, aktualizace vily  A. Hückela, studie areálu, spoluúčast na dotačních titulech</t>
  </si>
  <si>
    <t xml:space="preserve">              Kulturní a společenský dům PD - II.etapa příslib ZM 3.6.2019 = 44 mil. Kč)</t>
  </si>
  <si>
    <t xml:space="preserve">              Kulturní dům - vybudování trafostanice pro KD</t>
  </si>
  <si>
    <t xml:space="preserve">              Výletní lokalita Čerťák (novostavba kiosku a zázemí)</t>
  </si>
  <si>
    <t xml:space="preserve">              MŠ Bludovice - vybudování ČOV</t>
  </si>
  <si>
    <t xml:space="preserve">              Příspěvek na investice TSM (elektroinstalace-dílna oprav, montáž 4 ks sekčních vrat, rok 2021 ) - AÚ 0800, pol. 6331</t>
  </si>
  <si>
    <t xml:space="preserve">              Vybudování Spolkového domu Žilina</t>
  </si>
  <si>
    <t xml:space="preserve">              Hoblíkova - vybudování sestavy kontejnerů  a oprava garáže pro TS NJ vč. IS a zabezpečovacího systému </t>
  </si>
  <si>
    <t xml:space="preserve">              Suvorovova 152 - energetické úspory I. etapa = výměna oken, střecha (úvěr OF)</t>
  </si>
  <si>
    <t xml:space="preserve">              Kryté stání - rekonstrukce vnitřních prostor </t>
  </si>
  <si>
    <t xml:space="preserve">              Hotel Praha - WC u zadního vchodu PD vč.realizace </t>
  </si>
  <si>
    <t>Nákup DHDM pro org. 0518 - pol. 5137</t>
  </si>
  <si>
    <t>Nákup zboží (paragony)- pol. 5139</t>
  </si>
  <si>
    <r>
      <rPr>
        <i/>
        <sz val="10"/>
        <rFont val="Arial"/>
      </rPr>
      <t xml:space="preserve">Náklady na energie - </t>
    </r>
    <r>
      <rPr>
        <sz val="10"/>
        <rFont val="Arial"/>
      </rPr>
      <t>org. 0518, 2518, 8518, 5518</t>
    </r>
  </si>
  <si>
    <t xml:space="preserve">            - vodné a stočné (480+200+120)</t>
  </si>
  <si>
    <t xml:space="preserve">            - dodávka tepla - org. 0518</t>
  </si>
  <si>
    <t xml:space="preserve">            - plyn - org. 0518</t>
  </si>
  <si>
    <t xml:space="preserve">            - elektřina  (1500+20+80+100)</t>
  </si>
  <si>
    <t xml:space="preserve">Nákup ostatních služeb + provoz:  </t>
  </si>
  <si>
    <t>z toho: OV Žilina (PD na úpravu objektu bývalé ČOV na místnost pro zasedání OV)</t>
  </si>
  <si>
    <t xml:space="preserve">            Demolice objektů:  garáž  Žižkova, </t>
  </si>
  <si>
    <t xml:space="preserve">            Slovanská 3 - studie využitelnosti pro ZŠ Tyršova</t>
  </si>
  <si>
    <t xml:space="preserve">            služby + revize org. 0518 - nebytové domy (ČOV apod.)</t>
  </si>
  <si>
    <t xml:space="preserve">            služby + revize org. 2518 Hotel Praha (obsluha kotelny 100 + zpracování PD střecha nad kuchyní 200)převedeno na 3634</t>
  </si>
  <si>
    <t xml:space="preserve">            služby + revize  org. 5518 Kulturní a společenský dům</t>
  </si>
  <si>
    <t xml:space="preserve">            služby + revize org. 8518  Hűckelovy vily    dohody+odvody, revize EZS </t>
  </si>
  <si>
    <t xml:space="preserve">            dohody+odvody - Bludovice, Straník, Kojetín</t>
  </si>
  <si>
    <t xml:space="preserve">            provoz veřejných WC+WC u letního kina (obojí TSM 1550) AÚ 0800</t>
  </si>
  <si>
    <t xml:space="preserve">            TSM - požadavky Redmine, OB příspěvek - AÚ 0800, pol. 5169)</t>
  </si>
  <si>
    <t xml:space="preserve">            Hűckelovy vily - internetové připojení AÚ 0800, pol.5161</t>
  </si>
  <si>
    <t xml:space="preserve">            Hűckelovy vily - elektronické zabezpečení SBI + revize AÚ 0437, pol. 5169</t>
  </si>
  <si>
    <t xml:space="preserve">Opravy a údržba NP celkem </t>
  </si>
  <si>
    <t xml:space="preserve">              Příspěvek na TSM  výměna osvětlení budova TS 100.000 Kč, výměna VO v areálu 386.000 Kč) - AÚ 0800, pol. 6331</t>
  </si>
  <si>
    <t xml:space="preserve">             úsek 5 (p. Saksová):</t>
  </si>
  <si>
    <t xml:space="preserve">                         - běžné opravy a údržba:</t>
  </si>
  <si>
    <t xml:space="preserve">                         - akce úsek 5 celkem:</t>
  </si>
  <si>
    <t xml:space="preserve">                           Masarykovo nám. 15 - jídelna - oprava kuchyně a zázemí, vybudování WC </t>
  </si>
  <si>
    <t xml:space="preserve">                           Msgr. Šrámka 11 - zubní poliklinika - oprava padajících atik staré části budovy</t>
  </si>
  <si>
    <t xml:space="preserve">                           Sokolovská 9:   2020 = generální oprava střechy </t>
  </si>
  <si>
    <t xml:space="preserve">                           MN 15 - jídelna, doplnění o vzduchotechniku</t>
  </si>
  <si>
    <t xml:space="preserve">                           Dobrovského 5 - výměn oken nebytové prostory (čínská restaurace)</t>
  </si>
  <si>
    <t xml:space="preserve">                           Dolní brána 22 - rekonstrukce celé prodejny </t>
  </si>
  <si>
    <t xml:space="preserve">                           Tyršova 8 - oprava podlah, oprava radiátorů Reha komplex</t>
  </si>
  <si>
    <t xml:space="preserve">                           Sokolovská 9 - PD - fasády + sanace domu </t>
  </si>
  <si>
    <r>
      <rPr>
        <sz val="10"/>
        <rFont val="Arial"/>
      </rPr>
      <t xml:space="preserve">             </t>
    </r>
    <r>
      <rPr>
        <b/>
        <i/>
        <sz val="10"/>
        <rFont val="Arial"/>
      </rPr>
      <t>úsek 6 (p. Friedecká):</t>
    </r>
    <r>
      <rPr>
        <sz val="10"/>
        <rFont val="Arial"/>
      </rPr>
      <t xml:space="preserve"> </t>
    </r>
  </si>
  <si>
    <t xml:space="preserve">                          - běžné opravy a údržba:</t>
  </si>
  <si>
    <t xml:space="preserve">                          - akce úsek 6 celkem:</t>
  </si>
  <si>
    <t xml:space="preserve">                                      MŠ Beruška (výměna sklepních oken + 7 ks interiérových dveří)</t>
  </si>
  <si>
    <t xml:space="preserve">                                      Masarykovo nám. 29-NC (oprava sociálního zařízení v přízemí)</t>
  </si>
  <si>
    <t xml:space="preserve">                                      Msgr. Šrámka 13 - oprava el.instalace, odvlhčení objektu)</t>
  </si>
  <si>
    <t xml:space="preserve">                                      Krytá stání Loučka (nepředvídané opravy)</t>
  </si>
  <si>
    <t xml:space="preserve">                                      Hala stolního tenisu (2020 - dílčí klimatizace)</t>
  </si>
  <si>
    <t xml:space="preserve">                                      Hala stolního tenisu zadání PD na odvodnění - havarijní stav</t>
  </si>
  <si>
    <t xml:space="preserve">                                      B. Martinů 4 - stavební úpravy bývalé kotelny na sklad pro TSM)</t>
  </si>
  <si>
    <t xml:space="preserve">                                      Beskydská 274 - zadání PD odvlhčení objektu, výměna vstupních dveří</t>
  </si>
  <si>
    <t xml:space="preserve">                                      Hotel Praha běžná údržba (světlík střecha PD)</t>
  </si>
  <si>
    <t xml:space="preserve">                                      Hűcklovy vily (oprava a údržba do doby rekonstrukce)</t>
  </si>
  <si>
    <t xml:space="preserve">                                      Suvorovova 152 - energetické úspory I. etapa = výměna oken, střecha</t>
  </si>
  <si>
    <t xml:space="preserve">Osadní výbory celkem:                                                                                       </t>
  </si>
  <si>
    <t>Straník 80 (vnitřní elektroinstalace, výmalba)</t>
  </si>
  <si>
    <t>SK Straník 147 (oprava střechy)</t>
  </si>
  <si>
    <t>Bludovice 13 - 2020 = běžné opravy</t>
  </si>
  <si>
    <t>Žilina</t>
  </si>
  <si>
    <t>Kojetín 7 - dílčí oprava objektu dle projektové dokumentace</t>
  </si>
  <si>
    <r>
      <rPr>
        <b/>
        <sz val="10"/>
        <rFont val="Arial"/>
      </rPr>
      <t xml:space="preserve">Lokální zásobování teplem </t>
    </r>
    <r>
      <rPr>
        <sz val="10"/>
        <rFont val="Arial"/>
      </rPr>
      <t>(tepelné hospodářství)</t>
    </r>
  </si>
  <si>
    <t>z toho:  nákup služeb - obsluha a revize kotelny Hotelu Praha + Suvorovova 152, revize  pol. 5169</t>
  </si>
  <si>
    <t>z toho opravy:  nepředvídané opravy havárií teplovodů Smetanovy Sady a Pod Lipami</t>
  </si>
  <si>
    <t xml:space="preserve">             nepředvídané opravy tepelného hospodářství</t>
  </si>
  <si>
    <t xml:space="preserve">             opravy kotelen - sanace, opravy střechy, omítek (dosud hrazeno z 3613)</t>
  </si>
  <si>
    <t xml:space="preserve">z toho: investice celkem </t>
  </si>
  <si>
    <t xml:space="preserve">             Projektové dokumentace 4 kotelen (HP, Suvorovova 152, teplovod Nádražní, teplovod Jičínská) </t>
  </si>
  <si>
    <t xml:space="preserve">             Projektové dokumentace 4 kotelen a teplovodu  (Mendelova, Luční 2,3,4 a teplovod Loučka 6) </t>
  </si>
  <si>
    <t xml:space="preserve">             Energetické posouzení  kotelny</t>
  </si>
  <si>
    <t xml:space="preserve">             Modernizace kotelny Loučka - výměna hořáku a výměna 2 ks kotlů</t>
  </si>
  <si>
    <t xml:space="preserve">             Modernizace kotelny Bulharská - dokončení z roku 2019</t>
  </si>
  <si>
    <t xml:space="preserve">             Modernizace kotelny Vančurova</t>
  </si>
  <si>
    <t xml:space="preserve">             Modernizace kotelny v DPS U Jičínky 25 (dotace)</t>
  </si>
  <si>
    <t xml:space="preserve">             Modernizace kotelny Zimní stadion (dotace)</t>
  </si>
  <si>
    <t xml:space="preserve">             Projektová dokumentace 2 teplovodů Loučka 6, I. Etapa a II. Etapa</t>
  </si>
  <si>
    <t xml:space="preserve">             Modernizace kotelny Poděbradova (org.0516 pol.6122)</t>
  </si>
  <si>
    <t xml:space="preserve">             Modernizace kotelny Dlouhá (org.0516 pol.6122)</t>
  </si>
  <si>
    <t xml:space="preserve">             Modernizace kotelny Trlicova (org.0516 pol.6122)</t>
  </si>
  <si>
    <t xml:space="preserve">             Modernizace kotelny K Nemocnici (org.0516 pol.6122)</t>
  </si>
  <si>
    <t xml:space="preserve">             Modernizace kotelny Hotel Praha (org.0516 pol.6122)</t>
  </si>
  <si>
    <t xml:space="preserve">             Rekonstrukce teplovod ul. Nádražní 21,23,26 v úseku 140 m</t>
  </si>
  <si>
    <t xml:space="preserve">             Rekonstrukce teplovodu na ul.  Jičínská 212 a 221 v úseku 25 m</t>
  </si>
  <si>
    <t xml:space="preserve">             Dodávka 62 ks nerezových zásobníků teplé vody  do kotelen a odběrných předávacích stanic v domech</t>
  </si>
  <si>
    <t>Ostatní záležitosti bydlení, komunálních služeb a územního rozvoje</t>
  </si>
  <si>
    <t xml:space="preserve">             sklad vyklizeného nábytku - Žilina (elektřina 4, služby-vystěhování a likvidace nevyzvednutých věcí 6)</t>
  </si>
  <si>
    <r>
      <rPr>
        <b/>
        <sz val="10"/>
        <rFont val="Arial"/>
      </rPr>
      <t xml:space="preserve">Osobní asistence, pečovatelská služba a podpora samostatného bydlení </t>
    </r>
    <r>
      <rPr>
        <sz val="10"/>
        <rFont val="Arial"/>
      </rPr>
      <t>(DPS-telefony, AÚ 0800)</t>
    </r>
  </si>
  <si>
    <r>
      <rPr>
        <sz val="10"/>
        <rFont val="Arial"/>
      </rPr>
      <t>z toho: opravy a údržba celkem</t>
    </r>
    <r>
      <rPr>
        <sz val="9"/>
        <rFont val="Arial"/>
      </rPr>
      <t xml:space="preserve"> (nejnutnější akce)                                                                                     </t>
    </r>
  </si>
  <si>
    <t xml:space="preserve">            Azylový dům Nový Jičín (odvlhčení, vstupní dveře, brána)</t>
  </si>
  <si>
    <t xml:space="preserve">            Azylový dům Straník (PD - oprava vnitřních prostor)</t>
  </si>
  <si>
    <t>Činnost místní správy</t>
  </si>
  <si>
    <t>z toho: komplexní řízení energetiky - energ. management PORSENA</t>
  </si>
  <si>
    <t xml:space="preserve">           výběr dodavatele elektřiny na komoditní burze</t>
  </si>
  <si>
    <t xml:space="preserve">            Energetické audity (PENB, měření jističů)</t>
  </si>
  <si>
    <t xml:space="preserve">            Optimalizace domovních jističů a VO dle PD</t>
  </si>
  <si>
    <t xml:space="preserve">            Průkazy energetické náročnosti </t>
  </si>
  <si>
    <r>
      <rPr>
        <b/>
        <sz val="10"/>
        <rFont val="Arial CE"/>
      </rPr>
      <t xml:space="preserve">Ostatní správa v průmyslu, stavebnictví, obchodu a službách </t>
    </r>
    <r>
      <rPr>
        <sz val="9"/>
        <rFont val="Arial CE"/>
      </rPr>
      <t>(stavební úřad)</t>
    </r>
  </si>
  <si>
    <r>
      <rPr>
        <sz val="10"/>
        <rFont val="Arial CE"/>
      </rPr>
      <t xml:space="preserve">z toho: konzultační, poradenské a právní služby </t>
    </r>
    <r>
      <rPr>
        <sz val="9"/>
        <rFont val="Arial CE"/>
      </rPr>
      <t>(znalecké posudky)</t>
    </r>
  </si>
  <si>
    <r>
      <rPr>
        <sz val="10"/>
        <rFont val="Arial CE"/>
      </rPr>
      <t xml:space="preserve">             nákup ostatních služeb </t>
    </r>
    <r>
      <rPr>
        <sz val="9"/>
        <rFont val="Arial CE"/>
      </rPr>
      <t>(revize, odborné služby, doprava aj.)</t>
    </r>
  </si>
  <si>
    <t xml:space="preserve">             platby daní a poplatků státnímu rozpočtu</t>
  </si>
  <si>
    <t>vrácení peněžních prostředků (srpávní poplatek z r. 2019)</t>
  </si>
  <si>
    <t>Územní plánování</t>
  </si>
  <si>
    <t>z toho: územní studie</t>
  </si>
  <si>
    <t xml:space="preserve">            územně analytické podklady</t>
  </si>
  <si>
    <t xml:space="preserve">            změny územního plánu města</t>
  </si>
  <si>
    <t xml:space="preserve">            regulační plán (MPR NJ)</t>
  </si>
  <si>
    <t>041 - Dotace, návratné finanční výpomoci a dary cizím subjektům</t>
  </si>
  <si>
    <r>
      <rPr>
        <b/>
        <sz val="10"/>
        <rFont val="Arial CE"/>
      </rPr>
      <t xml:space="preserve">Dotace, návratné finanční výpomoci a dary cizím subjektům </t>
    </r>
    <r>
      <rPr>
        <sz val="9"/>
        <rFont val="Arial CE"/>
      </rPr>
      <t>(estetizace)</t>
    </r>
  </si>
  <si>
    <r>
      <rPr>
        <sz val="9"/>
        <rFont val="Arial CE"/>
      </rPr>
      <t>231410/741/</t>
    </r>
    <r>
      <rPr>
        <b/>
        <sz val="9"/>
        <rFont val="Arial CE"/>
      </rPr>
      <t>2219</t>
    </r>
    <r>
      <rPr>
        <sz val="9"/>
        <rFont val="Arial CE"/>
      </rPr>
      <t>/5329</t>
    </r>
  </si>
  <si>
    <r>
      <rPr>
        <b/>
        <sz val="10"/>
        <rFont val="Arial CE"/>
      </rPr>
      <t xml:space="preserve">Ostatní záležitosti pozemních komunikací </t>
    </r>
    <r>
      <rPr>
        <sz val="9"/>
        <rFont val="Arial CE"/>
      </rPr>
      <t>(členství v DSO Cyklostezka 2020: 50, 2021: 10)</t>
    </r>
  </si>
  <si>
    <r>
      <rPr>
        <sz val="9"/>
        <rFont val="Arial CE"/>
      </rPr>
      <t>231410/741/</t>
    </r>
    <r>
      <rPr>
        <b/>
        <sz val="9"/>
        <rFont val="Arial CE"/>
      </rPr>
      <t>2321</t>
    </r>
    <r>
      <rPr>
        <sz val="9"/>
        <rFont val="Arial CE"/>
      </rPr>
      <t>/5329                                                                                                                                                                                                                                                                                                                                                                                                                                                                                                                         231440/741/</t>
    </r>
    <r>
      <rPr>
        <b/>
        <sz val="9"/>
        <rFont val="Arial CE"/>
      </rPr>
      <t>2321</t>
    </r>
    <r>
      <rPr>
        <sz val="9"/>
        <rFont val="Arial CE"/>
      </rPr>
      <t>/5169</t>
    </r>
  </si>
  <si>
    <r>
      <rPr>
        <b/>
        <sz val="10"/>
        <rFont val="Arial CE"/>
      </rPr>
      <t xml:space="preserve">Odvádění odpadních vod </t>
    </r>
    <r>
      <rPr>
        <sz val="9"/>
        <rFont val="Arial CE"/>
      </rPr>
      <t>(2020: splátky úvěru 605.212,92 Kč (na pol. 8901), úrok z úvěru 12.860,75 Kč, poměrná část 25% na provoz DSO dle mandátní smlouvy 242,5,                                                                                                                                                                                                                                                                              2021: splátky úvěru 605.212,92 Kč, úrok z úvěru 6.808,62 Kč, poměrná část 25% na provoz DSO dle mandátní smlouvy 242,5)</t>
    </r>
  </si>
  <si>
    <r>
      <rPr>
        <b/>
        <sz val="10"/>
        <rFont val="Arial CE"/>
      </rPr>
      <t>Ostatní výdaje z finančního vypořádání</t>
    </r>
    <r>
      <rPr>
        <sz val="9"/>
        <rFont val="Arial CE"/>
      </rPr>
      <t xml:space="preserve"> (dopl.energií 2019 - org. 0322+0323)</t>
    </r>
  </si>
  <si>
    <r>
      <rPr>
        <b/>
        <sz val="10"/>
        <rFont val="Arial CE"/>
      </rPr>
      <t>Ostatní výdaje z finančního vypořádání</t>
    </r>
    <r>
      <rPr>
        <sz val="9"/>
        <rFont val="Arial CE"/>
      </rPr>
      <t xml:space="preserve"> (vyrovnání ztráty 2018-Beskydské divadlo)</t>
    </r>
  </si>
  <si>
    <r>
      <rPr>
        <b/>
        <sz val="10"/>
        <rFont val="Arial CE"/>
      </rPr>
      <t>Ostatní výdaje z finančního vypořádání</t>
    </r>
    <r>
      <rPr>
        <sz val="9"/>
        <rFont val="Arial CE"/>
      </rPr>
      <t xml:space="preserve"> (vyrovnání ztráty 2019-MěKS)</t>
    </r>
  </si>
  <si>
    <r>
      <rPr>
        <b/>
        <sz val="10"/>
        <rFont val="Arial CE"/>
      </rPr>
      <t>Finanční vypořádání Veolia Energie ČR</t>
    </r>
    <r>
      <rPr>
        <b/>
        <sz val="9"/>
        <rFont val="Arial CE"/>
      </rPr>
      <t xml:space="preserve"> </t>
    </r>
    <r>
      <rPr>
        <sz val="9"/>
        <rFont val="Arial CE"/>
      </rPr>
      <t>(dle fakturace skutečně odebraného množství GJ 2016-2018)</t>
    </r>
  </si>
  <si>
    <t>Komunální služby a územní rozvoj</t>
  </si>
  <si>
    <r>
      <rPr>
        <sz val="10"/>
        <rFont val="Arial CE"/>
      </rPr>
      <t xml:space="preserve">z toho: platby daní a poplatků </t>
    </r>
    <r>
      <rPr>
        <sz val="9"/>
        <rFont val="Arial CE"/>
      </rPr>
      <t>(soudní poplatky, realizace exekucí, ...)</t>
    </r>
  </si>
  <si>
    <r>
      <rPr>
        <b/>
        <sz val="10"/>
        <rFont val="Arial CE"/>
      </rPr>
      <t xml:space="preserve">Činnost místní správy </t>
    </r>
    <r>
      <rPr>
        <sz val="9"/>
        <rFont val="Arial CE"/>
      </rPr>
      <t>(2020 i 2021: daňové poradenství+odb.konzultace 200)</t>
    </r>
  </si>
  <si>
    <r>
      <rPr>
        <b/>
        <sz val="10"/>
        <rFont val="Arial CE"/>
      </rPr>
      <t>Výdaje z finančních operací</t>
    </r>
    <r>
      <rPr>
        <b/>
        <sz val="9"/>
        <rFont val="Arial CE"/>
      </rPr>
      <t xml:space="preserve"> </t>
    </r>
    <r>
      <rPr>
        <sz val="9"/>
        <rFont val="Arial CE"/>
      </rPr>
      <t>(bankovní poplatky za vedení účtů a položky)</t>
    </r>
  </si>
  <si>
    <t>Ostatní finanční operace</t>
  </si>
  <si>
    <r>
      <rPr>
        <sz val="10"/>
        <rFont val="Arial CE"/>
      </rPr>
      <t xml:space="preserve">z toho: daň z příjmů právnických osob za obec </t>
    </r>
    <r>
      <rPr>
        <sz val="9"/>
        <rFont val="Arial CE"/>
      </rPr>
      <t>(stejná výše je uvedena i v příjmech na pol. 1122)</t>
    </r>
  </si>
  <si>
    <t xml:space="preserve">             daň z přidané hodnoty za obec </t>
  </si>
  <si>
    <t xml:space="preserve">Finanční vypořádání minulých let </t>
  </si>
  <si>
    <t xml:space="preserve">z toho: vratka části nevyčerpané neinv.dotace 2019 Program na podporu zvýšení kvality soc.služeb poskytovaných v MSK </t>
  </si>
  <si>
    <t xml:space="preserve">            vratka části nevyčerpané neinv.dotace 2019 OP VVV - Šablony I - MŠ Trojlístek</t>
  </si>
  <si>
    <t xml:space="preserve">            vratka části nevyčerpané neinv.dotace 2019 OP VVV - Šablony I - ZŠ+MŠ Jub </t>
  </si>
  <si>
    <t xml:space="preserve">            vratka části nevyčerpané neinv.dotace 2019 OP VVV - Šablony I - ZŠ K68 </t>
  </si>
  <si>
    <t xml:space="preserve">            vratka části nevyčerpané neinv.dotace 2019 Efektivní systém plánování soc.služeb prostř.komunitního plán II</t>
  </si>
  <si>
    <t>Ostatní činnosti j.n.</t>
  </si>
  <si>
    <t xml:space="preserve">z toho: rozpočtová rezerva </t>
  </si>
  <si>
    <r>
      <rPr>
        <sz val="10"/>
        <rFont val="Arial CE"/>
      </rPr>
      <t xml:space="preserve">            členství města ve svazech a sdruž. </t>
    </r>
    <r>
      <rPr>
        <sz val="9"/>
        <rFont val="Arial CE"/>
      </rPr>
      <t>(org.1010): r. 2020: Partnerství pro městskou mobilitu (bývalá Asociace cykloměst) 5, MAS Lašsko 80, Národní síť zdravých měst 44,7735, Svaz měst a obcí 76,89776, Sdružení historických sídel 28,195, EUROREGION SILESIA-CZ 58,74, ...)</t>
    </r>
  </si>
  <si>
    <r>
      <t xml:space="preserve">Rozpočet města Nový Jičín na rok 2025                                                                                                                                                                                                                                                                                                                                                 </t>
    </r>
    <r>
      <rPr>
        <sz val="14"/>
        <rFont val="Arial CE"/>
      </rPr>
      <t xml:space="preserve"> </t>
    </r>
    <r>
      <rPr>
        <b/>
        <sz val="14"/>
        <rFont val="Arial CE"/>
      </rPr>
      <t xml:space="preserve">                                                                                                                                                                                                                                                                                                                                </t>
    </r>
    <r>
      <rPr>
        <sz val="11"/>
        <rFont val="Arial CE"/>
      </rPr>
      <t xml:space="preserve">                            </t>
    </r>
    <r>
      <rPr>
        <b/>
        <sz val="14"/>
        <rFont val="Arial CE"/>
      </rPr>
      <t xml:space="preserve">                  </t>
    </r>
  </si>
  <si>
    <r>
      <t xml:space="preserve">Schválený rozpočet                                                                                                                              2023                                                                                                                                                                                                                                                                                                                                                                                                                      </t>
    </r>
    <r>
      <rPr>
        <sz val="9"/>
        <rFont val="Arial CE"/>
      </rPr>
      <t xml:space="preserve"> (v Kč)   </t>
    </r>
    <r>
      <rPr>
        <b/>
        <sz val="9"/>
        <rFont val="Arial CE"/>
      </rPr>
      <t xml:space="preserve">        </t>
    </r>
    <r>
      <rPr>
        <b/>
        <sz val="12"/>
        <rFont val="Arial CE"/>
      </rPr>
      <t xml:space="preserve">                                                                                                                                                                  </t>
    </r>
  </si>
  <si>
    <r>
      <t xml:space="preserve">Upravený rozpočet                                                                                                                                                                                                                                                                                                                                                                                                                                                                                                                                         k 31.10.2023
</t>
    </r>
    <r>
      <rPr>
        <sz val="9"/>
        <rFont val="Arial CE"/>
      </rPr>
      <t>(v Kč)</t>
    </r>
  </si>
  <si>
    <r>
      <t xml:space="preserve">Očekávané plnění
k 31.12.2023
</t>
    </r>
    <r>
      <rPr>
        <sz val="9"/>
        <rFont val="Arial CE"/>
      </rPr>
      <t>(v Kč)</t>
    </r>
  </si>
  <si>
    <r>
      <t xml:space="preserve">Skutečnost za
k 31.10.2023
</t>
    </r>
    <r>
      <rPr>
        <sz val="9"/>
        <rFont val="Arial CE"/>
      </rPr>
      <t>(v Kč)</t>
    </r>
  </si>
  <si>
    <r>
      <t xml:space="preserve">Schválený rozpočet na rok 2024                                                                                                                                       </t>
    </r>
    <r>
      <rPr>
        <sz val="10"/>
        <rFont val="Arial CE"/>
      </rPr>
      <t xml:space="preserve"> </t>
    </r>
    <r>
      <rPr>
        <sz val="9"/>
        <rFont val="Arial CE"/>
      </rPr>
      <t xml:space="preserve"> (v Kč)</t>
    </r>
  </si>
  <si>
    <r>
      <t xml:space="preserve">Upravený rozpočet                                                                                                                                                                                                                                                                                                                                                                                                                                                                                                                                         k 31.08.2024
</t>
    </r>
    <r>
      <rPr>
        <sz val="9"/>
        <rFont val="Arial CE"/>
      </rPr>
      <t>(v Kč)</t>
    </r>
  </si>
  <si>
    <r>
      <t xml:space="preserve">Skutečné plnění                                                        k 31.08.2024                                                   </t>
    </r>
    <r>
      <rPr>
        <sz val="10"/>
        <rFont val="Arial CE"/>
      </rPr>
      <t xml:space="preserve">                       (v Kč)</t>
    </r>
  </si>
  <si>
    <r>
      <t xml:space="preserve">Očekávané plnění
k 31.12.2024
</t>
    </r>
    <r>
      <rPr>
        <sz val="9"/>
        <rFont val="Arial CE"/>
      </rPr>
      <t>(v Kč)</t>
    </r>
  </si>
  <si>
    <r>
      <t xml:space="preserve">Návrh rozpočtu                                        na rok 2025 -                                                      varianta 1.
</t>
    </r>
    <r>
      <rPr>
        <sz val="9"/>
        <rFont val="Arial CE"/>
      </rPr>
      <t>(v Kč)</t>
    </r>
  </si>
  <si>
    <r>
      <t xml:space="preserve">Návrh rozpočtu                                        na rok 2025 -                                                      varianta 2.
</t>
    </r>
    <r>
      <rPr>
        <sz val="9"/>
        <rFont val="Arial CE"/>
      </rPr>
      <t>(v Kč)</t>
    </r>
  </si>
  <si>
    <r>
      <t xml:space="preserve">Návrh rozpočtu                                        na rok 2025 -                                                     varianta 3.
</t>
    </r>
    <r>
      <rPr>
        <sz val="9"/>
        <rFont val="Arial CE"/>
      </rPr>
      <t>(v Kč)</t>
    </r>
  </si>
  <si>
    <r>
      <rPr>
        <b/>
        <sz val="12"/>
        <rFont val="Arial CE"/>
      </rPr>
      <t xml:space="preserve">II.varianta                           </t>
    </r>
    <r>
      <rPr>
        <sz val="9"/>
        <rFont val="Arial CE"/>
      </rPr>
      <t xml:space="preserve"> (příjmy z daní dle MF ČR)</t>
    </r>
  </si>
  <si>
    <r>
      <rPr>
        <b/>
        <sz val="12"/>
        <rFont val="Arial CE"/>
      </rPr>
      <t xml:space="preserve">III.varianta                           </t>
    </r>
    <r>
      <rPr>
        <sz val="9"/>
        <rFont val="Arial CE"/>
      </rPr>
      <t xml:space="preserve"> ("přání ORJ")</t>
    </r>
  </si>
  <si>
    <t>ORJ 6xx - Odbor rozvoje a investic</t>
  </si>
  <si>
    <t>ORJ 011 - Návštěvnické centrum - město klobouků</t>
  </si>
  <si>
    <t>ORJ 03X - Odbor životního prostředí</t>
  </si>
  <si>
    <t>ORJ 04X - Odbor územního plánování a stavebního řádu</t>
  </si>
  <si>
    <t>Příloha č. 2</t>
  </si>
  <si>
    <r>
      <t xml:space="preserve">Rozpočtová skladba                                                                                                                                                                                                                                                  </t>
    </r>
    <r>
      <rPr>
        <sz val="8"/>
        <rFont val="Arial CE"/>
      </rPr>
      <t xml:space="preserve"> ORJ/odd.par./pol./org./ÚZ/NáZ</t>
    </r>
  </si>
  <si>
    <r>
      <t xml:space="preserve">Návrh rozpočtu města Nový Jičín na rok 2025                                                                                                                                                                                                                                                   (detailnější rozpis Přílohy č. 1)                                                                                                                                                                                                                                                                                                                                                                                                                                                                                                                               </t>
    </r>
    <r>
      <rPr>
        <sz val="14"/>
        <rFont val="Arial CE"/>
      </rPr>
      <t xml:space="preserve">   </t>
    </r>
    <r>
      <rPr>
        <b/>
        <sz val="14"/>
        <rFont val="Arial CE"/>
      </rPr>
      <t xml:space="preserve">                                                                                                                                                                                                                                                                                                                                                                            </t>
    </r>
    <r>
      <rPr>
        <sz val="11"/>
        <rFont val="Arial CE"/>
      </rPr>
      <t xml:space="preserve"> (údaje </t>
    </r>
    <r>
      <rPr>
        <b/>
        <sz val="11"/>
        <rFont val="Arial CE"/>
      </rPr>
      <t>v textu</t>
    </r>
    <r>
      <rPr>
        <sz val="11"/>
        <rFont val="Arial CE"/>
      </rPr>
      <t xml:space="preserve"> jsou převážně v tis. Kč, pokud jsou v jiných jednotkách = vždy uvedeno)          </t>
    </r>
    <r>
      <rPr>
        <b/>
        <sz val="14"/>
        <rFont val="Arial CE"/>
      </rPr>
      <t xml:space="preserve">                  </t>
    </r>
  </si>
  <si>
    <r>
      <t xml:space="preserve">Schválený rozpočet
2024
</t>
    </r>
    <r>
      <rPr>
        <sz val="9"/>
        <rFont val="Arial CE"/>
      </rPr>
      <t>(v Kč)</t>
    </r>
  </si>
  <si>
    <r>
      <t xml:space="preserve">Očekávané skutečné plnění
k 31.12.2024
</t>
    </r>
    <r>
      <rPr>
        <sz val="9"/>
        <rFont val="Arial CE"/>
      </rPr>
      <t>(v Kč)</t>
    </r>
  </si>
  <si>
    <r>
      <t xml:space="preserve">Návrh rozpočtu                                        na rok 2025 -                                                      varianta 3.
</t>
    </r>
    <r>
      <rPr>
        <sz val="9"/>
        <rFont val="Arial CE"/>
      </rPr>
      <t>(v Kč)</t>
    </r>
  </si>
  <si>
    <r>
      <t xml:space="preserve">Návrh rozpočtu                                        na rok 2025 -                                                      varianta 4.                                         </t>
    </r>
    <r>
      <rPr>
        <sz val="9"/>
        <rFont val="Arial CE"/>
      </rPr>
      <t>(v Kč)</t>
    </r>
  </si>
  <si>
    <t>dle vyhl. č. 250/2024 Sb.</t>
  </si>
  <si>
    <t>(CATANIA GROUP-                                                                  služby pro města a obce)</t>
  </si>
  <si>
    <t>ING. TESAŘ</t>
  </si>
  <si>
    <t>dle MF ČR</t>
  </si>
  <si>
    <r>
      <t xml:space="preserve">Příjem z daně z příjmů fyzických osob placené plátci </t>
    </r>
    <r>
      <rPr>
        <sz val="9"/>
        <rFont val="Arial CE"/>
      </rPr>
      <t>(24,92% sdílená část)</t>
    </r>
    <r>
      <rPr>
        <b/>
        <sz val="10"/>
        <rFont val="Arial CE"/>
      </rPr>
      <t xml:space="preserve"> </t>
    </r>
    <r>
      <rPr>
        <sz val="10"/>
        <rFont val="Arial CE"/>
      </rPr>
      <t xml:space="preserve">                                                         </t>
    </r>
  </si>
  <si>
    <r>
      <t xml:space="preserve">Příjem z daně z příjmů fyzických osob placené plátci </t>
    </r>
    <r>
      <rPr>
        <sz val="9"/>
        <rFont val="Arial CE"/>
      </rPr>
      <t xml:space="preserve">(motivační 1,5%)            </t>
    </r>
    <r>
      <rPr>
        <sz val="10"/>
        <rFont val="Arial CE"/>
      </rPr>
      <t xml:space="preserve">                                       </t>
    </r>
  </si>
  <si>
    <r>
      <t>Příjem z daně z příjmů fyzických osob placené poplatníky</t>
    </r>
    <r>
      <rPr>
        <sz val="9"/>
        <rFont val="Arial CE"/>
      </rPr>
      <t xml:space="preserve"> (sdílená) </t>
    </r>
    <r>
      <rPr>
        <i/>
        <sz val="9"/>
        <rFont val="Arial CE"/>
      </rPr>
      <t xml:space="preserve"> </t>
    </r>
    <r>
      <rPr>
        <sz val="9"/>
        <rFont val="Arial CE"/>
      </rPr>
      <t xml:space="preserve">                             </t>
    </r>
    <r>
      <rPr>
        <sz val="9"/>
        <color indexed="2"/>
        <rFont val="Arial CE"/>
      </rPr>
      <t xml:space="preserve"> *korekce </t>
    </r>
    <r>
      <rPr>
        <sz val="10"/>
        <color indexed="2"/>
        <rFont val="Arial CE"/>
      </rPr>
      <t xml:space="preserve"> </t>
    </r>
    <r>
      <rPr>
        <b/>
        <sz val="10"/>
        <rFont val="Arial CE"/>
      </rPr>
      <t xml:space="preserve">                                                  </t>
    </r>
  </si>
  <si>
    <r>
      <t xml:space="preserve">Příjem z daně z příjmů fyzických osob vybírané srážkou </t>
    </r>
    <r>
      <rPr>
        <sz val="9"/>
        <rFont val="Arial CE"/>
      </rPr>
      <t>podle zvláštní sazby daně</t>
    </r>
  </si>
  <si>
    <r>
      <t xml:space="preserve">Příjem z daně z příjmů právnických osob </t>
    </r>
    <r>
      <rPr>
        <sz val="9"/>
        <rFont val="Arial CE"/>
      </rPr>
      <t xml:space="preserve">(sdílená)        </t>
    </r>
    <r>
      <rPr>
        <b/>
        <sz val="10"/>
        <rFont val="Arial CE"/>
      </rPr>
      <t xml:space="preserve">                                                      </t>
    </r>
    <r>
      <rPr>
        <sz val="9"/>
        <color indexed="2"/>
        <rFont val="Arial CE"/>
      </rPr>
      <t xml:space="preserve"> *korekce            </t>
    </r>
    <r>
      <rPr>
        <b/>
        <sz val="10"/>
        <rFont val="Arial CE"/>
      </rPr>
      <t xml:space="preserve">                                            </t>
    </r>
    <r>
      <rPr>
        <sz val="9"/>
        <rFont val="Arial CE"/>
      </rPr>
      <t xml:space="preserve"> </t>
    </r>
  </si>
  <si>
    <r>
      <t xml:space="preserve">Příjem z daně z příjmů právnických osob v případech, kdy poplatníkem je obec, s výjimkou daně vybírané srážkou podle zvláštní sazby daně </t>
    </r>
    <r>
      <rPr>
        <sz val="9"/>
        <rFont val="Arial CE"/>
      </rPr>
      <t>(100% za město NJ)</t>
    </r>
  </si>
  <si>
    <r>
      <t xml:space="preserve">Příjem z daně z přidané hodnoty </t>
    </r>
    <r>
      <rPr>
        <sz val="9"/>
        <rFont val="Arial CE"/>
      </rPr>
      <t xml:space="preserve">(sdílená) </t>
    </r>
    <r>
      <rPr>
        <b/>
        <sz val="9"/>
        <rFont val="Arial CE"/>
      </rPr>
      <t xml:space="preserve">           </t>
    </r>
    <r>
      <rPr>
        <b/>
        <sz val="10"/>
        <rFont val="Arial CE"/>
      </rPr>
      <t xml:space="preserve">                                                                                  </t>
    </r>
    <r>
      <rPr>
        <b/>
        <sz val="9"/>
        <rFont val="Arial CE"/>
      </rPr>
      <t xml:space="preserve"> </t>
    </r>
  </si>
  <si>
    <t>Příjem z odvodů za odnětí půdy ze zemědělského půdního fondu podle zákona upravující ochranu zemědělského půdního fondu</t>
  </si>
  <si>
    <t>Příjem z poplatku za odnětí pozemku podle lesního zákona</t>
  </si>
  <si>
    <t>Příjem z poplatku za povolené vypouštění odpadních vod do vod podzemních</t>
  </si>
  <si>
    <r>
      <t>Příjem z poplatku ze psů</t>
    </r>
    <r>
      <rPr>
        <sz val="10"/>
        <color indexed="2"/>
        <rFont val="Arial CE"/>
      </rPr>
      <t xml:space="preserve"> </t>
    </r>
  </si>
  <si>
    <t>Příjem z poplatku za užívání veřejného prostranství</t>
  </si>
  <si>
    <r>
      <t>009/----/</t>
    </r>
    <r>
      <rPr>
        <b/>
        <sz val="10"/>
        <rFont val="Arial CE"/>
      </rPr>
      <t>1343</t>
    </r>
    <r>
      <rPr>
        <sz val="9"/>
        <rFont val="Arial CE"/>
      </rPr>
      <t>/7034</t>
    </r>
  </si>
  <si>
    <t xml:space="preserve">z toho: Odbor obecní živnostenský úřad </t>
  </si>
  <si>
    <r>
      <t xml:space="preserve">            Odbor správy majetku (</t>
    </r>
    <r>
      <rPr>
        <sz val="9"/>
        <rFont val="Arial CE"/>
      </rPr>
      <t>překopy+zábory+MP vyhrazené parkování)</t>
    </r>
  </si>
  <si>
    <r>
      <t xml:space="preserve">            Odbor životního prostředí</t>
    </r>
    <r>
      <rPr>
        <sz val="9"/>
        <rFont val="Arial CE"/>
      </rPr>
      <t xml:space="preserve"> (zvláštní užívání zeleně)</t>
    </r>
  </si>
  <si>
    <t xml:space="preserve">Příjem z poplatku za obecní systém odpadového hospodářství a příjem z poplatku za odkládání komunálního odpadu z nemovité věci </t>
  </si>
  <si>
    <r>
      <t xml:space="preserve">Příjem z poplatku za povolení k vjezdu s motorovým vozidlem do vybraných míst a částí měst                                                            </t>
    </r>
    <r>
      <rPr>
        <sz val="9"/>
        <rFont val="Arial CE"/>
      </rPr>
      <t>(Návštěvnické centrum NJ - město klobouků: abonentní a rezidentní karty)</t>
    </r>
  </si>
  <si>
    <t>Příjem za zkoušky z odborné způsobilosti od žadatelů o řidičské oprávnění</t>
  </si>
  <si>
    <t>Příjem z úhrad za dobývání nerostů a poplatků za geologické práce</t>
  </si>
  <si>
    <r>
      <t xml:space="preserve">Příjem z odvodů z vybraných činností a služeb jinde neuvedených </t>
    </r>
    <r>
      <rPr>
        <sz val="10"/>
        <rFont val="Arial CE"/>
      </rPr>
      <t>(odvod ekolog.daně na SFŽP)</t>
    </r>
  </si>
  <si>
    <t>Příjem ze správních poplatků</t>
  </si>
  <si>
    <t>z toho: Odbor dopravy</t>
  </si>
  <si>
    <r>
      <rPr>
        <sz val="9"/>
        <rFont val="Arial CE"/>
      </rPr>
      <t>009/----/</t>
    </r>
    <r>
      <rPr>
        <b/>
        <sz val="10"/>
        <rFont val="Arial CE"/>
      </rPr>
      <t>1361</t>
    </r>
    <r>
      <rPr>
        <sz val="9"/>
        <rFont val="Arial CE"/>
      </rPr>
      <t>/7006-7037</t>
    </r>
  </si>
  <si>
    <r>
      <t xml:space="preserve">            Obecní živnostenský úřad </t>
    </r>
    <r>
      <rPr>
        <sz val="9"/>
        <rFont val="Arial CE"/>
      </rPr>
      <t>(nové a změnové výpisy z živnost.rejstříku 430, vydání výpisů z živnost. rejstříku 1, vydání povolení k hernímu prostoru 10, osvědčení zemědělský podnikatel 9)</t>
    </r>
  </si>
  <si>
    <t xml:space="preserve">            Odbor územního plánování a stavebního řádu </t>
  </si>
  <si>
    <r>
      <t>317/----/</t>
    </r>
    <r>
      <rPr>
        <b/>
        <sz val="10"/>
        <rFont val="Arial CE"/>
      </rPr>
      <t>1361</t>
    </r>
    <r>
      <rPr>
        <sz val="9"/>
        <rFont val="Arial CE"/>
      </rPr>
      <t>/0214-7063</t>
    </r>
  </si>
  <si>
    <r>
      <t xml:space="preserve">            Odbor správních agend </t>
    </r>
    <r>
      <rPr>
        <sz val="9"/>
        <rFont val="Arial CE"/>
      </rPr>
      <t>(matrika 170, ohlašovna 35, CzechPoint+vidimace a legalizace 64, OP 350, CD 1100)</t>
    </r>
  </si>
  <si>
    <t xml:space="preserve">            Odbor životního prostředí </t>
  </si>
  <si>
    <r>
      <rPr>
        <sz val="9"/>
        <rFont val="Arial CE"/>
      </rPr>
      <t>741/----/</t>
    </r>
    <r>
      <rPr>
        <b/>
        <sz val="10"/>
        <rFont val="Arial CE"/>
      </rPr>
      <t>1361</t>
    </r>
    <r>
      <rPr>
        <sz val="9"/>
        <rFont val="Arial CE"/>
      </rPr>
      <t>/7014</t>
    </r>
  </si>
  <si>
    <r>
      <t xml:space="preserve">            Odbor finanční </t>
    </r>
    <r>
      <rPr>
        <sz val="9"/>
        <rFont val="Arial CE"/>
      </rPr>
      <t>(splátkové kalendáře+bezdlužnost)</t>
    </r>
  </si>
  <si>
    <r>
      <t>009/----/</t>
    </r>
    <r>
      <rPr>
        <b/>
        <sz val="10"/>
        <rFont val="Arial CE"/>
      </rPr>
      <t>1381</t>
    </r>
    <r>
      <rPr>
        <sz val="9"/>
        <rFont val="Arial CE"/>
      </rPr>
      <t>/----/7004</t>
    </r>
  </si>
  <si>
    <t>Příjem z daně z hazardních her s výjimkou dílčí daně z technických her</t>
  </si>
  <si>
    <r>
      <t>009/----/</t>
    </r>
    <r>
      <rPr>
        <b/>
        <sz val="10"/>
        <rFont val="Arial CE"/>
      </rPr>
      <t>1385</t>
    </r>
    <r>
      <rPr>
        <sz val="9"/>
        <rFont val="Arial CE"/>
      </rPr>
      <t>/----/7005</t>
    </r>
  </si>
  <si>
    <t>Příjem z dílčí daně z technických her</t>
  </si>
  <si>
    <r>
      <t>009/----/</t>
    </r>
    <r>
      <rPr>
        <b/>
        <sz val="10"/>
        <rFont val="Arial CE"/>
      </rPr>
      <t>1386</t>
    </r>
    <r>
      <rPr>
        <sz val="9"/>
        <rFont val="Arial CE"/>
      </rPr>
      <t>/----/7042</t>
    </r>
  </si>
  <si>
    <t>Příjem daně z hazard.her s výjimkou techn.her neprovozovaných prostřednictvím internetu</t>
  </si>
  <si>
    <r>
      <t>009/----/</t>
    </r>
    <r>
      <rPr>
        <b/>
        <sz val="10"/>
        <rFont val="Arial CE"/>
      </rPr>
      <t>1387</t>
    </r>
    <r>
      <rPr>
        <sz val="9"/>
        <rFont val="Arial CE"/>
      </rPr>
      <t>/----/7043</t>
    </r>
  </si>
  <si>
    <t>Příjem daně z technických her neprovozovaných prostřednictvím internetu</t>
  </si>
  <si>
    <r>
      <t>009/----/</t>
    </r>
    <r>
      <rPr>
        <b/>
        <sz val="10"/>
        <rFont val="Arial CE"/>
      </rPr>
      <t>1387</t>
    </r>
    <r>
      <rPr>
        <sz val="9"/>
        <rFont val="Arial CE"/>
      </rPr>
      <t>/----/7044</t>
    </r>
  </si>
  <si>
    <r>
      <rPr>
        <sz val="9"/>
        <rFont val="Arial CE"/>
      </rPr>
      <t>741/----/</t>
    </r>
    <r>
      <rPr>
        <b/>
        <sz val="10"/>
        <rFont val="Arial CE"/>
      </rPr>
      <t>1511</t>
    </r>
  </si>
  <si>
    <r>
      <t xml:space="preserve">Příjem z daně z nemovitých věcí </t>
    </r>
    <r>
      <rPr>
        <sz val="9"/>
        <rFont val="Arial CE"/>
      </rPr>
      <t xml:space="preserve">(výlučná)    </t>
    </r>
    <r>
      <rPr>
        <b/>
        <sz val="10"/>
        <rFont val="Arial CE"/>
      </rPr>
      <t xml:space="preserve">                                                                                                              </t>
    </r>
  </si>
  <si>
    <t>Příjem z poskytování služeb, výrobků, prací, výkonů a práv</t>
  </si>
  <si>
    <t xml:space="preserve">           § 1019 ostatní zemědělská a potravinářská činnost a rozvoj</t>
  </si>
  <si>
    <r>
      <t xml:space="preserve">           § 1031 pěstební činnost </t>
    </r>
    <r>
      <rPr>
        <sz val="9"/>
        <rFont val="Arial CE"/>
      </rPr>
      <t>(těžba v městských lesích)</t>
    </r>
  </si>
  <si>
    <r>
      <t xml:space="preserve">           § 2143 cestovní ruch</t>
    </r>
    <r>
      <rPr>
        <sz val="9"/>
        <rFont val="Arial CE"/>
      </rPr>
      <t xml:space="preserve"> (Návštěvnické centrum NJ)</t>
    </r>
  </si>
  <si>
    <r>
      <t xml:space="preserve">           § 3319 ostatní sportovní činnost </t>
    </r>
    <r>
      <rPr>
        <sz val="9"/>
        <rFont val="Arial CE"/>
      </rPr>
      <t>(Odbor školství, kultury a sportu)</t>
    </r>
  </si>
  <si>
    <r>
      <t xml:space="preserve">           § 3322 zachování a obnova kulturních památek </t>
    </r>
    <r>
      <rPr>
        <sz val="9"/>
        <rFont val="Arial CE"/>
      </rPr>
      <t>(Odbor školství, kultury a sportu)</t>
    </r>
  </si>
  <si>
    <r>
      <t xml:space="preserve">           § 3412 sportovní zařízení v majetku obce</t>
    </r>
    <r>
      <rPr>
        <sz val="9"/>
        <rFont val="Arial CE"/>
      </rPr>
      <t xml:space="preserve"> (bazé</t>
    </r>
    <r>
      <rPr>
        <sz val="9"/>
        <rFont val="Arial CE"/>
      </rPr>
      <t>n: Basketbalový klub,z.s.-vstupné, nájmy)</t>
    </r>
  </si>
  <si>
    <r>
      <t xml:space="preserve">           § 3412 sportovní zařízení v majetku obce </t>
    </r>
    <r>
      <rPr>
        <sz val="9"/>
        <rFont val="Arial CE"/>
      </rPr>
      <t>(zimní stadión: Hokejový klub, z.s.-vstupné, nájmy)</t>
    </r>
  </si>
  <si>
    <r>
      <t xml:space="preserve">           § 3612 tržby za správu SVJ</t>
    </r>
    <r>
      <rPr>
        <sz val="9"/>
        <rFont val="Arial CE"/>
      </rPr>
      <t xml:space="preserve"> (Odbor bytový)</t>
    </r>
  </si>
  <si>
    <r>
      <t xml:space="preserve">           § 4351 </t>
    </r>
    <r>
      <rPr>
        <sz val="10"/>
        <rFont val="Arial CE"/>
      </rPr>
      <t xml:space="preserve">pečovatelská služba, denní stacionář, odlehč. služba Pohoda </t>
    </r>
    <r>
      <rPr>
        <sz val="9"/>
        <rFont val="Arial CE"/>
      </rPr>
      <t>(Prosenior NJ)</t>
    </r>
  </si>
  <si>
    <r>
      <t xml:space="preserve">           § 5311 bezpečnost a veřejný pořádek </t>
    </r>
    <r>
      <rPr>
        <sz val="9"/>
        <rFont val="Arial CE"/>
      </rPr>
      <t>(Městská policie)</t>
    </r>
  </si>
  <si>
    <r>
      <t xml:space="preserve">           § 6171 činnost místní správy </t>
    </r>
    <r>
      <rPr>
        <sz val="9"/>
        <rFont val="Arial CE"/>
      </rPr>
      <t>(kopírování pro veřejnost)</t>
    </r>
  </si>
  <si>
    <r>
      <t xml:space="preserve">Ostatní příjmy z vlastní činnosti </t>
    </r>
    <r>
      <rPr>
        <sz val="9"/>
        <rFont val="Arial CE"/>
      </rPr>
      <t>(Odbor správy majetku: věcná břemena s 21% DPH 3000)</t>
    </r>
  </si>
  <si>
    <r>
      <t xml:space="preserve">Příjem z odvodů příspěvkových organizací </t>
    </r>
    <r>
      <rPr>
        <sz val="9"/>
        <color indexed="2"/>
        <rFont val="Arial CE"/>
      </rPr>
      <t xml:space="preserve">(z fondu investic: odpisy z nemovitého majetku): </t>
    </r>
    <r>
      <rPr>
        <sz val="9"/>
        <rFont val="Arial CE"/>
      </rPr>
      <t>Besk.div. 522,020</t>
    </r>
    <r>
      <rPr>
        <b/>
        <i/>
        <sz val="9"/>
        <rFont val="Arial CE"/>
      </rPr>
      <t xml:space="preserve">  </t>
    </r>
    <r>
      <rPr>
        <b/>
        <i/>
        <sz val="9"/>
        <color indexed="2"/>
        <rFont val="Arial CE"/>
      </rPr>
      <t xml:space="preserve">   </t>
    </r>
    <r>
      <rPr>
        <sz val="9"/>
        <color indexed="2"/>
        <rFont val="Arial CE"/>
      </rPr>
      <t xml:space="preserve">      </t>
    </r>
  </si>
  <si>
    <r>
      <t xml:space="preserve">Příjem z pronájmu nebo pachtu pozemků </t>
    </r>
    <r>
      <rPr>
        <sz val="9"/>
        <rFont val="Arial CE"/>
      </rPr>
      <t>(Odbor správy majetku: s 0% DPH 450, s 21% DPH 550)</t>
    </r>
  </si>
  <si>
    <t>Příjem z pronájmů nebo pachtu ostatních nemovitých věcí a jejich částí</t>
  </si>
  <si>
    <r>
      <t xml:space="preserve">              § 2212 vyhrazené parkování formou nájemní smlouvy </t>
    </r>
    <r>
      <rPr>
        <sz val="9"/>
        <rFont val="Arial CE"/>
      </rPr>
      <t>(Odbor správy majetku: v režimu DPH)</t>
    </r>
  </si>
  <si>
    <r>
      <t xml:space="preserve">              § 2310 nájem ostatních nemovitostí </t>
    </r>
    <r>
      <rPr>
        <sz val="9"/>
        <rFont val="Arial CE"/>
      </rPr>
      <t>(Odbor správy majetku)</t>
    </r>
  </si>
  <si>
    <r>
      <t xml:space="preserve">              § 2321 nájem Kanalizace od SmVaK (DSO) </t>
    </r>
    <r>
      <rPr>
        <sz val="9"/>
        <rFont val="Arial CE"/>
      </rPr>
      <t>- účet 2310441 Plán financování obnovy (PFO)</t>
    </r>
  </si>
  <si>
    <r>
      <t xml:space="preserve">              § 3122 nájem EDUCA </t>
    </r>
    <r>
      <rPr>
        <sz val="9"/>
        <rFont val="Arial CE"/>
      </rPr>
      <t>(Odbor bytový)</t>
    </r>
  </si>
  <si>
    <r>
      <t xml:space="preserve">              § 3612 z bytů v majetku města</t>
    </r>
    <r>
      <rPr>
        <sz val="9"/>
        <rFont val="Arial CE"/>
      </rPr>
      <t xml:space="preserve"> (Odbor bytový: nájmy, zálohy na služby, pacht Suvorovova 480)</t>
    </r>
  </si>
  <si>
    <r>
      <t xml:space="preserve">              § 3613 v nebytových prostorech </t>
    </r>
    <r>
      <rPr>
        <sz val="9"/>
        <rFont val="Arial CE"/>
      </rPr>
      <t>(Odbor organizační: Div.8-Policie ČR, Glogar; Dlouhá - Náš-Net, Tesařová kancelář Div. 8)</t>
    </r>
  </si>
  <si>
    <r>
      <t xml:space="preserve">              § 3613 v nebyt.prostorech </t>
    </r>
    <r>
      <rPr>
        <sz val="9"/>
        <rFont val="Arial CE"/>
      </rPr>
      <t>(Odbor správy majetku: nájem plynovodu 100, nájem reklamních ploch 400)</t>
    </r>
  </si>
  <si>
    <r>
      <t xml:space="preserve">              § 3613 v nebytových prostorech </t>
    </r>
    <r>
      <rPr>
        <sz val="9"/>
        <rFont val="Arial CE"/>
      </rPr>
      <t>(Odbor bytový: nájmy 13000, zálohy na služby 1700, kryté stání Loučka 300, krátkodobé 50, Hotel Praha 746)</t>
    </r>
  </si>
  <si>
    <r>
      <t xml:space="preserve">              § 3634 v zásobování teplem </t>
    </r>
    <r>
      <rPr>
        <sz val="9"/>
        <rFont val="Arial CE"/>
      </rPr>
      <t>(VEOLIA)</t>
    </r>
  </si>
  <si>
    <r>
      <t xml:space="preserve">              § 4351 v domech s pečovatelskou službou </t>
    </r>
    <r>
      <rPr>
        <sz val="9"/>
        <rFont val="Arial CE"/>
      </rPr>
      <t>(nájmy: krátkodobé 20)</t>
    </r>
  </si>
  <si>
    <r>
      <t xml:space="preserve">              § 4379 v klubech seniorů </t>
    </r>
    <r>
      <rPr>
        <sz val="9"/>
        <rFont val="Arial CE"/>
      </rPr>
      <t xml:space="preserve">(nájmy: dlouhodobé 10/10, krátkodobé 5/5) </t>
    </r>
  </si>
  <si>
    <t>Příjem sankčních plateb přijaté od jiných subjektů</t>
  </si>
  <si>
    <r>
      <t>009/2141/</t>
    </r>
    <r>
      <rPr>
        <b/>
        <sz val="10"/>
        <rFont val="Arial CE"/>
      </rPr>
      <t>2212</t>
    </r>
    <r>
      <rPr>
        <sz val="9"/>
        <rFont val="Arial CE"/>
      </rPr>
      <t>/----,7500</t>
    </r>
  </si>
  <si>
    <r>
      <t xml:space="preserve">z toho:  § 2141 vnitřní obchod </t>
    </r>
    <r>
      <rPr>
        <sz val="9"/>
        <rFont val="Arial CE"/>
      </rPr>
      <t>(Obecní živnostenský úřad: ve správním řízení 5, v blokovém řízení 15)</t>
    </r>
  </si>
  <si>
    <t xml:space="preserve">             § 2219 odbor správy majetku - pokuty parkoviště Dlouhá</t>
  </si>
  <si>
    <t xml:space="preserve">             § 2223 pokuty za dopravní přestupky (Odbor přestupkových agent)</t>
  </si>
  <si>
    <r>
      <t xml:space="preserve">             § 2223 dopravní přestupky </t>
    </r>
    <r>
      <rPr>
        <sz val="9"/>
        <rFont val="Arial CE"/>
      </rPr>
      <t>(radary)</t>
    </r>
  </si>
  <si>
    <r>
      <t xml:space="preserve">             § 2223 pokuty-vážení </t>
    </r>
    <r>
      <rPr>
        <sz val="9"/>
        <color theme="1"/>
        <rFont val="Arial CE"/>
      </rPr>
      <t>(Odbor dopravy)</t>
    </r>
  </si>
  <si>
    <t xml:space="preserve">             § 3612 smluvní pokuta bytové domy </t>
  </si>
  <si>
    <r>
      <t xml:space="preserve">             § 3613 smluvní pokuta nebytové prostory - dodavatelé</t>
    </r>
    <r>
      <rPr>
        <sz val="9"/>
        <rFont val="Arial CE"/>
      </rPr>
      <t xml:space="preserve"> (Odbor bytový)</t>
    </r>
  </si>
  <si>
    <r>
      <t xml:space="preserve">             § 5311 bezpečnost a veřejný pořádek </t>
    </r>
    <r>
      <rPr>
        <sz val="9"/>
        <rFont val="Arial CE"/>
      </rPr>
      <t>(Městská policie: na místě zaplac. 500, na místě nezapl. 150)</t>
    </r>
  </si>
  <si>
    <r>
      <t xml:space="preserve">             § 6171 obecné přestupky - pokuty </t>
    </r>
    <r>
      <rPr>
        <sz val="9"/>
        <rFont val="Arial CE"/>
      </rPr>
      <t>(Odbor přestupkových agend)</t>
    </r>
  </si>
  <si>
    <r>
      <t xml:space="preserve">             § 6171 pokuty </t>
    </r>
    <r>
      <rPr>
        <sz val="9"/>
        <rFont val="Arial CE"/>
      </rPr>
      <t>(Odbor správních agend OP 13, CD 2)</t>
    </r>
  </si>
  <si>
    <t xml:space="preserve">             § 6171 sankce za porušení rozpočtové kázně (dotace)</t>
  </si>
  <si>
    <r>
      <t xml:space="preserve">Ostatní přijaté vratky transferů </t>
    </r>
    <r>
      <rPr>
        <sz val="10"/>
        <rFont val="Arial CE"/>
      </rPr>
      <t>(příspěvků a dotací)</t>
    </r>
  </si>
  <si>
    <r>
      <t xml:space="preserve">z toho: § 3111 MŠ vratka příspěvku na energie </t>
    </r>
    <r>
      <rPr>
        <sz val="9"/>
        <rFont val="Arial CE"/>
      </rPr>
      <t>(Sady 159,66195, Máj 91,05159)</t>
    </r>
  </si>
  <si>
    <r>
      <t xml:space="preserve">            § 3233 SVČ Fokus vratka příspěvku na energie </t>
    </r>
    <r>
      <rPr>
        <sz val="9"/>
        <rFont val="Arial CE"/>
      </rPr>
      <t>(29,88684)</t>
    </r>
  </si>
  <si>
    <r>
      <t xml:space="preserve">            § 3311 Beskydské divadlo vratka příspěvku na energie </t>
    </r>
    <r>
      <rPr>
        <sz val="8"/>
        <rFont val="Arial CE"/>
      </rPr>
      <t>(305,60085)</t>
    </r>
  </si>
  <si>
    <r>
      <t xml:space="preserve">            § 3392 MěKS vratka příspěvku na energie </t>
    </r>
    <r>
      <rPr>
        <sz val="8"/>
        <rFont val="Arial CE"/>
      </rPr>
      <t>(151,27728)</t>
    </r>
  </si>
  <si>
    <t xml:space="preserve">            § 3412 Basketbalový klub z.s.-vratky příspěvků na energie a provoz bazénů</t>
  </si>
  <si>
    <t xml:space="preserve">            § 3412 Zimní stadión z.s.-vratka příspěvku na provoz</t>
  </si>
  <si>
    <t xml:space="preserve">            § vratky program.dotací-oblast sociální (Centrum soc.služeb Ostrava 265,67313, Slezská diakonie 2,49) </t>
  </si>
  <si>
    <t xml:space="preserve">            § 3419 vratky program.dotací-oblast sportu (TJ Sokol Bludovice 3)</t>
  </si>
  <si>
    <t xml:space="preserve">            § vratky indiv.dotací (org. 1180): § 3111 MŠ Bludovice 5,36 + § 3322 ŘKF 147,136</t>
  </si>
  <si>
    <t xml:space="preserve">            § 6402 vratka TSM NJ (stř.pohřebnictví)</t>
  </si>
  <si>
    <r>
      <t xml:space="preserve">            § 6402 vratky státních a krajských dotací </t>
    </r>
    <r>
      <rPr>
        <sz val="9"/>
        <rFont val="Arial CE"/>
      </rPr>
      <t>(SVČ Fokus 8,015+33,21; MŠ Trojlístek 11,89545)</t>
    </r>
  </si>
  <si>
    <r>
      <rPr>
        <b/>
        <sz val="10"/>
        <rFont val="Arial CE"/>
      </rPr>
      <t>Prodej neinvestičního majetku</t>
    </r>
    <r>
      <rPr>
        <sz val="10"/>
        <rFont val="Arial CE"/>
      </rPr>
      <t xml:space="preserve"> (odbor organizační)</t>
    </r>
  </si>
  <si>
    <r>
      <t xml:space="preserve">Přijaté neinvestiční dary </t>
    </r>
    <r>
      <rPr>
        <sz val="9"/>
        <rFont val="Arial CE"/>
      </rPr>
      <t xml:space="preserve">(Veolia Dalkia ČR-financování kulturních a společenských akcí města) </t>
    </r>
  </si>
  <si>
    <t>?</t>
  </si>
  <si>
    <r>
      <t>Přijaté pojistné náhrady</t>
    </r>
    <r>
      <rPr>
        <sz val="9"/>
        <rFont val="Arial CE"/>
      </rPr>
      <t xml:space="preserve"> (odbor organizační 50 + odbor bytový 50)</t>
    </r>
  </si>
  <si>
    <r>
      <rPr>
        <sz val="10"/>
        <rFont val="Arial CE"/>
      </rPr>
      <t xml:space="preserve">         </t>
    </r>
    <r>
      <rPr>
        <b/>
        <sz val="10"/>
        <rFont val="Arial CE"/>
      </rPr>
      <t xml:space="preserve"> </t>
    </r>
    <r>
      <rPr>
        <sz val="10"/>
        <rFont val="Arial CE"/>
      </rPr>
      <t xml:space="preserve"> § 1037 celospolečenské funkce lesů</t>
    </r>
  </si>
  <si>
    <r>
      <t>009/2141/</t>
    </r>
    <r>
      <rPr>
        <b/>
        <sz val="10"/>
        <rFont val="Arial CE"/>
      </rPr>
      <t>2324</t>
    </r>
  </si>
  <si>
    <r>
      <t xml:space="preserve">           § 2141 vnitřní obchod </t>
    </r>
    <r>
      <rPr>
        <sz val="9"/>
        <rFont val="Arial CE"/>
      </rPr>
      <t>(obecní živnostenský úřad: náklady řízení)</t>
    </r>
  </si>
  <si>
    <t xml:space="preserve">           § 2141 vnitřní obchod (Návštěvnické centrum NJ)</t>
  </si>
  <si>
    <t xml:space="preserve">           § 2169 stavební úřad </t>
  </si>
  <si>
    <r>
      <t xml:space="preserve">           § 2223 bezpečnost silničního provozu </t>
    </r>
    <r>
      <rPr>
        <sz val="9"/>
        <rFont val="Arial CE"/>
      </rPr>
      <t>(dopravní přestupky: náklady řízení)</t>
    </r>
  </si>
  <si>
    <r>
      <t xml:space="preserve">           § 3612 bytové hospodářství </t>
    </r>
    <r>
      <rPr>
        <sz val="9"/>
        <rFont val="Arial CE"/>
      </rPr>
      <t>(odbor bytový: úhrada nákladů soudních řízení+poplatky z prodlení)</t>
    </r>
  </si>
  <si>
    <r>
      <t xml:space="preserve">           § 3613 nebytové hospodářství </t>
    </r>
    <r>
      <rPr>
        <sz val="9"/>
        <rFont val="Arial CE"/>
      </rPr>
      <t>(odb.bytový: úhrada nákladů soudních řízení+popl.z prodlení)</t>
    </r>
  </si>
  <si>
    <t xml:space="preserve">           § 3635 územní plánování - úhrada nákladů na pořízení změny č. 8 ÚP NJ </t>
  </si>
  <si>
    <r>
      <t>2310600/741/3639/</t>
    </r>
    <r>
      <rPr>
        <b/>
        <sz val="10"/>
        <rFont val="Arial CE"/>
      </rPr>
      <t>2324</t>
    </r>
  </si>
  <si>
    <r>
      <t xml:space="preserve">           § 3639 náklady řízení </t>
    </r>
    <r>
      <rPr>
        <sz val="9"/>
        <rFont val="Arial CE"/>
      </rPr>
      <t>(odbor finanční)</t>
    </r>
  </si>
  <si>
    <r>
      <t xml:space="preserve">          </t>
    </r>
    <r>
      <rPr>
        <sz val="10"/>
        <rFont val="Arial CE"/>
      </rPr>
      <t xml:space="preserve"> § 3612 Ukrajina (dle rozhodnutí Kraje z 15.9.2022)  - náhrady nákladů za ubytování </t>
    </r>
  </si>
  <si>
    <r>
      <t xml:space="preserve">           § 3722 sběr a svoz komunálních odpadů </t>
    </r>
    <r>
      <rPr>
        <sz val="9"/>
        <rFont val="Arial CE"/>
      </rPr>
      <t xml:space="preserve">(příspěvek od EKOKOMu)               </t>
    </r>
  </si>
  <si>
    <t xml:space="preserve">           § 3769 ostatní správa v životním prostředí</t>
  </si>
  <si>
    <r>
      <t xml:space="preserve">           § 5311 bezpečnost a veřejný pořádek</t>
    </r>
    <r>
      <rPr>
        <sz val="9"/>
        <rFont val="Arial CE"/>
      </rPr>
      <t xml:space="preserve"> (Městská policie: náhrady)</t>
    </r>
  </si>
  <si>
    <r>
      <t xml:space="preserve">           § 6171 činnost místní správy </t>
    </r>
    <r>
      <rPr>
        <sz val="9"/>
        <rFont val="Arial CE"/>
      </rPr>
      <t>(obecné přestupky: náklady řízení)</t>
    </r>
  </si>
  <si>
    <r>
      <t xml:space="preserve">           § 6171 činnost místní správy </t>
    </r>
    <r>
      <rPr>
        <sz val="9"/>
        <rFont val="Arial CE"/>
      </rPr>
      <t>(organizační odbor)</t>
    </r>
  </si>
  <si>
    <r>
      <t>741/6171/</t>
    </r>
    <r>
      <rPr>
        <b/>
        <sz val="10"/>
        <rFont val="Arial CE"/>
      </rPr>
      <t>2324</t>
    </r>
    <r>
      <rPr>
        <sz val="9"/>
        <rFont val="Arial CE"/>
      </rPr>
      <t>/----,0222</t>
    </r>
  </si>
  <si>
    <r>
      <t xml:space="preserve">           § 6171 činnost místní správy</t>
    </r>
    <r>
      <rPr>
        <sz val="10"/>
        <rFont val="Arial CE"/>
      </rPr>
      <t xml:space="preserve"> </t>
    </r>
    <r>
      <rPr>
        <sz val="9"/>
        <rFont val="Arial CE"/>
      </rPr>
      <t>(Odbor finanční: náklady řízení 15, úhrada exek.a soudních řízení 15)</t>
    </r>
  </si>
  <si>
    <t xml:space="preserve">           § 6221 humanitární zahraniční pomoc (příspěvek na ubytování ukr.uprchl.v obecních bytech)</t>
  </si>
  <si>
    <r>
      <t>2310600/741/6409/</t>
    </r>
    <r>
      <rPr>
        <b/>
        <sz val="10"/>
        <rFont val="Arial CE"/>
      </rPr>
      <t>2324</t>
    </r>
  </si>
  <si>
    <t xml:space="preserve">           § 6409 ost.činnosti jinde nezařazené (odbor finanční)</t>
  </si>
  <si>
    <r>
      <rPr>
        <sz val="9"/>
        <rFont val="Arial CE"/>
      </rPr>
      <t>741/6409/</t>
    </r>
    <r>
      <rPr>
        <b/>
        <sz val="10"/>
        <rFont val="Arial CE"/>
      </rPr>
      <t>2328</t>
    </r>
  </si>
  <si>
    <t xml:space="preserve">Neidentifikované příjmy </t>
  </si>
  <si>
    <t xml:space="preserve">           § 2143 neinvest.přísp.z MSK NCNJ</t>
  </si>
  <si>
    <r>
      <t xml:space="preserve">           § 3341 kabelová televize Straník-přihlášky</t>
    </r>
    <r>
      <rPr>
        <sz val="9"/>
        <rFont val="Arial CE"/>
      </rPr>
      <t xml:space="preserve"> </t>
    </r>
    <r>
      <rPr>
        <sz val="10"/>
        <rFont val="Arial CE"/>
      </rPr>
      <t>(odbor správy majetku)</t>
    </r>
  </si>
  <si>
    <t xml:space="preserve">           § 3612 bytové hospodářství (odbor bytový)</t>
  </si>
  <si>
    <t xml:space="preserve">           § 3613 nebytové hospodářství (odbor bytový)</t>
  </si>
  <si>
    <r>
      <t xml:space="preserve">           § 3613 chata Jičínka </t>
    </r>
    <r>
      <rPr>
        <sz val="10"/>
        <rFont val="Arial CE"/>
      </rPr>
      <t>(org. 4381)=účet 2310440, OSM kovošrot 0,310 + ostatní=účet 2310600</t>
    </r>
  </si>
  <si>
    <r>
      <t xml:space="preserve">           § 3632</t>
    </r>
    <r>
      <rPr>
        <sz val="10"/>
        <rFont val="Arial CE"/>
      </rPr>
      <t xml:space="preserve"> pohřebnictví (odbor sociálních věcí - příjmy ze sociálních pohřbů)</t>
    </r>
  </si>
  <si>
    <t xml:space="preserve">           § 3633 náklady za připojení CTP Moravia North spol. s r.o., průmyslový park (odbor správy majetku)</t>
  </si>
  <si>
    <t xml:space="preserve">           § 3639 provoz internetu ve Straníku,(kovošrot 0,920), (odbor správy majetku)</t>
  </si>
  <si>
    <r>
      <t xml:space="preserve">           § 4351 neinvestiční příspěvek na poskytování sociálních služeb pro Prosenior </t>
    </r>
    <r>
      <rPr>
        <sz val="9"/>
        <rFont val="Arial CE"/>
      </rPr>
      <t>(předpokládaná dotace z MPSV) - po schválení je rozpočtováno na pol. 4122</t>
    </r>
  </si>
  <si>
    <r>
      <t xml:space="preserve">           §           neinvestiční příspěvek na výkon soc.právní ochrany dětí </t>
    </r>
    <r>
      <rPr>
        <sz val="9"/>
        <rFont val="Arial CE"/>
      </rPr>
      <t>(předpokládaná dotace z MPSV) - po schválení je rozpočtováno na pol. 4116 (ÚZ 13024)</t>
    </r>
  </si>
  <si>
    <r>
      <t xml:space="preserve">           §           neinvestiční příspěvek pouze na výkon soc.práce mimo soc.právní ochranu dětí </t>
    </r>
    <r>
      <rPr>
        <sz val="9"/>
        <rFont val="Arial CE"/>
      </rPr>
      <t>(předpokládaná dotace z MPSV) - po schválení je rozpočtováno na pol. 4116 (ÚZ 914)</t>
    </r>
  </si>
  <si>
    <r>
      <t xml:space="preserve">           § 3322-3326 neinvestiční příspěvek na regeneraci MPR a MPZ (předpokládaná dotace z MK ČR) -</t>
    </r>
    <r>
      <rPr>
        <sz val="9"/>
        <rFont val="Arial CE"/>
      </rPr>
      <t>po schválení je rozpočtováno na pol. 4116 (ÚZ 34054)</t>
    </r>
  </si>
  <si>
    <r>
      <t>2310400/</t>
    </r>
    <r>
      <rPr>
        <b/>
        <sz val="9"/>
        <color indexed="2"/>
        <rFont val="Arial CE"/>
      </rPr>
      <t>741</t>
    </r>
    <r>
      <rPr>
        <sz val="9"/>
        <rFont val="Arial CE"/>
      </rPr>
      <t>/6118/</t>
    </r>
    <r>
      <rPr>
        <b/>
        <sz val="10"/>
        <rFont val="Arial CE"/>
      </rPr>
      <t>2329</t>
    </r>
  </si>
  <si>
    <r>
      <t xml:space="preserve">           § 6118 neinvest.příspěvek </t>
    </r>
    <r>
      <rPr>
        <sz val="9"/>
        <rFont val="Arial CE"/>
      </rPr>
      <t>(dotace)</t>
    </r>
    <r>
      <rPr>
        <sz val="10"/>
        <rFont val="Arial CE"/>
      </rPr>
      <t xml:space="preserve"> na volby prezidenta v r. 2023 + volby do zast.krajů - doplatky</t>
    </r>
  </si>
  <si>
    <t xml:space="preserve">           § 4399 ostatní záležitosti soc.věcí a politiky zaměstnanosti</t>
  </si>
  <si>
    <t xml:space="preserve">           § 6171, § 6409 odbor organizační </t>
  </si>
  <si>
    <t xml:space="preserve">           § 6310 odbor finanční</t>
  </si>
  <si>
    <r>
      <t xml:space="preserve">           na volby v roce 2024 (předpokládané dotace) - </t>
    </r>
    <r>
      <rPr>
        <sz val="9"/>
        <rFont val="Arial CE"/>
      </rPr>
      <t>po schválení je rozpočtováno na pol. 4111</t>
    </r>
  </si>
  <si>
    <r>
      <rPr>
        <sz val="9"/>
        <rFont val="Arial CE"/>
      </rPr>
      <t>2310410/741/6409/</t>
    </r>
    <r>
      <rPr>
        <b/>
        <sz val="10"/>
        <rFont val="Arial CE"/>
      </rPr>
      <t>2329</t>
    </r>
  </si>
  <si>
    <t xml:space="preserve">          § 6409 ostatní činnosti jinde nezařazené (výplata 95% pohledávky ze Sberbank, a.s.)-odbor finanční</t>
  </si>
  <si>
    <r>
      <t>Příjmy z prodeje pozemků s DPH 21%, popř. s DPH 0%</t>
    </r>
    <r>
      <rPr>
        <b/>
        <sz val="9"/>
        <rFont val="Arial CE"/>
      </rPr>
      <t xml:space="preserve"> </t>
    </r>
    <r>
      <rPr>
        <sz val="9"/>
        <rFont val="Arial CE"/>
      </rPr>
      <t>(Prům. park 33300, Prům. park-nabídkové řízení 10300, ČSAD 5000, ost. 600 vč. DPH)</t>
    </r>
  </si>
  <si>
    <r>
      <t xml:space="preserve">Příjmy z prodeje pozemků </t>
    </r>
    <r>
      <rPr>
        <sz val="10"/>
        <rFont val="Arial CE"/>
      </rPr>
      <t>(nikoliv v režimu DPH)</t>
    </r>
  </si>
  <si>
    <t xml:space="preserve">             bytový dům Dolní Brána 26</t>
  </si>
  <si>
    <t xml:space="preserve">             nebytový dům U Jezu - Charita</t>
  </si>
  <si>
    <t xml:space="preserve">             bytový dům Hluboká 188</t>
  </si>
  <si>
    <t xml:space="preserve">             nebytový dům Beskydská 176</t>
  </si>
  <si>
    <t xml:space="preserve">             hasičská zbrojnice Kojetín dle znal.posudku</t>
  </si>
  <si>
    <t xml:space="preserve">             sklepy Štefánikova</t>
  </si>
  <si>
    <r>
      <t>Příjmy z prodeje ostatního hmotného dlouhodobého majetku</t>
    </r>
    <r>
      <rPr>
        <sz val="9"/>
        <rFont val="Arial CE"/>
      </rPr>
      <t xml:space="preserve"> (auto 53,2+notebooky ZM 43,2)</t>
    </r>
  </si>
  <si>
    <t>Přijaté dary na pořízení dlouhodobého majetku</t>
  </si>
  <si>
    <t xml:space="preserve">             Komunikace ČSAD</t>
  </si>
  <si>
    <r>
      <t xml:space="preserve">             </t>
    </r>
    <r>
      <rPr>
        <sz val="10"/>
        <rFont val="Arial CE"/>
      </rPr>
      <t>RWE GAS Storage (Workoutové hřiště Žilina)</t>
    </r>
  </si>
  <si>
    <t>Přijaté příspěvky od osob na pořízení dlohodobého majetku</t>
  </si>
  <si>
    <r>
      <t xml:space="preserve">            </t>
    </r>
    <r>
      <rPr>
        <sz val="10"/>
        <rFont val="Arial CE"/>
      </rPr>
      <t xml:space="preserve"> Úprava kabelových rozvodů ve Straníku ČEPS, a.s.</t>
    </r>
  </si>
  <si>
    <t xml:space="preserve">             SFPI - RPS Nerudova 1. etapa </t>
  </si>
  <si>
    <t xml:space="preserve">             Byty Ukrajina (po schválení ve tř. 4)</t>
  </si>
  <si>
    <r>
      <rPr>
        <sz val="9"/>
        <rFont val="Arial CE"/>
      </rPr>
      <t>2310400/</t>
    </r>
    <r>
      <rPr>
        <sz val="9"/>
        <color indexed="2"/>
        <rFont val="Arial CE"/>
      </rPr>
      <t>741</t>
    </r>
    <r>
      <rPr>
        <sz val="9"/>
        <rFont val="Arial CE"/>
      </rPr>
      <t>/4351</t>
    </r>
    <r>
      <rPr>
        <sz val="10"/>
        <rFont val="Arial CE"/>
      </rPr>
      <t>/</t>
    </r>
    <r>
      <rPr>
        <b/>
        <sz val="10"/>
        <rFont val="Arial CE"/>
      </rPr>
      <t>3129</t>
    </r>
  </si>
  <si>
    <t xml:space="preserve">             Pořízení nových vozidel pro ProSenior Nový Jičín II</t>
  </si>
  <si>
    <t xml:space="preserve">             VO Efekt 2023</t>
  </si>
  <si>
    <t xml:space="preserve">             Čestné hroby II</t>
  </si>
  <si>
    <t xml:space="preserve">             Architektonická soutěž</t>
  </si>
  <si>
    <t xml:space="preserve">             Autobusová zastávka Požární zbrojnice</t>
  </si>
  <si>
    <t xml:space="preserve">             Autobusová zastávka ul. Riegrova</t>
  </si>
  <si>
    <t xml:space="preserve">             FVE na budově TSNJ</t>
  </si>
  <si>
    <r>
      <rPr>
        <sz val="10"/>
        <rFont val="Arial CE"/>
      </rPr>
      <t>741/----/</t>
    </r>
    <r>
      <rPr>
        <b/>
        <sz val="10"/>
        <rFont val="Arial CE"/>
      </rPr>
      <t>4111</t>
    </r>
    <r>
      <rPr>
        <sz val="10"/>
        <rFont val="Arial CE"/>
      </rPr>
      <t>/98008</t>
    </r>
  </si>
  <si>
    <t xml:space="preserve">z toho: na volby prezidenta ČR  </t>
  </si>
  <si>
    <r>
      <t>317/----/4111/</t>
    </r>
    <r>
      <rPr>
        <sz val="10"/>
        <rFont val="Arial CE"/>
      </rPr>
      <t>98348</t>
    </r>
  </si>
  <si>
    <t xml:space="preserve">            na volby do Evropského parlamentu 7.-8.6.2024</t>
  </si>
  <si>
    <r>
      <t>317/----/4111/</t>
    </r>
    <r>
      <rPr>
        <sz val="10"/>
        <rFont val="Arial CE"/>
      </rPr>
      <t>98193</t>
    </r>
  </si>
  <si>
    <t xml:space="preserve">            na volby do zastupitelstev krajů 20.-21.9.2024</t>
  </si>
  <si>
    <t>741/----/4112</t>
  </si>
  <si>
    <r>
      <t xml:space="preserve">Neinvestiční přijaté transfery ze státního rozpočtu v rámci souhrnného dotačního vztahu                                                                                                                                                                          </t>
    </r>
    <r>
      <rPr>
        <sz val="10"/>
        <rFont val="Arial CE"/>
      </rPr>
      <t xml:space="preserve">(příspěvek na výkon státní správy)                                                                                                                                                                                                                                                                                                                                                                                                                                                              </t>
    </r>
  </si>
  <si>
    <r>
      <t>741/----/4116/17085</t>
    </r>
    <r>
      <rPr>
        <sz val="10"/>
        <rFont val="Arial CE"/>
      </rPr>
      <t>/1495</t>
    </r>
  </si>
  <si>
    <t>z toho: MMR-IROP-EU: Autobus.zastávka Požární zbrojnice v NJ-Žilině (ÚZ 17085)</t>
  </si>
  <si>
    <r>
      <t>741/----/4116/----/17016</t>
    </r>
    <r>
      <rPr>
        <sz val="10"/>
        <rFont val="Arial CE"/>
      </rPr>
      <t>/1075</t>
    </r>
  </si>
  <si>
    <r>
      <t>741/----/4116/----/17015</t>
    </r>
    <r>
      <rPr>
        <sz val="10"/>
        <rFont val="Arial CE"/>
      </rPr>
      <t>/1071</t>
    </r>
  </si>
  <si>
    <r>
      <t>741/----/4116/----/13013</t>
    </r>
    <r>
      <rPr>
        <sz val="10"/>
        <rFont val="Arial CE"/>
      </rPr>
      <t>/1041</t>
    </r>
  </si>
  <si>
    <t xml:space="preserve">            MPSV: Operační program Zaměstnanost-státní rozpočet (ÚZ 13013)</t>
  </si>
  <si>
    <r>
      <t>741/----/4116/----/13013</t>
    </r>
    <r>
      <rPr>
        <sz val="10"/>
        <rFont val="Arial CE"/>
      </rPr>
      <t>/1045</t>
    </r>
  </si>
  <si>
    <t xml:space="preserve">            MPSV: Operační program Zaměstnanost-z EU (ÚZ 13013)</t>
  </si>
  <si>
    <t>919/----/4116/----/13015</t>
  </si>
  <si>
    <r>
      <t xml:space="preserve">            MPSV: Výkon soc.práce mimo sociálně-právní ochrany dětí </t>
    </r>
    <r>
      <rPr>
        <sz val="10"/>
        <rFont val="Arial CE"/>
      </rPr>
      <t>(ÚZ 13015)</t>
    </r>
  </si>
  <si>
    <t>741/----/4116/----/13024</t>
  </si>
  <si>
    <t xml:space="preserve">            MPSV: Výkon sociálně-právní ochrany dětí (ÚZ 13024)</t>
  </si>
  <si>
    <r>
      <t>035/----/4116/----/</t>
    </r>
    <r>
      <rPr>
        <sz val="10"/>
        <rFont val="Arial CE"/>
      </rPr>
      <t>29014/1705</t>
    </r>
  </si>
  <si>
    <t xml:space="preserve">            Min.zeměd.: Příspěvek na obnovu, zajištění a výchovu porostů-z EU (ÚZ 29014)</t>
  </si>
  <si>
    <r>
      <t>035/----/4116/----/</t>
    </r>
    <r>
      <rPr>
        <sz val="10"/>
        <rFont val="Arial CE"/>
      </rPr>
      <t>29015</t>
    </r>
  </si>
  <si>
    <t xml:space="preserve">            Min.zeměd.: Příspěvek na ekologické a k přírodě šetrné technologie (ÚZ 29015)</t>
  </si>
  <si>
    <r>
      <t>035/----/4116/</t>
    </r>
    <r>
      <rPr>
        <sz val="10"/>
        <rFont val="Arial CE"/>
      </rPr>
      <t>0375</t>
    </r>
    <r>
      <rPr>
        <b/>
        <sz val="10"/>
        <rFont val="Arial CE"/>
      </rPr>
      <t>/</t>
    </r>
    <r>
      <rPr>
        <sz val="10"/>
        <rFont val="Arial CE"/>
      </rPr>
      <t>29031/1705</t>
    </r>
  </si>
  <si>
    <t xml:space="preserve">            Min.zeměd.: Plán národní obnovy-z EU (ÚZ 29031)</t>
  </si>
  <si>
    <r>
      <t xml:space="preserve">            MMR nákup vozidel pro PS NJ (90%)</t>
    </r>
    <r>
      <rPr>
        <sz val="9"/>
        <rFont val="Arial CE"/>
      </rPr>
      <t xml:space="preserve"> (ÚZ 91628 N107 Z5)</t>
    </r>
  </si>
  <si>
    <r>
      <t>414/----/4116/---/</t>
    </r>
    <r>
      <rPr>
        <sz val="10"/>
        <rFont val="Arial CE"/>
      </rPr>
      <t>33092</t>
    </r>
    <r>
      <rPr>
        <b/>
        <sz val="10"/>
        <rFont val="Arial CE"/>
      </rPr>
      <t>/</t>
    </r>
    <r>
      <rPr>
        <sz val="10"/>
        <rFont val="Arial CE"/>
      </rPr>
      <t>1431</t>
    </r>
  </si>
  <si>
    <t xml:space="preserve">            Min.školství, mládeže a tělových.: Operační program J.A.Komenský-státní rozpočet (ÚZ 33092)</t>
  </si>
  <si>
    <r>
      <t>414/----/4116/---/</t>
    </r>
    <r>
      <rPr>
        <sz val="10"/>
        <rFont val="Arial CE"/>
      </rPr>
      <t>33092</t>
    </r>
    <r>
      <rPr>
        <b/>
        <sz val="10"/>
        <rFont val="Arial CE"/>
      </rPr>
      <t>/</t>
    </r>
    <r>
      <rPr>
        <sz val="10"/>
        <rFont val="Arial CE"/>
      </rPr>
      <t>1435</t>
    </r>
  </si>
  <si>
    <t xml:space="preserve">            Min.školství, mládeže a tělových.: Operační program J.A.Komenský-z EU (ÚZ 33092)</t>
  </si>
  <si>
    <r>
      <t>741/----/4116/----/</t>
    </r>
    <r>
      <rPr>
        <sz val="10"/>
        <rFont val="Arial CE"/>
      </rPr>
      <t>34054</t>
    </r>
  </si>
  <si>
    <t xml:space="preserve">            Min.kultury: Oprava střechy na budově radnice (ÚZ 34054)</t>
  </si>
  <si>
    <r>
      <t>416/----/4116/----/</t>
    </r>
    <r>
      <rPr>
        <sz val="10"/>
        <rFont val="Arial CE"/>
      </rPr>
      <t>34002</t>
    </r>
  </si>
  <si>
    <t xml:space="preserve">            Min.kultury: Obnova pomníku G.J.Mendela (ÚZ 34002)</t>
  </si>
  <si>
    <r>
      <t xml:space="preserve">z toho: za veřejnoprávní smlouvy s ostatními obcemi na úseku přestupků </t>
    </r>
    <r>
      <rPr>
        <sz val="9"/>
        <rFont val="Arial CE"/>
      </rPr>
      <t>(odbor přestupkových agend)</t>
    </r>
  </si>
  <si>
    <r>
      <t xml:space="preserve">            za veřejnopravní smlouvy s ostatními obcemi </t>
    </r>
    <r>
      <rPr>
        <sz val="9"/>
        <rFont val="Arial CE"/>
      </rPr>
      <t>(Městská policie-odchyt psů)</t>
    </r>
  </si>
  <si>
    <t xml:space="preserve">            na poskytování podpory soc.služeb dle zákona o soc.službách ORJ 541, org.1113</t>
  </si>
  <si>
    <t xml:space="preserve">            na poskytování podpory soc.služeb dle zákona o soc.službách ORJ 541, org.1114</t>
  </si>
  <si>
    <t xml:space="preserve">            na poskytování podpory soc.služeb dle zákona o soc.službách ORJ 029, org.1119 (pro Prosenior)</t>
  </si>
  <si>
    <t xml:space="preserve">            financování a obnova vodovodu Hodslavice - Straník (odbor správy majetku)</t>
  </si>
  <si>
    <r>
      <t xml:space="preserve">            za veřejnoprávní smlouvy s ostatními obcemi </t>
    </r>
    <r>
      <rPr>
        <sz val="9"/>
        <rFont val="Arial CE"/>
      </rPr>
      <t>(</t>
    </r>
    <r>
      <rPr>
        <sz val="10"/>
        <rFont val="Arial CE"/>
      </rPr>
      <t>stavební úřad</t>
    </r>
    <r>
      <rPr>
        <sz val="9"/>
        <rFont val="Arial CE"/>
      </rPr>
      <t>)</t>
    </r>
  </si>
  <si>
    <r>
      <t xml:space="preserve">z toho: Zajištění dočasného nouzového ubytování pro uprchlíky z Ukrajiny </t>
    </r>
    <r>
      <rPr>
        <sz val="9"/>
        <rFont val="Arial CE"/>
      </rPr>
      <t xml:space="preserve">(ÚZ 900)    </t>
    </r>
  </si>
  <si>
    <r>
      <t xml:space="preserve">            Zajištění okresních a krajských přehlídek a soutěží typu A a B - pro SVČ Fokus </t>
    </r>
    <r>
      <rPr>
        <sz val="9"/>
        <rFont val="Arial CE"/>
      </rPr>
      <t>(ÚZ 910)</t>
    </r>
  </si>
  <si>
    <r>
      <t xml:space="preserve">            MŠMT: Zajištění okresních a krajských přehlídek a soutěží typu A a B - pro SVČ Fokus </t>
    </r>
    <r>
      <rPr>
        <sz val="9"/>
        <rFont val="Arial CE"/>
      </rPr>
      <t>(ÚZ 833)</t>
    </r>
  </si>
  <si>
    <r>
      <t>011/----/4122</t>
    </r>
    <r>
      <rPr>
        <sz val="10"/>
        <rFont val="Arial CE"/>
      </rPr>
      <t>/1100/00673</t>
    </r>
  </si>
  <si>
    <r>
      <t xml:space="preserve">            Podpora turistických informačních center v MSK - pro Návštěvnické centrum NJ </t>
    </r>
    <r>
      <rPr>
        <sz val="9"/>
        <rFont val="Arial CE"/>
      </rPr>
      <t>(ÚZ 673)</t>
    </r>
  </si>
  <si>
    <r>
      <t>011/----/4122</t>
    </r>
    <r>
      <rPr>
        <sz val="10"/>
        <rFont val="Arial CE"/>
      </rPr>
      <t>/1100/00693</t>
    </r>
  </si>
  <si>
    <r>
      <t xml:space="preserve">            Podpora technických atraktivit v NJ - pro Návštěvnické centrum NJ</t>
    </r>
    <r>
      <rPr>
        <sz val="10"/>
        <rFont val="Arial CE"/>
      </rPr>
      <t xml:space="preserve"> (ÚZ 693)</t>
    </r>
  </si>
  <si>
    <r>
      <t>416/----/4122/----/</t>
    </r>
    <r>
      <rPr>
        <sz val="10"/>
        <rFont val="Arial CE"/>
      </rPr>
      <t>00345</t>
    </r>
  </si>
  <si>
    <r>
      <t xml:space="preserve">            Zajištění výkonu regionálních funkcí knihoven - pro MěKS</t>
    </r>
    <r>
      <rPr>
        <sz val="9"/>
        <rFont val="Arial CE"/>
      </rPr>
      <t xml:space="preserve"> (ÚZ 345)</t>
    </r>
  </si>
  <si>
    <r>
      <t>741/----/4122/----/</t>
    </r>
    <r>
      <rPr>
        <sz val="10"/>
        <rFont val="Arial CE"/>
      </rPr>
      <t>00711</t>
    </r>
  </si>
  <si>
    <t xml:space="preserve">            Společná stezka pro chodce a cyklisty Rybníčky (ÚZ 711)</t>
  </si>
  <si>
    <r>
      <t>414/----/4122</t>
    </r>
    <r>
      <rPr>
        <sz val="10"/>
        <rFont val="Arial CE"/>
      </rPr>
      <t>/00913/1201</t>
    </r>
  </si>
  <si>
    <t xml:space="preserve">            Poskytování materiální pomoci (obědy dětem) - pro ZŠ a MŠ-státní rozpočet (ÚZ 913)</t>
  </si>
  <si>
    <r>
      <t>414/----/4122</t>
    </r>
    <r>
      <rPr>
        <sz val="10"/>
        <rFont val="Arial CE"/>
      </rPr>
      <t>/00913/1205</t>
    </r>
  </si>
  <si>
    <t xml:space="preserve">            Poskytování materiální pomoci (obědy dětem) - pro ZŠ a MŠ-z EU (ÚZ 913)</t>
  </si>
  <si>
    <t xml:space="preserve">            Potravin.pomoc dětem v soc.nouzi z prostř.OPZ+ v MSK</t>
  </si>
  <si>
    <r>
      <t>029/----/4122/----/</t>
    </r>
    <r>
      <rPr>
        <sz val="10"/>
        <rFont val="Arial CE"/>
      </rPr>
      <t>00914</t>
    </r>
  </si>
  <si>
    <r>
      <t xml:space="preserve">            Poskytování sociálních služeb - pro Prosenior NJ </t>
    </r>
    <r>
      <rPr>
        <sz val="9"/>
        <rFont val="Arial CE"/>
      </rPr>
      <t>(ÚZ 914)</t>
    </r>
    <r>
      <rPr>
        <sz val="10"/>
        <rFont val="Arial CE"/>
      </rPr>
      <t xml:space="preserve"> </t>
    </r>
  </si>
  <si>
    <r>
      <t>2360100/741/6330/</t>
    </r>
    <r>
      <rPr>
        <b/>
        <sz val="9"/>
        <rFont val="Arial CE"/>
      </rPr>
      <t>4134</t>
    </r>
    <r>
      <rPr>
        <sz val="9"/>
        <rFont val="Arial CE"/>
      </rPr>
      <t>/0/0</t>
    </r>
  </si>
  <si>
    <t>Převody z rozpočtových účtů</t>
  </si>
  <si>
    <t>919/6330/4134</t>
  </si>
  <si>
    <t>z toho: Sociální fond (Odbor kancelář vedení města)</t>
  </si>
  <si>
    <t>541/6330/4134</t>
  </si>
  <si>
    <t xml:space="preserve">             Fond sociálních služeb (Odbor soc.věcí)</t>
  </si>
  <si>
    <t>Převody z vlastních fondů</t>
  </si>
  <si>
    <t>Investiční přijaté transfery ze státních fondů</t>
  </si>
  <si>
    <r>
      <t>741/----/4213/</t>
    </r>
    <r>
      <rPr>
        <sz val="10"/>
        <rFont val="Arial CE"/>
      </rPr>
      <t>----/92501</t>
    </r>
  </si>
  <si>
    <t>z toho: Regenerace panel.sídliště Nerudova (ÚZ 92501)</t>
  </si>
  <si>
    <t xml:space="preserve">            Intenzifikace kompostárny v Novém Jičíně (v TSM NJ) - dotace ze SFŽP ve výši 70% real.výdajů </t>
  </si>
  <si>
    <r>
      <t xml:space="preserve">            IROP MMR Jičínská  272 - revitalizace bytového domu </t>
    </r>
    <r>
      <rPr>
        <sz val="9"/>
        <rFont val="Arial"/>
      </rPr>
      <t>(odbor bytový) (ÚZ 17969 N 107 Z 5)</t>
    </r>
  </si>
  <si>
    <r>
      <t xml:space="preserve">            IROP MMR Jičínská  275 - revitalizace bytového domu </t>
    </r>
    <r>
      <rPr>
        <sz val="9"/>
        <rFont val="Arial"/>
      </rPr>
      <t>(odbor bytový) (ÚZ 17969 N 107 Z 5)</t>
    </r>
  </si>
  <si>
    <r>
      <rPr>
        <b/>
        <sz val="10"/>
        <color indexed="2"/>
        <rFont val="Arial CE"/>
      </rPr>
      <t>741</t>
    </r>
    <r>
      <rPr>
        <sz val="10"/>
        <rFont val="Arial CE"/>
      </rPr>
      <t>/----/</t>
    </r>
    <r>
      <rPr>
        <b/>
        <sz val="10"/>
        <rFont val="Arial CE"/>
      </rPr>
      <t>4213</t>
    </r>
    <r>
      <rPr>
        <sz val="10"/>
        <rFont val="Arial CE"/>
      </rPr>
      <t>/90506</t>
    </r>
  </si>
  <si>
    <r>
      <t xml:space="preserve">            Kelímky, kompostery, myčka (pro NCNJ)</t>
    </r>
    <r>
      <rPr>
        <sz val="9"/>
        <rFont val="Arial CE"/>
      </rPr>
      <t xml:space="preserve"> (ÚZ 90506)</t>
    </r>
  </si>
  <si>
    <t>z toho: MPSV: Efektivní veřejná správa</t>
  </si>
  <si>
    <r>
      <t>741/----/4216/17519</t>
    </r>
    <r>
      <rPr>
        <sz val="10"/>
        <rFont val="Arial CE"/>
      </rPr>
      <t>/1495</t>
    </r>
  </si>
  <si>
    <t xml:space="preserve">            Autobusová zastávka Požární zbrojnice v NJ-Žilině</t>
  </si>
  <si>
    <r>
      <t>741/----/4216/----/17969</t>
    </r>
    <r>
      <rPr>
        <sz val="10"/>
        <rFont val="Arial CE"/>
      </rPr>
      <t>/1075</t>
    </r>
  </si>
  <si>
    <r>
      <t>741/----/4216/----/17968</t>
    </r>
    <r>
      <rPr>
        <sz val="10"/>
        <rFont val="Arial CE"/>
      </rPr>
      <t>/1071</t>
    </r>
  </si>
  <si>
    <r>
      <t>741/----/4216/----/17969</t>
    </r>
    <r>
      <rPr>
        <sz val="10"/>
        <rFont val="Arial CE"/>
      </rPr>
      <t>/1075</t>
    </r>
  </si>
  <si>
    <t xml:space="preserve">            MMR: Byty Ukrajina (ÚZ 17514)</t>
  </si>
  <si>
    <t xml:space="preserve">            MMR IROP Chodník k autobusové zastávce Bocheta (ÚZ 17969, Ná107 Z5)</t>
  </si>
  <si>
    <r>
      <t>011/----/4222</t>
    </r>
    <r>
      <rPr>
        <sz val="10"/>
        <rFont val="Arial CE"/>
      </rPr>
      <t>/1100/00693</t>
    </r>
  </si>
  <si>
    <r>
      <t>z toho: Podpora technických atraktivit v NJ - pro Návštěvnické centrum NJ</t>
    </r>
    <r>
      <rPr>
        <sz val="10"/>
        <rFont val="Arial CE"/>
      </rPr>
      <t xml:space="preserve"> (ÚZ 693)</t>
    </r>
  </si>
  <si>
    <r>
      <t>741/----/4222/</t>
    </r>
    <r>
      <rPr>
        <sz val="10"/>
        <rFont val="Arial CE"/>
      </rPr>
      <t>----/00711</t>
    </r>
  </si>
  <si>
    <r>
      <t xml:space="preserve">            Společná stezka pro chodce a cyklisty Rybníčky</t>
    </r>
    <r>
      <rPr>
        <sz val="10"/>
        <rFont val="Arial CE"/>
      </rPr>
      <t xml:space="preserve"> (ÚZ 711)</t>
    </r>
  </si>
  <si>
    <t xml:space="preserve">            Regenerace panel. sídliště Nerudova PD (ÚZ 611)</t>
  </si>
  <si>
    <t xml:space="preserve">            Revitalizace veřejného prostranství Horního nádraží (ÚZ 612)</t>
  </si>
  <si>
    <t xml:space="preserve">            Stezka pro chodce a cyklisty B. Martinů PD (ÚZ 720)</t>
  </si>
  <si>
    <r>
      <t>741</t>
    </r>
    <r>
      <rPr>
        <sz val="10"/>
        <rFont val="Arial CE"/>
      </rPr>
      <t>/---</t>
    </r>
    <r>
      <rPr>
        <b/>
        <sz val="10"/>
        <rFont val="Arial CE"/>
      </rPr>
      <t>-/8115</t>
    </r>
  </si>
  <si>
    <r>
      <t xml:space="preserve">Změna stavu krátkodobých prostředků na bankovních účtech </t>
    </r>
    <r>
      <rPr>
        <sz val="10"/>
        <rFont val="Arial CE"/>
      </rPr>
      <t>(zapojení konečných zůstatků k 31.12.2023 na účtech města 77,35825178 mil. Kč)</t>
    </r>
  </si>
  <si>
    <r>
      <t xml:space="preserve">Uhrazené splátky dlouhodobých přijatých půjčených prostředků </t>
    </r>
    <r>
      <rPr>
        <sz val="10"/>
        <rFont val="Arial CE"/>
      </rPr>
      <t>(úvěr z ČS)</t>
    </r>
  </si>
  <si>
    <r>
      <t xml:space="preserve">Změna stavu dlouhodobých prostředků na bankovních účtech </t>
    </r>
    <r>
      <rPr>
        <sz val="10"/>
        <rFont val="Arial CE"/>
      </rPr>
      <t>(vyplacení 97,72425045 mil. Kč ze Sberbank v roce 2024 + doplatek ze Sberbank v roce 2025)</t>
    </r>
  </si>
  <si>
    <t xml:space="preserve">            odvod DPH (včetně přenesené daňové povinnosti z účtů výdajového, DPH a odboru bytového)</t>
  </si>
  <si>
    <r>
      <t>Pitná voda</t>
    </r>
    <r>
      <rPr>
        <sz val="9"/>
        <rFont val="Arial CE"/>
      </rPr>
      <t xml:space="preserve"> (účet 2310800)</t>
    </r>
  </si>
  <si>
    <r>
      <t xml:space="preserve">           </t>
    </r>
    <r>
      <rPr>
        <sz val="9"/>
        <rFont val="Arial CE"/>
      </rPr>
      <t>PD k opravám (TDS, BOZP, AD)</t>
    </r>
  </si>
  <si>
    <r>
      <t xml:space="preserve">           </t>
    </r>
    <r>
      <rPr>
        <sz val="9"/>
        <rFont val="Arial CE"/>
      </rPr>
      <t xml:space="preserve">opravy a udržba </t>
    </r>
  </si>
  <si>
    <r>
      <t>0387/2310/</t>
    </r>
    <r>
      <rPr>
        <sz val="8"/>
        <rFont val="Arial CE"/>
      </rPr>
      <t>5171</t>
    </r>
  </si>
  <si>
    <r>
      <t xml:space="preserve">           </t>
    </r>
    <r>
      <rPr>
        <sz val="9"/>
        <rFont val="Arial CE"/>
      </rPr>
      <t>opravy a udržba ( oprava vodojem Straník 1500)</t>
    </r>
  </si>
  <si>
    <t>0387/2310/5362</t>
  </si>
  <si>
    <r>
      <t xml:space="preserve">           </t>
    </r>
    <r>
      <rPr>
        <sz val="9"/>
        <rFont val="Arial CE"/>
      </rPr>
      <t>poplatek - odnětí ze ZPF vodojem Straník</t>
    </r>
  </si>
  <si>
    <r>
      <t xml:space="preserve">Odvádění a čištění odpadních vod a nakládání s kaly </t>
    </r>
    <r>
      <rPr>
        <sz val="9"/>
        <rFont val="Arial CE"/>
      </rPr>
      <t>(účet 2310800)</t>
    </r>
  </si>
  <si>
    <t xml:space="preserve">            revize, poplatky, PD k opravám + Svazek obcí dle příkazní smlouvy (242,676 účet 231 0440)</t>
  </si>
  <si>
    <t xml:space="preserve">            opravy a údržba </t>
  </si>
  <si>
    <r>
      <rPr>
        <sz val="10"/>
        <rFont val="Arial CE"/>
      </rPr>
      <t xml:space="preserve">            Plán financování obnovy </t>
    </r>
    <r>
      <rPr>
        <sz val="9"/>
        <rFont val="Arial CE"/>
      </rPr>
      <t>(účet 2310441) - opr. a udržování (rekonstrukce - obnova kanalizačních šachet )</t>
    </r>
  </si>
  <si>
    <r>
      <t>Drobné vodní toky</t>
    </r>
    <r>
      <rPr>
        <sz val="9"/>
        <rFont val="Arial CE"/>
      </rPr>
      <t xml:space="preserve"> (účet 2310800)</t>
    </r>
  </si>
  <si>
    <t xml:space="preserve">           služby - čištění vodní toků</t>
  </si>
  <si>
    <t xml:space="preserve">           opravy a udržování</t>
  </si>
  <si>
    <r>
      <t xml:space="preserve">Silnice </t>
    </r>
    <r>
      <rPr>
        <sz val="8"/>
        <rFont val="Arial CE"/>
      </rPr>
      <t>(účet 2310800)</t>
    </r>
  </si>
  <si>
    <t>z toho: investice celkem (TSM)</t>
  </si>
  <si>
    <t xml:space="preserve">                  PD stavebnicový dvůr (rozvod el. energ., kamerový systém)</t>
  </si>
  <si>
    <t xml:space="preserve">                  Komunální technika - kombinace na léto a zimu (zametač a sypač s pluhem)</t>
  </si>
  <si>
    <t xml:space="preserve">                  Komunální technika - kombinace na léto a zimu (třístranný sklápeč a sypač s pluhem) při zapojení FI TSM 2,2 mil. Kč</t>
  </si>
  <si>
    <t xml:space="preserve">                  Tandemový vibrační válec</t>
  </si>
  <si>
    <r>
      <t xml:space="preserve">z toho: veřejně prospěšné práce </t>
    </r>
    <r>
      <rPr>
        <sz val="9"/>
        <rFont val="Arial CE"/>
      </rPr>
      <t>(TSM)</t>
    </r>
  </si>
  <si>
    <r>
      <t xml:space="preserve">             oprava a údržba místních komunikací </t>
    </r>
    <r>
      <rPr>
        <sz val="9"/>
        <rFont val="Arial CE"/>
      </rPr>
      <t>(TSM)</t>
    </r>
  </si>
  <si>
    <t xml:space="preserve">             oprava a údržba místních komunikací - město </t>
  </si>
  <si>
    <t>1066/2212/5171</t>
  </si>
  <si>
    <t xml:space="preserve">             oprava a údržba mostů (dle mostních prohlídek)</t>
  </si>
  <si>
    <t xml:space="preserve">             oprava opěrné zdi VT Rakovec (Bařiny)</t>
  </si>
  <si>
    <r>
      <t xml:space="preserve">             </t>
    </r>
    <r>
      <rPr>
        <sz val="10"/>
        <rFont val="Arial CE"/>
      </rPr>
      <t>služby - diagnostika vozovek 600, pasport MK 800, ost. služby 500, dozory VT Rakovec Bařiny 130</t>
    </r>
  </si>
  <si>
    <t>1066/2212/5169</t>
  </si>
  <si>
    <r>
      <t xml:space="preserve">             </t>
    </r>
    <r>
      <rPr>
        <sz val="10"/>
        <rFont val="Arial CE"/>
      </rPr>
      <t>služby - mostní prohlídky 150,  rozpočty 300</t>
    </r>
  </si>
  <si>
    <t>1067/2212/6121</t>
  </si>
  <si>
    <t xml:space="preserve">             Lávka Straník u č.p. 119 PD</t>
  </si>
  <si>
    <t>1068/2212/6121</t>
  </si>
  <si>
    <t xml:space="preserve">             Propustek Straník u č.p. 59 PD</t>
  </si>
  <si>
    <t>0386/2212/6121</t>
  </si>
  <si>
    <r>
      <t xml:space="preserve">             </t>
    </r>
    <r>
      <rPr>
        <sz val="10"/>
        <rFont val="Arial CE"/>
      </rPr>
      <t>investice - Sjezd na parkoviště u Lidlu</t>
    </r>
  </si>
  <si>
    <r>
      <t xml:space="preserve">Ostatní záležitosti pozemních komunikací </t>
    </r>
    <r>
      <rPr>
        <sz val="9"/>
        <rFont val="Arial CE"/>
      </rPr>
      <t>(účet 2310800)</t>
    </r>
  </si>
  <si>
    <t>0517/2219/6351</t>
  </si>
  <si>
    <t xml:space="preserve">             Chodník ke studni + úprava prostoru kolem studny v Žilině</t>
  </si>
  <si>
    <t>5461/2219/6121</t>
  </si>
  <si>
    <t xml:space="preserve">             Parkoviště Dlouhá č.p. 50, 52</t>
  </si>
  <si>
    <t xml:space="preserve">             Parkoviště Žilina, u kostela (p.č. 673/2)</t>
  </si>
  <si>
    <t>5465/2219/6121</t>
  </si>
  <si>
    <t xml:space="preserve">             Parkoviště MŠ Máj (KSD 36)</t>
  </si>
  <si>
    <t xml:space="preserve">             Kontejnerová stání</t>
  </si>
  <si>
    <t>0386/2219/5164</t>
  </si>
  <si>
    <t xml:space="preserve">z toho:  nájemné (užití pozemku, DZ) </t>
  </si>
  <si>
    <t xml:space="preserve">             služby - PD k opravám</t>
  </si>
  <si>
    <t xml:space="preserve">             opravy a údržba chodníků</t>
  </si>
  <si>
    <r>
      <t>Provoz veřejné silniční dopravy</t>
    </r>
    <r>
      <rPr>
        <sz val="9"/>
        <rFont val="Arial CE"/>
      </rPr>
      <t xml:space="preserve"> (účet 2310800)</t>
    </r>
  </si>
  <si>
    <t>0386/2221/6121</t>
  </si>
  <si>
    <t xml:space="preserve">             Přístřešek na autobusové zastávce  na ul. Gregorova u zdravotního střediska </t>
  </si>
  <si>
    <t xml:space="preserve">             služby - revize, poplatky</t>
  </si>
  <si>
    <t xml:space="preserve">             opravy autobusových přístřešků</t>
  </si>
  <si>
    <t xml:space="preserve">z toho: investice - výkupy pozemků - přístup k ZO Skalky, Pod Skalkou III. etapa, ČSAD - sport. areál + ost.  </t>
  </si>
  <si>
    <r>
      <t xml:space="preserve">            věcná břemena (</t>
    </r>
    <r>
      <rPr>
        <sz val="9"/>
        <rFont val="Arial CE"/>
      </rPr>
      <t>účet 2310440)</t>
    </r>
  </si>
  <si>
    <r>
      <t xml:space="preserve">            věcná břemena (</t>
    </r>
    <r>
      <rPr>
        <sz val="9"/>
        <rFont val="Arial CE"/>
      </rPr>
      <t>účet 2310800)</t>
    </r>
  </si>
  <si>
    <r>
      <t>Rozhlas a televize</t>
    </r>
    <r>
      <rPr>
        <sz val="9"/>
        <rFont val="Arial CE"/>
      </rPr>
      <t xml:space="preserve"> (účet 2310800) </t>
    </r>
  </si>
  <si>
    <t xml:space="preserve">            platby poplatky </t>
  </si>
  <si>
    <t>0513/3341/6121</t>
  </si>
  <si>
    <t xml:space="preserve">  investice: Bezdrát - umístění nových hlásičů (Žilina, Loučka, Bludovice)</t>
  </si>
  <si>
    <t xml:space="preserve">  investice: úprava kabelových rozvodů ve Straníku </t>
  </si>
  <si>
    <r>
      <t xml:space="preserve">Využití volného času dětí a mládeže </t>
    </r>
    <r>
      <rPr>
        <sz val="9"/>
        <rFont val="Arial CE"/>
      </rPr>
      <t xml:space="preserve">(účet 2310800) </t>
    </r>
  </si>
  <si>
    <t xml:space="preserve">             Dětská hřiště - příspěvek na údržbu a opravy (TSM)</t>
  </si>
  <si>
    <t xml:space="preserve">             Dětská hřiště  - drobný hmotný dlouhodobý majetek</t>
  </si>
  <si>
    <t xml:space="preserve">                                      - nákup materiálu j.n.</t>
  </si>
  <si>
    <t xml:space="preserve">                                      - služby, revize, kontroly</t>
  </si>
  <si>
    <t xml:space="preserve">                                      - opravy a údržba (DH Vančurova, Máchova, Straník...)</t>
  </si>
  <si>
    <t>0382/3421/6121</t>
  </si>
  <si>
    <t xml:space="preserve"> investice: Houpačka na Kojetíně</t>
  </si>
  <si>
    <t>0382/3412/6121</t>
  </si>
  <si>
    <t xml:space="preserve"> investice: Workoutové hřiště Žilina</t>
  </si>
  <si>
    <t xml:space="preserve"> investice: Rodinné hřiště TJ Sokol - Lamberk</t>
  </si>
  <si>
    <r>
      <t xml:space="preserve">Nebytové hospodářství </t>
    </r>
    <r>
      <rPr>
        <sz val="9"/>
        <rFont val="Arial CE"/>
      </rPr>
      <t>(účet 2310800)</t>
    </r>
  </si>
  <si>
    <t>0517/3613/5331</t>
  </si>
  <si>
    <r>
      <t xml:space="preserve">              příspěvek - </t>
    </r>
    <r>
      <rPr>
        <sz val="10"/>
        <rFont val="Arial CE"/>
      </rPr>
      <t>oprava oplocení areálu TSM</t>
    </r>
  </si>
  <si>
    <t xml:space="preserve">              drobný hmotný dlouhodobý majetek</t>
  </si>
  <si>
    <t xml:space="preserve">              nákup materiálu j.n.</t>
  </si>
  <si>
    <t xml:space="preserve">              voda (fontány, MN sloupky)</t>
  </si>
  <si>
    <t xml:space="preserve">              elektrická energie (MN sloupky, fontány, letní kino)</t>
  </si>
  <si>
    <t xml:space="preserve">              služby, revize, prohlídky</t>
  </si>
  <si>
    <t xml:space="preserve">              opravy a údržba ( 200 oplocení Hückelovy vily, 500 nátěry dřev. prvků , 300 oplocení ČOV Kojetín) </t>
  </si>
  <si>
    <t>5477/3613/6121</t>
  </si>
  <si>
    <t xml:space="preserve"> investice:  Odpočívka pro cyklisty u drážního domku - posedové schodiště</t>
  </si>
  <si>
    <r>
      <t xml:space="preserve">Veřejné osvětlení (VO) </t>
    </r>
    <r>
      <rPr>
        <sz val="9"/>
        <rFont val="Arial CE"/>
      </rPr>
      <t>(účet 2310800)</t>
    </r>
  </si>
  <si>
    <t xml:space="preserve">             VO - příspěvek na údržbu a opravy TSM</t>
  </si>
  <si>
    <t>0517/3631/6351</t>
  </si>
  <si>
    <t xml:space="preserve">             VO - astronomické spínací hodiny pro zabezpečení spínání a vypínání VO TSM</t>
  </si>
  <si>
    <t xml:space="preserve">             služby, revize, prohlídky</t>
  </si>
  <si>
    <t xml:space="preserve">             výměna osvětlení na náměstí </t>
  </si>
  <si>
    <t xml:space="preserve">             opravy a údržba</t>
  </si>
  <si>
    <t xml:space="preserve">                    VO Skalky</t>
  </si>
  <si>
    <t>3602/3631/6121</t>
  </si>
  <si>
    <t xml:space="preserve">                    VO B.Martinů, K Nemocnici</t>
  </si>
  <si>
    <t xml:space="preserve">                    VO Štefánikova PD</t>
  </si>
  <si>
    <t>5478/3631/6121</t>
  </si>
  <si>
    <t xml:space="preserve">                    VO Straník PD</t>
  </si>
  <si>
    <t>5479/3631/6121</t>
  </si>
  <si>
    <t xml:space="preserve">                    VO Slezská - u garáží </t>
  </si>
  <si>
    <t>5480/3631/6121</t>
  </si>
  <si>
    <t xml:space="preserve">                    VO K. Schwarze PD</t>
  </si>
  <si>
    <t>5481/3631/6121</t>
  </si>
  <si>
    <t xml:space="preserve">                    VO Zborovská PD</t>
  </si>
  <si>
    <t xml:space="preserve">                    VO K Archivu</t>
  </si>
  <si>
    <r>
      <t xml:space="preserve">Pohřebnictví </t>
    </r>
    <r>
      <rPr>
        <sz val="10"/>
        <rFont val="Arial CE"/>
      </rPr>
      <t xml:space="preserve">(účet 2310800) </t>
    </r>
  </si>
  <si>
    <t xml:space="preserve"> investice - inv. příspěvky TSM</t>
  </si>
  <si>
    <t xml:space="preserve">                    PD ke GO smuteční síně a márnice</t>
  </si>
  <si>
    <t xml:space="preserve">                    PD kolumbárium, obnova stávajícího kolumbária, vsypové loučky (přesun hrobů)</t>
  </si>
  <si>
    <t xml:space="preserve">             hřbitovy -  příspěvek na údržbu a opravy TSM</t>
  </si>
  <si>
    <t xml:space="preserve">             hřbitovy -  příspěvek na dokončení opravy hřbitovní zdi</t>
  </si>
  <si>
    <r>
      <t>Výstavba a údržba místních inženýrských sítí (IS)</t>
    </r>
    <r>
      <rPr>
        <sz val="9"/>
        <rFont val="Arial CE"/>
      </rPr>
      <t xml:space="preserve"> (účet 2310800)</t>
    </r>
  </si>
  <si>
    <r>
      <t xml:space="preserve">investice - přísp.ve výši 1/3 skutečných nákladů na dostavbu IS Za Školou 2.etapa </t>
    </r>
    <r>
      <rPr>
        <sz val="9"/>
        <rFont val="Arial CE"/>
      </rPr>
      <t>(s následným převedením všech IS včetně komunikace na město)</t>
    </r>
  </si>
  <si>
    <r>
      <t>Komunální služby a územní rozvoj j.n.</t>
    </r>
    <r>
      <rPr>
        <sz val="9"/>
        <rFont val="Arial CE"/>
      </rPr>
      <t xml:space="preserve"> </t>
    </r>
  </si>
  <si>
    <r>
      <t xml:space="preserve">                    zápočet oplocení p. Perútka </t>
    </r>
    <r>
      <rPr>
        <sz val="9"/>
        <rFont val="Arial CE"/>
      </rPr>
      <t>(účet 2310440)</t>
    </r>
  </si>
  <si>
    <r>
      <t xml:space="preserve">                    přípojky na televizní kabelové rozvody Straník - materiál</t>
    </r>
    <r>
      <rPr>
        <sz val="9"/>
        <rFont val="Arial CE"/>
      </rPr>
      <t xml:space="preserve"> (účet 231 0800)</t>
    </r>
  </si>
  <si>
    <r>
      <t xml:space="preserve">Ostatní záležitosti bydlení, komunálních služeb a územního rozvoje </t>
    </r>
    <r>
      <rPr>
        <sz val="9"/>
        <rFont val="Arial CE"/>
      </rPr>
      <t>(účet 2310800)</t>
    </r>
  </si>
  <si>
    <t>0382/3699/5139</t>
  </si>
  <si>
    <t>mobiliář město Lesopark Skalky - odpadkové koše, lavičky Hückelovy vily)</t>
  </si>
  <si>
    <r>
      <t xml:space="preserve">mobiliář </t>
    </r>
    <r>
      <rPr>
        <sz val="10"/>
        <rFont val="Arial CE"/>
      </rPr>
      <t>(TSM 350 + 200 oprava dřevěných stánků)</t>
    </r>
  </si>
  <si>
    <r>
      <t>Pitná voda</t>
    </r>
    <r>
      <rPr>
        <sz val="9"/>
        <rFont val="Arial CE"/>
      </rPr>
      <t xml:space="preserve"> (účet 2310800)</t>
    </r>
  </si>
  <si>
    <t xml:space="preserve">                      Vodovod Žilina, Pstruží potok - Životice PD</t>
  </si>
  <si>
    <r>
      <t>2381</t>
    </r>
    <r>
      <rPr>
        <sz val="8"/>
        <rFont val="Arial CE"/>
      </rPr>
      <t>/2310/6121</t>
    </r>
  </si>
  <si>
    <t xml:space="preserve">                      Vodovod Straník (společně s kanalizací) PD</t>
  </si>
  <si>
    <r>
      <t xml:space="preserve">Odvádění a čištění odpadních vod a nakládání s kaly </t>
    </r>
    <r>
      <rPr>
        <sz val="9"/>
        <rFont val="Arial CE"/>
      </rPr>
      <t>(účet 2310800)</t>
    </r>
  </si>
  <si>
    <t>5429/2321/6121</t>
  </si>
  <si>
    <t xml:space="preserve">                      Cyklo Loučka - odvodnění</t>
  </si>
  <si>
    <t>2394/2321/6121</t>
  </si>
  <si>
    <t xml:space="preserve">                      Kanalizace Bludovice PD</t>
  </si>
  <si>
    <r>
      <t>2395</t>
    </r>
    <r>
      <rPr>
        <sz val="8"/>
        <rFont val="Arial CE"/>
      </rPr>
      <t>/2321/6121</t>
    </r>
  </si>
  <si>
    <t xml:space="preserve">                     Kanalizace Straník (společně s vodovodem) PD</t>
  </si>
  <si>
    <t>2396/2321/6121</t>
  </si>
  <si>
    <t xml:space="preserve">                      Nad zahr. osadou za kotelnou Dlouhá - odvodnění pozemku PD</t>
  </si>
  <si>
    <t xml:space="preserve">                      Kanalizace Žilina, Okružní  PD</t>
  </si>
  <si>
    <t xml:space="preserve">                      Kanalizace Trlicova PD </t>
  </si>
  <si>
    <r>
      <t xml:space="preserve">Silnice </t>
    </r>
    <r>
      <rPr>
        <sz val="9"/>
        <rFont val="Arial CE"/>
      </rPr>
      <t>(účet 2310800)</t>
    </r>
  </si>
  <si>
    <t xml:space="preserve">                     Lávka Žilina - demolice</t>
  </si>
  <si>
    <t>2324/2212/6121</t>
  </si>
  <si>
    <t xml:space="preserve">                     Komunikace Nový Jičín - Kojetín PD</t>
  </si>
  <si>
    <t xml:space="preserve">                     Most Jiráskova - pod gymnáziem - rekonstrukce PD</t>
  </si>
  <si>
    <t xml:space="preserve">                     Komunikace Žilina, Za Školou PD</t>
  </si>
  <si>
    <r>
      <t xml:space="preserve">                     Komunikace Žilina, Potoční </t>
    </r>
    <r>
      <rPr>
        <sz val="10"/>
        <color indexed="2"/>
        <rFont val="Arial CE"/>
      </rPr>
      <t>ukončeno 2023</t>
    </r>
  </si>
  <si>
    <t>5428/2212/6121</t>
  </si>
  <si>
    <t xml:space="preserve">                     Most Dolní Brána (U Laposu  - Grasmanka) PD</t>
  </si>
  <si>
    <t xml:space="preserve">                     Lávka Novosady</t>
  </si>
  <si>
    <t>5442/2212/6121</t>
  </si>
  <si>
    <r>
      <t xml:space="preserve">                     Komunikace Straník - Kojetín - rekonstrukce</t>
    </r>
    <r>
      <rPr>
        <sz val="10"/>
        <rFont val="Arial CE"/>
      </rPr>
      <t xml:space="preserve"> 2.etapa PD</t>
    </r>
  </si>
  <si>
    <t>6100/2212/6121</t>
  </si>
  <si>
    <t xml:space="preserve">                     Most Na Poříčí u č.p. 53 - rekonstrukce PD</t>
  </si>
  <si>
    <t xml:space="preserve">                     Most Loučka, V Kútě PD </t>
  </si>
  <si>
    <t>8485/2212/6121</t>
  </si>
  <si>
    <t xml:space="preserve">                     Křižovatka ul. Propojovací a Hřbitovní PD</t>
  </si>
  <si>
    <r>
      <t xml:space="preserve">                     Stacionární místo pro radar Bludovice </t>
    </r>
    <r>
      <rPr>
        <sz val="10"/>
        <color indexed="2"/>
        <rFont val="Arial CE"/>
      </rPr>
      <t>ukončeno 2023</t>
    </r>
  </si>
  <si>
    <t>2410/2212/6121</t>
  </si>
  <si>
    <t xml:space="preserve">                     Most Za Potokem u č.p. 26 PD</t>
  </si>
  <si>
    <t>2397/2212/6121</t>
  </si>
  <si>
    <t xml:space="preserve">                     Lávka Loučka, Za Potokem 90, před poštou</t>
  </si>
  <si>
    <t>2398/2212/6121</t>
  </si>
  <si>
    <t xml:space="preserve">                     Propustek Straník 61 (cesta ke hřbitovu) PD</t>
  </si>
  <si>
    <t>2403/2212/6121</t>
  </si>
  <si>
    <t xml:space="preserve">                    Komunikace U Mlýna - dolní konec (úsek č.p. 122 - Potoční č.p.265) </t>
  </si>
  <si>
    <t>3737/2212/6121</t>
  </si>
  <si>
    <t xml:space="preserve">                    Převedení chodců ul. K Nemocnici parc. č. 558/26 (Honzek) PD</t>
  </si>
  <si>
    <t>3743/2212/6121</t>
  </si>
  <si>
    <t xml:space="preserve">                    Křižovatka ul. K Archivu a K Nemocnici PD </t>
  </si>
  <si>
    <r>
      <t xml:space="preserve">Ostatní záležitosti pozemních komunikací </t>
    </r>
    <r>
      <rPr>
        <sz val="9"/>
        <rFont val="Arial CE"/>
      </rPr>
      <t>(účet 2310800)</t>
    </r>
  </si>
  <si>
    <t xml:space="preserve">                     Laudonovo nádvoří </t>
  </si>
  <si>
    <t xml:space="preserve">                     Čerťák 3. etapa - 2. část PD </t>
  </si>
  <si>
    <t>1065/2219/6121</t>
  </si>
  <si>
    <t xml:space="preserve">                     Chodník Bludovice č.p. 4 - č.p. 90 </t>
  </si>
  <si>
    <t xml:space="preserve">                     Chodník Žilina, Pstruží potok - Životice PD</t>
  </si>
  <si>
    <r>
      <t xml:space="preserve">                     Parkovací stání Dlouhá (Palackého - Budovatelů) </t>
    </r>
    <r>
      <rPr>
        <sz val="10"/>
        <color indexed="2"/>
        <rFont val="Arial CE"/>
      </rPr>
      <t>ukončeno 2023</t>
    </r>
  </si>
  <si>
    <t xml:space="preserve">                    Parkoviště Vančurova, u restaurace Máj - podelná stání (KSD 35)</t>
  </si>
  <si>
    <t>5460/2219/6121</t>
  </si>
  <si>
    <t xml:space="preserve">                    Parkoviště Vančurova, nové parkoviště u Policie ČR - u garáží (KSD 37)</t>
  </si>
  <si>
    <t>5444/2219/6121</t>
  </si>
  <si>
    <t xml:space="preserve">                    Parkoviště Hoblíkova PD (KSD 6)</t>
  </si>
  <si>
    <t>5445/2219/6121</t>
  </si>
  <si>
    <r>
      <t xml:space="preserve">                    Parkoviště Budovatelů, bytové domy 5,7,9 (KSD 7) </t>
    </r>
    <r>
      <rPr>
        <sz val="10"/>
        <color indexed="2"/>
        <rFont val="Arial CE"/>
      </rPr>
      <t>ukončeno 2023</t>
    </r>
  </si>
  <si>
    <t>5446/2219/6121</t>
  </si>
  <si>
    <r>
      <t xml:space="preserve">                    Parkovací stání Dlouhá, bytové domy 42 - 48 (KSD 11) </t>
    </r>
    <r>
      <rPr>
        <sz val="10"/>
        <color indexed="2"/>
        <rFont val="Arial CE"/>
      </rPr>
      <t>ukončeno 2023</t>
    </r>
  </si>
  <si>
    <t>5448/2219/6121</t>
  </si>
  <si>
    <r>
      <t xml:space="preserve">                    Parkoviště Luční p.č. 218/9 (KSD 23) </t>
    </r>
    <r>
      <rPr>
        <sz val="10"/>
        <color indexed="2"/>
        <rFont val="Arial CE"/>
      </rPr>
      <t>ukončeno 2023</t>
    </r>
  </si>
  <si>
    <t>5450/2219/6121</t>
  </si>
  <si>
    <r>
      <t xml:space="preserve">                    Parkoviště Smetanovy sady, bytové domy 20, 22, 24 (KSD 30) </t>
    </r>
    <r>
      <rPr>
        <sz val="10"/>
        <color indexed="2"/>
        <rFont val="Arial CE"/>
      </rPr>
      <t>ukončeno 2023</t>
    </r>
  </si>
  <si>
    <r>
      <t xml:space="preserve">                    Parkoviště Dlouhá, obytná komunikace, bytové domy 50, 52, (KSD 17) </t>
    </r>
    <r>
      <rPr>
        <sz val="10"/>
        <color rgb="FF0070C0"/>
        <rFont val="Arial CE"/>
      </rPr>
      <t>převod OSM</t>
    </r>
  </si>
  <si>
    <t>5462/2219/6121</t>
  </si>
  <si>
    <t xml:space="preserve">                    Parkoviště Dlouhá, podél komunikace ve svahu, p.č. 608/1 (KSD 18)</t>
  </si>
  <si>
    <t>5463/2219/6121</t>
  </si>
  <si>
    <t xml:space="preserve">                    Parkoviště Na Lani p.č. 426/1 (změna z podélného na kolmé) PD (KSD 21)</t>
  </si>
  <si>
    <t>5464/2219/6121</t>
  </si>
  <si>
    <t xml:space="preserve">                    Parkoviště MŠ Loučka, Na Drážkách (KSD 22) PD</t>
  </si>
  <si>
    <t>2404/2219/6121</t>
  </si>
  <si>
    <t xml:space="preserve">                    Parkoviště Hřbitovní (městský hřbitov)  PD</t>
  </si>
  <si>
    <t>2405/2219/6121</t>
  </si>
  <si>
    <t xml:space="preserve">                    Dopravní řešení okolí škol na ul. Dlouhá v NJ PD (KSD 14)</t>
  </si>
  <si>
    <t>2407/2219/6121</t>
  </si>
  <si>
    <t xml:space="preserve">                    Parkoviště Smetanovy sady (před byt.domy  č.p. 8 - 16, 26 - 28) PD (KSD 31)</t>
  </si>
  <si>
    <t>2408/2219/6121</t>
  </si>
  <si>
    <t xml:space="preserve">                    Parkoviště Vančurova (J. Hory, kolmá a podélná stání) PD (KSD 38)</t>
  </si>
  <si>
    <t>1060/2219/6121</t>
  </si>
  <si>
    <t xml:space="preserve">                    Parkoviště na ul. Dlouhá u AZ Sportovní  PD (KSD 16) </t>
  </si>
  <si>
    <t>1061/2219/6121</t>
  </si>
  <si>
    <t xml:space="preserve">                    Parkoviště na ul. Dlouhá u byt. Domu č.p. 13 -15 PD (KSD 33) </t>
  </si>
  <si>
    <t>1062/2219/6121</t>
  </si>
  <si>
    <t xml:space="preserve">                    Parkoviště na ul. Jubilejní u ZŠ křižovatka PD (KSD 34) </t>
  </si>
  <si>
    <t>5451/2219/6121</t>
  </si>
  <si>
    <r>
      <t xml:space="preserve">                    Regenerace PS Nerudova I. etapa </t>
    </r>
    <r>
      <rPr>
        <sz val="10"/>
        <color indexed="2"/>
        <rFont val="Arial CE"/>
      </rPr>
      <t>ukončeno 2023</t>
    </r>
  </si>
  <si>
    <t>5466/2219/6121</t>
  </si>
  <si>
    <r>
      <t xml:space="preserve">                    Regenerace PS Nerudova II. etapa -</t>
    </r>
    <r>
      <rPr>
        <sz val="10"/>
        <color theme="9"/>
        <rFont val="Arial CE"/>
      </rPr>
      <t xml:space="preserve"> přeložka ČEZ a Cetin</t>
    </r>
  </si>
  <si>
    <t>5467/2219/6121</t>
  </si>
  <si>
    <t xml:space="preserve">                    Regenerace PS Nerudova, etážové stání  PD</t>
  </si>
  <si>
    <t>5483/2219/6121</t>
  </si>
  <si>
    <t xml:space="preserve">                    Regenerace PS Nerudova III. etapa PD</t>
  </si>
  <si>
    <t>2409/2219/6121</t>
  </si>
  <si>
    <t xml:space="preserve">                    Regenerace PS Nerudova IV. etapa PD</t>
  </si>
  <si>
    <t>1063/2219/6121</t>
  </si>
  <si>
    <t xml:space="preserve">                    Regenerace PS Nerudova V. etapa PD</t>
  </si>
  <si>
    <t>5468/2219/6121</t>
  </si>
  <si>
    <t xml:space="preserve">                    Revitalizace veřejného prostranství Horního nádraží PD</t>
  </si>
  <si>
    <t>5469/2219/6121</t>
  </si>
  <si>
    <t xml:space="preserve">                    Cyklopruhy na ul. B. Martinů v Novém Jičíně</t>
  </si>
  <si>
    <t>5470/2219/6121</t>
  </si>
  <si>
    <t xml:space="preserve">                    Parkoviště, cyklostezka ve sportovním areálu, Divadelní </t>
  </si>
  <si>
    <t>5452/2219/6121</t>
  </si>
  <si>
    <t xml:space="preserve">                    Zpevněné plochy, mobiliář Tyršova 2.etapa</t>
  </si>
  <si>
    <t>5458/2219/6121</t>
  </si>
  <si>
    <t xml:space="preserve">                    Zpevněná plocha podél komunikace I/57, Revoluční PD</t>
  </si>
  <si>
    <t xml:space="preserve">                    Parkoviště Restaurace Na Skalkách PD</t>
  </si>
  <si>
    <r>
      <t>Provoz veřejné silniční dopravy</t>
    </r>
    <r>
      <rPr>
        <sz val="9"/>
        <rFont val="Arial CE"/>
      </rPr>
      <t xml:space="preserve"> (účet 2310800)</t>
    </r>
  </si>
  <si>
    <r>
      <t xml:space="preserve">                    Autobusová zastávka Žilina, U Požární zbrojnice </t>
    </r>
    <r>
      <rPr>
        <sz val="10"/>
        <color indexed="2"/>
        <rFont val="Arial CE"/>
      </rPr>
      <t>ukončena 2023</t>
    </r>
  </si>
  <si>
    <t>5472/2221/6121</t>
  </si>
  <si>
    <t xml:space="preserve">                    Autobusová zastávka Riegrova</t>
  </si>
  <si>
    <t>5455/2221/6121</t>
  </si>
  <si>
    <t xml:space="preserve">                    Autobusová zastávka Straník p.č. 191/45 PD</t>
  </si>
  <si>
    <t xml:space="preserve">614 - Školství - Akce OŠKS </t>
  </si>
  <si>
    <r>
      <t xml:space="preserve">Předškolní zařízení </t>
    </r>
    <r>
      <rPr>
        <sz val="9"/>
        <rFont val="Arial CE"/>
      </rPr>
      <t>(účet 2310800)</t>
    </r>
  </si>
  <si>
    <t>1403/3111/6121</t>
  </si>
  <si>
    <t xml:space="preserve">                   MŠ Jiráskova (MŠ Sady) - revitalizace zahrady </t>
  </si>
  <si>
    <t>1400/3111/6121</t>
  </si>
  <si>
    <r>
      <t xml:space="preserve">                   MŠ Komenského (MŠ Trojlístek) - elektro </t>
    </r>
    <r>
      <rPr>
        <sz val="10"/>
        <color indexed="2"/>
        <rFont val="Arial CE"/>
      </rPr>
      <t>ukončeno 2023</t>
    </r>
  </si>
  <si>
    <t>1401/3111/6121</t>
  </si>
  <si>
    <t xml:space="preserve">                   MŠ Máchova (MŠ Trojlístek)- energetické úspory PD</t>
  </si>
  <si>
    <t>1402/3111/6121</t>
  </si>
  <si>
    <t xml:space="preserve">                   MŠ Komenského (MŠ Trojlístek) - revitalizace zahrady 2. etapa PD</t>
  </si>
  <si>
    <t>1404/3111/5171+5169</t>
  </si>
  <si>
    <t xml:space="preserve">                   MŠ Revoluční (MŠ Sady) - sanace zdiva PD</t>
  </si>
  <si>
    <t>1405/3111/5171+5169</t>
  </si>
  <si>
    <t xml:space="preserve">                   MŠ Revoluční (MŠ Sady) - revitalizace sociálního zařízení PD </t>
  </si>
  <si>
    <t>1414/3111/6121</t>
  </si>
  <si>
    <t xml:space="preserve">                   MŠ K. Čapka (MŠ Máj) - zateplení objektu,stínící technika PD</t>
  </si>
  <si>
    <t>1415/3111/5171+5169</t>
  </si>
  <si>
    <t xml:space="preserve">                   MŠ Beskydská (MŠ Trojlístek) - oprava plotu PD</t>
  </si>
  <si>
    <t>1416/3111/6121</t>
  </si>
  <si>
    <t xml:space="preserve">                   MŠ Komenského (MŠ Trojlístek) - učebny, verandy PD </t>
  </si>
  <si>
    <r>
      <rPr>
        <b/>
        <sz val="10"/>
        <rFont val="Arial CE"/>
      </rPr>
      <t>Školní zařízení</t>
    </r>
    <r>
      <rPr>
        <sz val="10"/>
        <rFont val="Arial CE"/>
      </rPr>
      <t xml:space="preserve"> (účet 2310800)</t>
    </r>
  </si>
  <si>
    <t>1407/3113/6121</t>
  </si>
  <si>
    <t xml:space="preserve">                   ZŠ Jubilejní - rekonstrukce školní kuchyně PD</t>
  </si>
  <si>
    <t>1408/3113/5171+5169</t>
  </si>
  <si>
    <r>
      <t xml:space="preserve">                   ZŠ Komenského 66 - výměna ležatých rozvodů vody a výměna podhledů </t>
    </r>
    <r>
      <rPr>
        <sz val="10"/>
        <color indexed="2"/>
        <rFont val="Arial CE"/>
      </rPr>
      <t xml:space="preserve">1.et.ukončena 2023, </t>
    </r>
    <r>
      <rPr>
        <sz val="10"/>
        <rFont val="Arial CE"/>
      </rPr>
      <t>2. et. PD</t>
    </r>
  </si>
  <si>
    <t>1409/3113/5171+5169</t>
  </si>
  <si>
    <r>
      <t xml:space="preserve">                   ZŠ Komenského 68 - oprava a nátěr střechy </t>
    </r>
    <r>
      <rPr>
        <sz val="10"/>
        <color indexed="2"/>
        <rFont val="Arial CE"/>
      </rPr>
      <t>ukončeno 2023</t>
    </r>
  </si>
  <si>
    <t>1410/3113/6125</t>
  </si>
  <si>
    <r>
      <t xml:space="preserve">                   ZŠ Tyršova - pořízení serveru, havarijní stav </t>
    </r>
    <r>
      <rPr>
        <sz val="10"/>
        <color indexed="4"/>
        <rFont val="Arial CE"/>
      </rPr>
      <t>převedeno na OŠKS</t>
    </r>
  </si>
  <si>
    <t>1411/3113/6121</t>
  </si>
  <si>
    <t xml:space="preserve">                   ZŠ Dlouhá - rekonstrukce školní kuchyně</t>
  </si>
  <si>
    <t>1417/3113/6121</t>
  </si>
  <si>
    <t xml:space="preserve">                   ZŠ Jubilejní - revitalizace atria PD</t>
  </si>
  <si>
    <t>1420/3113/5171+5169</t>
  </si>
  <si>
    <t xml:space="preserve">                   ZŠ Komenského 68 - nátěr a oprava fasády PD</t>
  </si>
  <si>
    <t>1421/3113/5171+5169</t>
  </si>
  <si>
    <t xml:space="preserve">                   ZŠ Komenského 68 - oprava žákovských šaten PD  </t>
  </si>
  <si>
    <t>1422/3113/5171+5169</t>
  </si>
  <si>
    <t xml:space="preserve">                   ZŠ Tyršova - výměna oken závěrečná etapa </t>
  </si>
  <si>
    <t>1423/3113/5171+5169</t>
  </si>
  <si>
    <t xml:space="preserve">                   ZŠ Tyršova - oprava vnitřní kanalizace v ŠJ PD</t>
  </si>
  <si>
    <t>Sportovní zařízení ve vlastnictví obce</t>
  </si>
  <si>
    <t>1412/3412/6121</t>
  </si>
  <si>
    <t xml:space="preserve">                   ZŠ Jubilejní - revitalizace školního hřiště PD</t>
  </si>
  <si>
    <t>1413/3412/6121</t>
  </si>
  <si>
    <t xml:space="preserve">                   ZŠ Komenského 66 - revitalizace školního hřiště </t>
  </si>
  <si>
    <r>
      <t xml:space="preserve">Školské zařízení </t>
    </r>
    <r>
      <rPr>
        <sz val="9"/>
        <rFont val="Arial CE"/>
      </rPr>
      <t>(účet 2310800)</t>
    </r>
  </si>
  <si>
    <t>1424/3233/6121</t>
  </si>
  <si>
    <t xml:space="preserve">                  SVČ Fokus - zateplení,  rekonstrukce střechy PD</t>
  </si>
  <si>
    <r>
      <t xml:space="preserve">Komunální služby - nebytové prostory  - oddělení investic </t>
    </r>
    <r>
      <rPr>
        <sz val="9"/>
        <rFont val="Arial CE"/>
      </rPr>
      <t>(účet 2310800)</t>
    </r>
  </si>
  <si>
    <t>1388/3613/5166</t>
  </si>
  <si>
    <t xml:space="preserve">                    Konzultační a poradenské služby</t>
  </si>
  <si>
    <t xml:space="preserve">                    Studie - oddělení investic (zaměření skutečného stavu akcí OB, parkoviště, AZ Kolonie Žilina, posouzení svahu Bala Kojetín, byty Suvorovova ...)</t>
  </si>
  <si>
    <r>
      <t>Komunální služby a rozvoj - plány, propagace, marketing, Zdravé město</t>
    </r>
    <r>
      <rPr>
        <sz val="9"/>
        <rFont val="Arial CE"/>
      </rPr>
      <t xml:space="preserve"> (účet 2310800)</t>
    </r>
  </si>
  <si>
    <t xml:space="preserve">                    Dohody (odměny) - architektonická soutěž Hala Jičínka</t>
  </si>
  <si>
    <t xml:space="preserve">                    Ostatní materiál (Zdravé město 40)</t>
  </si>
  <si>
    <t xml:space="preserve">                    Konzultační služby (městský architekt 500, ostatní právní služby 15)</t>
  </si>
  <si>
    <t xml:space="preserve">                    Rozvojové plány a studie; administrace projektu; Zdravé město 45; participativní  rozpočet 400; ul. Potoční - dopravní řešení …</t>
  </si>
  <si>
    <t xml:space="preserve">                   Pohoštění </t>
  </si>
  <si>
    <t>1388/3639/5212</t>
  </si>
  <si>
    <t xml:space="preserve">                   Arch.soutěž Hala Jičínka-ocenění soutěžících</t>
  </si>
  <si>
    <t>1388/3639/5213</t>
  </si>
  <si>
    <t>1388/3639/5532</t>
  </si>
  <si>
    <t>616 - Kultura - Akce OŠKS</t>
  </si>
  <si>
    <r>
      <t xml:space="preserve">Divadelní činnost </t>
    </r>
    <r>
      <rPr>
        <sz val="9"/>
        <rFont val="Arial CE"/>
      </rPr>
      <t>(účet 2310800)</t>
    </r>
  </si>
  <si>
    <t>0504/3311/5171+5169</t>
  </si>
  <si>
    <t xml:space="preserve">                   Beskydské divadlo - oprava vzduchotechniky PD</t>
  </si>
  <si>
    <t>1602/3311/5169</t>
  </si>
  <si>
    <t xml:space="preserve">                   Beskydské divadlo - modernizace kotelny Divadelní 5 (č.z. 14/22) PD</t>
  </si>
  <si>
    <t>1603/3311/5171+5169</t>
  </si>
  <si>
    <t xml:space="preserve">                   Beskydské divadlo - oprava vnějšího pláště historické budovy PD </t>
  </si>
  <si>
    <r>
      <t xml:space="preserve">Zájmová činnost v kultuře </t>
    </r>
    <r>
      <rPr>
        <sz val="9"/>
        <rFont val="Arial CE"/>
      </rPr>
      <t>(účet 2310800)</t>
    </r>
  </si>
  <si>
    <t>0501/3392/6121</t>
  </si>
  <si>
    <t xml:space="preserve">                   Kino Květen - rekonstrukce studie + PD</t>
  </si>
  <si>
    <t>1600/3392/5171</t>
  </si>
  <si>
    <r>
      <t xml:space="preserve">                   Sanace Městské knihovny 2.etapa, </t>
    </r>
    <r>
      <rPr>
        <sz val="10"/>
        <color indexed="2"/>
        <rFont val="Arial CE"/>
      </rPr>
      <t>konec 12/2022</t>
    </r>
  </si>
  <si>
    <t>1601/3392/6121</t>
  </si>
  <si>
    <t xml:space="preserve">                   Městská knihovna - rekonstrukce knihovního domku PD</t>
  </si>
  <si>
    <t>1606/3392/6121</t>
  </si>
  <si>
    <t xml:space="preserve">                   Kulturní dům Nové Slunce PD</t>
  </si>
  <si>
    <t>1604/3392/5171+5169</t>
  </si>
  <si>
    <t xml:space="preserve">                   Sociální zařízení na Skalkách (MKS) - revitalizace PD </t>
  </si>
  <si>
    <t>1605/3392/5171+5169</t>
  </si>
  <si>
    <t xml:space="preserve">                   Kaple sv. Michala Bludovice - obnova fasády PD + realizace</t>
  </si>
  <si>
    <t>619 - Akce OO</t>
  </si>
  <si>
    <r>
      <t xml:space="preserve">Činnost místní správy </t>
    </r>
    <r>
      <rPr>
        <sz val="9"/>
        <rFont val="Arial CE"/>
      </rPr>
      <t>(účet 2310800)</t>
    </r>
  </si>
  <si>
    <t>1900/6171/5171</t>
  </si>
  <si>
    <r>
      <t xml:space="preserve">                   Radnice ul. Úzká (strana od hotelu Praha) - výměna oken </t>
    </r>
    <r>
      <rPr>
        <sz val="10"/>
        <color indexed="2"/>
        <rFont val="Arial CE"/>
      </rPr>
      <t>ukončeno 2023</t>
    </r>
  </si>
  <si>
    <t>1901/6171/5171</t>
  </si>
  <si>
    <r>
      <t xml:space="preserve">                   Randice ul. Úzká I. a II. patro - Oprava soc.zařízení </t>
    </r>
    <r>
      <rPr>
        <sz val="10"/>
        <color indexed="2"/>
        <rFont val="Arial CE"/>
      </rPr>
      <t>ukončeno 2023</t>
    </r>
  </si>
  <si>
    <t>1902/6171/5171</t>
  </si>
  <si>
    <r>
      <t xml:space="preserve">                   Budova Divadelní 8 - oprava soc.zařízení, kuchyňky, úklid.místnosti </t>
    </r>
    <r>
      <rPr>
        <sz val="10"/>
        <color indexed="2"/>
        <rFont val="Arial CE"/>
      </rPr>
      <t>ukončeno 2023</t>
    </r>
  </si>
  <si>
    <t>1903/6171/6121</t>
  </si>
  <si>
    <t xml:space="preserve">                   Budova Divadelní 1 - rekontrukce vstupu, vestibulu, nová jednací místnost  </t>
  </si>
  <si>
    <t>1904/6171/6121</t>
  </si>
  <si>
    <t xml:space="preserve">                   Radnice - vchod z ul. Úzká a dvůr, revitalizace prostoru PD</t>
  </si>
  <si>
    <t>635 - Akce OŽP</t>
  </si>
  <si>
    <r>
      <t xml:space="preserve">Péče o vzhled obcí a veřejnou zeleň </t>
    </r>
    <r>
      <rPr>
        <sz val="10"/>
        <rFont val="Arial CE"/>
      </rPr>
      <t xml:space="preserve">(účet 2310800) </t>
    </r>
  </si>
  <si>
    <t>0517/3745/6121</t>
  </si>
  <si>
    <t xml:space="preserve">                   Skladovací boxy Kompostárna TSNJ PD</t>
  </si>
  <si>
    <t>3535/3745/5169</t>
  </si>
  <si>
    <r>
      <t xml:space="preserve">                   Stromy na Masarykově náměstí </t>
    </r>
    <r>
      <rPr>
        <sz val="10"/>
        <color indexed="2"/>
        <rFont val="Arial CE"/>
      </rPr>
      <t>ukončeno 2023</t>
    </r>
  </si>
  <si>
    <t>3746/2321/6121</t>
  </si>
  <si>
    <t xml:space="preserve">                   Kanalizace v areálu TSNJ ul. Suvorovova PD</t>
  </si>
  <si>
    <r>
      <t xml:space="preserve">Bytové hospodářství </t>
    </r>
    <r>
      <rPr>
        <sz val="9"/>
        <rFont val="Arial CE"/>
      </rPr>
      <t>(účet 2310800)</t>
    </r>
  </si>
  <si>
    <t xml:space="preserve">                   Dům na ul. Hřbitovní 889/72 PD</t>
  </si>
  <si>
    <r>
      <t xml:space="preserve">Nebytové hospodářství </t>
    </r>
    <r>
      <rPr>
        <sz val="9"/>
        <rFont val="Arial CE"/>
      </rPr>
      <t>(účet 2310800)</t>
    </r>
  </si>
  <si>
    <t>3744/3613/6121</t>
  </si>
  <si>
    <t xml:space="preserve">                  Středisko zeleně ul. Palackého - dílny, rekonstrukce PD </t>
  </si>
  <si>
    <t>3745/3613/6121</t>
  </si>
  <si>
    <t xml:space="preserve">                  Stavebninový dvůr ul. Suvorovova - oplocení, zpevněná plocha PD</t>
  </si>
  <si>
    <r>
      <t xml:space="preserve">Sběr a svoz komunálního odpadu </t>
    </r>
    <r>
      <rPr>
        <sz val="9"/>
        <rFont val="Arial CE"/>
      </rPr>
      <t>(účet 2310800)</t>
    </r>
  </si>
  <si>
    <t>3730/3722/6121</t>
  </si>
  <si>
    <t xml:space="preserve">                  Podzemní kontejnery TSNJ 8 ks PD + 4 ks realizace </t>
  </si>
  <si>
    <t xml:space="preserve">637 - Akce OB </t>
  </si>
  <si>
    <t>Sportovní zařízení v majetku obce (účet 2310800)</t>
  </si>
  <si>
    <t>3704/3412/6121</t>
  </si>
  <si>
    <t xml:space="preserve">                   Venkovní bazén (č.z. 08/22)</t>
  </si>
  <si>
    <t>3705/3412/6121</t>
  </si>
  <si>
    <t xml:space="preserve">                   Vnitřní bazén PD</t>
  </si>
  <si>
    <t>3706/3412/6121</t>
  </si>
  <si>
    <t xml:space="preserve">                   Areál krytého bazénu - ústřední topení PD</t>
  </si>
  <si>
    <t>3747/3412/6121</t>
  </si>
  <si>
    <t xml:space="preserve">                   Zimní stadion - přístavba ubytovny a tělocvičny PD</t>
  </si>
  <si>
    <t>3722/3412/5171+5169</t>
  </si>
  <si>
    <r>
      <t xml:space="preserve">                   Kanalizační přípojka ZS NJ - oprava </t>
    </r>
    <r>
      <rPr>
        <sz val="10"/>
        <color indexed="2"/>
        <rFont val="Arial CE"/>
      </rPr>
      <t>ukončeno 2023</t>
    </r>
  </si>
  <si>
    <t>3726/3612/6121</t>
  </si>
  <si>
    <t xml:space="preserve">                   BD Trlicova - revitalizace PD</t>
  </si>
  <si>
    <t>0558/3612/6121</t>
  </si>
  <si>
    <t xml:space="preserve">                   BD Hřbitovní - revitalizace</t>
  </si>
  <si>
    <t>3707/3612/6121</t>
  </si>
  <si>
    <t xml:space="preserve">                   Byty Jungmannova 26/2, Masarykovo nám.26/15 - přestavba bytového podniku (č.z.07/22) PD</t>
  </si>
  <si>
    <t>3723/3612/5171+5169</t>
  </si>
  <si>
    <r>
      <t xml:space="preserve">                   Byt č. 1 Jungmannova 2 - oprava </t>
    </r>
    <r>
      <rPr>
        <sz val="10"/>
        <color indexed="2"/>
        <rFont val="Arial CE"/>
      </rPr>
      <t>ukončeno 2023</t>
    </r>
  </si>
  <si>
    <t>3724/3612/5171+5169</t>
  </si>
  <si>
    <r>
      <t xml:space="preserve">                   Byt č. 2 Resslova 1 - oprava </t>
    </r>
    <r>
      <rPr>
        <sz val="10"/>
        <color indexed="2"/>
        <rFont val="Arial CE"/>
      </rPr>
      <t>ukončeno 2023</t>
    </r>
  </si>
  <si>
    <t>3731/3612/5169</t>
  </si>
  <si>
    <t xml:space="preserve">                    Dům na ul.Dobrovského 39/2 - oprava PD</t>
  </si>
  <si>
    <t>3732/3612/5169</t>
  </si>
  <si>
    <t xml:space="preserve">                    Dům na ul. Gen. Hlaďo 758/22 (Čedok) - oprava PD</t>
  </si>
  <si>
    <t>3733/3612/5169</t>
  </si>
  <si>
    <t xml:space="preserve">                    Dům Masarykovo nám. 27/16 (lékárna) - oprava PD</t>
  </si>
  <si>
    <t>3734/3612/6121</t>
  </si>
  <si>
    <t xml:space="preserve">                    Dům na ul.  Jungmannova 1, 5. května - revitalizace PD</t>
  </si>
  <si>
    <t>3736/3612/5169</t>
  </si>
  <si>
    <t xml:space="preserve">                    Dům na ul. Resslova 1213/1 (nebyt.prostor) - oprava výloh,  vstup a interiéru PD </t>
  </si>
  <si>
    <t>3738/3612/6121</t>
  </si>
  <si>
    <t xml:space="preserve">                    Dům na ul. 5. května 2098/4 - revitalizace, studie</t>
  </si>
  <si>
    <t>3739/3612/5169</t>
  </si>
  <si>
    <t xml:space="preserve">                    Dům na ul. Havlíčkova 104/11 - sanace PD</t>
  </si>
  <si>
    <t>3741/3612/6121</t>
  </si>
  <si>
    <t xml:space="preserve">                    Výtahy Luční 1828/2, 1799/3 a 1825/4 - výměna - PD + realizace</t>
  </si>
  <si>
    <t>3713/3612/6121</t>
  </si>
  <si>
    <t xml:space="preserve">                     Výtahy Jičínská 275 (2 ks) a Revoluční 36 - PD + realizace</t>
  </si>
  <si>
    <t>0557/3613/6121</t>
  </si>
  <si>
    <t xml:space="preserve">                   Hückelové vily - odvodnění - průzkum HG (č.z. 02/22) PD</t>
  </si>
  <si>
    <t>3708/3613/6121</t>
  </si>
  <si>
    <t xml:space="preserve">                   ProSenior Nový Jičín - Domeček PD</t>
  </si>
  <si>
    <t>3709/3613/6121</t>
  </si>
  <si>
    <t xml:space="preserve">                   Objekt na ul. Suvorovova 152 - okna (č.z. 11/22)</t>
  </si>
  <si>
    <t>3710/3613/6121</t>
  </si>
  <si>
    <t xml:space="preserve">                   Přístavba hotelu Praha PD</t>
  </si>
  <si>
    <t>3711/3613/6121</t>
  </si>
  <si>
    <t xml:space="preserve">                   VPP Hoblíkova - zázemí pro pracovníky TSNJ PD</t>
  </si>
  <si>
    <t>3712/3613/6121</t>
  </si>
  <si>
    <t xml:space="preserve">                   Azylový dům Straník - rekonstrukce vnitřních prostor PD</t>
  </si>
  <si>
    <t>3721/3613/5171+5169</t>
  </si>
  <si>
    <r>
      <t xml:space="preserve">                   Kanalizace Sokolovská 9 - oprava </t>
    </r>
    <r>
      <rPr>
        <sz val="10"/>
        <color indexed="2"/>
        <rFont val="Arial CE"/>
      </rPr>
      <t>ukončeno 2023</t>
    </r>
  </si>
  <si>
    <t>3725/3613/6121</t>
  </si>
  <si>
    <r>
      <t xml:space="preserve">                   Hotel Praha - stavební úpravy, oprava střešního světlíku, vzduchotechniky </t>
    </r>
    <r>
      <rPr>
        <sz val="10"/>
        <color indexed="2"/>
        <rFont val="Arial CE"/>
      </rPr>
      <t>ukončeno 2023</t>
    </r>
  </si>
  <si>
    <t>5748/3613/5171+5169</t>
  </si>
  <si>
    <t xml:space="preserve">                    Kostelní věž - realizace (pol.5169: 300 tis., pol.5171: 3200 tis.)</t>
  </si>
  <si>
    <t>3749/3613/6121</t>
  </si>
  <si>
    <t xml:space="preserve">                    Veřejné WC na ul. Úzká- rekonstrukce PD</t>
  </si>
  <si>
    <t>3742/3613/6121</t>
  </si>
  <si>
    <t xml:space="preserve">                    Fojtství Bludovice (č.z. 10/22) PD</t>
  </si>
  <si>
    <r>
      <t xml:space="preserve">Lokální zásobování teplem (tepelné hospodářství) </t>
    </r>
    <r>
      <rPr>
        <sz val="9"/>
        <rFont val="Arial CE"/>
      </rPr>
      <t>(účet 2310800)</t>
    </r>
  </si>
  <si>
    <t>0588/3634/6122</t>
  </si>
  <si>
    <r>
      <t xml:space="preserve">                   Kotelna hotelu Praha - výměna kotlů a spalinové cesty </t>
    </r>
    <r>
      <rPr>
        <sz val="10"/>
        <color indexed="2"/>
        <rFont val="Arial CE"/>
      </rPr>
      <t>ukončeno 2023</t>
    </r>
  </si>
  <si>
    <t>3714/3634/6122</t>
  </si>
  <si>
    <t xml:space="preserve">                   Fotovoltaické elektrárna v objektu TSNJ na ul. Suvorovova PD + realizace</t>
  </si>
  <si>
    <t>3750/3634/6122</t>
  </si>
  <si>
    <t xml:space="preserve">                   Fotovoltaická elektrárna v objektu bazénu PD</t>
  </si>
  <si>
    <t>3729/3634/6122</t>
  </si>
  <si>
    <t xml:space="preserve">                   Objektové předávací stanice 10 ks - výměna MaR PD + realizace</t>
  </si>
  <si>
    <t>3715/3634/6122</t>
  </si>
  <si>
    <t xml:space="preserve">                    Kotelna Divadelní 8 - modernizace PD</t>
  </si>
  <si>
    <t>3716/3634/6122</t>
  </si>
  <si>
    <r>
      <t xml:space="preserve">                    Modernizace kotelny Masarykovo nám. </t>
    </r>
    <r>
      <rPr>
        <sz val="10"/>
        <color indexed="2"/>
        <rFont val="Arial CE"/>
      </rPr>
      <t>ukončeno 2023</t>
    </r>
  </si>
  <si>
    <t>3717/3634/6122</t>
  </si>
  <si>
    <r>
      <t xml:space="preserve">                    Modernizace kotelny Pod Lipami 19 </t>
    </r>
    <r>
      <rPr>
        <sz val="10"/>
        <color indexed="2"/>
        <rFont val="Arial CE"/>
      </rPr>
      <t>ukončeno 2023</t>
    </r>
  </si>
  <si>
    <t>3718/3634/6122</t>
  </si>
  <si>
    <r>
      <t xml:space="preserve">                    Modernizace kotelny Revoluční 1525/6</t>
    </r>
    <r>
      <rPr>
        <sz val="10"/>
        <color indexed="2"/>
        <rFont val="Arial CE"/>
      </rPr>
      <t xml:space="preserve"> ukončeno 2023</t>
    </r>
  </si>
  <si>
    <t>3719/3634/6122</t>
  </si>
  <si>
    <r>
      <t xml:space="preserve">                    Teplovodní potrubí Loučka 6 - 1. etapa - výměna </t>
    </r>
    <r>
      <rPr>
        <sz val="10"/>
        <color indexed="2"/>
        <rFont val="Arial CE"/>
      </rPr>
      <t>ukončeno 2023</t>
    </r>
  </si>
  <si>
    <t>0559/3634/6122</t>
  </si>
  <si>
    <r>
      <t xml:space="preserve">                    Objektové předávací stanice Pod Lipami 1,3,5-7,9,11-13,15,17 </t>
    </r>
    <r>
      <rPr>
        <sz val="10"/>
        <color indexed="2"/>
        <rFont val="Arial CE"/>
      </rPr>
      <t>ukončeno 2023</t>
    </r>
  </si>
  <si>
    <t>3720/3634/6122</t>
  </si>
  <si>
    <t xml:space="preserve">                    Teplovod Nerudova 14,16,18 </t>
  </si>
  <si>
    <r>
      <t xml:space="preserve">Sportovní zařízení v majetku obce </t>
    </r>
    <r>
      <rPr>
        <sz val="9"/>
        <rFont val="Arial CE"/>
      </rPr>
      <t>(účet 2310800)</t>
    </r>
  </si>
  <si>
    <t>3901/3412/6121</t>
  </si>
  <si>
    <r>
      <t xml:space="preserve">                   Veřejné psí hřiště  </t>
    </r>
    <r>
      <rPr>
        <sz val="10"/>
        <color indexed="2"/>
        <rFont val="Arial CE"/>
      </rPr>
      <t>ukončeno 2023</t>
    </r>
  </si>
  <si>
    <t>5456/3412/6121</t>
  </si>
  <si>
    <r>
      <t xml:space="preserve">                   Skatepark u stadionu, sportovní areál </t>
    </r>
    <r>
      <rPr>
        <sz val="10"/>
        <color indexed="2"/>
        <rFont val="Arial CE"/>
      </rPr>
      <t>ukončeno 2023</t>
    </r>
  </si>
  <si>
    <t>5474/3412/6121</t>
  </si>
  <si>
    <t xml:space="preserve">                   Provozní objekt (šatny) pro sportovní areál PD</t>
  </si>
  <si>
    <t>5475/3412/6121</t>
  </si>
  <si>
    <t xml:space="preserve">                   Multifunkční hřiště ve sportovním areálu PD</t>
  </si>
  <si>
    <t>5476/3412/6121</t>
  </si>
  <si>
    <t xml:space="preserve">                   Revitalizace Horního nádraží - pumptrack PD</t>
  </si>
  <si>
    <t>5457/3412/6121</t>
  </si>
  <si>
    <t xml:space="preserve">                   Tenisová hala B. Martinů PD</t>
  </si>
  <si>
    <t>3403/3412/6121</t>
  </si>
  <si>
    <t xml:space="preserve">                   Víceúčelová sportovní hala Jičínka PD</t>
  </si>
  <si>
    <t xml:space="preserve">                   Smetanovy sady - etapa za kaplí PD </t>
  </si>
  <si>
    <r>
      <t xml:space="preserve">Veřejné osvětlení (VO) </t>
    </r>
    <r>
      <rPr>
        <sz val="9"/>
        <rFont val="Arial CE"/>
      </rPr>
      <t>(účet 2310800)</t>
    </r>
  </si>
  <si>
    <t xml:space="preserve">                   VO EFEKT 2023</t>
  </si>
  <si>
    <r>
      <t xml:space="preserve">                   VO Smetanovy sady a Skalky </t>
    </r>
    <r>
      <rPr>
        <sz val="10"/>
        <color indexed="2"/>
        <rFont val="Arial CE"/>
      </rPr>
      <t>ukončeno 2023</t>
    </r>
  </si>
  <si>
    <r>
      <t xml:space="preserve">                   VO Štefanikova ČS </t>
    </r>
    <r>
      <rPr>
        <sz val="10"/>
        <color indexed="2"/>
        <rFont val="Arial CE"/>
      </rPr>
      <t>ukončeno 2023</t>
    </r>
  </si>
  <si>
    <t>6391/3631/6121</t>
  </si>
  <si>
    <t xml:space="preserve">                   VO Dlouhá nad hřištěm ZŠ Dlouhá PD</t>
  </si>
  <si>
    <r>
      <t xml:space="preserve">                   VO K Archivu </t>
    </r>
    <r>
      <rPr>
        <sz val="10"/>
        <color indexed="4"/>
        <rFont val="Arial CE"/>
      </rPr>
      <t>převod OSM</t>
    </r>
  </si>
  <si>
    <t>0517/3632/6121</t>
  </si>
  <si>
    <t xml:space="preserve">                   Hřbitov - kolumbárium, vsypová loučka (TSNJ) PD</t>
  </si>
  <si>
    <t xml:space="preserve">                   Hřbitov -chodníky, sítě (TSNJ) PD</t>
  </si>
  <si>
    <t xml:space="preserve">                   Hřbitov - čestné hroby 2. etapa sanace (TSNJ)</t>
  </si>
  <si>
    <t>3632/3632/6121</t>
  </si>
  <si>
    <t xml:space="preserve">                   Smuteční síň a technické zázemí - rekonstrukce (TSNJ)</t>
  </si>
  <si>
    <t>3427/3633/6121</t>
  </si>
  <si>
    <t xml:space="preserve">                    Inženýrské sítě ve sportovním areálu PD </t>
  </si>
  <si>
    <t>641 - Oddělení rozvoje - kotlíkové dotace</t>
  </si>
  <si>
    <r>
      <t xml:space="preserve">                    Kotlíkové dotace MSK </t>
    </r>
    <r>
      <rPr>
        <sz val="10"/>
        <rFont val="Arial CE"/>
      </rPr>
      <t>účet 231 0417</t>
    </r>
  </si>
  <si>
    <r>
      <t>009/</t>
    </r>
    <r>
      <rPr>
        <b/>
        <sz val="10"/>
        <rFont val="Arial CE"/>
      </rPr>
      <t>2141</t>
    </r>
    <r>
      <rPr>
        <sz val="9"/>
        <rFont val="Arial CE"/>
      </rPr>
      <t>/5169</t>
    </r>
  </si>
  <si>
    <r>
      <t xml:space="preserve">Vnitřní obchod </t>
    </r>
    <r>
      <rPr>
        <sz val="9"/>
        <rFont val="Arial CE"/>
      </rPr>
      <t>(ostatní služby 15)</t>
    </r>
  </si>
  <si>
    <r>
      <t xml:space="preserve">Vnitřní obchod  </t>
    </r>
    <r>
      <rPr>
        <b/>
        <sz val="9"/>
        <rFont val="Arial CE"/>
      </rPr>
      <t xml:space="preserve">- </t>
    </r>
    <r>
      <rPr>
        <sz val="9"/>
        <rFont val="Arial CE"/>
      </rPr>
      <t>opravy a údržba 14,25, materiál 47,65 služby 51,87, příspěvek TSM celkem (jarmarky, vánoční strom, výzdoba,…) 582, pohoštění 6,27 DHM 169,29</t>
    </r>
  </si>
  <si>
    <r>
      <t>Cestovní ruch</t>
    </r>
    <r>
      <rPr>
        <b/>
        <sz val="9"/>
        <rFont val="Arial CE"/>
      </rPr>
      <t xml:space="preserve"> </t>
    </r>
    <r>
      <rPr>
        <sz val="9"/>
        <rFont val="Arial CE"/>
      </rPr>
      <t xml:space="preserve"> (platy 3990, dohody 600, soc.poj. 1125,92, zdrav. poj. 408,6, náhrada mezd za nemoc 33, platby daní a popl. Stát. rozp. 10, knihy, tisk 8, drobný hmotný maj. 1254, materiál (kalendáře, upom. Př., tiskoviny,…) 1093,72, materiál DPH 385, poštovné 1, poštovné DPH 7,5, telefony 10, služby peněž. úst. 50, pronájem 677, služby zprac. dat. 115,5, nákup služeb (prop. inz., služby, rozvoj podnikání na novojičínsku) 2326,5, nákup služeb DPH (služby spojené s kelímky NICKNACK) 231.972, opravy a údržba 128, cestovné 11, pohoštění 200, účast. úpl. 1, ost.nák.j.n. 50, neinvest. transféry 200, neinvest. přísp. Pivobraní 492, dotace z MSK 200 částečně investiční, neinvestiční</t>
    </r>
  </si>
  <si>
    <r>
      <t>Ost.záležitosti kultury, církví a sdělovacích prostředků</t>
    </r>
    <r>
      <rPr>
        <sz val="10"/>
        <rFont val="Arial CE"/>
      </rPr>
      <t xml:space="preserve">  </t>
    </r>
    <r>
      <rPr>
        <sz val="9"/>
        <rFont val="Arial CE"/>
      </rPr>
      <t>(platby za autorská práva-OSA, Integram, ozvučení náměstí)</t>
    </r>
  </si>
  <si>
    <r>
      <t>Mezinárodní spolupráce</t>
    </r>
    <r>
      <rPr>
        <sz val="9"/>
        <rFont val="Arial CE"/>
      </rPr>
      <t xml:space="preserve"> - materiál 150, materiál DPH 20, PHM 15, nájemné 40, služby 500, cestovné 77, pohoštění 250, dohody 5,5, poštovné 5,5, ostatní nákupy 5,5,, věcné dary 5,5.</t>
    </r>
  </si>
  <si>
    <r>
      <t xml:space="preserve">Bezpečnost silničního provozu-BESIP </t>
    </r>
    <r>
      <rPr>
        <sz val="9"/>
        <rFont val="Arial CE"/>
      </rPr>
      <t>(DHM 6, materiál 3, nájemné 42, služby 10, opravy a udržování 7, pohoštění 2, věcné dary 6)</t>
    </r>
  </si>
  <si>
    <r>
      <t>Dopravní obslužnost</t>
    </r>
    <r>
      <rPr>
        <sz val="10"/>
        <rFont val="Arial CE"/>
      </rPr>
      <t xml:space="preserve"> - veřejná doprava</t>
    </r>
  </si>
  <si>
    <r>
      <t xml:space="preserve">             příspěvek na MHD</t>
    </r>
    <r>
      <rPr>
        <sz val="9"/>
        <rFont val="Arial CE"/>
      </rPr>
      <t xml:space="preserve"> (ARRIVA) - dle smlouvy </t>
    </r>
  </si>
  <si>
    <r>
      <t xml:space="preserve">             kompenzace ztráty dopravci za </t>
    </r>
    <r>
      <rPr>
        <sz val="10"/>
        <rFont val="Arial CE"/>
      </rPr>
      <t>provozování cyklo-ski busu</t>
    </r>
  </si>
  <si>
    <t xml:space="preserve">             dokrytí ztráty za provozovaní autobusového spojení Hranice na Moravě </t>
  </si>
  <si>
    <t xml:space="preserve">             KODIS – revize MHD</t>
  </si>
  <si>
    <r>
      <t xml:space="preserve">Bezpečnost silničního provozu - </t>
    </r>
    <r>
      <rPr>
        <sz val="10"/>
        <rFont val="Arial CE"/>
      </rPr>
      <t>znalecké posudky při řešení dopravních deliktů+tlumočení</t>
    </r>
  </si>
  <si>
    <r>
      <t xml:space="preserve">Činnost místní správy - </t>
    </r>
    <r>
      <rPr>
        <sz val="10"/>
        <rFont val="Arial CE"/>
      </rPr>
      <t>ostatní platy (refundace vč.pojist.), konzult.a porad.služby, náhrady svědkům</t>
    </r>
  </si>
  <si>
    <t>Volba prezidenta republiky</t>
  </si>
  <si>
    <t>Volby do Evropského Parlamentu</t>
  </si>
  <si>
    <t xml:space="preserve">                                                na údržbu MŠ </t>
  </si>
  <si>
    <t xml:space="preserve">                                                na investice</t>
  </si>
  <si>
    <r>
      <t xml:space="preserve">             v tom:  </t>
    </r>
    <r>
      <rPr>
        <b/>
        <i/>
        <sz val="10"/>
        <rFont val="Arial CE"/>
      </rPr>
      <t>MŠ Sady</t>
    </r>
    <r>
      <rPr>
        <sz val="10"/>
        <rFont val="Arial CE"/>
      </rPr>
      <t xml:space="preserve"> (org. 305)</t>
    </r>
  </si>
  <si>
    <t xml:space="preserve">                               - příspěvek na provoz, včetně energií 1 188, včetně odpisů z nemovitého majetku </t>
  </si>
  <si>
    <r>
      <t xml:space="preserve">                               - příspěvek na údržbu </t>
    </r>
    <r>
      <rPr>
        <sz val="9"/>
        <rFont val="Arial CE"/>
      </rPr>
      <t xml:space="preserve">(malování a nátěry 61, výměna podlahových krytin 153) po zapojení FI a FR 200 </t>
    </r>
  </si>
  <si>
    <t xml:space="preserve">                               - příspěvek na investice </t>
  </si>
  <si>
    <r>
      <t xml:space="preserve">                          MŠ Máj</t>
    </r>
    <r>
      <rPr>
        <sz val="11"/>
        <rFont val="Calibri"/>
        <scheme val="minor"/>
      </rPr>
      <t xml:space="preserve"> (org. 307)</t>
    </r>
  </si>
  <si>
    <t xml:space="preserve">                               - příspěvek na provoz, včetně energií 1 600, včetně odpisů z nemovitého majetku </t>
  </si>
  <si>
    <r>
      <t xml:space="preserve">                               - příspěvek na údržbu </t>
    </r>
    <r>
      <rPr>
        <sz val="9"/>
        <rFont val="Arial CE"/>
      </rPr>
      <t xml:space="preserve">(malování a nátěry 100, výměna podlahových krytin 54, oprava soc.zař. MŠ Vanč. 30, dorozumívací zař. MŠ KČ 117, výměna sklepních oken 20, oprava plotu MŠ Loučka 2.etapa 134) </t>
    </r>
  </si>
  <si>
    <r>
      <t xml:space="preserve">                               - příspěvek na investice</t>
    </r>
    <r>
      <rPr>
        <sz val="9"/>
        <rFont val="Arial CE"/>
      </rPr>
      <t xml:space="preserve"> (</t>
    </r>
    <r>
      <rPr>
        <sz val="9"/>
        <rFont val="Arial CE"/>
      </rPr>
      <t>multifunkční varný kotel 700) zapoejní FI a FR 300</t>
    </r>
  </si>
  <si>
    <r>
      <t xml:space="preserve">                          </t>
    </r>
    <r>
      <rPr>
        <b/>
        <i/>
        <sz val="10"/>
        <rFont val="Arial CE"/>
      </rPr>
      <t>MŠ Trojlístek</t>
    </r>
    <r>
      <rPr>
        <sz val="10"/>
        <rFont val="Arial CE"/>
      </rPr>
      <t xml:space="preserve"> (org. 309)</t>
    </r>
  </si>
  <si>
    <t xml:space="preserve">                               - příspěvek na provoz, včetně energií 1 287, včetně odpisů z nemovitého majetku </t>
  </si>
  <si>
    <r>
      <t xml:space="preserve">                               - příspěvek na údržbu </t>
    </r>
    <r>
      <rPr>
        <sz val="9"/>
        <rFont val="Arial CE"/>
      </rPr>
      <t>(oprava soc.zař. MŠ Kom , vč. PD 252, výměna podlahových krytin 100, malování a nátěry 110, oprava zahradního domku MŠ Beskydská 106</t>
    </r>
    <r>
      <rPr>
        <sz val="9"/>
        <rFont val="Arial CE"/>
      </rPr>
      <t xml:space="preserve">) po zapojení FI a FR 100 </t>
    </r>
  </si>
  <si>
    <r>
      <t xml:space="preserve">                               - příspěvek na investice </t>
    </r>
    <r>
      <rPr>
        <sz val="9"/>
        <rFont val="Arial CE"/>
      </rPr>
      <t>(PD na revitalizaci kotelny 50)</t>
    </r>
  </si>
  <si>
    <t xml:space="preserve">                                na údržbu ZŠ </t>
  </si>
  <si>
    <t xml:space="preserve">                                na investice</t>
  </si>
  <si>
    <r>
      <t xml:space="preserve">              v tom:  </t>
    </r>
    <r>
      <rPr>
        <b/>
        <i/>
        <sz val="10"/>
        <rFont val="Arial CE"/>
      </rPr>
      <t xml:space="preserve">ZŠ Jubilejní </t>
    </r>
    <r>
      <rPr>
        <sz val="10"/>
        <rFont val="Arial CE"/>
      </rPr>
      <t xml:space="preserve">celkem (org. 321) </t>
    </r>
  </si>
  <si>
    <t xml:space="preserve">                              - příspěvek na provoz, včetně energií 5 445, včetně odpisů z nemovitého majetku </t>
  </si>
  <si>
    <r>
      <t xml:space="preserve">                              - přísp.na údržbu</t>
    </r>
    <r>
      <rPr>
        <sz val="9"/>
        <rFont val="Arial CE"/>
      </rPr>
      <t xml:space="preserve"> (Jubilejní: malování a nátěry 275, oprava obkladů soc.zař. 820) ZŠ Dlouhá malování a nátěry 275, oprava dveřních pantů 103, oprava střechy a nátěr pergoly 58) po zapojení FR a FI 400 tis. Kč </t>
    </r>
  </si>
  <si>
    <r>
      <t xml:space="preserve">                              - příspěvek na investice </t>
    </r>
    <r>
      <rPr>
        <sz val="9"/>
        <rFont val="Arial CE"/>
      </rPr>
      <t>(ZŠ Jubilejní: 0</t>
    </r>
    <r>
      <rPr>
        <sz val="9"/>
        <rFont val="Arial CE"/>
      </rPr>
      <t>, ZŠ Dlouhá:</t>
    </r>
    <r>
      <rPr>
        <sz val="9"/>
        <rFont val="Arial CE"/>
      </rPr>
      <t xml:space="preserve"> </t>
    </r>
    <r>
      <rPr>
        <sz val="9"/>
        <rFont val="Arial CE"/>
      </rPr>
      <t>přístřešek dopravního hřiště 292</t>
    </r>
    <r>
      <rPr>
        <sz val="9"/>
        <rFont val="Arial CE"/>
      </rPr>
      <t>)</t>
    </r>
  </si>
  <si>
    <r>
      <t xml:space="preserve">              v tom:  </t>
    </r>
    <r>
      <rPr>
        <b/>
        <i/>
        <sz val="10"/>
        <rFont val="Arial CE"/>
      </rPr>
      <t xml:space="preserve">ZŠ Komenského 66 </t>
    </r>
    <r>
      <rPr>
        <sz val="10"/>
        <rFont val="Arial CE"/>
      </rPr>
      <t>(org. 322)</t>
    </r>
  </si>
  <si>
    <t xml:space="preserve">                              - příspěvek na provoz, včetně energií 2 624, včetně odpisů z nemovitého majetku </t>
  </si>
  <si>
    <r>
      <t xml:space="preserve">                              - příspěvek na údržbu </t>
    </r>
    <r>
      <rPr>
        <sz val="9"/>
        <rFont val="Arial CE"/>
      </rPr>
      <t>(malování a nátěry 200, povrchová úprava podlah tělocvičen 600) po zapojení FR a FI 500 tis. Kč</t>
    </r>
  </si>
  <si>
    <r>
      <t xml:space="preserve">                          </t>
    </r>
    <r>
      <rPr>
        <b/>
        <i/>
        <sz val="10"/>
        <rFont val="Arial CE"/>
      </rPr>
      <t>ZŠ Komenského 68</t>
    </r>
    <r>
      <rPr>
        <sz val="10"/>
        <rFont val="Arial CE"/>
      </rPr>
      <t xml:space="preserve"> (org. 323)</t>
    </r>
  </si>
  <si>
    <t xml:space="preserve">                              - příspěvek na provoz, včetně energií 2 178, včetně odpisů z nemovitého majetku </t>
  </si>
  <si>
    <r>
      <t xml:space="preserve">                              - příspěvek na údržbu </t>
    </r>
    <r>
      <rPr>
        <sz val="9"/>
        <rFont val="Arial CE"/>
      </rPr>
      <t>(</t>
    </r>
    <r>
      <rPr>
        <sz val="9"/>
        <rFont val="Arial CE"/>
      </rPr>
      <t xml:space="preserve">malování a nátěry 400, výměna trámu na střeše a výměna světlíků 75) po zapojení FR a FI 210 </t>
    </r>
  </si>
  <si>
    <r>
      <t xml:space="preserve">                             - příspěvek na investice</t>
    </r>
    <r>
      <rPr>
        <sz val="9"/>
        <rFont val="Arial CE"/>
      </rPr>
      <t xml:space="preserve"> (</t>
    </r>
    <r>
      <rPr>
        <sz val="9"/>
        <rFont val="Arial CE"/>
      </rPr>
      <t xml:space="preserve">modernizace kamerového sstému 65, zabudování řetězových pohonů na okna v tělocvičně 180, chladicí skříň 75) po zapojení FR a FI  320 tis. Kč </t>
    </r>
  </si>
  <si>
    <r>
      <t xml:space="preserve">                         </t>
    </r>
    <r>
      <rPr>
        <b/>
        <i/>
        <sz val="10"/>
        <rFont val="Arial CE"/>
      </rPr>
      <t xml:space="preserve">ZŠ Tyršova </t>
    </r>
    <r>
      <rPr>
        <sz val="10"/>
        <rFont val="Arial CE"/>
      </rPr>
      <t>(org. 325)</t>
    </r>
  </si>
  <si>
    <t xml:space="preserve">                             - příspěvek na provoz (vč. Montessori 250), vč.energií 3 168, vč.odpisů z nem.majetku</t>
  </si>
  <si>
    <r>
      <t xml:space="preserve">                             - příspěvek na údržbu</t>
    </r>
    <r>
      <rPr>
        <sz val="9"/>
        <rFont val="Arial CE"/>
      </rPr>
      <t xml:space="preserve"> (malování a nátěry 200, </t>
    </r>
    <r>
      <rPr>
        <sz val="9"/>
        <rFont val="Arial CE"/>
      </rPr>
      <t xml:space="preserve">poklop na kovovou jímku 100, </t>
    </r>
    <r>
      <rPr>
        <sz val="9"/>
        <rFont val="Arial CE"/>
      </rPr>
      <t>oprava vstupních dveří 127)</t>
    </r>
  </si>
  <si>
    <r>
      <t xml:space="preserve">                             - příspěvek na investice (smažicí pánev 210, bezpečnostní systém 580, </t>
    </r>
    <r>
      <rPr>
        <sz val="10"/>
        <rFont val="Arial CE"/>
      </rPr>
      <t>míchací kotel 1 270</t>
    </r>
    <r>
      <rPr>
        <sz val="10"/>
        <rFont val="Arial CE"/>
      </rPr>
      <t xml:space="preserve">, interaktivní tabule 200) po zapojení FR a FI 590  </t>
    </r>
  </si>
  <si>
    <r>
      <t xml:space="preserve">z toho: </t>
    </r>
    <r>
      <rPr>
        <b/>
        <i/>
        <sz val="10"/>
        <rFont val="Arial CE"/>
      </rPr>
      <t>SVČ Fokus</t>
    </r>
  </si>
  <si>
    <t xml:space="preserve">                  - příspěvek na provoz, včetně energií 1 170, včetně odpisů z nemovitého majetku </t>
  </si>
  <si>
    <t xml:space="preserve">                  - příspěvek na údržbu (sanace vnitřní části objektu a ventilace skepu 270, malování a nátěry 90) po zapojení FR a FI 360</t>
  </si>
  <si>
    <t xml:space="preserve">                             - příspěvek na investice </t>
  </si>
  <si>
    <r>
      <t>Ostatní tělovýchovná činnost</t>
    </r>
    <r>
      <rPr>
        <sz val="11"/>
        <rFont val="Calibri"/>
        <scheme val="minor"/>
      </rPr>
      <t xml:space="preserve"> </t>
    </r>
  </si>
  <si>
    <r>
      <t xml:space="preserve">Divadelní činnost - </t>
    </r>
    <r>
      <rPr>
        <b/>
        <i/>
        <sz val="10"/>
        <rFont val="Arial CE"/>
      </rPr>
      <t>Beskydské divadlo</t>
    </r>
    <r>
      <rPr>
        <b/>
        <sz val="9"/>
        <rFont val="Arial CE"/>
      </rPr>
      <t xml:space="preserve"> </t>
    </r>
    <r>
      <rPr>
        <sz val="9"/>
        <rFont val="Arial CE"/>
      </rPr>
      <t>(org. 504)</t>
    </r>
  </si>
  <si>
    <t>z toho: příspěvek na provoz, včetně energií 2 835, včetně odpisů z nemovitého majetku 522</t>
  </si>
  <si>
    <r>
      <t xml:space="preserve">             příspěvek na údržbu  </t>
    </r>
    <r>
      <rPr>
        <sz val="9"/>
        <rFont val="Arial CE"/>
      </rPr>
      <t xml:space="preserve"> </t>
    </r>
  </si>
  <si>
    <t xml:space="preserve">                  - příspěvek na investice </t>
  </si>
  <si>
    <r>
      <t xml:space="preserve">z toho: osadní výbory </t>
    </r>
    <r>
      <rPr>
        <sz val="9"/>
        <rFont val="Arial CE"/>
      </rPr>
      <t>(Žilina, Straník, Bludovice, Kojetín, Loučka)</t>
    </r>
  </si>
  <si>
    <t>3322</t>
  </si>
  <si>
    <t>z toho: dohody (odborné texty na tabulky, pasport MPR hradební zdi)</t>
  </si>
  <si>
    <t xml:space="preserve">Drobný materiál </t>
  </si>
  <si>
    <t>Up-grade informačního systému památek (okolonas.eu)</t>
  </si>
  <si>
    <t xml:space="preserve">             Propagace v rámci EHD (vlajky a jiné), postřiky hradebních zdí, vč. likvidace náletů, sbírky, rozšíření, posudky, zprac. Programu regenerace MPR, tisk</t>
  </si>
  <si>
    <r>
      <t xml:space="preserve">             Drobné opravy - údržba 50, restaurování kříže Skalky</t>
    </r>
    <r>
      <rPr>
        <sz val="10"/>
        <rFont val="Arial CE"/>
      </rPr>
      <t xml:space="preserve"> 150)</t>
    </r>
  </si>
  <si>
    <t>3326</t>
  </si>
  <si>
    <t>z toho:  drobný materiál 10, oprava kříže a kaplí, pomník P. Vavřík 350,obnova schodů kaple Kojetín 80, obnova kaple Straník výmalba 20, obnoa sochy z kaple Loučka 80,</t>
  </si>
  <si>
    <t xml:space="preserve">            elektrická energie (zvonění kaple Kojetín, Bludovice, Straník) </t>
  </si>
  <si>
    <r>
      <t xml:space="preserve">z toho: </t>
    </r>
    <r>
      <rPr>
        <b/>
        <i/>
        <sz val="10"/>
        <rFont val="Arial CE"/>
      </rPr>
      <t>Městské kulturní středisko</t>
    </r>
    <r>
      <rPr>
        <b/>
        <sz val="10"/>
        <rFont val="Arial CE"/>
      </rPr>
      <t xml:space="preserve"> </t>
    </r>
    <r>
      <rPr>
        <sz val="9"/>
        <rFont val="Arial CE"/>
      </rPr>
      <t>(org. 501)</t>
    </r>
  </si>
  <si>
    <t xml:space="preserve">           -  příspěvek na provoz MKS a Kina Květen, vč.energií 1 620, vč.odpisů z nem.majetku 178 </t>
  </si>
  <si>
    <t xml:space="preserve">          -  příspěvek na investice (kamerový systém knihovny 180, instalace klimatizace do výstavní síně Stará pošta 73, spisová služba Gordic 61) zapojení FR a FI 314</t>
  </si>
  <si>
    <r>
      <t xml:space="preserve">           -  příspěvek na údržbu </t>
    </r>
    <r>
      <rPr>
        <sz val="9"/>
        <rFont val="Arial CE"/>
      </rPr>
      <t xml:space="preserve">(sanační práce v klubovně Bašta 50, výměna oken Stará pošta, zapojení do PR MPR 330, oprava nátěru plotu kolem knihovny 193) Kino Květen (oprava digit. projektoru 425, výměna externího osvětlení kina 98) zapojení FR a FI 1096 </t>
    </r>
  </si>
  <si>
    <r>
      <t xml:space="preserve">            mimořádné dotace a dary (org. 1180): </t>
    </r>
    <r>
      <rPr>
        <sz val="9"/>
        <rFont val="Arial CE"/>
      </rPr>
      <t>MŠ Beruška 267, ZŠ Galaxie 452 a MŠ Bludovice 61,776 - všechny 3 subjekty na úhradu režijních nákladů na stravování dětí včetně dovozu, ZO ČSOP Bartošovice  záchrana handicapovaných zvířat 90, Česká křesťanská akademie 15, stipendia 200</t>
    </r>
  </si>
  <si>
    <t>z toho : platy 18400, zák.odvody 4538,4 + 1647, ochr. pomůcky 0, zdrav.pomůcky 5, výstroj 350, knihy, časopisy a tisk 2, DHM 163, materiál 143, elektř. 35, PHM 264, služby pošt 1, telekomunikace 245, nájemné 30, konzult.a porad.služby 3, školení 77, konference 3, služby 1490-750, opravy a udrž. 275, služby zpracování dat 200, cestovné 17, neinv.přísp.a náhrady-prac.úrazy 50, kolky 10, náhrady za nemoc 150, správní poplatky 6, investice: progr. vybavení, stroje: kamera pro RZ 170, kamera MKDS 150, záznamové zařízení hovorů 250</t>
  </si>
  <si>
    <r>
      <t>Chata Jičínka-</t>
    </r>
    <r>
      <rPr>
        <b/>
        <sz val="10"/>
        <rFont val="Arial CE"/>
      </rPr>
      <t>org.4381</t>
    </r>
    <r>
      <rPr>
        <sz val="10"/>
        <rFont val="Arial CE"/>
      </rPr>
      <t xml:space="preserve"> </t>
    </r>
    <r>
      <rPr>
        <sz val="9"/>
        <rFont val="Arial CE"/>
      </rPr>
      <t xml:space="preserve">(v tom: drobný hmotný majetek 80, materiál 20, voda 11, elektr.energie 170, PHM 1, služby-praní, odpady,... 30, opravy a udržování 150, místní poplatky 20, </t>
    </r>
    <r>
      <rPr>
        <b/>
        <sz val="9"/>
        <rFont val="Arial CE"/>
      </rPr>
      <t>investice:</t>
    </r>
    <r>
      <rPr>
        <sz val="9"/>
        <rFont val="Arial CE"/>
      </rPr>
      <t xml:space="preserve"> další etapa - rekonstrukce střechy, spol. místnost a terenní úpravy 500)</t>
    </r>
  </si>
  <si>
    <r>
      <t xml:space="preserve">Ochrana obyvatelstva </t>
    </r>
    <r>
      <rPr>
        <sz val="9"/>
        <rFont val="Arial CE"/>
      </rPr>
      <t>(letáky+uživat.příručky 1, DHM 20, zpracování dat-data hosting, GSM přenosy 35, systém varování před povodněmi-hladinoměry dle servisní smlouvy 24, opravy a udržování systému varování před povodněmi 30)</t>
    </r>
  </si>
  <si>
    <r>
      <t xml:space="preserve">Činnost ost. orgánů státní správy v oblasti civil.nouzového hospod. </t>
    </r>
    <r>
      <rPr>
        <sz val="9"/>
        <rFont val="Arial CE"/>
      </rPr>
      <t>(čerpá se jen při živelních pohromách: přikrývky, písek+pytle, respirátory, dezinfekce, zabezpečení chodu evak.středisek, teplo, elektrická energie, PHM, služby: ubytovací,stravovací,dopravní)</t>
    </r>
  </si>
  <si>
    <r>
      <t xml:space="preserve">Ostatní správa v oblasti krizového řízení </t>
    </r>
    <r>
      <rPr>
        <sz val="9"/>
        <rFont val="Arial CE"/>
      </rPr>
      <t>(PHM do elektrocentrály 1, služby 2, materiál 1, knihy+učební pomůcky+tisk 1) - čerpá se jen v mimořádných událostech</t>
    </r>
  </si>
  <si>
    <r>
      <t xml:space="preserve">Požární ochrana - profesionální část </t>
    </r>
    <r>
      <rPr>
        <sz val="9"/>
        <rFont val="Arial CE"/>
      </rPr>
      <t>(příspěvek HZS MSK dle smlouvy zvýšené o inflaci - předpoklad 10 %)</t>
    </r>
  </si>
  <si>
    <r>
      <t xml:space="preserve">Požární ochrana - dobrovolná část </t>
    </r>
    <r>
      <rPr>
        <sz val="9"/>
        <rFont val="Arial CE"/>
      </rPr>
      <t>(pro hasiče Straník: OOPP 20, DHM - vysoušeč, svítilny 25, materiál 10, PHM 15, služby+internet 5, nákup služeb-technické prohlídky vozidel, měření emisí, výměna pneu,... 10, opravy a udržování-příprava na STK, drobné opravy vozového parku 40)</t>
    </r>
  </si>
  <si>
    <t>Zastupitelstva obcí, org. 3381</t>
  </si>
  <si>
    <r>
      <t xml:space="preserve">z toho </t>
    </r>
    <r>
      <rPr>
        <b/>
        <sz val="9"/>
        <rFont val="Arial CE"/>
      </rPr>
      <t>provoz</t>
    </r>
    <r>
      <rPr>
        <sz val="9"/>
        <rFont val="Arial CE"/>
      </rPr>
      <t>: činnost místní správy-</t>
    </r>
    <r>
      <rPr>
        <b/>
        <sz val="9"/>
        <rFont val="Arial CE"/>
      </rPr>
      <t>org.381</t>
    </r>
    <r>
      <rPr>
        <sz val="9"/>
        <rFont val="Arial CE"/>
      </rPr>
      <t xml:space="preserve"> v tom: odměny za užití duševního vlastnictví-OSA 40, ochranné pomůcky - OOPP pro nové zaměstnance a obměna stávajících 40, léky a zdrav.materiál 6, knihy+učební pomůcky+tisk 100, Novojičínský zpravodaj 500, drobný hmotný majetek-nábytek 1000, mobily, skartovačky, kan.židle, skříně, police 380, podlah.krytiny 200, materiál-kancelářský, hygienický, čistící, doručovací, ikebana, automobily-mazadla, nemrznoucí směsi,... 1075, voda 444, teplo 3150, elektr.energie 2550, pevná paliva 5, PHM 170, služby pošt 2310, telekomun.120, nájemné 140, právní služby 357,4, služby BOZP 72,6, bezplatné právní služby pro veřejnost 50, zpracování dat 281, služby vč. úklidu,servisu kopírek, elektrorevize 4285, opravy a udržování - servis vozidel 300,opravy židlí 20, příp. škodní události 100, malování, nátěry oken a dveří 450, Div. 8 garáže - oprava kanalizace, oprava garážových vrat 30,  ostatní opravy 1000, okna sekretariát VM 150, Div. 1 kanalizace 400, Div. 1 střešní okna 950, Div. 8 brána a zeď 350, pohoštění 200, ostatní nákupy (čl. přísp. auditorů a tajemníků) 4,5, daně a poplatky vč. dálničních známek 30, ostatní výdaje 2, </t>
    </r>
  </si>
  <si>
    <r>
      <t>z toho</t>
    </r>
    <r>
      <rPr>
        <b/>
        <sz val="9"/>
        <rFont val="Arial CE"/>
      </rPr>
      <t xml:space="preserve"> investice: </t>
    </r>
    <r>
      <rPr>
        <sz val="9"/>
        <rFont val="Arial CE"/>
      </rPr>
      <t>činnost místní správy-</t>
    </r>
    <r>
      <rPr>
        <b/>
        <sz val="9"/>
        <rFont val="Arial CE"/>
      </rPr>
      <t>org.381:</t>
    </r>
    <r>
      <rPr>
        <sz val="9"/>
        <rFont val="Arial CE"/>
      </rPr>
      <t xml:space="preserve"> soubor nábytku, koberec, kuch. linky 100, sl. vozidlo 1500</t>
    </r>
  </si>
  <si>
    <r>
      <t xml:space="preserve">Úsek informatiky </t>
    </r>
    <r>
      <rPr>
        <sz val="9"/>
        <rFont val="Arial CE"/>
      </rPr>
      <t xml:space="preserve">- </t>
    </r>
    <r>
      <rPr>
        <b/>
        <sz val="9"/>
        <rFont val="Arial CE"/>
      </rPr>
      <t>provoz - org.3381</t>
    </r>
    <r>
      <rPr>
        <sz val="9"/>
        <rFont val="Arial CE"/>
      </rPr>
      <t xml:space="preserve"> (v tom: drobný hmotný majetek-nové PC a LCD monitory, notebooky, kopírky, tiskárny, web kamera - nový HW, drobné síťové prvky, UPS 790, materiál 195, nájemné 40, školení 50, služby zpracování dat 3097,3, ost.služby-znalecké posudky, osvědčení, proj. dokumentace kybernetická bezpečnost NIS2 200, opravy a udržování 240, nákup softwaru 70.</t>
    </r>
  </si>
  <si>
    <r>
      <t>Úsek informatiky</t>
    </r>
    <r>
      <rPr>
        <b/>
        <sz val="9"/>
        <rFont val="Arial CE"/>
      </rPr>
      <t xml:space="preserve"> </t>
    </r>
    <r>
      <rPr>
        <sz val="9"/>
        <rFont val="Arial CE"/>
      </rPr>
      <t xml:space="preserve">- </t>
    </r>
    <r>
      <rPr>
        <b/>
        <sz val="9"/>
        <rFont val="Arial CE"/>
      </rPr>
      <t xml:space="preserve">investice - org.3381 </t>
    </r>
    <r>
      <rPr>
        <sz val="9"/>
        <rFont val="Arial CE"/>
      </rPr>
      <t xml:space="preserve">programové vybavení - rozvoj GIS 200, nákup IS 1162,81, nákup SW -office 2023 700, nový plotr 60, nákup scaneru A3 70. </t>
    </r>
  </si>
  <si>
    <r>
      <t>Mobilní telefony-</t>
    </r>
    <r>
      <rPr>
        <b/>
        <sz val="10"/>
        <rFont val="Arial CE"/>
      </rPr>
      <t>org.7381</t>
    </r>
  </si>
  <si>
    <r>
      <t>Pevné telefony-</t>
    </r>
    <r>
      <rPr>
        <b/>
        <sz val="10"/>
        <rFont val="Arial CE"/>
      </rPr>
      <t>org.8381</t>
    </r>
  </si>
  <si>
    <r>
      <t>Dotace na OSPOD-</t>
    </r>
    <r>
      <rPr>
        <b/>
        <sz val="10"/>
        <rFont val="Arial CE"/>
      </rPr>
      <t>org. 1385</t>
    </r>
    <r>
      <rPr>
        <sz val="10"/>
        <rFont val="Arial CE"/>
      </rPr>
      <t xml:space="preserve"> </t>
    </r>
    <r>
      <rPr>
        <sz val="9"/>
        <rFont val="Arial CE"/>
      </rPr>
      <t xml:space="preserve">(v tom: knihy 5, DHM 30, materiál 30, PHM 40, služby telekomunikací 18, zpracování dat 72,6, ostatní služby 10, nájemné - leasing 140,3, služby peněžních ústavů - pojištění 15,114) </t>
    </r>
  </si>
  <si>
    <t>Humanitární zahraniční pomoc přímá</t>
  </si>
  <si>
    <r>
      <t>Pojištění funkčně nespecifikované</t>
    </r>
    <r>
      <rPr>
        <sz val="9"/>
        <rFont val="Arial CE"/>
      </rPr>
      <t xml:space="preserve"> (pojištění 1500, náhrady za nezpůsobenou újmu 50)</t>
    </r>
  </si>
  <si>
    <r>
      <t xml:space="preserve">Rozhlas a televize </t>
    </r>
    <r>
      <rPr>
        <sz val="10"/>
        <rFont val="Arial CE"/>
      </rPr>
      <t>nákup ost. služeb 3109</t>
    </r>
  </si>
  <si>
    <r>
      <t>Zastupitelstva obcí</t>
    </r>
    <r>
      <rPr>
        <sz val="9"/>
        <rFont val="Arial CE"/>
      </rPr>
      <t xml:space="preserve"> (ost.platy-refundace mzdy 30, odměny členů ZM 8520, zák.odvody 1046,6+766,8, refund.zák.odvodů 12, školení a vzdělávání pro uvolněné ZM 10, parkovné 0,5, cestovné (ubytování a doprava) 20, pohoštění vč.komisí a výborů 200, poplatky na konference 7, ošatné 90, dary 30)</t>
    </r>
  </si>
  <si>
    <r>
      <t>z toho provoz: činnost místní správy-</t>
    </r>
    <r>
      <rPr>
        <b/>
        <sz val="9"/>
        <rFont val="Arial CE"/>
      </rPr>
      <t>org.381 (bez OSPODu)</t>
    </r>
    <r>
      <rPr>
        <sz val="9"/>
        <rFont val="Arial CE"/>
      </rPr>
      <t xml:space="preserve"> v tom: platy 93200, ost.platy 10, dohody 1400, refundace 10, zák.odvody 23461+8514+520+1, školení a vzdělávání 900, elektronické předplatné 50, léky a zdr. mat. 20, právní služby 50, nákup ostatních služeb 2600, cestovné 350, konference 15, ostatní (ošatné ceremoniářky,matrikářky,hudebníci) 204, náhrady 40, náhrady mezd v nemoci  2000, </t>
    </r>
  </si>
  <si>
    <r>
      <t>Dotace na OSPOD-</t>
    </r>
    <r>
      <rPr>
        <b/>
        <sz val="10"/>
        <rFont val="Arial CE"/>
      </rPr>
      <t>org. 1385</t>
    </r>
    <r>
      <rPr>
        <sz val="10"/>
        <rFont val="Arial CE"/>
      </rPr>
      <t xml:space="preserve"> </t>
    </r>
    <r>
      <rPr>
        <sz val="9"/>
        <rFont val="Arial CE"/>
      </rPr>
      <t>v tom: platy 6900, dohody 30, zák.odvody 1718,6+623,7, školení 180, cestovné 10</t>
    </r>
  </si>
  <si>
    <r>
      <t>Sociální fond</t>
    </r>
    <r>
      <rPr>
        <sz val="10"/>
        <rFont val="Arial CE"/>
      </rPr>
      <t xml:space="preserve"> </t>
    </r>
    <r>
      <rPr>
        <sz val="9"/>
        <rFont val="Arial CE"/>
      </rPr>
      <t>(nákup ost. sl.  4067+60+21, rekreace zaměstnanců 3140, pohoštění-setkání zaměstnanců+bývalých zaměstnanců 206, dary obyvatelstvu při úmrtí zaměstnance nebo člena rodiny 100, jubilea 285, penzijní a životní pojištění zaměstn. 1150+30, akce odborů+nájemné Mořkov 26+9</t>
    </r>
  </si>
  <si>
    <r>
      <t xml:space="preserve">Nebytové hospodářství </t>
    </r>
    <r>
      <rPr>
        <sz val="9"/>
        <rFont val="Arial CE"/>
      </rPr>
      <t>(Sokolovská 9: drobný hmotný majetek 3, materiál 1, služby 3)</t>
    </r>
  </si>
  <si>
    <r>
      <t xml:space="preserve">Pohřebnictví </t>
    </r>
    <r>
      <rPr>
        <sz val="9"/>
        <rFont val="Arial CE"/>
      </rPr>
      <t>(úhrada sociálních pohřbů)</t>
    </r>
  </si>
  <si>
    <t>z toho: věcné dary/nákup materiálu (státní příspěvek na výkon SPOD) ÚZ 13024, org. 1385</t>
  </si>
  <si>
    <t xml:space="preserve">             terapeutické pobyty pro děti s omezenými příležitostmi (v tom dar Veolie 50)</t>
  </si>
  <si>
    <t>z toho: nákup služeb - Komunitní plánování (org. 0439), včetně zájezdu pro seniory 50</t>
  </si>
  <si>
    <t>z toho:   Klub seniorů Nový Jičín (org. 0383)</t>
  </si>
  <si>
    <t xml:space="preserve">               Klub seniorů Straník (org. 2383)</t>
  </si>
  <si>
    <t xml:space="preserve">               Klub seniorů Loučka (org. 3383)</t>
  </si>
  <si>
    <t xml:space="preserve">               Kavárničky - setkání seniorů v DPS (org. 3393)</t>
  </si>
  <si>
    <t xml:space="preserve">               25. výročí pečovatelské služby v Novém Jičíně - ProSenior</t>
  </si>
  <si>
    <r>
      <t>Záležitosti soc. věcí a politiky nezaměstn. j.n.</t>
    </r>
    <r>
      <rPr>
        <b/>
        <sz val="9"/>
        <rFont val="Arial CE"/>
      </rPr>
      <t xml:space="preserve"> </t>
    </r>
    <r>
      <rPr>
        <sz val="9"/>
        <rFont val="Arial CE"/>
      </rPr>
      <t>(nákup tiskopisů receptů a žádanek na omamné látky)</t>
    </r>
  </si>
  <si>
    <t>Rezerva</t>
  </si>
  <si>
    <r>
      <t xml:space="preserve">             podpora sociálních služeb dle zákona o soc.službách (org. 1113), </t>
    </r>
    <r>
      <rPr>
        <sz val="8"/>
        <rFont val="Arial CE"/>
      </rPr>
      <t>vč. spolufinancování obcí 1.459.028 Kč</t>
    </r>
  </si>
  <si>
    <r>
      <t xml:space="preserve">             podpora občanů města v pobytových soc. zařízeních (org. 1114), </t>
    </r>
    <r>
      <rPr>
        <sz val="8"/>
        <rFont val="Arial CE"/>
      </rPr>
      <t>vč. spolufinancování obcí 1.203.095 Kč</t>
    </r>
  </si>
  <si>
    <t xml:space="preserve">             podpora dostupnosti stomatologické péče ve městě Nový Jičín</t>
  </si>
  <si>
    <r>
      <t xml:space="preserve">             individuální dotace z IP kraje -Charita AD 1.249.000, Sl.Diakonie Soc.reh. 298.000, CSS SAS 480.000, Jinak Podpora sam.bydlení 70.000 </t>
    </r>
    <r>
      <rPr>
        <sz val="10"/>
        <rFont val="Arial CE"/>
      </rPr>
      <t>+ zapojení Fondu soc.služeb v celkové výši 559.400 Kč</t>
    </r>
  </si>
  <si>
    <t xml:space="preserve">             individuální dotace z IP kraje 2022+ -Charita AD 1.644.000, Sl.Diakonie Soc.reh. 596.000, Jinak Podpora sam.bydlení 70.000</t>
  </si>
  <si>
    <t xml:space="preserve">             individuální dotace na Seniorpoint Nový Jičín (org. 5383)</t>
  </si>
  <si>
    <r>
      <t xml:space="preserve">z toho </t>
    </r>
    <r>
      <rPr>
        <b/>
        <sz val="10"/>
        <rFont val="Arial CE"/>
      </rPr>
      <t>Pečovatelská služba</t>
    </r>
    <r>
      <rPr>
        <b/>
        <sz val="9"/>
        <rFont val="Arial CE"/>
      </rPr>
      <t xml:space="preserve"> (org.390)</t>
    </r>
    <r>
      <rPr>
        <sz val="9"/>
        <rFont val="Arial CE"/>
      </rPr>
      <t xml:space="preserve">: platy4530+785, dohody 60+50, zákonné odvody 1150+237, 408+71, potraviny 1, ochranné osobní pomůcky 40, léky+zdrav.mater.3, prádlo+oděv 2, knihy+tisk 1,5, DHM  80, materiál  120, elektř. 83, PHM 120, služby telekomunikací 0, mobily 12, pevné linky 3, školení a vzdělávání 50, zpracování dat 40, služby 70, opravy a udržování 150, cestovné 20, účastnické poplatky na konference 12, ostatní nákupy 0, neinvestiční transfery spolkům 3,5, náhrady mezd v době nemoci 83+20, dopravní prostředky 0   </t>
    </r>
  </si>
  <si>
    <r>
      <t xml:space="preserve">z toho </t>
    </r>
    <r>
      <rPr>
        <b/>
        <sz val="10"/>
        <rFont val="Arial CE"/>
      </rPr>
      <t>Denní stacionář=Domovinka</t>
    </r>
    <r>
      <rPr>
        <b/>
        <sz val="9"/>
        <rFont val="Arial CE"/>
      </rPr>
      <t xml:space="preserve"> (org.1391)</t>
    </r>
    <r>
      <rPr>
        <sz val="9"/>
        <rFont val="Arial CE"/>
      </rPr>
      <t>: platy 1040+ 410, dohody 60, zákonné odvody270+103 96+40, ochr.os.pomůcky 8, prádlo+oděv 1,5, knihy+tisk 1, DHM 15, materiál 32, elektrická energie 17, služby telekomunikací 1, školení a vzdělávání 10, zpracování dat 10, služby 33, opravy a údržba 58, cestovné 1, účastn.popl.na konferencích 2,5, náhrady mezd v době nemoci  5+10</t>
    </r>
  </si>
  <si>
    <r>
      <t xml:space="preserve">z toho </t>
    </r>
    <r>
      <rPr>
        <b/>
        <sz val="10"/>
        <rFont val="Arial CE"/>
      </rPr>
      <t xml:space="preserve">Odlehčovací služba Pohoda </t>
    </r>
    <r>
      <rPr>
        <b/>
        <sz val="9"/>
        <rFont val="Arial CE"/>
      </rPr>
      <t>(org.1393)</t>
    </r>
    <r>
      <rPr>
        <sz val="9"/>
        <rFont val="Arial CE"/>
      </rPr>
      <t xml:space="preserve">: platy 3360+940, dohody 400, zákonné odvody 900+235,  350+85, OOP+oděvy 20+8, DHM 45, materiál 60, elektř.30, telef. 1, školení a vzdělávání 25, zpracování dat 20, služby 50, opravy a údržba 15, cestovné 1, poplatky na konference 2,5, náhrady v době nemoci  80+15                                               </t>
    </r>
  </si>
  <si>
    <t xml:space="preserve">z toho investice: nákup 2 vozidel </t>
  </si>
  <si>
    <t xml:space="preserve">Pěstební činnost </t>
  </si>
  <si>
    <t xml:space="preserve">Celospolečenské funkce lesů </t>
  </si>
  <si>
    <r>
      <t xml:space="preserve">Ostatní správa ve vodním hospodářství </t>
    </r>
    <r>
      <rPr>
        <sz val="9"/>
        <rFont val="Arial CE"/>
      </rPr>
      <t>(havárie)</t>
    </r>
  </si>
  <si>
    <r>
      <t>Sběr a svoz nebezpečných odpadů</t>
    </r>
    <r>
      <rPr>
        <b/>
        <sz val="9"/>
        <rFont val="Arial CE"/>
      </rPr>
      <t xml:space="preserve"> </t>
    </r>
    <r>
      <rPr>
        <sz val="9"/>
        <rFont val="Arial CE"/>
      </rPr>
      <t>(TSM: 50)</t>
    </r>
  </si>
  <si>
    <r>
      <t xml:space="preserve">z toho: TSM příspěvek na investice </t>
    </r>
    <r>
      <rPr>
        <sz val="9"/>
        <rFont val="Arial CE"/>
      </rPr>
      <t>(2024: ramenový nakladač 4 250 mil.)</t>
    </r>
  </si>
  <si>
    <r>
      <t xml:space="preserve">Využívání a zneškodňování ostatních odpadů </t>
    </r>
    <r>
      <rPr>
        <sz val="10"/>
        <rFont val="Arial CE"/>
      </rPr>
      <t>(pořízení 300 ks kompostérů z dotace)</t>
    </r>
  </si>
  <si>
    <r>
      <t xml:space="preserve">Monitoring půdy a podzemní vody </t>
    </r>
    <r>
      <rPr>
        <sz val="9"/>
        <rFont val="Arial CE"/>
      </rPr>
      <t xml:space="preserve">(sledování vrtů na Kojetíně) </t>
    </r>
  </si>
  <si>
    <r>
      <t>Chráněné části přírody</t>
    </r>
    <r>
      <rPr>
        <sz val="9"/>
        <rFont val="Arial CE"/>
      </rPr>
      <t xml:space="preserve"> (památné stromy, významné krajinné prvky)</t>
    </r>
  </si>
  <si>
    <t xml:space="preserve">z toho: Zelené město </t>
  </si>
  <si>
    <r>
      <t xml:space="preserve">             příspěvek na investice TSM </t>
    </r>
    <r>
      <rPr>
        <sz val="9"/>
        <rFont val="Arial CE"/>
      </rPr>
      <t xml:space="preserve">(2024:hákový nakladač 2 600 tis., přeložka elektriky SD Palackého 150 tis.) </t>
    </r>
  </si>
  <si>
    <t>031 - Dotace, návratné finanční výpomoci a dary cizím subjektům</t>
  </si>
  <si>
    <r>
      <t>031/</t>
    </r>
    <r>
      <rPr>
        <b/>
        <sz val="9"/>
        <rFont val="Arial CE"/>
      </rPr>
      <t>2321</t>
    </r>
    <r>
      <rPr>
        <sz val="9"/>
        <rFont val="Arial CE"/>
      </rPr>
      <t>/6371</t>
    </r>
  </si>
  <si>
    <t xml:space="preserve">                    Dotace na vybudování malých domovních čistíren odpadních vod</t>
  </si>
  <si>
    <r>
      <t>031/</t>
    </r>
    <r>
      <rPr>
        <b/>
        <sz val="9"/>
        <rFont val="Arial CE"/>
      </rPr>
      <t>3634</t>
    </r>
    <r>
      <rPr>
        <sz val="9"/>
        <rFont val="Arial CE"/>
      </rPr>
      <t>/6371</t>
    </r>
  </si>
  <si>
    <t xml:space="preserve">                    Dotace na podporu využití zachycené dešťové vody </t>
  </si>
  <si>
    <t>Střední odborné školy (EDUCA) - běžné opravy 100, zápočet investic a nájmu 303</t>
  </si>
  <si>
    <t xml:space="preserve">   Sportovní hala s bazénem: org. 0515</t>
  </si>
  <si>
    <t xml:space="preserve">Areál krytého bazénu:  - instalace předokenních žaluzií na JZ stěnu budovy </t>
  </si>
  <si>
    <t xml:space="preserve">                                        - Nákup zahradního traktoru s hydraulickým vyprazdňováním koše</t>
  </si>
  <si>
    <t xml:space="preserve">                                        - nákup 14 ks polohov.lehátek pro venkovní ochlazovnu (100), hliníkové nosné plošiny (80), odstředivka plavek (45.254) pol. 6122</t>
  </si>
  <si>
    <t xml:space="preserve">         - v tom:     nepředvídané opravy</t>
  </si>
  <si>
    <t xml:space="preserve">         - PD dešťových svodů</t>
  </si>
  <si>
    <t xml:space="preserve">Areál krytého bazénu: - výměna žaluzie v přívodním tunelu vzduchotechniky s aut.posuvem filtrační tkaniny </t>
  </si>
  <si>
    <t xml:space="preserve">                                      - oprava zázemí údržby</t>
  </si>
  <si>
    <t xml:space="preserve">                                      - výměna vstupních dveří do bazénu - pokladna </t>
  </si>
  <si>
    <t xml:space="preserve">                                      - oprava kuchyně restaurace </t>
  </si>
  <si>
    <t xml:space="preserve">                                      - oprava čisté chodby </t>
  </si>
  <si>
    <t xml:space="preserve">          - příspěvek Basketbalovému klubu, z.s. (provoz+energie)  + oprava dešťových svodů (500)       AÚ 437 </t>
  </si>
  <si>
    <t xml:space="preserve">          - nákup DDHM a ost.materiálu  5137 (nákup 8ks lehátek pro saunový provoz), 5139 </t>
  </si>
  <si>
    <t xml:space="preserve">          - služby pol. 5169 (PD, posudky, studie)</t>
  </si>
  <si>
    <t xml:space="preserve">   Zimní stadión: org. 0522</t>
  </si>
  <si>
    <t xml:space="preserve">             - Nákup rolby (6122)</t>
  </si>
  <si>
    <t xml:space="preserve">             - Řídící systém chlazení ledové plochy </t>
  </si>
  <si>
    <t xml:space="preserve">             - příspěvek Hokejovému klubu, z.s. (provoz+energie)         AÚ 437</t>
  </si>
  <si>
    <t xml:space="preserve">             - služby pol. 5169 (PD, posudky, studie)</t>
  </si>
  <si>
    <t xml:space="preserve">            - sekční garážová vrata do strojovny </t>
  </si>
  <si>
    <t xml:space="preserve">            - výměna motoru VZT (75),  výměna elektroinstalace v šatnách č.32/33 (100), výměna dveří vč.zárubní (200), boxy na sezení šatny  č.32 ,33 (240)</t>
  </si>
  <si>
    <t xml:space="preserve">           PD - investice, realizace do 1 mil. Kč </t>
  </si>
  <si>
    <t xml:space="preserve">                          - generální opravy volných bytů (vrácené byty zdevastované nebo po exekucích) </t>
  </si>
  <si>
    <t xml:space="preserve">                          - PD a posudky opravy střech, fasád, odvlhčení domů ve správě OB, apod.</t>
  </si>
  <si>
    <t xml:space="preserve">                          - realizace oprav střech, fasád, odvlhčení domů ve správě OB (do 1 mil. Kč)</t>
  </si>
  <si>
    <t xml:space="preserve">                          - generální opravy bytů v MPR ( pro ORI nad 1 mil)</t>
  </si>
  <si>
    <t xml:space="preserve">             úsek 1 (p. Kabuďová ):  </t>
  </si>
  <si>
    <t xml:space="preserve">                          - běžná údržba a opravy, výměny zařizovacích předmětů </t>
  </si>
  <si>
    <t xml:space="preserve">                             DPS Pod Lipami - výměna vstupních dveří</t>
  </si>
  <si>
    <t xml:space="preserve">                             DPS  Revoluční 6 - opravy hromosvodů </t>
  </si>
  <si>
    <t xml:space="preserve">                             Výmalba společných prostor a schodišť (Jičínská 272, Na Lani 212)</t>
  </si>
  <si>
    <t xml:space="preserve">             úsek 2 + MPR (p. Honešová): </t>
  </si>
  <si>
    <t xml:space="preserve">                             DPS Pod Lipami - oprava balkónů II. etapa 1/2</t>
  </si>
  <si>
    <t xml:space="preserve">                             DPS Pod Lipami 19 - výměna oken ve společných prostorách + 3ks vstupních dveří </t>
  </si>
  <si>
    <t xml:space="preserve">                             Výmalba společných prostor a schodišť (Bulharská 9,7,11,13,15,17 + Luční 2,3,4)</t>
  </si>
  <si>
    <t xml:space="preserve">             úsek 2 - MPR (p. Honešová):  </t>
  </si>
  <si>
    <t xml:space="preserve">                         - akce úsek 2 celkem: </t>
  </si>
  <si>
    <r>
      <t xml:space="preserve">             </t>
    </r>
    <r>
      <rPr>
        <b/>
        <sz val="10"/>
        <rFont val="Arial CE"/>
      </rPr>
      <t>domovníci</t>
    </r>
    <r>
      <rPr>
        <sz val="10"/>
        <rFont val="Arial CE"/>
      </rPr>
      <t xml:space="preserve"> (mzdy a odvody, AÚ 0800)</t>
    </r>
  </si>
  <si>
    <r>
      <t xml:space="preserve">           </t>
    </r>
    <r>
      <rPr>
        <b/>
        <sz val="10"/>
        <rFont val="Arial CE"/>
      </rPr>
      <t xml:space="preserve">  služby</t>
    </r>
    <r>
      <rPr>
        <sz val="10"/>
        <rFont val="Arial CE"/>
      </rPr>
      <t xml:space="preserve">  org. 0518 (úklidy,revize,výtahy, odečty,poruch.služba, deratizace,čištění kanalizace,komíny, SBI, zn. posudky)</t>
    </r>
  </si>
  <si>
    <t xml:space="preserve">             příspěvek do fondu oprav v SVJ (kotelny Vančurova 16, Dlouhá 45, Mendelova 8) ( pol. 5192)</t>
  </si>
  <si>
    <t xml:space="preserve">Nákup zboží (paragony)- pol. 5139 </t>
  </si>
  <si>
    <t>Náklady na energie - org. 0518</t>
  </si>
  <si>
    <t xml:space="preserve">            - vodné a stočné</t>
  </si>
  <si>
    <t xml:space="preserve">            - dodávka tepla </t>
  </si>
  <si>
    <t xml:space="preserve">            - plyn</t>
  </si>
  <si>
    <t xml:space="preserve">            - elektřina </t>
  </si>
  <si>
    <t xml:space="preserve">             TSM  - požadavky Redmine, OB příspěvek - AÚ 0800, po. 5169</t>
  </si>
  <si>
    <t xml:space="preserve">              Hückelovy vily - zpracování studií vily J. Hückela (300), aktualizace studie vily  A. Hückela (100), studie areálu (100)</t>
  </si>
  <si>
    <t xml:space="preserve">              Hückelovy vily - pořízení měřící techniky pro sledování klimatu - pol.6122</t>
  </si>
  <si>
    <t xml:space="preserve">              Příspěvek na investice TSM  (AÚ 0800, pol. 6351) garážová vrata, oplechování a zateplení garáží  110 + výměna VO 40</t>
  </si>
  <si>
    <t xml:space="preserve">              Příspěvek na investice TSM  (AÚ 0800, pol. 6351) - Administrativní budova: Klimatizační jednotka 2.patro - PD vč.realizace        (520), Zateplení stropu pod střechou ( 80)</t>
  </si>
  <si>
    <t xml:space="preserve">              Hotel Praha - WC u zadního vchodu -realizace </t>
  </si>
  <si>
    <t xml:space="preserve">              Hotel Praha - realizace střešního světlíku nad kuchyní </t>
  </si>
  <si>
    <r>
      <t xml:space="preserve">              SK Straník 147 - realizace ČOV (</t>
    </r>
    <r>
      <rPr>
        <b/>
        <sz val="10"/>
        <rFont val="Arial CE"/>
      </rPr>
      <t>2023</t>
    </r>
    <r>
      <rPr>
        <sz val="10"/>
        <rFont val="Arial CE"/>
      </rPr>
      <t xml:space="preserve"> - nákup zahradní sekačky, pol. 6122, přístřešek pol. 6121)</t>
    </r>
  </si>
  <si>
    <t xml:space="preserve">              Straník 80 - realizace ČOV</t>
  </si>
  <si>
    <t xml:space="preserve">              Výletní lokalita Čerťák - vybudování venkovní terasy v rámci III. etapy</t>
  </si>
  <si>
    <t>Nákup DHDM pro org. 0518,8518 - pol. 5137</t>
  </si>
  <si>
    <t>Nákup zboží (paragony)- pol. 5139 (50 tis. 0518, 30 tis. 8518)</t>
  </si>
  <si>
    <t>Náklady na energie - org. 0518, 2518, 8518, 5518</t>
  </si>
  <si>
    <t xml:space="preserve">            - elektřina  </t>
  </si>
  <si>
    <t xml:space="preserve">z toho:  PD pro NP </t>
  </si>
  <si>
    <t xml:space="preserve">            služby + revize org. 0518 - nebytové domy </t>
  </si>
  <si>
    <t xml:space="preserve">            služby + revize org. 2518 Hotel Praha </t>
  </si>
  <si>
    <t xml:space="preserve">            služby + revize org. 8518  Hűckelovy vily (Smlouva správce)</t>
  </si>
  <si>
    <t xml:space="preserve">            dohody+odvody - Bludovice, Straník, Kojetín, Žilina   AÚ0 800</t>
  </si>
  <si>
    <t xml:space="preserve">            dohody Hückelovy vily AÚ 0800</t>
  </si>
  <si>
    <t xml:space="preserve">            TSM - provoz veřejných WC+WC u letního kina AÚ 0800</t>
  </si>
  <si>
    <t xml:space="preserve">            TSM - požadavky Redmine, OB příspěvek - AÚ 0800, pol. 5169</t>
  </si>
  <si>
    <t xml:space="preserve">            Hückelovy vily - spoluúčast na dotačních titulech (fixace nástropních maleb E. Veitha, restaurátorský průzkum maleb), výkup předmětů pro sbírku HV Ministerstva kultury pol. 5169</t>
  </si>
  <si>
    <t xml:space="preserve">              Příspěvek na TSM - Výměna osvětlení za úsporné LED v objektech svěřených TSM NJ, městská tržnice (100 tis.)</t>
  </si>
  <si>
    <t xml:space="preserve">              Příspěvek na TSM  výměna PVC v šatně - 120.000 Kč, oprava venkovního schodiště a opěrné zídky v areálu TS Nový Jičín - 60.000 Kč pol. 5331 AU 0800</t>
  </si>
  <si>
    <t xml:space="preserve">             úsek 5 - NP + NP v MPR (p. Friedecká, Černochová)</t>
  </si>
  <si>
    <t xml:space="preserve">                         - akce úsek MPR  celkem:</t>
  </si>
  <si>
    <t xml:space="preserve">                           Msgr. Šrámka 11 - zubní poliklinika - oprava omítek, střechy, atika, dveře u ordinací</t>
  </si>
  <si>
    <t xml:space="preserve">             úsek 5 (p. Friedecká): </t>
  </si>
  <si>
    <t xml:space="preserve">                          - akce úsek 5 celkem:</t>
  </si>
  <si>
    <t xml:space="preserve">                                      Střecha tržnice - nátěr ocelových konstrukcí a oprava podlah (WC a kancelář)</t>
  </si>
  <si>
    <t xml:space="preserve">                                      Hűckelovy vily- oprava a údržba do doby rekonstrukce - střecha, věže, kovářské a zámečnické práce </t>
  </si>
  <si>
    <t xml:space="preserve">                                      Hückelovy vily - oprava vrátnice </t>
  </si>
  <si>
    <t xml:space="preserve">                                      Hotel Praha - nepředvídané opravy </t>
  </si>
  <si>
    <t xml:space="preserve">                                      Jiráskova - hala Boban, zázemí tenisových kurtů (záchovná údržba)</t>
  </si>
  <si>
    <t xml:space="preserve">                             - osadní výbory celkem:                                                                                       </t>
  </si>
  <si>
    <t xml:space="preserve">                                    Loučka 90</t>
  </si>
  <si>
    <t xml:space="preserve">                                    Straník 80 (nepředvídatelné opravy)</t>
  </si>
  <si>
    <t xml:space="preserve">                                    SK Straník 147 (oprava fasády, nová podlaha v tělocvičně, výměna oken - II. část) </t>
  </si>
  <si>
    <t xml:space="preserve">                                    Bludovice 13  - drobné opravy</t>
  </si>
  <si>
    <t xml:space="preserve">                                    Žilina</t>
  </si>
  <si>
    <t xml:space="preserve">                                    Kojetín 7 - stavební úpravy (dětská herna, tělocvična), oprava dlažby a osvětlení ve volební místnosti </t>
  </si>
  <si>
    <t>Lokální zásobování teplem (tepelné hospodářství)</t>
  </si>
  <si>
    <t>z toho:  nákup služeb - obsluha a revize kotelny Hotelu Praha + Suvorovova 152 + Dům k Archivu 2, revize  pol. 5169</t>
  </si>
  <si>
    <t>z toho opravy:  nepředvídané opravy a havárie teplovodů , výměna potrubí TUV Loučka 300</t>
  </si>
  <si>
    <t xml:space="preserve">             nepředvídané opravy tepelného hospodářství (havarie OPS, přípojek a potrubí TUV, rozvodů tepla a prostupů)</t>
  </si>
  <si>
    <r>
      <t xml:space="preserve">             opravy kotelen - sanace, opravy střechy, omítek (</t>
    </r>
    <r>
      <rPr>
        <sz val="10"/>
        <rFont val="Arial CE"/>
      </rPr>
      <t>realizace: modernizace OPS v rozsahu ÚT+MAR Zborovská 11-600 vč. vyregulování,-300 spalinovod kotelna bazén-600, výměny nefunkčních armatur domovních přípojek čtyřtrubkového teplovodního systému-100, výměny původního vnitřního teplovodu za plast Loučka -500, modernizace 9 ks OPS v rozsahu TUV Sportovní 2, 4, Bezručova 32, 41, Bulharská 6, Palackého 76, Gregorova 36, Dlouhá 43, 52-600)</t>
    </r>
  </si>
  <si>
    <r>
      <t xml:space="preserve">             Dodávka </t>
    </r>
    <r>
      <rPr>
        <sz val="10"/>
        <rFont val="Arial CE"/>
      </rPr>
      <t xml:space="preserve">5 ks nerez zásobníků teplé vody do kotelen a odběrných před.stanic v domech </t>
    </r>
  </si>
  <si>
    <t xml:space="preserve">             PD a realizace - 10 ks měření a regulace OPS</t>
  </si>
  <si>
    <t>Osobní asistence, pečovatelská služba a podpora samostatného bydlení (DPS-telefony, AÚ 0800)</t>
  </si>
  <si>
    <t xml:space="preserve">z toho: opravy a údržba celkem (nejnutnější akce)                                                                                     </t>
  </si>
  <si>
    <t xml:space="preserve">            Azylový dům Nový Jičín (výměna vnitřních dveří, oprava pokojů v 1. patře, oprava plotu a střechy)</t>
  </si>
  <si>
    <t xml:space="preserve">            Azylový dům Straník (provizorní oprava podlah 40, nepředvídatelné opravy 100)</t>
  </si>
  <si>
    <t xml:space="preserve">            komplexní řízení energetiky - software energetický management ENSYTRA a roční poplatek (pol. 5168)</t>
  </si>
  <si>
    <t xml:space="preserve">            výběr dodavatele elektřiny a plynu na rok 2025 (na 2 až 3 roky)</t>
  </si>
  <si>
    <t xml:space="preserve">            Energetické dokumentace (EA, PENB, energetický posudek dle požadavku dotací)</t>
  </si>
  <si>
    <t xml:space="preserve">            PD - projektování v tepelném hospodářství</t>
  </si>
  <si>
    <t xml:space="preserve">            Opravy VN rozvaděčů a trafostanic - bazén, zimní stadion, tržnice, areál TSM </t>
  </si>
  <si>
    <r>
      <t xml:space="preserve">Ostatní správa v průmyslu, stavebnictví, obchodu a službách </t>
    </r>
    <r>
      <rPr>
        <sz val="9"/>
        <rFont val="Arial CE"/>
      </rPr>
      <t>(stavební úřad)</t>
    </r>
  </si>
  <si>
    <t xml:space="preserve">             vratky příjmů z minulých let (stavební úřad)</t>
  </si>
  <si>
    <t>z toho: změny územního plánu města (změna č. 7, změna č. 8)</t>
  </si>
  <si>
    <r>
      <t xml:space="preserve">Dotace, návratné finanční výpomoci a dary cizím subjektům </t>
    </r>
    <r>
      <rPr>
        <sz val="9"/>
        <rFont val="Arial CE"/>
      </rPr>
      <t>(estetizace)</t>
    </r>
  </si>
  <si>
    <r>
      <t>2310800/741/</t>
    </r>
    <r>
      <rPr>
        <b/>
        <sz val="10"/>
        <rFont val="Arial CE"/>
      </rPr>
      <t>2223</t>
    </r>
    <r>
      <rPr>
        <sz val="9"/>
        <rFont val="Arial CE"/>
      </rPr>
      <t>/5909</t>
    </r>
  </si>
  <si>
    <r>
      <t xml:space="preserve">Ostatní neinvestiční výdaje jinde nezařazené </t>
    </r>
    <r>
      <rPr>
        <sz val="10"/>
        <rFont val="Arial CE"/>
      </rPr>
      <t>(náklady řízení uhrazené občanem na chybný účet na konci roku 2023)</t>
    </r>
  </si>
  <si>
    <t>3111,3113,3233</t>
  </si>
  <si>
    <r>
      <t>Ostatní výdaje z finančního vypořádání</t>
    </r>
    <r>
      <rPr>
        <sz val="9"/>
        <rFont val="Arial CE"/>
      </rPr>
      <t xml:space="preserve"> </t>
    </r>
  </si>
  <si>
    <r>
      <t xml:space="preserve">z toho: doplatek energií </t>
    </r>
    <r>
      <rPr>
        <sz val="9"/>
        <rFont val="Arial CE"/>
      </rPr>
      <t>(MŠ Trojlístek: 15,61479; ZŠ a MŠ Jubil.57,24653; ZŠ Kom.66: 130,29527; ZŠ Kom.68: 210,48542; ZŠ Tyršova: 444,69721)</t>
    </r>
  </si>
  <si>
    <t>z toho: doplatek TSM NJ</t>
  </si>
  <si>
    <r>
      <rPr>
        <b/>
        <sz val="10"/>
        <rFont val="Arial CE"/>
      </rPr>
      <t xml:space="preserve">Bytové hospodářství </t>
    </r>
    <r>
      <rPr>
        <sz val="10"/>
        <rFont val="Arial CE"/>
      </rPr>
      <t>(úroky z úvěru u ČS: úvěr.účet 2310403)</t>
    </r>
  </si>
  <si>
    <r>
      <t>Finanční vypořádání Veolia Energie ČR</t>
    </r>
    <r>
      <rPr>
        <b/>
        <sz val="9"/>
        <rFont val="Arial CE"/>
      </rPr>
      <t xml:space="preserve"> </t>
    </r>
    <r>
      <rPr>
        <sz val="10"/>
        <rFont val="Arial CE"/>
      </rPr>
      <t>(dle fakturace skutečně odebraného množství GJ 2020-2022)</t>
    </r>
  </si>
  <si>
    <r>
      <t>2310800/741/</t>
    </r>
    <r>
      <rPr>
        <b/>
        <sz val="10"/>
        <rFont val="Arial CE"/>
      </rPr>
      <t>3639</t>
    </r>
    <r>
      <rPr>
        <sz val="9"/>
        <rFont val="Arial CE"/>
      </rPr>
      <t>/5362</t>
    </r>
  </si>
  <si>
    <r>
      <t>Komunální služby a územní rozvoj</t>
    </r>
    <r>
      <rPr>
        <b/>
        <sz val="10"/>
        <rFont val="Arial CE"/>
      </rPr>
      <t xml:space="preserve"> </t>
    </r>
    <r>
      <rPr>
        <sz val="10"/>
        <rFont val="Arial CE"/>
      </rPr>
      <t>(soudní poplatky, realizace exekucí, ...)</t>
    </r>
  </si>
  <si>
    <r>
      <t xml:space="preserve">Činnost místní správy </t>
    </r>
    <r>
      <rPr>
        <sz val="10"/>
        <rFont val="Arial CE"/>
      </rPr>
      <t>(daňové, účetní poradenství, odborné konzultace, psí známky, poplatky FÚ za bezdlužnost města) - pol. 5166 (99 tis.Kč), pol. 5362 (1 tis. Kč)</t>
    </r>
  </si>
  <si>
    <r>
      <t>Výdaje z finančních operací</t>
    </r>
    <r>
      <rPr>
        <b/>
        <sz val="9"/>
        <rFont val="Arial CE"/>
      </rPr>
      <t xml:space="preserve"> </t>
    </r>
    <r>
      <rPr>
        <sz val="10"/>
        <rFont val="Arial CE"/>
      </rPr>
      <t>(bankovní poplatky za vedení účtů a položky)</t>
    </r>
  </si>
  <si>
    <r>
      <t xml:space="preserve">z toho: daň z příjmů právnických osob za obec </t>
    </r>
    <r>
      <rPr>
        <sz val="10"/>
        <rFont val="Arial CE"/>
      </rPr>
      <t>(stejná výše je uvedena i v příjmech na pol. 1122)</t>
    </r>
  </si>
  <si>
    <t xml:space="preserve">             daň z přidané hodnoty za město (odvod+režim PDP za prosinec) </t>
  </si>
  <si>
    <t>z toho: TSM (stř.odpady)</t>
  </si>
  <si>
    <t xml:space="preserve">             SVČ Fokus (vratka části dotace z MSK s ÚZ 133 a ze státního rozpočtu s ÚZ 33166)</t>
  </si>
  <si>
    <t xml:space="preserve">             vratka části dotace "Obědy dětem" MŠ Trojlístek (ÚZ 13014)</t>
  </si>
  <si>
    <r>
      <t xml:space="preserve">            </t>
    </r>
    <r>
      <rPr>
        <sz val="10"/>
        <rFont val="Arial CE"/>
      </rPr>
      <t xml:space="preserve"> vratka části neinvest.dotace z OP Zaměstnanost (ÚZ 13013)</t>
    </r>
  </si>
  <si>
    <t xml:space="preserve">             vratka části nevyčerpané dotace na "Pěstounskou péči" (ÚZ 13010)</t>
  </si>
  <si>
    <t xml:space="preserve">             vratka nepoužité dotace z r. 2022 na "Volby prezidenta ČR" (ÚZ 98008)</t>
  </si>
  <si>
    <t>z toho: rozpočtová rezerva (vč.rezervy  z progr.dotací OSV: celorok 291, dobrov. 5, hospic 65)</t>
  </si>
  <si>
    <r>
      <t xml:space="preserve">            členství města ve svazech a sdruž. </t>
    </r>
    <r>
      <rPr>
        <sz val="10"/>
        <rFont val="Arial CE"/>
      </rPr>
      <t>(org.1010):</t>
    </r>
    <r>
      <rPr>
        <sz val="9"/>
        <rFont val="Arial CE"/>
      </rPr>
      <t xml:space="preserve"> </t>
    </r>
    <r>
      <rPr>
        <sz val="10"/>
        <rFont val="Arial CE"/>
      </rPr>
      <t>Partnerství pro městskou mobilitu (bývalá Asociace cykloměst) 5, MAS Lašsko 80, Národní síť zdravých měst 44,7735, Svaz měst a obcí 76,89776, Sdružení historických sídel 28,195, EUROREGION SILESIA-CZ 58,74, ...,</t>
    </r>
  </si>
  <si>
    <r>
      <t>2310400/741/</t>
    </r>
    <r>
      <rPr>
        <b/>
        <sz val="9"/>
        <rFont val="Arial CE"/>
      </rPr>
      <t>6409</t>
    </r>
    <r>
      <rPr>
        <sz val="9"/>
        <rFont val="Arial CE"/>
      </rPr>
      <t>/5904/13013</t>
    </r>
  </si>
  <si>
    <t xml:space="preserve">            vratka části dotace "Efektivní veřejná správa"</t>
  </si>
  <si>
    <t>Příloha č. 3</t>
  </si>
  <si>
    <t>PŘEHLED AKCÍ V ROZPOČTU MĚSTA NA ROK 2024 S FINANCOVÁNÍM DO ROKU 2025</t>
  </si>
  <si>
    <t>ORJ</t>
  </si>
  <si>
    <t>ORG</t>
  </si>
  <si>
    <t>Název akce</t>
  </si>
  <si>
    <t xml:space="preserve">Celkové předpokl. výdaje na akci </t>
  </si>
  <si>
    <t>Skutečné výdaje před            r. 2023</t>
  </si>
  <si>
    <t>Předpokl. výdaje
r. 2023</t>
  </si>
  <si>
    <t>Požadavek na rozpočet města                                                                (v Kč)</t>
  </si>
  <si>
    <t>Poznámka</t>
  </si>
  <si>
    <t>2024</t>
  </si>
  <si>
    <t>2025</t>
  </si>
  <si>
    <t>po r. 2025</t>
  </si>
  <si>
    <t>602 Vodní hospodářství</t>
  </si>
  <si>
    <t>Vodovod Straník (společně s kanalizací) PD</t>
  </si>
  <si>
    <t>jedná se pouze o předpokládané náklady na PD</t>
  </si>
  <si>
    <t>Kanalizace Bludovice PD</t>
  </si>
  <si>
    <t>Kanalizace Straník (společně s vodovodem) PD</t>
  </si>
  <si>
    <t>610 Doprava</t>
  </si>
  <si>
    <t>Komunikace Nový Jičín - Kojetín PD</t>
  </si>
  <si>
    <t>Křižovatka ul. Propojovací a Hřbitovní PD</t>
  </si>
  <si>
    <t>614 Školství - akce OŠKS</t>
  </si>
  <si>
    <t xml:space="preserve">ZŠ Tyršova - výměna oken závěrečná etapa </t>
  </si>
  <si>
    <t>jedná se o náklady na realizaci</t>
  </si>
  <si>
    <t>616 Kultura - akce OŠKS</t>
  </si>
  <si>
    <t>Kino Květen - rekonstrukce studie + PD</t>
  </si>
  <si>
    <t>jedná se pouze o předpokládané náklady na studii a PD</t>
  </si>
  <si>
    <t>637 - akce OB</t>
  </si>
  <si>
    <t>Venkovní bazén (č.z. 08/22)</t>
  </si>
  <si>
    <t>Dům na ul.Dobrovského 39/2 - oprava - PD</t>
  </si>
  <si>
    <t>Dům na ul. Gen. Hlaďo 758/22 (Čedok) - oprava - PD</t>
  </si>
  <si>
    <t>Dům Masarykovo nám. 27/16 (lékárna) - oprava  - PD</t>
  </si>
  <si>
    <t>Dům na ul.  Jungmannova 1, 5. května - revitalizace - PD</t>
  </si>
  <si>
    <t>Dům na ul. Havlíčkova 104/11 - sanace - PD</t>
  </si>
  <si>
    <t>Fojtství Bludovice (č.z. 10/22) - PD</t>
  </si>
  <si>
    <t>639 Komunální služby a územní rozvoj</t>
  </si>
  <si>
    <t>Tenisová hala B. Martinů PD</t>
  </si>
  <si>
    <t>jedná se pouze o předpokládané náklady na PD, studie z r. 2023</t>
  </si>
  <si>
    <t>Víceúčelová sportovní hala Jičínka PD</t>
  </si>
  <si>
    <t>jedná se pouze o předpokládané náklady na PD, architektonická soutěž z r. 2023</t>
  </si>
  <si>
    <t xml:space="preserve">Inženýrské sítě ve sportovním areálu - PD </t>
  </si>
  <si>
    <t>Převod obchodních podílů k objektu Nové Slunce na ul. Husova</t>
  </si>
  <si>
    <t>CELKEM</t>
  </si>
  <si>
    <t>Příloha č. 1/list č. 3</t>
  </si>
  <si>
    <t>PŘEHLED AKCÍ V ROZPOČTU MĚSTA NA ROK 2025 S FINANCOVÁNÍM DO ROKU 2026</t>
  </si>
  <si>
    <t>2026</t>
  </si>
  <si>
    <t>po r. 2026</t>
  </si>
  <si>
    <t>Kanalizace Bludovice (DČOV) PD</t>
  </si>
  <si>
    <t>Převedení chodců ul. K Nemocnici parc.č.558/26 (Honzek); křižovatka ul. K Archivu a K Nemocnici PD</t>
  </si>
  <si>
    <t xml:space="preserve">Most Dolní Brána (U Laposu  - Grasmanka) </t>
  </si>
  <si>
    <t>2025: přeložky IS, 2026: rekonstrukce mostu</t>
  </si>
  <si>
    <t>M105 Most Bludovice u č.p. 38 PD</t>
  </si>
  <si>
    <t>M703 Most Na Poříčí u č.p. 54 PD</t>
  </si>
  <si>
    <t>M701 Most Na Poříčí u č.p. 549 PD</t>
  </si>
  <si>
    <t>Dopravní řešení Loučka, restaurace Koruna PD</t>
  </si>
  <si>
    <t xml:space="preserve">ZŠ Tyršova - tělocvična PD </t>
  </si>
  <si>
    <t>jedná se o pouze o předpokládané náklady na PD</t>
  </si>
  <si>
    <t xml:space="preserve">615 Oddělení rozvoje </t>
  </si>
  <si>
    <t>Sdílená kola</t>
  </si>
  <si>
    <t>jedná se o náklady na provoz služby</t>
  </si>
  <si>
    <t>Dům na ul. 5.května 2098/4 - revitalizace</t>
  </si>
  <si>
    <t>Dům na ul.Dobrovského 39/2 - oprava (střecha, výlohy,okna,sklepy a chodba, instalační šachty)</t>
  </si>
  <si>
    <t>Dům Masarykovo nám. 27/16 (Hruška) - oprava střechy,schodiště, podlahy</t>
  </si>
  <si>
    <t>Objekt na ul. Suvorovova 152 (č. z. 11/22)</t>
  </si>
  <si>
    <t>2025: II.etapa (sociální zařízení), 2026: III.etapa (instalace FVE, zateplení střechy, rekonstrukce vnitřních rozvodů, instalací, topení, osvětlení, dešťová kanalizace, přípojka plynu)</t>
  </si>
  <si>
    <t>Hotel Praha - WC ve vstupu PD+realizace (oprava)</t>
  </si>
  <si>
    <t>Realizace 2 bytů nad Cukrárnou Bílý Anděl</t>
  </si>
  <si>
    <t>Oprava fasády a střech na objektech Masar.nám 45/29 (NC), Masar.nám. 43/27, Masar.nám. 44/28 - vnitroblok Laudonovo nádvoří PD</t>
  </si>
  <si>
    <t>jedná se o předpokládané náklady na PD</t>
  </si>
  <si>
    <t>Revitalizace domu Msgr. Šrámka 1029/13 PD</t>
  </si>
  <si>
    <t>Hückelové vily - odvodnění (č.z. 02/22) PD</t>
  </si>
  <si>
    <t>MŠ Husova 1 (Beruška) fasáda, střecha, kotelna PD</t>
  </si>
  <si>
    <t>ProSenior Nový Jičín - Domeček studie + PD</t>
  </si>
  <si>
    <t>Fotovoltaická elektrárna v objektu bazénu PD</t>
  </si>
  <si>
    <t>2025: PD, 2026: realizace (metodou Design &amp; Build)</t>
  </si>
  <si>
    <t>plnění dle harmonogramu zpracování PD v letech 2024-2026</t>
  </si>
  <si>
    <t>Příloha č. 1/list č. 2</t>
  </si>
  <si>
    <r>
      <t xml:space="preserve">Rozpočtová skladba                                                                                                                                                                                                                                                  </t>
    </r>
    <r>
      <rPr>
        <sz val="8"/>
        <rFont val="Arial CE"/>
      </rPr>
      <t xml:space="preserve"> ORJ/odd.par./pol./org./                                                                                                                       ÚZ/NáZ</t>
    </r>
  </si>
  <si>
    <r>
      <t xml:space="preserve">Schválený rozpočet města Nový Jičín na rok 2025                                                                                                                                                                                                                                                   (detailnější rozpis Přílohy č. 1/listu č. 1)                                                                                                                                                                                                                                                                                                                                                                                                                                                                                                                               </t>
    </r>
    <r>
      <rPr>
        <sz val="14"/>
        <rFont val="Arial CE"/>
      </rPr>
      <t xml:space="preserve">   </t>
    </r>
    <r>
      <rPr>
        <b/>
        <sz val="14"/>
        <rFont val="Arial CE"/>
      </rPr>
      <t xml:space="preserve">                                                                                                                                                                                                                                                                                                                                                                            </t>
    </r>
    <r>
      <rPr>
        <sz val="11"/>
        <rFont val="Arial CE"/>
      </rPr>
      <t xml:space="preserve"> (údaje </t>
    </r>
    <r>
      <rPr>
        <b/>
        <sz val="11"/>
        <rFont val="Arial CE"/>
      </rPr>
      <t>v textu</t>
    </r>
    <r>
      <rPr>
        <sz val="11"/>
        <rFont val="Arial CE"/>
      </rPr>
      <t xml:space="preserve"> jsou převážně v tis. Kč, pokud jsou v jiných jednotkách = vždy uvedeno)          </t>
    </r>
    <r>
      <rPr>
        <b/>
        <sz val="14"/>
        <rFont val="Arial CE"/>
      </rPr>
      <t xml:space="preserve">                  </t>
    </r>
  </si>
  <si>
    <r>
      <t xml:space="preserve">Upravený rozpočet
k 31.08.2024
</t>
    </r>
    <r>
      <rPr>
        <sz val="9"/>
        <rFont val="Arial CE"/>
      </rPr>
      <t>(v Kč)</t>
    </r>
  </si>
  <si>
    <r>
      <t xml:space="preserve">Skutečnost 
k 31.08.2024
</t>
    </r>
    <r>
      <rPr>
        <sz val="12"/>
        <rFont val="Arial CE"/>
      </rPr>
      <t>(</t>
    </r>
    <r>
      <rPr>
        <sz val="9"/>
        <rFont val="Arial CE"/>
      </rPr>
      <t>v</t>
    </r>
    <r>
      <rPr>
        <sz val="9"/>
        <rFont val="Arial CE"/>
      </rPr>
      <t xml:space="preserve"> Kč)</t>
    </r>
  </si>
  <si>
    <r>
      <t xml:space="preserve">Schválený rozpočet                                         2025 
</t>
    </r>
    <r>
      <rPr>
        <sz val="9"/>
        <rFont val="Arial CE"/>
      </rPr>
      <t>(v Kč)</t>
    </r>
  </si>
  <si>
    <t>ORJ 035+031 - Odbor životního prostředí</t>
  </si>
  <si>
    <r>
      <t>Příjmy</t>
    </r>
    <r>
      <rPr>
        <sz val="14"/>
        <rFont val="Arial CE"/>
      </rPr>
      <t xml:space="preserve"> </t>
    </r>
  </si>
  <si>
    <r>
      <t xml:space="preserve">Příjem z daně z příjmů fyzických osob placené plátci </t>
    </r>
    <r>
      <rPr>
        <sz val="9"/>
        <rFont val="Arial CE"/>
      </rPr>
      <t>(sdílená část)</t>
    </r>
    <r>
      <rPr>
        <b/>
        <sz val="10"/>
        <rFont val="Arial CE"/>
      </rPr>
      <t xml:space="preserve"> </t>
    </r>
    <r>
      <rPr>
        <sz val="10"/>
        <rFont val="Arial CE"/>
      </rPr>
      <t xml:space="preserve">                                                         </t>
    </r>
  </si>
  <si>
    <r>
      <t>Příjem z daně z příjmů fyzických osob placené poplatníky</t>
    </r>
    <r>
      <rPr>
        <sz val="9"/>
        <rFont val="Arial CE"/>
      </rPr>
      <t xml:space="preserve"> (sdílená) </t>
    </r>
    <r>
      <rPr>
        <i/>
        <sz val="9"/>
        <rFont val="Arial CE"/>
      </rPr>
      <t xml:space="preserve"> </t>
    </r>
    <r>
      <rPr>
        <sz val="9"/>
        <rFont val="Arial CE"/>
      </rPr>
      <t xml:space="preserve">      </t>
    </r>
    <r>
      <rPr>
        <b/>
        <sz val="10"/>
        <rFont val="Arial CE"/>
      </rPr>
      <t xml:space="preserve">                                                   </t>
    </r>
  </si>
  <si>
    <r>
      <t xml:space="preserve">Příjem z daně z příjmů právnických osob </t>
    </r>
    <r>
      <rPr>
        <sz val="9"/>
        <rFont val="Arial CE"/>
      </rPr>
      <t xml:space="preserve">(sdílená)        </t>
    </r>
    <r>
      <rPr>
        <b/>
        <sz val="10"/>
        <rFont val="Arial CE"/>
      </rPr>
      <t xml:space="preserve">                                                                     </t>
    </r>
    <r>
      <rPr>
        <sz val="9"/>
        <rFont val="Arial CE"/>
      </rPr>
      <t xml:space="preserve"> </t>
    </r>
  </si>
  <si>
    <r>
      <t xml:space="preserve">            Odbor správních agend </t>
    </r>
    <r>
      <rPr>
        <sz val="9"/>
        <rFont val="Arial CE"/>
      </rPr>
      <t>(matrika 260, ohlašovna 30, CzechPoint 21,vidimace a legalizace 42, OP 300, CD 1500)</t>
    </r>
  </si>
  <si>
    <r>
      <rPr>
        <sz val="9"/>
        <rFont val="Arial CE"/>
      </rPr>
      <t>009/----/</t>
    </r>
    <r>
      <rPr>
        <b/>
        <sz val="10"/>
        <rFont val="Arial CE"/>
      </rPr>
      <t>1381</t>
    </r>
    <r>
      <rPr>
        <sz val="9"/>
        <rFont val="Arial CE"/>
      </rPr>
      <t>/7004</t>
    </r>
  </si>
  <si>
    <t>Příjem z daně z hazardních her s výjimkou dílčí daně z techn.her za zdaň.obd.do konce r. 2023</t>
  </si>
  <si>
    <r>
      <t>009/----/</t>
    </r>
    <r>
      <rPr>
        <b/>
        <sz val="10"/>
        <rFont val="Arial CE"/>
      </rPr>
      <t>1385</t>
    </r>
    <r>
      <rPr>
        <sz val="9"/>
        <rFont val="Arial CE"/>
      </rPr>
      <t>/7005</t>
    </r>
  </si>
  <si>
    <t>Příjem z dílčí daně z technických her za zd.období do konce roku 2023</t>
  </si>
  <si>
    <r>
      <rPr>
        <sz val="9"/>
        <rFont val="Arial CE"/>
      </rPr>
      <t>009/----</t>
    </r>
    <r>
      <rPr>
        <b/>
        <sz val="10"/>
        <rFont val="Arial CE"/>
      </rPr>
      <t>/1386</t>
    </r>
    <r>
      <rPr>
        <sz val="9"/>
        <rFont val="Arial CE"/>
      </rPr>
      <t>/7042</t>
    </r>
  </si>
  <si>
    <t>Příjem z daně z hazard.her s výjimkou techn.her neprovozovaných prostřednictvím internetu</t>
  </si>
  <si>
    <r>
      <t>009/----/</t>
    </r>
    <r>
      <rPr>
        <b/>
        <sz val="10"/>
        <rFont val="Arial CE"/>
      </rPr>
      <t>1387</t>
    </r>
    <r>
      <rPr>
        <sz val="9"/>
        <rFont val="Arial CE"/>
      </rPr>
      <t>/7043</t>
    </r>
  </si>
  <si>
    <r>
      <t>009/----/</t>
    </r>
    <r>
      <rPr>
        <b/>
        <sz val="10"/>
        <rFont val="Arial CE"/>
      </rPr>
      <t>1387/</t>
    </r>
    <r>
      <rPr>
        <sz val="9"/>
        <rFont val="Arial CE"/>
      </rPr>
      <t>7044</t>
    </r>
  </si>
  <si>
    <r>
      <t xml:space="preserve">Ostatní příjmy z vlastní činnosti </t>
    </r>
    <r>
      <rPr>
        <sz val="9"/>
        <rFont val="Arial CE"/>
      </rPr>
      <t>(Odbor správy majetku: věcná břemena s 21% DPH 1500)</t>
    </r>
  </si>
  <si>
    <r>
      <t xml:space="preserve">Příjem z odvodů příspěvkových organizací </t>
    </r>
    <r>
      <rPr>
        <sz val="9"/>
        <rFont val="Arial CE"/>
      </rPr>
      <t>(z fondu investic: odpisy z nemovitého majetku)</t>
    </r>
    <r>
      <rPr>
        <b/>
        <i/>
        <sz val="9"/>
        <rFont val="Arial CE"/>
      </rPr>
      <t xml:space="preserve"> </t>
    </r>
    <r>
      <rPr>
        <b/>
        <i/>
        <sz val="9"/>
        <color indexed="2"/>
        <rFont val="Arial CE"/>
      </rPr>
      <t xml:space="preserve"> </t>
    </r>
    <r>
      <rPr>
        <b/>
        <i/>
        <sz val="9"/>
        <rFont val="Arial CE"/>
      </rPr>
      <t xml:space="preserve">   </t>
    </r>
    <r>
      <rPr>
        <sz val="9"/>
        <rFont val="Arial CE"/>
      </rPr>
      <t xml:space="preserve">      </t>
    </r>
  </si>
  <si>
    <t>Příjem z pronájmu nebo pachtu ostatních nemovitých věcí a jejich částí</t>
  </si>
  <si>
    <r>
      <t xml:space="preserve">              § 3613 v nebyt.prostorech </t>
    </r>
    <r>
      <rPr>
        <sz val="9"/>
        <rFont val="Arial CE"/>
      </rPr>
      <t>(Odbor správy majetku)</t>
    </r>
  </si>
  <si>
    <r>
      <t xml:space="preserve">              § 3613 v nebytových prostorech </t>
    </r>
    <r>
      <rPr>
        <sz val="9"/>
        <rFont val="Arial CE"/>
      </rPr>
      <t>(Odbor bytový: nájmy 14000, zálohy na služby 1700, kryté stání Loučka 350, krátkodobé 40, Hotel Praha 746, VEOLIA - Smetanovy sady 645)</t>
    </r>
  </si>
  <si>
    <t xml:space="preserve">              § 3639 nájem plynovodu 100, reklam. ploch a telekomunikač. zařízení 400 (Odbor správy majetku) </t>
  </si>
  <si>
    <r>
      <t xml:space="preserve">              § 4379 v klubech seniorů </t>
    </r>
    <r>
      <rPr>
        <sz val="9"/>
        <rFont val="Arial CE"/>
      </rPr>
      <t xml:space="preserve">(nájmy: dlouhodobé 10/10, krátkodobé 5/15) </t>
    </r>
  </si>
  <si>
    <t>Příjem sankčních plateb přijaté od jiných osob</t>
  </si>
  <si>
    <t xml:space="preserve">             § 2212 odbor správy majetku - pokuta pasport MK</t>
  </si>
  <si>
    <t xml:space="preserve">             § 2223 dopravní přestupky (radary)</t>
  </si>
  <si>
    <t xml:space="preserve">             § 3111 mateřské školy</t>
  </si>
  <si>
    <r>
      <t xml:space="preserve">             § 6171 pokuty </t>
    </r>
    <r>
      <rPr>
        <sz val="9"/>
        <rFont val="Arial CE"/>
      </rPr>
      <t>(Odbor správních agend OP 10, CD 2)</t>
    </r>
  </si>
  <si>
    <t xml:space="preserve">             § 6171 sankce za porušení smlouvy o dílo (vstup Divadelní 1 - PD)</t>
  </si>
  <si>
    <r>
      <t xml:space="preserve">Ostatní přijaté vratky transferů a podobné příjmy </t>
    </r>
    <r>
      <rPr>
        <sz val="10"/>
        <rFont val="Arial CE"/>
      </rPr>
      <t>(příspěvků a dotací)</t>
    </r>
  </si>
  <si>
    <t>z toho:  § 2212 TSM vratka části přísp na energie 2023</t>
  </si>
  <si>
    <r>
      <t xml:space="preserve">             § 3111 MŠ vratka části příspěvku na energie </t>
    </r>
    <r>
      <rPr>
        <sz val="9"/>
        <rFont val="Arial CE"/>
      </rPr>
      <t>(Trojlístek 13,77902 + Sady 87,87861 + Máj 201,12747)</t>
    </r>
  </si>
  <si>
    <r>
      <t xml:space="preserve">             § 3233 SVČ Fokus vratka příspěvku na energie </t>
    </r>
    <r>
      <rPr>
        <sz val="9"/>
        <rFont val="Arial CE"/>
      </rPr>
      <t>(236,70936)</t>
    </r>
  </si>
  <si>
    <r>
      <t xml:space="preserve">             § 3311 Beskydské divadlo vratka příspěvku na energie </t>
    </r>
    <r>
      <rPr>
        <sz val="8"/>
        <rFont val="Arial CE"/>
      </rPr>
      <t>(159,71355</t>
    </r>
  </si>
  <si>
    <r>
      <t xml:space="preserve">             § 3392 MěKS vratka příspěvku na energie </t>
    </r>
    <r>
      <rPr>
        <sz val="8"/>
        <rFont val="Arial CE"/>
      </rPr>
      <t>(391,37439)</t>
    </r>
  </si>
  <si>
    <t xml:space="preserve">             § 3412 Basketbalový klub z.s.-vratky příspěvků na energie a provoz bazénů</t>
  </si>
  <si>
    <t xml:space="preserve">             § 3419 vratky program.dotací-oblast sportu 2023</t>
  </si>
  <si>
    <t xml:space="preserve">             § vratky nevyčerpaných indiv.dotací 2023 (org. 1180)</t>
  </si>
  <si>
    <t xml:space="preserve">             § 3722 TSM vratka části příspěvku na provoz stř. odpadů</t>
  </si>
  <si>
    <t xml:space="preserve">             § 6402 ZŠMŠ Jub vratka nevyčerp.dotace 2023 z MSK obědy dětem úz 253+911 NáZ 144 1,5</t>
  </si>
  <si>
    <t xml:space="preserve">             § 6402 ZŠ K66 vratka nevyčerp.dotace 2023 z MSK obědy dětem úz 253+911 NáZ 144 1,5</t>
  </si>
  <si>
    <t xml:space="preserve">             § 6402 ZŠ K68 vratka nevyčerp.dotace 2023 z MSK obědy dětem úz 253+911 NáZ 144 1,5</t>
  </si>
  <si>
    <r>
      <rPr>
        <b/>
        <sz val="10"/>
        <rFont val="Arial CE"/>
      </rPr>
      <t>Příjem z</t>
    </r>
    <r>
      <rPr>
        <sz val="10"/>
        <rFont val="Arial CE"/>
      </rPr>
      <t xml:space="preserve"> p</t>
    </r>
    <r>
      <rPr>
        <b/>
        <sz val="10"/>
        <rFont val="Arial CE"/>
      </rPr>
      <t>rodeje krd a drobného dld majetku</t>
    </r>
    <r>
      <rPr>
        <sz val="10"/>
        <rFont val="Arial CE"/>
      </rPr>
      <t xml:space="preserve"> (odbor organizační)</t>
    </r>
  </si>
  <si>
    <r>
      <t xml:space="preserve">Přijaté peněžité neinvestiční dary </t>
    </r>
    <r>
      <rPr>
        <sz val="9"/>
        <rFont val="Arial CE"/>
      </rPr>
      <t xml:space="preserve">(Veolia Energie ČR, a.s.-financování kulturních a společenských akcí města) </t>
    </r>
  </si>
  <si>
    <r>
      <t xml:space="preserve">Příjem z pojistných plnění </t>
    </r>
    <r>
      <rPr>
        <sz val="10"/>
        <rFont val="Arial CE"/>
      </rPr>
      <t>(odbor organizační 50, odbor bytový 50)</t>
    </r>
  </si>
  <si>
    <t>Přijaté neinvestiční příspěvky a náhrady</t>
  </si>
  <si>
    <r>
      <t xml:space="preserve">           § 2219 parkoviště </t>
    </r>
    <r>
      <rPr>
        <sz val="9"/>
        <rFont val="Arial CE"/>
      </rPr>
      <t>(náklady řízení) odbor dopravy</t>
    </r>
  </si>
  <si>
    <r>
      <t xml:space="preserve">           § 3613 nebytové hospodářství </t>
    </r>
    <r>
      <rPr>
        <sz val="9"/>
        <rFont val="Arial CE"/>
      </rPr>
      <t>(odbor správy majetku: přefakturace elektrické energie)</t>
    </r>
  </si>
  <si>
    <t xml:space="preserve">           § 3632 pohřebnictví ČN fond budoucnosti- Sanace čestných hrobů II</t>
  </si>
  <si>
    <r>
      <t xml:space="preserve">           § 3725 využívání a zneškodňování komunálních odpadů </t>
    </r>
    <r>
      <rPr>
        <sz val="9"/>
        <rFont val="Arial CE"/>
      </rPr>
      <t xml:space="preserve">(příspěvek od EKOKOMu)               </t>
    </r>
  </si>
  <si>
    <r>
      <t xml:space="preserve">           § 2212 silniční hospodářství</t>
    </r>
    <r>
      <rPr>
        <sz val="9"/>
        <rFont val="Arial CE"/>
      </rPr>
      <t xml:space="preserve"> </t>
    </r>
    <r>
      <rPr>
        <sz val="10"/>
        <rFont val="Arial CE"/>
      </rPr>
      <t>(odbor správy majetku)</t>
    </r>
  </si>
  <si>
    <t xml:space="preserve">           § 3429 chata Jíčínka (odbor organizační)</t>
  </si>
  <si>
    <t xml:space="preserve">           § 3613 nebytové hospodářství (odbor bytový, příspěvek na realizaci rekuperace Steak House 200 tis.)</t>
  </si>
  <si>
    <r>
      <t xml:space="preserve">           § 3613 chata Jičínka </t>
    </r>
    <r>
      <rPr>
        <sz val="10"/>
        <rFont val="Arial CE"/>
      </rPr>
      <t>(org. 4381)=účet 2310440,  ostatní=účet 2310600</t>
    </r>
  </si>
  <si>
    <t xml:space="preserve">           § 3631 veřejné osvětlení (odbor správy majetku)</t>
  </si>
  <si>
    <t xml:space="preserve">           § 3639 provoz internetu ve Straníku (odbor správy majetku)</t>
  </si>
  <si>
    <r>
      <t xml:space="preserve">           § 4351 neinvestiční příspěvek na poskytování sociálních služeb pro Prosenior </t>
    </r>
    <r>
      <rPr>
        <sz val="9"/>
        <rFont val="Arial CE"/>
      </rPr>
      <t>(předpokládaná dotace z MPSV) - po schválení je rozpočtováno na pol. 4122 (ÚZ 13305)</t>
    </r>
  </si>
  <si>
    <r>
      <t xml:space="preserve">           §           neinvestiční příspěvek pouze na výkon soc.práce mimo soc.právní ochranu dětí </t>
    </r>
    <r>
      <rPr>
        <sz val="9"/>
        <rFont val="Arial CE"/>
      </rPr>
      <t>(předpokládaná dotace z MPSV) - po schválení je rozpočtováno na pol. 4116 (ÚZ 13015)</t>
    </r>
  </si>
  <si>
    <r>
      <t xml:space="preserve">           § 6118 neinvest.příspěvek </t>
    </r>
    <r>
      <rPr>
        <sz val="9"/>
        <rFont val="Arial CE"/>
      </rPr>
      <t>(dotace)</t>
    </r>
    <r>
      <rPr>
        <sz val="10"/>
        <rFont val="Arial CE"/>
      </rPr>
      <t xml:space="preserve"> na volby prezidenta republiky v r. 2023 - předpokládaný doplatek - </t>
    </r>
    <r>
      <rPr>
        <sz val="9"/>
        <rFont val="Arial CE"/>
      </rPr>
      <t>po schválení je rozpočtováno na pol. 4111</t>
    </r>
  </si>
  <si>
    <r>
      <t xml:space="preserve">           § 6409 na volby (předpokládané dotace) - </t>
    </r>
    <r>
      <rPr>
        <sz val="9"/>
        <rFont val="Arial CE"/>
      </rPr>
      <t>po schválení je rozpočtováno na pol. 4111</t>
    </r>
  </si>
  <si>
    <t xml:space="preserve">           § 6409 výplata 95% pohledávky ze Sberbank CZ,a.s. v likvidaci v r. 2024, zbývajících 5% v roce 2025</t>
  </si>
  <si>
    <r>
      <t>Příjmy z prodeje pozemků s DPH 21%</t>
    </r>
    <r>
      <rPr>
        <b/>
        <sz val="9"/>
        <rFont val="Arial CE"/>
      </rPr>
      <t xml:space="preserve"> </t>
    </r>
    <r>
      <rPr>
        <sz val="9"/>
        <rFont val="Arial CE"/>
      </rPr>
      <t>(Za Školou 1700, ost. 600 vč. DPH)</t>
    </r>
  </si>
  <si>
    <t xml:space="preserve">Příjem z prodeje ostatních nemovitých věcí a jejich částí </t>
  </si>
  <si>
    <t xml:space="preserve">             bytový dům Dolní Brána 22</t>
  </si>
  <si>
    <t xml:space="preserve">             hasičská zbrojnice Kojetín dle znal.posudku (851,16 + kauce 42,1 bude doúčtována v 9/2024)</t>
  </si>
  <si>
    <t xml:space="preserve">             přístavba hotelu Praha</t>
  </si>
  <si>
    <r>
      <t>Příjem z prodeje ostatního hmotného dlouhodobého majetku</t>
    </r>
    <r>
      <rPr>
        <sz val="9"/>
        <rFont val="Arial CE"/>
      </rPr>
      <t xml:space="preserve"> </t>
    </r>
  </si>
  <si>
    <t>RPS Nerudova - II. etapa - IROP</t>
  </si>
  <si>
    <t>EÚ Trlicova 59</t>
  </si>
  <si>
    <t>Studie ProSenior Nový Jičín - Domeček - dotace MSK</t>
  </si>
  <si>
    <t>EÚ Suvorovova 152 Nový Jičín</t>
  </si>
  <si>
    <t>Revitalizace veřejného prostranství v MPR (G. Hlaďo, Tyršova) PD</t>
  </si>
  <si>
    <r>
      <t xml:space="preserve">             Architektonická soutěž -</t>
    </r>
    <r>
      <rPr>
        <sz val="9"/>
        <rFont val="Arial"/>
      </rPr>
      <t>po schválení je rozpočtováno na pol. 4216 (ÚZ 17519)</t>
    </r>
  </si>
  <si>
    <r>
      <t xml:space="preserve">             Autobusová zastávka Požární zbrojnice - </t>
    </r>
    <r>
      <rPr>
        <sz val="9"/>
        <rFont val="Arial"/>
      </rPr>
      <t>po schválení je rozpočtováno na pol. 4216 (ÚZ 17519)</t>
    </r>
  </si>
  <si>
    <r>
      <t xml:space="preserve">             Autobusová zastávka ul. Riegrova -</t>
    </r>
    <r>
      <rPr>
        <sz val="9"/>
        <rFont val="Arial"/>
      </rPr>
      <t>po schválení je rozpočtováno na pol. 4216 (ÚZ 17519)</t>
    </r>
  </si>
  <si>
    <t xml:space="preserve">             Odstranění povodňových škod</t>
  </si>
  <si>
    <t xml:space="preserve">z toho: na volby prezidenta ČR (úz 98008) - dopl.2023  </t>
  </si>
  <si>
    <t xml:space="preserve">            na volby do Evropského Parlamentu (úz 98348)</t>
  </si>
  <si>
    <t xml:space="preserve">            na volby do Senátu Parlamentu ČR a zastupitelstev krajů </t>
  </si>
  <si>
    <t>Neinvestiční přijaté transfery ze státních fondů</t>
  </si>
  <si>
    <t xml:space="preserve">            SFŽP - Intenzifikace kompostárny (ÚZ 15017)</t>
  </si>
  <si>
    <t xml:space="preserve">            MPSV: Výkon soc.práce mimo sociálně-právní ochrany dětí (ÚZ 13015) </t>
  </si>
  <si>
    <t xml:space="preserve">            MMR - IROP Řemesla-Rekonstrukce škol.kuchyňky a dílen ZŠ K68 (ÚZ 17084,17085,NáZ 1491,5)</t>
  </si>
  <si>
    <t xml:space="preserve">            MMR - IROP Autobusová zastávka Požární zbrojnice Žilina (ÚZ 170854,NáZ 1495)</t>
  </si>
  <si>
    <t xml:space="preserve">            MMR - Podpora architektonických a urbanist.soutěží 2023+ (ÚZ 17090)</t>
  </si>
  <si>
    <t xml:space="preserve">            Mze - Příspěvek na obnovu, zajištění a výchovu porostů-z EU (ÚZ 29014)</t>
  </si>
  <si>
    <r>
      <t xml:space="preserve">            za veřejnoprávní smlouvy s ostatními obcemi </t>
    </r>
    <r>
      <rPr>
        <sz val="9"/>
        <rFont val="Arial CE"/>
      </rPr>
      <t xml:space="preserve">(odbor </t>
    </r>
    <r>
      <rPr>
        <sz val="10"/>
        <rFont val="Arial CE"/>
      </rPr>
      <t>životního prostředí</t>
    </r>
    <r>
      <rPr>
        <sz val="9"/>
        <rFont val="Arial CE"/>
      </rPr>
      <t>)</t>
    </r>
  </si>
  <si>
    <r>
      <t>z toho: Zajištění výkonu regionálních funkcí knihoven - pro MěKS</t>
    </r>
    <r>
      <rPr>
        <sz val="9"/>
        <rFont val="Arial CE"/>
      </rPr>
      <t xml:space="preserve"> (ÚZ 345)</t>
    </r>
  </si>
  <si>
    <r>
      <t xml:space="preserve">             Podpora turistických informačních center v MSK - pro Návštěvnické centrum NJ </t>
    </r>
    <r>
      <rPr>
        <sz val="9"/>
        <rFont val="Arial CE"/>
      </rPr>
      <t>(ÚZ 673)</t>
    </r>
  </si>
  <si>
    <r>
      <t xml:space="preserve">             Zajištění okresních a krajských přehlídek a soutěží typu A a B - pro SVČ Fokus </t>
    </r>
    <r>
      <rPr>
        <sz val="9"/>
        <rFont val="Arial CE"/>
      </rPr>
      <t>(ÚZ 833)</t>
    </r>
  </si>
  <si>
    <t xml:space="preserve">             Potravinová pomoc dětem do škol (obědy) pro MŠ Trojl - SR (ÚZ 253) +EU (ÚZ 911), NáZ 144 1,5</t>
  </si>
  <si>
    <t xml:space="preserve">             Potravinová pomoc dětem do škol (obědy) - pro ZŠ+MŠ Jub - SR (ÚZ 253) +EU (ÚZ 911), NáZ 144 1,5</t>
  </si>
  <si>
    <t xml:space="preserve">             Potravinová pomoc dětem do škol (obědy) - pro ZŠ K66 - SR (ÚZ 253) +EU (ÚZ 911), NáZ 144 1,5</t>
  </si>
  <si>
    <t xml:space="preserve">             Potravinová pomoc dětem do škol (obědy) - pro ZŠ K68 - SR (ÚZ 253) +EU (ÚZ 911), NáZ 144 1,5</t>
  </si>
  <si>
    <t xml:space="preserve">             Potravinová pomoc dětem do škol (obědy) - pro ZŠ Tyrš - SR (ÚZ 253) +EU (ÚZ 911), NáZ 144 1,5</t>
  </si>
  <si>
    <r>
      <t xml:space="preserve">             Poskytování sociálních služeb (ÚZ 914) - </t>
    </r>
    <r>
      <rPr>
        <sz val="9"/>
        <rFont val="Arial CE"/>
      </rPr>
      <t>pro ProSenior</t>
    </r>
  </si>
  <si>
    <r>
      <t xml:space="preserve">Převody z vlastních fondů přes rok </t>
    </r>
    <r>
      <rPr>
        <sz val="10"/>
        <rFont val="Arial CE"/>
      </rPr>
      <t>(zůstatek účtu Radary ve FIO)</t>
    </r>
  </si>
  <si>
    <t xml:space="preserve">            Kelímky, kompostery, myčka (Návštěvnické centrum)</t>
  </si>
  <si>
    <t xml:space="preserve">            SFŽP - Intenzifikace kompostárny (ÚZ 15502)</t>
  </si>
  <si>
    <t xml:space="preserve">            MMR - IROP Řemesla-Rekonstrukce školní kuchyňky a dílen ZŠ K68 (ÚZ 17518,17519, NáZ 1491,5)</t>
  </si>
  <si>
    <t xml:space="preserve">            ZŠ Dlouhá 56 - Rekonstrukce školní kuchyně </t>
  </si>
  <si>
    <t xml:space="preserve">            ZŠ Jubilejní 3 - Rekonstrukce školní kuchyně </t>
  </si>
  <si>
    <t xml:space="preserve">            Energetické úspory BD Hřbitovní 44</t>
  </si>
  <si>
    <t xml:space="preserve">            MMR - IROP Autobusová zastávka Požární zbrojnice Žilina (úz17519, NáZ 1495)</t>
  </si>
  <si>
    <t xml:space="preserve">            MMR - IROP Autobusová zastávka Riegrova (úz17519, NáZ 1495)</t>
  </si>
  <si>
    <t xml:space="preserve">            MPO-Národní plán obnovy - VO EFEKT 2023 (ÚZ 22504, NáZ 1705)</t>
  </si>
  <si>
    <t xml:space="preserve">            MMR+EU - vybavení stavebních úřadů</t>
  </si>
  <si>
    <r>
      <t>z toho: Podpora technických atraktivit v NJ - pro Návštěvnické centrum NJ</t>
    </r>
    <r>
      <rPr>
        <sz val="10"/>
        <rFont val="Arial CE"/>
      </rPr>
      <t xml:space="preserve"> (ÚZ 692)</t>
    </r>
  </si>
  <si>
    <r>
      <t xml:space="preserve">            Stezka pro chodce a cyklisty B.Martinů</t>
    </r>
    <r>
      <rPr>
        <sz val="10"/>
        <rFont val="Arial CE"/>
      </rPr>
      <t xml:space="preserve"> (ÚZ 711)</t>
    </r>
  </si>
  <si>
    <t xml:space="preserve">            Lávka na ul. Novosady v Novém Jičíně</t>
  </si>
  <si>
    <r>
      <t xml:space="preserve">Změna stavu krátkodobých prostředků na bankovních účtech </t>
    </r>
    <r>
      <rPr>
        <sz val="10"/>
        <rFont val="Arial CE"/>
      </rPr>
      <t>(zapojení konečných zůstatků k 31.12.na účtech města)</t>
    </r>
  </si>
  <si>
    <r>
      <t xml:space="preserve">Změna stavu dlouhodobých prostředků na bankovních účtech </t>
    </r>
    <r>
      <rPr>
        <sz val="10"/>
        <rFont val="Arial CE"/>
      </rPr>
      <t>(doplatek ze Sberbank v roce 2024 převedeno dle metodiky MF na pol. 2329, § 6409)</t>
    </r>
  </si>
  <si>
    <t xml:space="preserve">            nájmy SVJ</t>
  </si>
  <si>
    <t xml:space="preserve">Výdaje </t>
  </si>
  <si>
    <t xml:space="preserve">           služby - PD k opravám, revize </t>
  </si>
  <si>
    <t xml:space="preserve">           opravy a údržba </t>
  </si>
  <si>
    <r>
      <t xml:space="preserve">            služby: revize, poplatky, PD k opravám (560)+Svazek obcí dle příkazní sml. (344,599) </t>
    </r>
    <r>
      <rPr>
        <sz val="9"/>
        <rFont val="Arial CE"/>
      </rPr>
      <t>účet 2310440</t>
    </r>
  </si>
  <si>
    <r>
      <t xml:space="preserve">            Kanalizace Trlicova 2.etapa </t>
    </r>
    <r>
      <rPr>
        <sz val="10"/>
        <color indexed="2"/>
        <rFont val="Arial CE"/>
      </rPr>
      <t>převod z ORI</t>
    </r>
  </si>
  <si>
    <t xml:space="preserve">           opravy a udržování vodních toků</t>
  </si>
  <si>
    <t>investice celkem (TSM)</t>
  </si>
  <si>
    <t xml:space="preserve">               Komunální technika - kombinace na léto a zimu (zametač a sypač s pluhem)</t>
  </si>
  <si>
    <t xml:space="preserve">               Komunální technika - kombinace na léto a zimu (třístranný sklápeč a sypač s pluhem) při zapojení FI TSM 2,2 mil. Kč</t>
  </si>
  <si>
    <r>
      <t xml:space="preserve">              veřejně prospěšné práce </t>
    </r>
    <r>
      <rPr>
        <sz val="9"/>
        <rFont val="Arial CE"/>
      </rPr>
      <t>(TSM)</t>
    </r>
  </si>
  <si>
    <r>
      <t xml:space="preserve">              oprava a údržba místních komunikací </t>
    </r>
    <r>
      <rPr>
        <sz val="9"/>
        <rFont val="Arial CE"/>
      </rPr>
      <t>(TSM)</t>
    </r>
  </si>
  <si>
    <t>0386/2212/5139</t>
  </si>
  <si>
    <t xml:space="preserve">              oprava a údržba místních komunikací  (m.č. Kojetín, m.č. Bludovice, Lamberk - Žilina, ul. Štefánikova - autobusový  záliv)</t>
  </si>
  <si>
    <t xml:space="preserve">             oprava a údržba mostů a propustků</t>
  </si>
  <si>
    <r>
      <t xml:space="preserve">             </t>
    </r>
    <r>
      <rPr>
        <sz val="10"/>
        <rFont val="Arial CE"/>
      </rPr>
      <t xml:space="preserve">služby - PD k opravám </t>
    </r>
    <r>
      <rPr>
        <strike/>
        <sz val="11"/>
        <color indexed="2"/>
        <rFont val="Calibri"/>
        <scheme val="minor"/>
      </rPr>
      <t/>
    </r>
  </si>
  <si>
    <t xml:space="preserve">             Lávka Straník u č.p. 119 PD (L602)</t>
  </si>
  <si>
    <t xml:space="preserve">             Propustek Straník u č.p. 59 PD (P605)</t>
  </si>
  <si>
    <t>investice celkem</t>
  </si>
  <si>
    <t xml:space="preserve">             Chodník ke studni + úprava prostoru kolem studny v Žilině (TSM)</t>
  </si>
  <si>
    <t xml:space="preserve">             Cyklopruhy Bohuslava Martinů</t>
  </si>
  <si>
    <t xml:space="preserve">             nájemné (užití pozemku, DZ) </t>
  </si>
  <si>
    <r>
      <t xml:space="preserve">      opravy a údržba chodníků (</t>
    </r>
    <r>
      <rPr>
        <sz val="10"/>
        <color theme="1"/>
        <rFont val="Arial CE"/>
      </rPr>
      <t>Vančurova 1500, cyklopruhy Palackého 350, Dlouhá 400, Valašská 700, Tyršova 400, Hřbitovní 700, ost. 950</t>
    </r>
    <r>
      <rPr>
        <sz val="9"/>
        <color theme="1"/>
        <rFont val="Arial CE"/>
      </rPr>
      <t>)</t>
    </r>
  </si>
  <si>
    <t>investice: Přístřešky autobusových zastávek</t>
  </si>
  <si>
    <t>0386/2221/5137</t>
  </si>
  <si>
    <t xml:space="preserve">                 drobný dlouhodobý hmotný majetek</t>
  </si>
  <si>
    <t xml:space="preserve">                 služby - revize, poplatky</t>
  </si>
  <si>
    <t xml:space="preserve">                 opravy autobusových přístřešků</t>
  </si>
  <si>
    <r>
      <t xml:space="preserve">investice: výkupy pozemků - </t>
    </r>
    <r>
      <rPr>
        <sz val="10"/>
        <rFont val="Arial"/>
      </rPr>
      <t>(Pod Skalkou 3 etapa 2860 + ost. 1540)</t>
    </r>
  </si>
  <si>
    <t>0513/3341/6122</t>
  </si>
  <si>
    <t>investice: Bezdrát - umístění nových hlásičů ( ul. Pod Skalkou,ul. Za Školou)</t>
  </si>
  <si>
    <t xml:space="preserve">                Úprava kabelových rozvodů ve Straníku PD + realizace</t>
  </si>
  <si>
    <t xml:space="preserve">                                           - nákup materiálu j.n.</t>
  </si>
  <si>
    <t xml:space="preserve">                                           - služby, revize, kontroly</t>
  </si>
  <si>
    <t xml:space="preserve">                                           - opravy a údržba (DH Vančurova 600, Loučka 400, Nerudova 500, ost.1000)</t>
  </si>
  <si>
    <t>investice: Výletní lokalita Čerťák 3. etapa - zastínění skluzavky</t>
  </si>
  <si>
    <t xml:space="preserve">                   DH ul. Novellara ( participativní rozpočet)</t>
  </si>
  <si>
    <r>
      <t xml:space="preserve">Sportovní zařízení ve vlastnictví obce  </t>
    </r>
    <r>
      <rPr>
        <sz val="9"/>
        <rFont val="Arial CE"/>
      </rPr>
      <t xml:space="preserve">(účet 2310800) </t>
    </r>
  </si>
  <si>
    <t>0382/3412/5169</t>
  </si>
  <si>
    <t xml:space="preserve">             Workoutové hřiště  - služby, revize, kontroly</t>
  </si>
  <si>
    <t>0382/3412/5171</t>
  </si>
  <si>
    <t xml:space="preserve">                                                      - opravy a údržba</t>
  </si>
  <si>
    <r>
      <t xml:space="preserve">Ostatní zájmová činnost a rekreace  </t>
    </r>
    <r>
      <rPr>
        <sz val="9"/>
        <rFont val="Arial CE"/>
      </rPr>
      <t xml:space="preserve">(účet 2310800) </t>
    </r>
  </si>
  <si>
    <t>0382/3429/5139</t>
  </si>
  <si>
    <t xml:space="preserve">             Discgolfové hřiště  - nákup materiálu j.n.</t>
  </si>
  <si>
    <t>0382/3429/5169</t>
  </si>
  <si>
    <t xml:space="preserve">                                                      - služby, revize, kontroly</t>
  </si>
  <si>
    <t>0382/3429/5171</t>
  </si>
  <si>
    <t>0382/3429/6121</t>
  </si>
  <si>
    <t>investice: Disgolf Park Skalky</t>
  </si>
  <si>
    <r>
      <t xml:space="preserve">            opravy a údržba (nátěry dřev. prvků Smet. sady 300, oprava plotu Jiráskova 500, opravy fontán Masarykovo nám., Janáčkovy sady 700</t>
    </r>
    <r>
      <rPr>
        <sz val="10"/>
        <rFont val="Arial CE"/>
      </rPr>
      <t>)</t>
    </r>
  </si>
  <si>
    <t xml:space="preserve">             opravy a údržba (z toho opravy ul. Na Výslunní 800, ost.700 )</t>
  </si>
  <si>
    <t xml:space="preserve"> Investice celkem:</t>
  </si>
  <si>
    <t>0382/3631/6121</t>
  </si>
  <si>
    <t xml:space="preserve">                  Sestava solárních svítidel - Skatepark a Bikepark</t>
  </si>
  <si>
    <t xml:space="preserve">                  VO Bludovice - přeložka</t>
  </si>
  <si>
    <t xml:space="preserve">                  VO Skalky</t>
  </si>
  <si>
    <t>3902/3631/6121</t>
  </si>
  <si>
    <t xml:space="preserve">                  VO B.Martinů, K Nemocnici</t>
  </si>
  <si>
    <t xml:space="preserve">                  VO Štefánikova PD</t>
  </si>
  <si>
    <t xml:space="preserve">                  VO Straník PD</t>
  </si>
  <si>
    <t xml:space="preserve">                  VO Slezská - u garáží </t>
  </si>
  <si>
    <t xml:space="preserve">                  VO K. Schwarze PD</t>
  </si>
  <si>
    <r>
      <t xml:space="preserve">                  VO Dlouhá nad hřištěm ZŠ Dlouhá</t>
    </r>
    <r>
      <rPr>
        <sz val="10"/>
        <color indexed="2"/>
        <rFont val="Arial CE"/>
      </rPr>
      <t xml:space="preserve"> převod z ORI</t>
    </r>
  </si>
  <si>
    <t xml:space="preserve">                  VO Zborovská PD</t>
  </si>
  <si>
    <t xml:space="preserve">                  VO K Archivu</t>
  </si>
  <si>
    <r>
      <t xml:space="preserve">Pohřebnictví </t>
    </r>
    <r>
      <rPr>
        <sz val="10"/>
        <rFont val="Arial CE"/>
      </rPr>
      <t>(účet 2310800)</t>
    </r>
  </si>
  <si>
    <t xml:space="preserve">             Hřbitovy - příspěvek na opravu šatny hřbitov</t>
  </si>
  <si>
    <t xml:space="preserve">                           - příspěvek na opravu hřbitovní zdi</t>
  </si>
  <si>
    <t xml:space="preserve">                           - příspěvek na opravu kříže v Žilině</t>
  </si>
  <si>
    <t xml:space="preserve">                           - přesuny hrobů, přípravné práce ke kolumbáriu a vsypové a rozptylové loučce (2/3 nákladů - kolumbárium, 1/3 nákladů vsypová a rozptylová loučka)</t>
  </si>
  <si>
    <t>investice TSM: PD ke GO smuteční síně a márnice</t>
  </si>
  <si>
    <t xml:space="preserve">             Hřbitovy - příspěvek na údržbu a opravy TSM</t>
  </si>
  <si>
    <t xml:space="preserve">                            - opravy a údržba hřbitova</t>
  </si>
  <si>
    <r>
      <t xml:space="preserve">               přípojky na televizní kabelové rozvody Straník - materiál</t>
    </r>
    <r>
      <rPr>
        <sz val="9"/>
        <rFont val="Arial CE"/>
      </rPr>
      <t xml:space="preserve"> (účet 2310800)</t>
    </r>
  </si>
  <si>
    <t xml:space="preserve">               mobiliář město (Lesopark Skalky - odpadkové koše)</t>
  </si>
  <si>
    <r>
      <t xml:space="preserve">               mobiliář </t>
    </r>
    <r>
      <rPr>
        <sz val="10"/>
        <rFont val="Arial CE"/>
      </rPr>
      <t>(TSM 350)</t>
    </r>
  </si>
  <si>
    <r>
      <t xml:space="preserve">Ostatní činnosti související se službami pro fyzické osoby </t>
    </r>
    <r>
      <rPr>
        <sz val="9"/>
        <rFont val="Arial CE"/>
      </rPr>
      <t>(účet 2310800)</t>
    </r>
  </si>
  <si>
    <t>0517/3900/6351</t>
  </si>
  <si>
    <t>investice TSM: modernizace kovového pódia</t>
  </si>
  <si>
    <t>0387/2310/51xx</t>
  </si>
  <si>
    <t xml:space="preserve">                       Vodojem Straník</t>
  </si>
  <si>
    <t xml:space="preserve">                      Kanalizace Straník (společně s vodovodem) PD</t>
  </si>
  <si>
    <r>
      <t xml:space="preserve">                      Kanalizace Trlicova 2.etapa </t>
    </r>
    <r>
      <rPr>
        <sz val="10"/>
        <color indexed="2"/>
        <rFont val="Arial CE"/>
      </rPr>
      <t>převod na OSM</t>
    </r>
  </si>
  <si>
    <r>
      <t xml:space="preserve">                     Lávka Žilina - demolice </t>
    </r>
    <r>
      <rPr>
        <sz val="10"/>
        <color indexed="2"/>
        <rFont val="Arial CE"/>
      </rPr>
      <t>převod OSM</t>
    </r>
  </si>
  <si>
    <t xml:space="preserve">                     Komunikace Žilina, Za Školou </t>
  </si>
  <si>
    <t xml:space="preserve">                     Most Dolní Brána (U Laposu  - Grasmanka) přeložky IS (SmVaK)</t>
  </si>
  <si>
    <r>
      <t xml:space="preserve">                     Komunikace Straník - Kojetín - rekonstrukce</t>
    </r>
    <r>
      <rPr>
        <sz val="10"/>
        <rFont val="Arial CE"/>
      </rPr>
      <t xml:space="preserve"> 2.etapa </t>
    </r>
  </si>
  <si>
    <t xml:space="preserve">                     Most Na Poříčí u č.p. 53 - rekonstrukce </t>
  </si>
  <si>
    <t>5485/2212/6121</t>
  </si>
  <si>
    <t>3743/2212/6121                              Křižovatka ul. K Archivu a K Nemocnici</t>
  </si>
  <si>
    <t xml:space="preserve">                     Křižovatka ul. K Archivu a K Nemocnici</t>
  </si>
  <si>
    <t xml:space="preserve">                     Lávka Straník u č.p. 119 PD</t>
  </si>
  <si>
    <r>
      <t xml:space="preserve">                     Lávka Loučka, Za Potokem 90, před poštou </t>
    </r>
    <r>
      <rPr>
        <sz val="10"/>
        <color indexed="2"/>
        <rFont val="Arial CE"/>
      </rPr>
      <t>dokončeno 2024</t>
    </r>
  </si>
  <si>
    <t xml:space="preserve">                     Propustek Straník u č.p. 61 (cesta ke hřbitovu) </t>
  </si>
  <si>
    <t>xxxx/2212/6121</t>
  </si>
  <si>
    <t xml:space="preserve">                     P 605 Propustek Straník u č.p. 59</t>
  </si>
  <si>
    <r>
      <t xml:space="preserve">                     Komunikace U Mlýna - dolní konec (úsek č.p. 122 - Potoční č.p.265) </t>
    </r>
    <r>
      <rPr>
        <sz val="10"/>
        <color indexed="2"/>
        <rFont val="Arial CE"/>
      </rPr>
      <t>dokončeno 2024</t>
    </r>
  </si>
  <si>
    <t xml:space="preserve">                     Převedení chodců ul. K Nemocnici parc. č. 558/26 (Honzek); Křižovatka ul. K Archivu a K  Nemocnici PD</t>
  </si>
  <si>
    <t>1069/2212/6121</t>
  </si>
  <si>
    <t xml:space="preserve">                     M105 Most Bludovice u č.p. 38 PD</t>
  </si>
  <si>
    <t>1070/2212/6121</t>
  </si>
  <si>
    <t xml:space="preserve">                     P102 Propustek cyklostezka Bludovice u č.p. 29 PD</t>
  </si>
  <si>
    <t>1071/2212/6121</t>
  </si>
  <si>
    <t xml:space="preserve">                     M301 Most B.Martinů PD</t>
  </si>
  <si>
    <t>1072/2212/6121</t>
  </si>
  <si>
    <t xml:space="preserve">                     M703 Most Na Poříčí u č.p. 54 PD</t>
  </si>
  <si>
    <t>1073/2212/6121</t>
  </si>
  <si>
    <t xml:space="preserve">                     M701 Most Na Poříčí u č.p. 549 PD</t>
  </si>
  <si>
    <t xml:space="preserve">                     Sanace svahu MK Kojetín (Bala) PD</t>
  </si>
  <si>
    <r>
      <t xml:space="preserve">                     Laudonovo nádvoří</t>
    </r>
    <r>
      <rPr>
        <sz val="10"/>
        <color indexed="2"/>
        <rFont val="Arial CE"/>
      </rPr>
      <t xml:space="preserve"> dokončeno 2024</t>
    </r>
  </si>
  <si>
    <t xml:space="preserve">                     Čerťák 3. etapa - 2. část (volejbalový kurt, malé travnaté hřiště, úprava travnatého ostrůvku                       na parkovišti, zeleň,mobiliář) </t>
  </si>
  <si>
    <r>
      <t xml:space="preserve">                     Chodník Bludovice č.p. 4 - č.p. 90 </t>
    </r>
    <r>
      <rPr>
        <sz val="10"/>
        <color indexed="2"/>
        <rFont val="Arial CE"/>
      </rPr>
      <t>dokončeno 2024</t>
    </r>
  </si>
  <si>
    <r>
      <t xml:space="preserve">                    Parkoviště Vančurova, u restaurace Máj - podelná stání (KSD 35) </t>
    </r>
    <r>
      <rPr>
        <sz val="10"/>
        <color indexed="2"/>
        <rFont val="Arial CE"/>
      </rPr>
      <t>dokončeno 2024</t>
    </r>
  </si>
  <si>
    <r>
      <t xml:space="preserve">                    Parkoviště Vančurova, nové parkoviště u Policie ČR - u garáží (KSD 37) </t>
    </r>
    <r>
      <rPr>
        <sz val="10"/>
        <color indexed="2"/>
        <rFont val="Arial CE"/>
      </rPr>
      <t>dokončeno 2024</t>
    </r>
  </si>
  <si>
    <r>
      <t xml:space="preserve">                    Parkoviště Dlouhá, podél komunikace ve svahu, p.č. 608/1 (KSD 18) </t>
    </r>
    <r>
      <rPr>
        <sz val="10"/>
        <color indexed="2"/>
        <rFont val="Arial CE"/>
      </rPr>
      <t>dokončeno 2024</t>
    </r>
  </si>
  <si>
    <t xml:space="preserve">                    Parkoviště Hřbitovní (městský hřbitov)  </t>
  </si>
  <si>
    <t xml:space="preserve">                    Parkoviště Vančurova (J. Hory, kolmá a podélná stání)  (KSD 38)</t>
  </si>
  <si>
    <t xml:space="preserve">                    Regenerace PS Nerudova II. etapa </t>
  </si>
  <si>
    <t xml:space="preserve">                    Regenerace PS Nerudova, etážové stání - realizace přeložky ČEZ</t>
  </si>
  <si>
    <t xml:space="preserve">                    Regenerace PS Nerudova III. etapa </t>
  </si>
  <si>
    <t xml:space="preserve">                    Revitalizace veř. prostranství Horního nádraží - zpevn. plochy kolem pumptracku a demolice</t>
  </si>
  <si>
    <r>
      <t xml:space="preserve">                    Cyklopruhy na ul. B. Martinů v Novém Jičíně</t>
    </r>
    <r>
      <rPr>
        <sz val="10"/>
        <color indexed="2"/>
        <rFont val="Arial CE"/>
      </rPr>
      <t xml:space="preserve"> převod OSM</t>
    </r>
  </si>
  <si>
    <r>
      <t xml:space="preserve">                    Parkoviště, cyklostezka ve sportovním areálu, Divadelní </t>
    </r>
    <r>
      <rPr>
        <sz val="10"/>
        <color indexed="2"/>
        <rFont val="Arial CE"/>
      </rPr>
      <t>dokončeno 2024</t>
    </r>
  </si>
  <si>
    <r>
      <t xml:space="preserve">                    Zpevněné plochy, mobiliář Tyršova 2.etapa </t>
    </r>
    <r>
      <rPr>
        <sz val="10"/>
        <color indexed="2"/>
        <rFont val="Arial CE"/>
      </rPr>
      <t>dokončeno 2024</t>
    </r>
  </si>
  <si>
    <t xml:space="preserve">                    Parkoviště Restaurace Na Skalkách</t>
  </si>
  <si>
    <r>
      <t xml:space="preserve">                    Chodník ve vnitrobloku na ul. Máchova </t>
    </r>
    <r>
      <rPr>
        <sz val="10"/>
        <rFont val="Arial CE"/>
      </rPr>
      <t>PD</t>
    </r>
  </si>
  <si>
    <t xml:space="preserve">                    Revitalizace veřejného prostranství v MPR (ul. Gen. Hlaďo, Tyršova) studie</t>
  </si>
  <si>
    <t xml:space="preserve">                    Revitalizace břehů řeky Jičínky studie</t>
  </si>
  <si>
    <t>1074/2219/6121</t>
  </si>
  <si>
    <t xml:space="preserve">                     Revitalizace sídliště Dvořákova I.etapa PD</t>
  </si>
  <si>
    <t xml:space="preserve">                     Dopravní řešení Loučka, restaurace Koruna PD</t>
  </si>
  <si>
    <r>
      <t xml:space="preserve">                    Autobusová zastávka Riegrova</t>
    </r>
    <r>
      <rPr>
        <sz val="10"/>
        <color indexed="2"/>
        <rFont val="Arial CE"/>
      </rPr>
      <t xml:space="preserve"> dokončeno 2024</t>
    </r>
  </si>
  <si>
    <r>
      <t xml:space="preserve">                    Autobusová zastávka Straník p.č. 191/45 </t>
    </r>
    <r>
      <rPr>
        <sz val="10"/>
        <rFont val="Arial CE"/>
      </rPr>
      <t>PD</t>
    </r>
  </si>
  <si>
    <t xml:space="preserve">                    Autobusová zastávka Sv. Čecha PD</t>
  </si>
  <si>
    <t xml:space="preserve">                   MŠ Jiráskova (MŠ Sady) - revitalizace zahrady dokončeno 2024</t>
  </si>
  <si>
    <t xml:space="preserve">                   MŠ Revoluční (MŠ Sady) - sanace zdiva </t>
  </si>
  <si>
    <t xml:space="preserve">                   MŠ Revoluční (MŠ Sady) - revitalizace sociálního zařízení  </t>
  </si>
  <si>
    <t xml:space="preserve">                   MŠ Revoluční (MŠ Sady) - kuchyň PD</t>
  </si>
  <si>
    <t xml:space="preserve">                   MŠ Máchova (MŠ Trojlístek)- energetické úspory </t>
  </si>
  <si>
    <t xml:space="preserve">                   MŠ Máchova (MŠ Trojlístek) - oprava plotu PD</t>
  </si>
  <si>
    <t xml:space="preserve">                   MŠ Komenského (MŠ Trojlístek) - revitalizace zahrady 2. etapa </t>
  </si>
  <si>
    <t xml:space="preserve">                   MŠ Beskydská (MŠ Trojlístek) - oprava plotu PD 1.etapa</t>
  </si>
  <si>
    <t xml:space="preserve">                   MŠ K. Čapka (MŠ Máj) - zateplení objektu,stínící technika </t>
  </si>
  <si>
    <t xml:space="preserve">                   ZŠ Jubilejní - rekonstrukce školní kuchyně </t>
  </si>
  <si>
    <t xml:space="preserve">                   ZŠ Jubilejní - střecha</t>
  </si>
  <si>
    <t xml:space="preserve">                   ZŠ Komenského 66 - výměna ležatých rozvodů vody a výměna podhledů  2. etapa</t>
  </si>
  <si>
    <t xml:space="preserve">                   ZŠ Komenského 66 - oprava havarijního stavu podlahy tělocvičny </t>
  </si>
  <si>
    <t xml:space="preserve">                   ZŠ Komenského 66 - odstranění závad elektroinstalace PD</t>
  </si>
  <si>
    <t xml:space="preserve">                   ZŠ Komenského 68 - nátěr a oprava fasády </t>
  </si>
  <si>
    <t xml:space="preserve">                   ZŠ Tyršova - výměna oken závěrečná etapa převod OŠKS</t>
  </si>
  <si>
    <t xml:space="preserve">                   ZŠ Tyršova - tělocvična PD</t>
  </si>
  <si>
    <t xml:space="preserve">                   ZŠ Dlouhá - rekonstrukce školní kuchyně dokončeno 2024</t>
  </si>
  <si>
    <r>
      <t xml:space="preserve">Střediska volného času </t>
    </r>
    <r>
      <rPr>
        <sz val="9"/>
        <rFont val="Arial CE"/>
      </rPr>
      <t>(účet 2310800)</t>
    </r>
  </si>
  <si>
    <t xml:space="preserve">                   ZŠ Jubilejní - revitalizace školního hřiště </t>
  </si>
  <si>
    <r>
      <t xml:space="preserve">                   ZŠ Komenského 66 - revitalizace školního hřiště </t>
    </r>
    <r>
      <rPr>
        <sz val="10"/>
        <color indexed="2"/>
        <rFont val="Arial CE"/>
      </rPr>
      <t>dokončeno 2024</t>
    </r>
  </si>
  <si>
    <t>1517/2219/5213</t>
  </si>
  <si>
    <t xml:space="preserve">                    Zapojení města do pilotního projektu Sdílená kola</t>
  </si>
  <si>
    <t xml:space="preserve">                    Ostatní materiál (Zdravé město 45)</t>
  </si>
  <si>
    <t xml:space="preserve">                    Konzultační služby (městský architekt, ostatní právní služby)</t>
  </si>
  <si>
    <t xml:space="preserve">                    Rozvojové plány a studie 2218,5; administrace projektu 1060; Zdravé město - DPNK 60; publicita projektů 200</t>
  </si>
  <si>
    <t>3536/3639/5169</t>
  </si>
  <si>
    <t xml:space="preserve">                    Intenzifikace kompostárny</t>
  </si>
  <si>
    <t>0504/3311/6121</t>
  </si>
  <si>
    <t xml:space="preserve">                   Beskydské divadlo - oprava vzduchotechniky PD+realizace</t>
  </si>
  <si>
    <t>1602/3311/6122</t>
  </si>
  <si>
    <t xml:space="preserve">                   Beskydské divadlo - modernizace kotelny Divadelní 5 (č.z. 14/22) PD+realizace</t>
  </si>
  <si>
    <t xml:space="preserve">                   Beskydské divadlo - oprava balkonů nové budovy PD</t>
  </si>
  <si>
    <t>Pořízení, zach.a obnova hodnot místního kulturního, národního a historického povědomí</t>
  </si>
  <si>
    <t>1605/3326/5171+5169</t>
  </si>
  <si>
    <r>
      <t xml:space="preserve">                   Kaple sv. Michala Bludovice - obnova fasády PD + realizace </t>
    </r>
    <r>
      <rPr>
        <sz val="10"/>
        <color indexed="2"/>
        <rFont val="Arial CE"/>
      </rPr>
      <t>dokončeno 2024</t>
    </r>
  </si>
  <si>
    <t xml:space="preserve">                   Kino Květen - rekonstrukce PD</t>
  </si>
  <si>
    <t xml:space="preserve">                   Kulturní dům Nové Slunce studie</t>
  </si>
  <si>
    <r>
      <t xml:space="preserve">                   Oprava sociální zařízení I. a II.patro radnice </t>
    </r>
    <r>
      <rPr>
        <sz val="10"/>
        <color indexed="2"/>
        <rFont val="Arial CE"/>
      </rPr>
      <t>dokončeno 2024</t>
    </r>
  </si>
  <si>
    <t>3501/3612/6121</t>
  </si>
  <si>
    <t xml:space="preserve">                  Středisko zeleně ul. Palackého - dílny, rekonstrukce</t>
  </si>
  <si>
    <t xml:space="preserve">                  Podzemní kontejnery TSNJ 4 ks PD + 3 ks realizace </t>
  </si>
  <si>
    <t xml:space="preserve">                   Vnitřní bazén</t>
  </si>
  <si>
    <r>
      <t xml:space="preserve">                   Areál krytého bazénu - ústřední topení </t>
    </r>
    <r>
      <rPr>
        <sz val="10"/>
        <rFont val="Arial CE"/>
      </rPr>
      <t>PD</t>
    </r>
  </si>
  <si>
    <t xml:space="preserve">                   Zimní stadion - přístavba ubytovny a tělocvičny studie</t>
  </si>
  <si>
    <t xml:space="preserve">                   BD Trlicova - revitalizace (střecha, fasáda, kotelna, topení, voda, kanalizace)</t>
  </si>
  <si>
    <r>
      <t xml:space="preserve">                   BD Hřbitovní - revitalizace </t>
    </r>
    <r>
      <rPr>
        <sz val="10"/>
        <color indexed="2"/>
        <rFont val="Arial CE"/>
      </rPr>
      <t>dokončeno 2024</t>
    </r>
  </si>
  <si>
    <t xml:space="preserve">                   Byty Jungmannova 26/2, Masarykovo nám. 26/15 - přestavba bytového podniku na 6 bytů, ateliér, kotelna (č.z.07/22) </t>
  </si>
  <si>
    <t xml:space="preserve">                    Dům na ul.Dobrovského 39/2 - oprava (střecha, výlohy,okna,sklepy a chodba, instalační šachty)</t>
  </si>
  <si>
    <t xml:space="preserve">                    Dům na ul. Gen. Hlaďo 758/22 (Čedok) - oprava střechy, fasády, sklepy, výměna oken,instalační šachty PD</t>
  </si>
  <si>
    <t xml:space="preserve">                    Dům Masarykovo nám. 27/16 (Hruška) - oprava střechy,schodiště, podlahy</t>
  </si>
  <si>
    <t xml:space="preserve">                    Dům na ul.  Jungmannova 1, 5. května - revitalizace PD (kompletní rekonstrukce domu)</t>
  </si>
  <si>
    <t xml:space="preserve">                    Dům na ul. Resslova 1213/1 (nebyt.prostor) - oprava výloh,  vstup a interiéru  </t>
  </si>
  <si>
    <t xml:space="preserve">                    Dům na ul. 5. května 2098/4 - revitalizace, PD (kompletní rekonstrukce domu)</t>
  </si>
  <si>
    <t>3751/3612/6121</t>
  </si>
  <si>
    <t xml:space="preserve">                    Dům zvláštního určení U Jičínky 2007/5 - PD (oprava střechy, zateplení, koupelny,výtahy)</t>
  </si>
  <si>
    <t xml:space="preserve">                     Realizace 2 bytů nad Cukrárnou Bílý Anděl</t>
  </si>
  <si>
    <r>
      <t xml:space="preserve">                    Výtahy Jičínská 275 (2 ks) a Revoluční 36 - PD + realizace </t>
    </r>
    <r>
      <rPr>
        <sz val="10"/>
        <color indexed="2"/>
        <rFont val="Arial CE"/>
      </rPr>
      <t>dokončeno 2024</t>
    </r>
  </si>
  <si>
    <t xml:space="preserve">                     Oprava fasády a střech na objektech Masaryk. nám 45/29 (NC), Masar.nám 43/27, Masar.nám 44/28 -vnitroblok Laudonovo nádvoří PD</t>
  </si>
  <si>
    <t xml:space="preserve">                     Revitalizace domu Msgr. Šrámka 1029/13 PD (vybudování 2 byt.jednotek v 1NP, oprava střechy, fasády, kanalizace a instalační šachty, sklepů)</t>
  </si>
  <si>
    <t xml:space="preserve">                   Hückelovy vily - odvodnění - průzkum HG (č.z. 02/22) PD</t>
  </si>
  <si>
    <t xml:space="preserve">                   Objekt na ul. Suvorovova 152 - sociální zařízení (č.z. 11/22)</t>
  </si>
  <si>
    <t>3748/3613/5171+5169</t>
  </si>
  <si>
    <r>
      <t xml:space="preserve">                    Hotel Praha - </t>
    </r>
    <r>
      <rPr>
        <sz val="10"/>
        <rFont val="Arial CE"/>
      </rPr>
      <t>WC ve vstupu PD+realizace (oprava)</t>
    </r>
  </si>
  <si>
    <t xml:space="preserve">                    MŠ Husova 1 (Beruška) fasáda,střecha, kotelna PD</t>
  </si>
  <si>
    <t xml:space="preserve">                    Sokolovská 9 - sanace + fasáda</t>
  </si>
  <si>
    <r>
      <t xml:space="preserve">                     Výměna VZT pro restauraci </t>
    </r>
    <r>
      <rPr>
        <sz val="10"/>
        <rFont val="Arial CE"/>
      </rPr>
      <t xml:space="preserve">Steak House </t>
    </r>
    <r>
      <rPr>
        <sz val="10"/>
        <rFont val="Arial CE"/>
      </rPr>
      <t xml:space="preserve">na ul. Revoluční </t>
    </r>
  </si>
  <si>
    <r>
      <t xml:space="preserve">                   Fotovoltaické elektrárna v objektu TSNJ na ul. Suvorovova PD + realizace</t>
    </r>
    <r>
      <rPr>
        <sz val="10"/>
        <color indexed="2"/>
        <rFont val="Arial CE"/>
      </rPr>
      <t xml:space="preserve"> dokončeno 2024</t>
    </r>
  </si>
  <si>
    <t xml:space="preserve">                   Objektové předávací stanice x ks - výměna MaR PD + realizace</t>
  </si>
  <si>
    <t xml:space="preserve">                    Kotelna Divadelní 8 - modernizace </t>
  </si>
  <si>
    <r>
      <t xml:space="preserve">                    Teplovod Nerudova 14,16,18 </t>
    </r>
    <r>
      <rPr>
        <sz val="10"/>
        <color indexed="2"/>
        <rFont val="Arial CE"/>
      </rPr>
      <t>dokončeno 2024</t>
    </r>
  </si>
  <si>
    <t xml:space="preserve">                    Výměna teplovodního potrubí Loučka 7 (stolní tenis)</t>
  </si>
  <si>
    <r>
      <t xml:space="preserve">Osobní asistence, pečovatelská služba a podpora samostatného bydlení </t>
    </r>
    <r>
      <rPr>
        <sz val="9"/>
        <rFont val="Arial CE"/>
      </rPr>
      <t>(účet 2310800)</t>
    </r>
  </si>
  <si>
    <t>3708/4351/6121</t>
  </si>
  <si>
    <t xml:space="preserve">                   ProSenior Nový Jičín - Domeček studie + PD</t>
  </si>
  <si>
    <r>
      <t xml:space="preserve">Azylové domy </t>
    </r>
    <r>
      <rPr>
        <sz val="9"/>
        <rFont val="Arial CE"/>
      </rPr>
      <t>(účet 2310800)</t>
    </r>
  </si>
  <si>
    <t>3712/4374/6121</t>
  </si>
  <si>
    <t>639 - Komunální služby a územní rozvoj</t>
  </si>
  <si>
    <t xml:space="preserve">                   Revitalizace Horního nádraží - pumptrack </t>
  </si>
  <si>
    <t xml:space="preserve">                    VO EFEKT 2025</t>
  </si>
  <si>
    <r>
      <t xml:space="preserve">                   VO Dlouhá nad hřištěm ZŠ Dlouhá</t>
    </r>
    <r>
      <rPr>
        <sz val="10"/>
        <color indexed="2"/>
        <rFont val="Arial CE"/>
      </rPr>
      <t xml:space="preserve"> převod na OSM</t>
    </r>
  </si>
  <si>
    <t xml:space="preserve">                   Hřbitov - kolumbárium, vsypová loučka (TSNJ)</t>
  </si>
  <si>
    <r>
      <t xml:space="preserve">                   Hřbitov - čestné hroby 2. etapa sanace (TSNJ) </t>
    </r>
    <r>
      <rPr>
        <sz val="10"/>
        <color indexed="2"/>
        <rFont val="Arial CE"/>
      </rPr>
      <t>dokončeno 2024</t>
    </r>
  </si>
  <si>
    <r>
      <rPr>
        <b/>
        <sz val="10"/>
        <rFont val="Arial CE"/>
      </rPr>
      <t>Vnitřní obchod</t>
    </r>
    <r>
      <rPr>
        <sz val="10"/>
        <rFont val="Arial CE"/>
      </rPr>
      <t xml:space="preserve">  (</t>
    </r>
    <r>
      <rPr>
        <sz val="9"/>
        <rFont val="Arial CE"/>
      </rPr>
      <t>opravy a údržba 15, materiál 50, služby 129, příspěvek TSM celkem: jarmarky, vánoční strom, výzdoba,…1264,741, pohoštění 6,5, DHM 100)</t>
    </r>
    <r>
      <rPr>
        <sz val="10"/>
        <rFont val="Arial CE"/>
      </rPr>
      <t xml:space="preserve">                                                              </t>
    </r>
  </si>
  <si>
    <r>
      <t>Cestovní ruch</t>
    </r>
    <r>
      <rPr>
        <b/>
        <sz val="9"/>
        <rFont val="Arial CE"/>
      </rPr>
      <t xml:space="preserve"> </t>
    </r>
    <r>
      <rPr>
        <sz val="9"/>
        <rFont val="Arial CE"/>
      </rPr>
      <t xml:space="preserve"> (platy 4610+230), dohody 600, soc.poj. 1143,280+57040, zdrav. poj. 414,9+20,7, knihy, tisk 10, drobný hmotný maj. 1300, materiál (kalendáře, upom. Př., tiskoviny,…) 1130, materiál DPH 400, poštovné 1, poštovné DPH 7,5, telefony 10, služby peněž. úst. 50, pronájem 900, služby zprac. dat. 130, nákup služeb (prop. inz., služby, rozvoj podnikání na Novojičínsku, dotace z MSK 200 částečně investiční, neinvestiční) 2050, nákup služeb DPH (služby spojené s kelímky NICKNACK) 235,972, opravy a údržba 130, cestovné 15, pohoštění 200, účast. úpl. 5, ost.nák.j.n. 50, posk. náhr. 5, neinvest. transfery 200, neinvest. přísp. TSM na Pivobraní 490)</t>
    </r>
  </si>
  <si>
    <r>
      <t>Činnost místní správy (</t>
    </r>
    <r>
      <rPr>
        <sz val="9"/>
        <rFont val="Arial CE"/>
      </rPr>
      <t>životní jubilea zaměstnanců NCNJ)</t>
    </r>
  </si>
  <si>
    <r>
      <t>Mezinárodní spolupráce</t>
    </r>
    <r>
      <rPr>
        <sz val="9"/>
        <rFont val="Arial CE"/>
      </rPr>
      <t xml:space="preserve"> (materiál 150, materiál DPH 50, PHM 15, nájemné 40, služby 900, cestovné 77, pohoštění 250, dohody 5,5, poštovné 5,5, ostatní nákupy 5,5, věcné dary 5,5)</t>
    </r>
  </si>
  <si>
    <r>
      <t>Dopravní obslužnost</t>
    </r>
    <r>
      <rPr>
        <b/>
        <sz val="10"/>
        <rFont val="Arial CE"/>
      </rPr>
      <t xml:space="preserve"> veřejnými službami </t>
    </r>
    <r>
      <rPr>
        <sz val="10"/>
        <rFont val="Arial CE"/>
      </rPr>
      <t>- veřejná doprava</t>
    </r>
  </si>
  <si>
    <r>
      <t xml:space="preserve">            příspěvek na MHD</t>
    </r>
    <r>
      <rPr>
        <sz val="9"/>
        <rFont val="Arial CE"/>
      </rPr>
      <t xml:space="preserve"> (ARRIVA) - dle smlouvy </t>
    </r>
  </si>
  <si>
    <r>
      <t xml:space="preserve">            kompenzace ztráty dopravci za </t>
    </r>
    <r>
      <rPr>
        <sz val="10"/>
        <rFont val="Arial CE"/>
      </rPr>
      <t>provozování cyklo-ski busu</t>
    </r>
  </si>
  <si>
    <t xml:space="preserve">            dokrytí ztráty za provozovaní autobusového spojení Hranice na Moravě </t>
  </si>
  <si>
    <t xml:space="preserve">            KODIS – revize MHD</t>
  </si>
  <si>
    <t>Volby do parlamentu</t>
  </si>
  <si>
    <t>Mateřské školy</t>
  </si>
  <si>
    <t xml:space="preserve">                               - příspěvek na provoz, včetně energií 1 200, včetně odpisů z nemovitého majetku </t>
  </si>
  <si>
    <r>
      <t xml:space="preserve">                               - příspěvek na údržbu </t>
    </r>
    <r>
      <rPr>
        <sz val="9"/>
        <rFont val="Arial CE"/>
      </rPr>
      <t>(malování a nátěry všech pracovišť 350, výměna podlahových krytin a šatních bloků MŠ Smet.sady 190, mříže oken 62) zapojení FR a FI 270</t>
    </r>
  </si>
  <si>
    <r>
      <t xml:space="preserve">                               - příspěvek na údržbu </t>
    </r>
    <r>
      <rPr>
        <sz val="9"/>
        <rFont val="Arial CE"/>
      </rPr>
      <t xml:space="preserve">(malování a nátěry 280, oprava soc. zařízení MŠ Vančurova 420) </t>
    </r>
  </si>
  <si>
    <r>
      <t xml:space="preserve">                               - příspěvek na investice</t>
    </r>
    <r>
      <rPr>
        <sz val="9"/>
        <rFont val="Arial CE"/>
      </rPr>
      <t xml:space="preserve"> (smažící pánev 200</t>
    </r>
    <r>
      <rPr>
        <sz val="9"/>
        <rFont val="Arial CE"/>
      </rPr>
      <t>) zapojení FI a FR 200</t>
    </r>
  </si>
  <si>
    <t xml:space="preserve">                               - příspěvek na provoz, včetně energií 1 300, včetně odpisů z nemovitého majetku </t>
  </si>
  <si>
    <r>
      <t xml:space="preserve">                               - příspěvek na údržbu </t>
    </r>
    <r>
      <rPr>
        <sz val="9"/>
        <rFont val="Arial CE"/>
      </rPr>
      <t xml:space="preserve">(malování a nátěry 130, čištění žlabů a oprava chodníku MŠ Kom 100, výměna podlahových krytin 200) </t>
    </r>
  </si>
  <si>
    <t xml:space="preserve">                               - příspěvek na investice (kamerový systém Žilina 232) zapojení FI a FR 102</t>
  </si>
  <si>
    <t xml:space="preserve">                              - příspěvek na provoz, včetně energií 5 000, včetně odpisů z nemovitého majetku </t>
  </si>
  <si>
    <r>
      <t xml:space="preserve">                              - přísp.na údržbu</t>
    </r>
    <r>
      <rPr>
        <sz val="9"/>
        <rFont val="Arial CE"/>
      </rPr>
      <t xml:space="preserve"> (Jubilejní: malování a nátěry 275, oprava obkladů soc.zař. 900) ZŠ Dlouhá malování a nátěry 275, výměna dveří s hliníkovým rámem MŠ 115, oprava prostor pro prádelnu 190, oprava dřevěného obkladu v tělocvičně 280, oprava rozvodu vody MŠ Dlouhá 170, oprava prosklených stěn 160) po zapojení FR a FI 550 tis. Kč </t>
    </r>
  </si>
  <si>
    <r>
      <t xml:space="preserve">                              - příspěvek na investice </t>
    </r>
    <r>
      <rPr>
        <sz val="9"/>
        <rFont val="Arial CE"/>
      </rPr>
      <t/>
    </r>
  </si>
  <si>
    <t xml:space="preserve">                              - příspěvek na provoz, včetně energií 2 600, včetně odpisů z nemovitého majetku </t>
  </si>
  <si>
    <r>
      <t xml:space="preserve">                              - příspěvek na údržbu </t>
    </r>
    <r>
      <rPr>
        <sz val="9"/>
        <rFont val="Arial CE"/>
      </rPr>
      <t xml:space="preserve">(malování a nátěry 200, umytí fasády 138, odstranění závad hromosvodu 490) </t>
    </r>
  </si>
  <si>
    <t xml:space="preserve">                               - příspěvek na investice (chladící boxy do ŠJ 503, elektrický sporák do ŠJ 96) zapojení FI a FR 450</t>
  </si>
  <si>
    <t xml:space="preserve">                              - příspěvek na provoz, včetně energií 2 180, včetně odpisů z nemovitého majetku </t>
  </si>
  <si>
    <r>
      <t xml:space="preserve">                              - příspěvek na údržbu </t>
    </r>
    <r>
      <rPr>
        <sz val="9"/>
        <rFont val="Arial CE"/>
      </rPr>
      <t xml:space="preserve">(malování a nátěry 300, oprava plotu a kácení bříz 320, oprava hyg. Zázemí pro úklid a výměna baterií v nouzových světlech 70)  </t>
    </r>
  </si>
  <si>
    <r>
      <t xml:space="preserve">                             - příspěvek na investice</t>
    </r>
    <r>
      <rPr>
        <sz val="9"/>
        <rFont val="Arial CE"/>
      </rPr>
      <t xml:space="preserve"> (rekonstrukce vzduchotechniky PD 400, škrabka na brambory 87, el. pánev 140) po zapojení FR a FI  177 tis. Kč </t>
    </r>
  </si>
  <si>
    <t xml:space="preserve">                             - příspěvek na provoz ( vč.energií 3 170, vč.odpisů z nem.majetku</t>
  </si>
  <si>
    <r>
      <t xml:space="preserve">                             - příspěvek na údržbu</t>
    </r>
    <r>
      <rPr>
        <sz val="9"/>
        <rFont val="Arial CE"/>
      </rPr>
      <t xml:space="preserve"> (malování, nátěry a sádrokartonová stěna 250, výměna PVC v učebnách a na chodbě 240, oprava odvodnění střechy - zachytávání sněhu, přístavba 430, oprava dlažby v ssuterénu - šatny 200) zapojení FI a FR 1 000)</t>
    </r>
  </si>
  <si>
    <r>
      <t xml:space="preserve">                             - příspěvek na investice </t>
    </r>
    <r>
      <rPr>
        <sz val="10"/>
        <rFont val="Arial CE"/>
      </rPr>
      <t xml:space="preserve">   </t>
    </r>
  </si>
  <si>
    <t xml:space="preserve">                  - příspěvek na údržbu (reniovace stolů 40, akustické panely do sálu 30, táhla na okna 29, panikové kování výměna dveří 120)</t>
  </si>
  <si>
    <t xml:space="preserve">                             - příspěvek na investice (klimatizace kanceláří 250, defibrilátor 44) zapjení FI a FR 44 </t>
  </si>
  <si>
    <r>
      <t>Ostatní sportovní činnost</t>
    </r>
    <r>
      <rPr>
        <sz val="11"/>
        <rFont val="Calibri"/>
        <scheme val="minor"/>
      </rPr>
      <t xml:space="preserve"> </t>
    </r>
  </si>
  <si>
    <t>z toho: příspěvek na provoz, včetně energií 2 610, včetně odpisů z nemovitého majetku 522</t>
  </si>
  <si>
    <r>
      <t xml:space="preserve">             příspěvek na údržbu  (oprava jevištní podlahy velkého sálu 847)</t>
    </r>
    <r>
      <rPr>
        <sz val="9"/>
        <rFont val="Arial CE"/>
      </rPr>
      <t xml:space="preserve"> </t>
    </r>
  </si>
  <si>
    <t xml:space="preserve">                  - příspěvek na investice (kamerový systém 423, aktivní dvu pásmové reproduktory do velkého sálu 415) zapojení FI a FR 500</t>
  </si>
  <si>
    <t>Ostatní kultura, kronika, služby, dary, osadní výbory (600)</t>
  </si>
  <si>
    <t>Ostatní kultura</t>
  </si>
  <si>
    <t>z toho: dohody (dohody pasport MPR hradební zdi II. etapa)</t>
  </si>
  <si>
    <t>Drobný materiál</t>
  </si>
  <si>
    <t xml:space="preserve">             Propagace v rámci EHD (modely papírové 20, postřiky hradebních zdí, vč. likvidace náletů 40, sbírky, rozšíření posudky na radnici 50)</t>
  </si>
  <si>
    <t xml:space="preserve">             Drobné opravy - údržba 50</t>
  </si>
  <si>
    <t>Pořízení, zachování a obnova hodnot místního kulturního, národního a historického povědomí</t>
  </si>
  <si>
    <t>z toho:  drobný materiál 10, revize 10, kaple sv. Michala v Bludovicích oprava věžičky 290, drobné opravy a údržba 50</t>
  </si>
  <si>
    <t>z toho: Osvětová beseda Straník (org. 0502)</t>
  </si>
  <si>
    <t xml:space="preserve">           -  příspěvek na provoz MKS a Kina Květen, vč.energií 1 520, vč.odpisů z nem.majetku 178 </t>
  </si>
  <si>
    <t xml:space="preserve">          -  příspěvek na investice (upgrade účetního programu přechod k VERE 135, přívěsný vozík 110, biblioschránka knihovna 69, pult na světla+4 světla 280, grafická tiskárna - propagace 124, multifunkční tiskárna+scener+kopírka 70, digitální projektor 2200) zapojení FI a FR 788</t>
  </si>
  <si>
    <r>
      <t xml:space="preserve">           -  příspěvek na údržbu </t>
    </r>
    <r>
      <rPr>
        <sz val="9"/>
        <rFont val="Arial CE"/>
      </rPr>
      <t xml:space="preserve">(oprav parketových podlah v knihovně 324) </t>
    </r>
  </si>
  <si>
    <r>
      <t xml:space="preserve">            mimořádné dotace a dary (org. 1180): </t>
    </r>
    <r>
      <rPr>
        <sz val="10"/>
        <rFont val="Arial CE"/>
      </rPr>
      <t>MŠ Beruška, ZŠ Galaxie, MŠ Bludovice - všechny 3 na úhradu režijních nákladů na stravování dětí včetně dovozu, ZO ČSOP Bartošovice - záchrana handicapovaných zvířat, Česká křesťanská akademie, stipendia, dotace na provoz TJ 7600, zápůjčka TJ 2000</t>
    </r>
  </si>
  <si>
    <t>z toho : platy 19370+840, zák.odvody (4803,76+208,32) +(1743,3+75,6), zdrav.pomůcky 5, výstroj 350, knihy, časopisy a tisk 2, DHM 348, materiál 143, elektř. 35, PHM 264, služby pošt 1, telekomunikace 245, nájemné 30, konzult.a porad.služby 3, školení 149, konference 3, služby 747, opravy a udrž. 275, služby zpracování dat 200, podlimitní progr. vybavení 45, cestovné 17, neinv.přísp.a náhrady-prac.úrazy 50, správní poplatky 16, investice: progr. vybavení, stroje: kamera pro RZ 170, kamera MKDS 150, interaktivní dotyk. tabule 90</t>
  </si>
  <si>
    <r>
      <rPr>
        <b/>
        <sz val="10"/>
        <rFont val="Arial CE"/>
      </rPr>
      <t>Chata Jičínka</t>
    </r>
    <r>
      <rPr>
        <sz val="10"/>
        <rFont val="Arial CE"/>
      </rPr>
      <t>-</t>
    </r>
    <r>
      <rPr>
        <b/>
        <sz val="10"/>
        <rFont val="Arial CE"/>
      </rPr>
      <t>org. 4381</t>
    </r>
    <r>
      <rPr>
        <sz val="10"/>
        <rFont val="Arial CE"/>
      </rPr>
      <t xml:space="preserve"> </t>
    </r>
    <r>
      <rPr>
        <sz val="9"/>
        <rFont val="Arial CE"/>
      </rPr>
      <t xml:space="preserve">(v tom: drobný hmotný majetek 80, materiál 20, voda 11, elektr.energie 200, pevná paliva 12,3, PHM 1, služby-praní, odpady,... 30, opravy a udržování 120, místní poplatky 20, </t>
    </r>
    <r>
      <rPr>
        <b/>
        <sz val="9"/>
        <rFont val="Arial CE"/>
      </rPr>
      <t>investice:</t>
    </r>
    <r>
      <rPr>
        <sz val="9"/>
        <rFont val="Arial CE"/>
      </rPr>
      <t xml:space="preserve"> další etapa - terenní úpravy - chodníky, parkovací stání)</t>
    </r>
  </si>
  <si>
    <r>
      <t xml:space="preserve">Ochrana obyvatelstva </t>
    </r>
    <r>
      <rPr>
        <sz val="9"/>
        <rFont val="Arial CE"/>
      </rPr>
      <t>(letáky+uživat.příručky 1, DHM 20, zpracování dat-data hosting, GSM přenosy 35, systém varování před povodněmi-hladinoměry dle servisní smlouvy 40, opravy a udržování systému varování před povodněmi 30)</t>
    </r>
  </si>
  <si>
    <r>
      <t xml:space="preserve">Krizová opatření </t>
    </r>
    <r>
      <rPr>
        <sz val="9"/>
        <rFont val="Arial CE"/>
      </rPr>
      <t>(čerpá se jen při živelních pohromách: přikrývky, písek+pytle, respirátory, dezinfekce, zabezpečení chodu evak.středisek, teplo, elektrická energie, PHM, služby: ubytovací,stravovací,dopravní)</t>
    </r>
  </si>
  <si>
    <r>
      <t xml:space="preserve">Požární ochrana - profesionální část </t>
    </r>
    <r>
      <rPr>
        <sz val="9"/>
        <rFont val="Arial CE"/>
      </rPr>
      <t>(příspěvek HZS MSK dle smlouvy zvýšené o inflaci - předpoklad 6 %)</t>
    </r>
  </si>
  <si>
    <r>
      <t xml:space="preserve">Požární ochrana - dobrovolná část </t>
    </r>
    <r>
      <rPr>
        <sz val="9"/>
        <rFont val="Arial CE"/>
      </rPr>
      <t>(pro hasiče Straník: OOPP 12, DHM - přívěsný vozík s koly pod ložnou plochou 44, materiál 10, PHM 15, služby+internet 5, školení - 2x prodloužení osvědčení strojník, 1x velitel 14, nákup služeb-technické prohlídky vozidel, měření emisí, výměna pneu,... 10, opravy a udržování-příprava na STK, drobné opravy vozového parku 30)</t>
    </r>
  </si>
  <si>
    <r>
      <t xml:space="preserve">z toho </t>
    </r>
    <r>
      <rPr>
        <b/>
        <sz val="9"/>
        <rFont val="Arial CE"/>
      </rPr>
      <t>provoz</t>
    </r>
    <r>
      <rPr>
        <sz val="9"/>
        <rFont val="Arial CE"/>
      </rPr>
      <t>: činnost místní správy-</t>
    </r>
    <r>
      <rPr>
        <b/>
        <sz val="9"/>
        <rFont val="Arial CE"/>
      </rPr>
      <t>org.381</t>
    </r>
    <r>
      <rPr>
        <sz val="9"/>
        <rFont val="Arial CE"/>
      </rPr>
      <t xml:space="preserve"> v tom: odměny za užití duševního vlastnictví-OSA 40, ochranné pomůcky - OOPP pro nové zaměstnance a obměna stávajících 40, léky a zdrav.materiál 5, knihy+učební pomůcky+tisk 100, Novojičínský zpravodaj 500, drobný hmotný majetek-nábytek 825, klimatizační jednotka lokální 50, telefony, mobily 40, drobný kan. mat. (skartovačky, fax, sešívačky, ...) 90, kan.židle 200, skříně, police 50, podlah.krytiny 500, materiál-kancelářský, hygienický, čistící, doručovací obálky, ikebana, automobily-mazadla, nemrznoucí směsi,... 1075, voda 600, teplo 3500, elektr.energie 2550, pevná paliva 1, PHM 170, služby pošt 4100, telekomun.150, nájemné 120, právní služby 129,4, služby BOZP 72,6, bezplatné právní služby pro veřejnost 50, pověřenec 48, zpracování dat 330, služby vč. úklidu, servisu kopírek, elektrorevize 3900, opravy a udržování - servis vozidel 300, opravy židlí 20, příp. škodní události 100, malování, nátěry fasády, opravy oken a dveří 450, Div. 8 garáže - oprava kanalizace, oprava garážových vrat 30,  ostatní opravy 1000, okna ulice Lidická 950, Div. 1 kanalizace 400, Div. 1 střešní okna 950, Div. 8 - brána, zeď, plot, vjezd 700, pohoštění 200, ostatní nákupy (čl. přísp. auditorů a tajemníků) 4,5, daně a poplatky vč. dálničních známek 30, ostatní výdaje 2. </t>
    </r>
  </si>
  <si>
    <r>
      <t>z toho</t>
    </r>
    <r>
      <rPr>
        <b/>
        <sz val="9"/>
        <rFont val="Arial CE"/>
      </rPr>
      <t xml:space="preserve"> investice: </t>
    </r>
    <r>
      <rPr>
        <sz val="9"/>
        <rFont val="Arial CE"/>
      </rPr>
      <t>činnost místní správy-</t>
    </r>
    <r>
      <rPr>
        <b/>
        <sz val="9"/>
        <rFont val="Arial CE"/>
      </rPr>
      <t>org.381:</t>
    </r>
    <r>
      <rPr>
        <sz val="9"/>
        <rFont val="Arial CE"/>
      </rPr>
      <t xml:space="preserve"> klimatizační jednotka lokálni 50, soubor nábytku, koberec, kuch. linky 100, sl. vozidlo 1000</t>
    </r>
  </si>
  <si>
    <t>varianta II.</t>
  </si>
  <si>
    <r>
      <t xml:space="preserve">z toho </t>
    </r>
    <r>
      <rPr>
        <b/>
        <sz val="9"/>
        <rFont val="Arial CE"/>
      </rPr>
      <t>provoz</t>
    </r>
    <r>
      <rPr>
        <sz val="9"/>
        <rFont val="Arial CE"/>
      </rPr>
      <t>: činnost místní správy-</t>
    </r>
    <r>
      <rPr>
        <b/>
        <sz val="9"/>
        <rFont val="Arial CE"/>
      </rPr>
      <t>org.381</t>
    </r>
    <r>
      <rPr>
        <sz val="9"/>
        <rFont val="Arial CE"/>
      </rPr>
      <t xml:space="preserve"> v tom: odměny za užití duševního vlastnictví-OSA 40, ochranné pomůcky - OOPP pro nové zaměstnance a obměna stávajících 40, léky a zdrav.materiál 5, knihy+učební pomůcky+tisk 100, Novojičínský zpravodaj 500, drobný hmotný majetek-nábytek </t>
    </r>
    <r>
      <rPr>
        <sz val="9"/>
        <color indexed="2"/>
        <rFont val="Arial CE"/>
      </rPr>
      <t>825+500</t>
    </r>
    <r>
      <rPr>
        <sz val="9"/>
        <rFont val="Arial CE"/>
      </rPr>
      <t xml:space="preserve">, klimatizační jednotka lokální 50, telefony, mobily </t>
    </r>
    <r>
      <rPr>
        <sz val="9"/>
        <color indexed="2"/>
        <rFont val="Arial CE"/>
      </rPr>
      <t>60</t>
    </r>
    <r>
      <rPr>
        <sz val="9"/>
        <rFont val="Arial CE"/>
      </rPr>
      <t xml:space="preserve">, drobný kan. mat. (skartovačky, fax, sešívačky, ...) 90, kan.židle </t>
    </r>
    <r>
      <rPr>
        <sz val="9"/>
        <color indexed="2"/>
        <rFont val="Arial CE"/>
      </rPr>
      <t>300</t>
    </r>
    <r>
      <rPr>
        <sz val="9"/>
        <rFont val="Arial CE"/>
      </rPr>
      <t xml:space="preserve">, skříně, police 50, podlah.krytiny </t>
    </r>
    <r>
      <rPr>
        <sz val="9"/>
        <color indexed="2"/>
        <rFont val="Arial CE"/>
      </rPr>
      <t>700</t>
    </r>
    <r>
      <rPr>
        <sz val="9"/>
        <rFont val="Arial CE"/>
      </rPr>
      <t xml:space="preserve">, materiál-kancelářský, hygienický, čistící, doručovací obálky, ikebana, automobily-mazadla, nemrznoucí směsi,... 1075, voda 600, teplo 3500, elektr.energie 2550, pevná paliva 1, PHM 170, služby pošt 4100, telekomun.150, nájemné 120, právní služby 129,4, služby BOZP 72,6, bezplatné právní služby pro veřejnost 50, pověřenec 48, zpracování dat 330, služby vč. úklidu, servisu kopírek, elektrorevize 3900, opravy a udržování - servis vozidel 300, opravy židlí 20, příp. škodní události 100, malování, nátěry fasády, opravy oken a dveří 450, repase oken velká zas. </t>
    </r>
    <r>
      <rPr>
        <sz val="9"/>
        <color indexed="2"/>
        <rFont val="Arial CE"/>
      </rPr>
      <t>1000</t>
    </r>
    <r>
      <rPr>
        <sz val="9"/>
        <rFont val="Arial CE"/>
      </rPr>
      <t xml:space="preserve">, Div. 8 garáže - oprava kanalizace, oprava garážových vrat 30,  ostatní opravy 1000, okna ulice Lidická 950, Div. 1 kanalizace 400, Div. 1 střešní okna 950, Div. 8 - brána, zeď, plot, vjezd 700, pohoštění 200, ostatní nákupy (čl. přísp. auditorů a tajemníků) 4,5, daně a poplatky vč. dálničních známek 30, ostatní výdaje 2. </t>
    </r>
  </si>
  <si>
    <r>
      <t>z toho</t>
    </r>
    <r>
      <rPr>
        <b/>
        <sz val="9"/>
        <rFont val="Arial CE"/>
      </rPr>
      <t xml:space="preserve"> investice: </t>
    </r>
    <r>
      <rPr>
        <sz val="9"/>
        <rFont val="Arial CE"/>
      </rPr>
      <t>činnost místní správy-</t>
    </r>
    <r>
      <rPr>
        <b/>
        <sz val="9"/>
        <rFont val="Arial CE"/>
      </rPr>
      <t>org.381:</t>
    </r>
    <r>
      <rPr>
        <sz val="9"/>
        <rFont val="Arial CE"/>
      </rPr>
      <t xml:space="preserve"> klimatizační jednotka lokálni + klimatizace Div. 8 </t>
    </r>
    <r>
      <rPr>
        <sz val="9"/>
        <color indexed="2"/>
        <rFont val="Arial CE"/>
      </rPr>
      <t>50+1000</t>
    </r>
    <r>
      <rPr>
        <sz val="9"/>
        <rFont val="Arial CE"/>
      </rPr>
      <t xml:space="preserve">, soubor nábytku, koberec, kuch. linky 100, sl. vozidlo </t>
    </r>
    <r>
      <rPr>
        <sz val="9"/>
        <color indexed="2"/>
        <rFont val="Arial CE"/>
      </rPr>
      <t>1000+1500</t>
    </r>
  </si>
  <si>
    <t>varianta III.</t>
  </si>
  <si>
    <r>
      <t xml:space="preserve">z toho </t>
    </r>
    <r>
      <rPr>
        <b/>
        <sz val="9"/>
        <rFont val="Arial CE"/>
      </rPr>
      <t>provoz</t>
    </r>
    <r>
      <rPr>
        <sz val="9"/>
        <rFont val="Arial CE"/>
      </rPr>
      <t>: činnost místní správy-</t>
    </r>
    <r>
      <rPr>
        <b/>
        <sz val="9"/>
        <rFont val="Arial CE"/>
      </rPr>
      <t>org.381</t>
    </r>
    <r>
      <rPr>
        <sz val="9"/>
        <rFont val="Arial CE"/>
      </rPr>
      <t xml:space="preserve"> v tom: odměny za užití duševního vlastnictví-OSA 40, ochranné pomůcky - OOPP pro nové zaměstnance a obměna stávajících 40, léky a zdrav.materiál 5, knihy+učební pomůcky+tisk 100, Novojičínský zpravodaj 500, drobný hmotný majetek-nábytek </t>
    </r>
    <r>
      <rPr>
        <sz val="9"/>
        <color indexed="2"/>
        <rFont val="Arial CE"/>
      </rPr>
      <t>825+1000</t>
    </r>
    <r>
      <rPr>
        <sz val="9"/>
        <rFont val="Arial CE"/>
      </rPr>
      <t>, klimatizační jednotka lokální 50, telefony, mobily 60, drobný kan. mat. (skartovačky, fax, sešívačky, ...) 90, kan.židle 300, skříně, police 50, podlah.krytiny</t>
    </r>
    <r>
      <rPr>
        <sz val="9"/>
        <color indexed="2"/>
        <rFont val="Arial CE"/>
      </rPr>
      <t xml:space="preserve"> 1000</t>
    </r>
    <r>
      <rPr>
        <sz val="9"/>
        <rFont val="Arial CE"/>
      </rPr>
      <t xml:space="preserve">, materiál-kancelářský, hygienický, čistící, doručovací obálky, ikebana, automobily-mazadla, nemrznoucí směsi,... 1075, voda 600, teplo 3500, elektr.energie 2550, pevná paliva 1, PHM 170, služby pošt 4100, telekomun.150, nájemné 120, právní služby 129,4, služby BOZP 72,6, bezplatné právní služby pro veřejnost 50, pověřenec 48, zpracování dat 330, služby vč. úklidu, servisu kopírek, elektrorevize 3900, opravy a udržování - servis vozidel 300, opravy židlí 20, příp. škodní události 100, malování, nátěry fasády, opravy oken a dveří 450, repase oken velká zas. 1000, Div. 8 garáže - oprava kanalizace, oprava garážových vrat 30,  ostatní opravy 1000, okna ulice Lidická 950, Div. 1 kanalizace 400, Div. 1 střešní okna 950, Div. 8 - brána, zeď, plot, vjezd 700, pohoštění 200, ostatní nákupy (čl. přísp. auditorů a tajemníků) 4,5, daně a poplatky vč. dálničních známek 30, ostatní výdaje 2. </t>
    </r>
  </si>
  <si>
    <r>
      <t xml:space="preserve">Úsek informatiky </t>
    </r>
    <r>
      <rPr>
        <sz val="9"/>
        <rFont val="Arial CE"/>
      </rPr>
      <t xml:space="preserve">- </t>
    </r>
    <r>
      <rPr>
        <b/>
        <sz val="9"/>
        <rFont val="Arial CE"/>
      </rPr>
      <t>provoz - org.3381</t>
    </r>
    <r>
      <rPr>
        <sz val="9"/>
        <rFont val="Arial CE"/>
      </rPr>
      <t xml:space="preserve"> (v tom: drobný hmotný majetek-nové PC a LCD monitory 200, notebooky, kopírky, tiskárny, velkoplošná TV do auly, drobné síťové prvky, UPS 590, materiál 225, nájemné 40, školení 20, služby zpracování dat 3012,8, ost.služby - kybernetická bezpečnost NIS2 200, opravy a udržování 240, nákup softwaru 70.</t>
    </r>
  </si>
  <si>
    <r>
      <t>Úsek informatiky</t>
    </r>
    <r>
      <rPr>
        <b/>
        <sz val="9"/>
        <rFont val="Arial CE"/>
      </rPr>
      <t xml:space="preserve"> </t>
    </r>
    <r>
      <rPr>
        <sz val="9"/>
        <rFont val="Arial CE"/>
      </rPr>
      <t xml:space="preserve">- </t>
    </r>
    <r>
      <rPr>
        <b/>
        <sz val="9"/>
        <rFont val="Arial CE"/>
      </rPr>
      <t xml:space="preserve">investice - org.3381 </t>
    </r>
    <r>
      <rPr>
        <sz val="9"/>
        <rFont val="Arial CE"/>
      </rPr>
      <t xml:space="preserve">programové vybavení - rozvoj GIS 200, nákup IS 1162,81, nákup SW -office 2023 100, zařízení pro rozšíření zálohování 300, nová kopírka 100. </t>
    </r>
  </si>
  <si>
    <r>
      <t xml:space="preserve">Úsek informatiky </t>
    </r>
    <r>
      <rPr>
        <sz val="9"/>
        <rFont val="Arial CE"/>
      </rPr>
      <t xml:space="preserve">- </t>
    </r>
    <r>
      <rPr>
        <b/>
        <sz val="9"/>
        <rFont val="Arial CE"/>
      </rPr>
      <t>provoz - org.3381</t>
    </r>
    <r>
      <rPr>
        <sz val="9"/>
        <rFont val="Arial CE"/>
      </rPr>
      <t xml:space="preserve"> (v tom: drobný hmotný majetek-nové PC a LCD monitory </t>
    </r>
    <r>
      <rPr>
        <sz val="9"/>
        <color indexed="2"/>
        <rFont val="Arial CE"/>
      </rPr>
      <t>300,</t>
    </r>
    <r>
      <rPr>
        <sz val="9"/>
        <rFont val="Arial CE"/>
      </rPr>
      <t xml:space="preserve"> notebooky, kopírky, tiskárny, velkoplošná TV do auly, drobné síťové prvky, UPS 590, materiál 225, nájemné 40, školení 20, služby zpracování dat 3012,8, ost.služby - kybernetická bezpečnost NIS2 200, opravy a udržování 240, nákup softwaru 70.</t>
    </r>
  </si>
  <si>
    <r>
      <t>Dotace na OSPOD-</t>
    </r>
    <r>
      <rPr>
        <b/>
        <sz val="10"/>
        <rFont val="Arial CE"/>
      </rPr>
      <t>org. 1385</t>
    </r>
    <r>
      <rPr>
        <sz val="10"/>
        <rFont val="Arial CE"/>
      </rPr>
      <t xml:space="preserve"> </t>
    </r>
    <r>
      <rPr>
        <sz val="9"/>
        <rFont val="Arial CE"/>
      </rPr>
      <t xml:space="preserve">(v tom: knihy 5, DHM 30, materiál 30, PHM 60, služby telekomunikací 18, zpracování dat 72,6, ostatní služby 10, nájemné - leasing 140,307, služby peněžních ústavů - pojištění 15,093) </t>
    </r>
  </si>
  <si>
    <r>
      <t>Pojištění funkčně nespecifikované</t>
    </r>
    <r>
      <rPr>
        <sz val="9"/>
        <rFont val="Arial CE"/>
      </rPr>
      <t xml:space="preserve"> (pojištění 1800, náhrady za nezpůsobenou újmu 50)</t>
    </r>
  </si>
  <si>
    <r>
      <t>Zastupitelstva obcí</t>
    </r>
    <r>
      <rPr>
        <sz val="9"/>
        <rFont val="Arial CE"/>
      </rPr>
      <t xml:space="preserve"> (ost.platy-refundace mzdy 30, odměny členů ZM 9270, zák.odvody 1071,4+834,3, refund.zák.odvodů 12, školení a vzdělávání pro uvolněné ZM 10, parkovné 0,5, cestovné (ubytování a doprava) 20, pohoštění vč.komisí a výborů 200, poplatky na konference 7, ošatné 90, dary 30)</t>
    </r>
  </si>
  <si>
    <r>
      <t>z toho provoz: činnost místní správy-</t>
    </r>
    <r>
      <rPr>
        <b/>
        <sz val="9"/>
        <rFont val="Arial CE"/>
      </rPr>
      <t>org.381 (bez OSPODu)</t>
    </r>
    <r>
      <rPr>
        <sz val="9"/>
        <rFont val="Arial CE"/>
      </rPr>
      <t xml:space="preserve"> v tom: platy 101960+3850, ost.platy 10, dohody 1500, refundace 10, zák.odvody 25658,1+954,8)+(9311,4+346,5)+600+1, školení a vzdělávání 900, elektronické předplatné 150, léky a zdr. mat. 25, právní služby 50, nákup ostatních služeb 2550, cestovné 300, konference 15, ostatní (ošatné ceremoniářky,matrikářky,hudebníci) 204, náhrady 40</t>
    </r>
  </si>
  <si>
    <r>
      <t>Dotace na OSPOD-</t>
    </r>
    <r>
      <rPr>
        <b/>
        <sz val="10"/>
        <rFont val="Arial CE"/>
      </rPr>
      <t>org. 1385</t>
    </r>
    <r>
      <rPr>
        <sz val="10"/>
        <rFont val="Arial CE"/>
      </rPr>
      <t xml:space="preserve"> </t>
    </r>
    <r>
      <rPr>
        <sz val="9"/>
        <rFont val="Arial CE"/>
      </rPr>
      <t>v tom: platy 7060+275, dohody 30, zák.odvody (1758,3+68,2)+(638,1+24,75), školení 180, cestovné 10</t>
    </r>
  </si>
  <si>
    <r>
      <t>Sociální fond</t>
    </r>
    <r>
      <rPr>
        <sz val="10"/>
        <rFont val="Arial CE"/>
      </rPr>
      <t xml:space="preserve"> </t>
    </r>
    <r>
      <rPr>
        <sz val="9"/>
        <rFont val="Arial CE"/>
      </rPr>
      <t>(nákup ost. sl.  4067+60+21, rekreace zaměstnanců 3140, pohoštění-setkání zaměstnanců 160, dary obyvatelstvu při úmrtí zaměstnance nebo člena rodiny 100, jubilea 320, penzijní a životní pojištění zaměstn. 1150+30, akce odborů+nájemné 26+9</t>
    </r>
  </si>
  <si>
    <r>
      <t>Záležitosti soc. věcí a politiky nezaměstn. j.n.</t>
    </r>
    <r>
      <rPr>
        <b/>
        <sz val="9"/>
        <rFont val="Arial CE"/>
      </rPr>
      <t xml:space="preserve"> </t>
    </r>
    <r>
      <rPr>
        <sz val="9"/>
        <rFont val="Arial CE"/>
      </rPr>
      <t>(nákup tiskopisů receptů a žádanek na omamné látky, vč.zálohy pokladně pro nesvéprávné)</t>
    </r>
  </si>
  <si>
    <r>
      <t xml:space="preserve">             podpora sociálních služeb dle zákona o soc.službách (org. 1113), </t>
    </r>
    <r>
      <rPr>
        <sz val="8"/>
        <rFont val="Arial CE"/>
      </rPr>
      <t>vč. spolufinancování obcí 1.465.013 Kč</t>
    </r>
  </si>
  <si>
    <r>
      <t xml:space="preserve">             podpora občanů města v pobytových soc. zařízeních (org. 1114), </t>
    </r>
    <r>
      <rPr>
        <sz val="8"/>
        <rFont val="Arial CE"/>
      </rPr>
      <t>vč. spolufinancování obcí 1.086.156 Kč</t>
    </r>
  </si>
  <si>
    <r>
      <t xml:space="preserve">z toho </t>
    </r>
    <r>
      <rPr>
        <b/>
        <sz val="10"/>
        <rFont val="Arial CE"/>
      </rPr>
      <t>Pečovatelská služba</t>
    </r>
    <r>
      <rPr>
        <b/>
        <sz val="9"/>
        <rFont val="Arial CE"/>
      </rPr>
      <t xml:space="preserve"> (org.390)</t>
    </r>
    <r>
      <rPr>
        <sz val="9"/>
        <rFont val="Arial CE"/>
      </rPr>
      <t xml:space="preserve">: platy 4736+905, dohody 156, zákonné odvody 1200+237, 435+82, potraviny 1, ochranné osobní pomůcky 40, léky+zdrav.mater.3, prádlo+oděv 2, knihy+tisk 1,5, DHM  80, materiál  120, elektř. 83, PHM 80, služby telekomunikací 0, mobily 20, pevné linky 1,5, školení a vzdělávání 50, zpracování dat 50, služby 70, opravy a udržování 100, cestovné 25, účastnické poplatky na konference 12, ostatní nákupy 0, neinvestiční transfery spolkům 3,5, náhrady mezd v době nemoci, dopravní prostředky 0   </t>
    </r>
  </si>
  <si>
    <r>
      <t xml:space="preserve">z toho </t>
    </r>
    <r>
      <rPr>
        <b/>
        <sz val="10"/>
        <rFont val="Arial CE"/>
      </rPr>
      <t>Denní stacionář=Domovinka</t>
    </r>
    <r>
      <rPr>
        <b/>
        <sz val="9"/>
        <rFont val="Arial CE"/>
      </rPr>
      <t xml:space="preserve"> (org.1391)</t>
    </r>
    <r>
      <rPr>
        <sz val="9"/>
        <rFont val="Arial CE"/>
      </rPr>
      <t xml:space="preserve">: platy 1110+ 445, dohody 60, zákonné odvody275+110 100+40, ochr.os.pomůcky 10, prádlo+oděv 1,5, knihy+tisk 1, DHM 20, materiál 32, elektrická energie 17, služby telekomunikací 1, školení a vzdělávání 10, zpracování dat 14, služby 30, opravy a údržba 50, cestovné 3, účastn.popl.na konferencích 2,5, náhrady mezd v době nemoci </t>
    </r>
  </si>
  <si>
    <r>
      <t xml:space="preserve">z toho </t>
    </r>
    <r>
      <rPr>
        <b/>
        <sz val="10"/>
        <rFont val="Arial CE"/>
      </rPr>
      <t xml:space="preserve">Odlehčovací služba Pohoda </t>
    </r>
    <r>
      <rPr>
        <b/>
        <sz val="9"/>
        <rFont val="Arial CE"/>
      </rPr>
      <t>(org.1393)</t>
    </r>
    <r>
      <rPr>
        <sz val="9"/>
        <rFont val="Arial CE"/>
      </rPr>
      <t xml:space="preserve">: platy 3600+980, dohody 480, zákonné odvody 996+245,  370+89, OOP+oděvy 30+8, DHM 90, materiál 60, elektř.30, telef. 12, školení a vzdělávání 35, zpracování dat 30, služby 30, opravy a údržba 20, cestovné 10, poplatky na konference 2,5, náhrady v době nemoci                                                 </t>
    </r>
  </si>
  <si>
    <r>
      <t xml:space="preserve">z toho </t>
    </r>
    <r>
      <rPr>
        <b/>
        <sz val="9"/>
        <rFont val="Arial CE"/>
      </rPr>
      <t>investice</t>
    </r>
    <r>
      <rPr>
        <sz val="9"/>
        <rFont val="Arial CE"/>
      </rPr>
      <t xml:space="preserve">: nákup 2 vozidel </t>
    </r>
    <r>
      <rPr>
        <b/>
        <sz val="9"/>
        <rFont val="Arial CE"/>
      </rPr>
      <t>(org.3904)</t>
    </r>
  </si>
  <si>
    <r>
      <t xml:space="preserve">Ozdravování hospodářských zvířat </t>
    </r>
    <r>
      <rPr>
        <sz val="10"/>
        <rFont val="Arial CE"/>
      </rPr>
      <t>(psí útulek, deratizace, ošetřování toulavých zvířat, odvoz kadavérů, …)</t>
    </r>
  </si>
  <si>
    <r>
      <t xml:space="preserve">Pěstební činnost </t>
    </r>
    <r>
      <rPr>
        <sz val="10"/>
        <rFont val="Arial CE"/>
      </rPr>
      <t>(170 m2 lesů ve vlastnictví města: oplocenky, úklid klestí, ořezy,…)</t>
    </r>
  </si>
  <si>
    <r>
      <t xml:space="preserve">Správa v lesním hospodářství </t>
    </r>
    <r>
      <rPr>
        <sz val="10"/>
        <rFont val="Arial CE"/>
      </rPr>
      <t>(činnost lesního hospodáře)</t>
    </r>
  </si>
  <si>
    <r>
      <t xml:space="preserve">Celospolečenské funkce lesů </t>
    </r>
    <r>
      <rPr>
        <sz val="10"/>
        <rFont val="Arial CE"/>
      </rPr>
      <t>(stáčení medu, poplatky Českému svazu včelařů)</t>
    </r>
  </si>
  <si>
    <r>
      <t xml:space="preserve">Ostatní záležitosti lesního hospodářství </t>
    </r>
    <r>
      <rPr>
        <sz val="10"/>
        <rFont val="Arial CE"/>
      </rPr>
      <t>(opravy lesních cest)</t>
    </r>
  </si>
  <si>
    <r>
      <t xml:space="preserve">Ostatní správa ve vodním hospodářství </t>
    </r>
    <r>
      <rPr>
        <sz val="10"/>
        <rFont val="Arial CE"/>
      </rPr>
      <t>(havárie)</t>
    </r>
  </si>
  <si>
    <r>
      <t>Sběr a svoz nebezpečných odpadů</t>
    </r>
    <r>
      <rPr>
        <b/>
        <sz val="10"/>
        <rFont val="Arial CE"/>
      </rPr>
      <t xml:space="preserve"> </t>
    </r>
    <r>
      <rPr>
        <sz val="10"/>
        <rFont val="Arial CE"/>
      </rPr>
      <t>(TSM NJ - 50)</t>
    </r>
  </si>
  <si>
    <t>z toho: TSM NJ - příspěvek na provoz</t>
  </si>
  <si>
    <t xml:space="preserve">            Intenzifikace kompostárny</t>
  </si>
  <si>
    <t xml:space="preserve">            město - ostatní provoz (biologicky rozložitelné odpady, jedlé oleje a tuky,..)</t>
  </si>
  <si>
    <t xml:space="preserve">           TSM NJ - příspěvek na investice (svozové vozidlo - popelářský vůz s lisovací nást. 6700; nosič kontejneru s jeřábem nást. 5300 (při zapojení IF a RF TSM 2350)</t>
  </si>
  <si>
    <r>
      <t xml:space="preserve">Monitoring půdy a podzemní vody </t>
    </r>
    <r>
      <rPr>
        <sz val="10"/>
        <rFont val="Arial CE"/>
      </rPr>
      <t xml:space="preserve">(sledování vrtů na Kojetíně) </t>
    </r>
  </si>
  <si>
    <r>
      <t>Chráněné části přírody</t>
    </r>
    <r>
      <rPr>
        <sz val="9"/>
        <rFont val="Arial CE"/>
      </rPr>
      <t xml:space="preserve"> </t>
    </r>
    <r>
      <rPr>
        <sz val="10"/>
        <rFont val="Arial CE"/>
      </rPr>
      <t>(památné stromy, významné krajinné prvky)</t>
    </r>
  </si>
  <si>
    <t xml:space="preserve">            TSM NJ - příspěvek na údržbu zeleně</t>
  </si>
  <si>
    <t xml:space="preserve">            město - ostatní (Zvěrokruh, zeleň ve Straníku, odborné ořezy, odstraňování jmelí, …)</t>
  </si>
  <si>
    <r>
      <t xml:space="preserve">            TSM NJ - příspěvek na investice </t>
    </r>
    <r>
      <rPr>
        <sz val="9"/>
        <rFont val="Arial CE"/>
      </rPr>
      <t>(</t>
    </r>
    <r>
      <rPr>
        <sz val="10"/>
        <rFont val="Arial CE"/>
      </rPr>
      <t xml:space="preserve">2025: přeložka elektrického vedení SD Palackého 150 tis.) </t>
    </r>
  </si>
  <si>
    <r>
      <t xml:space="preserve">Ekologická výchova a osvěta </t>
    </r>
    <r>
      <rPr>
        <sz val="10"/>
        <rFont val="Arial CE"/>
      </rPr>
      <t>(Den Země, program Biodiverzita, …)</t>
    </r>
  </si>
  <si>
    <t>Areál krytého bazénu:  - Nákup zahradního traktoru s hydraulickým vyprazdňováním koše + hmotný majetek</t>
  </si>
  <si>
    <t xml:space="preserve">          - výměna ozvučení Sportovní haly</t>
  </si>
  <si>
    <t xml:space="preserve">          - nepředvídané opravy</t>
  </si>
  <si>
    <t xml:space="preserve">          - příspěvek Basketbalovému klubu, z.s. (provoz+energie)        AÚ 437 </t>
  </si>
  <si>
    <t xml:space="preserve">             - integrace UNISAB (program k řízení systému chlazení ledové plochy)</t>
  </si>
  <si>
    <t xml:space="preserve">            - nákup DDHM  pol. 5137</t>
  </si>
  <si>
    <t xml:space="preserve">            - nepředvídané opravy </t>
  </si>
  <si>
    <t xml:space="preserve">            - výměna vstupních dveří do zimního stadionu (240), boxy na sezení šatny č. 7, 8 (200)</t>
  </si>
  <si>
    <t xml:space="preserve">                          - generální opravy volných bytů (vrácené byty zdevastované nebo po exekucích) a opravy bytů v MPR</t>
  </si>
  <si>
    <r>
      <t xml:space="preserve">             </t>
    </r>
    <r>
      <rPr>
        <b/>
        <sz val="10"/>
        <color theme="1"/>
        <rFont val="Arial CE"/>
      </rPr>
      <t>domovníci</t>
    </r>
    <r>
      <rPr>
        <sz val="10"/>
        <color theme="1"/>
        <rFont val="Arial CE"/>
      </rPr>
      <t xml:space="preserve"> (mzdy a odvody, AÚ 0800)</t>
    </r>
  </si>
  <si>
    <r>
      <t xml:space="preserve">           </t>
    </r>
    <r>
      <rPr>
        <b/>
        <sz val="10"/>
        <color theme="1"/>
        <rFont val="Arial CE"/>
      </rPr>
      <t xml:space="preserve">  služby</t>
    </r>
    <r>
      <rPr>
        <sz val="10"/>
        <color theme="1"/>
        <rFont val="Arial CE"/>
      </rPr>
      <t xml:space="preserve">  org. 0518 (úklidy,revize,výtahy, odečty,poruch.služba, deratizace,čištění kanalizace,komíny, SBI, zn. posudky)</t>
    </r>
  </si>
  <si>
    <t xml:space="preserve">              Hückelovy vily - zpracování PD</t>
  </si>
  <si>
    <t xml:space="preserve">              Příspěvek na investice TSM  (AÚ 0800, pol. 6351) - Zateplení fasády ředitelství 3.NP včetně stropu - PD + realizace</t>
  </si>
  <si>
    <r>
      <t xml:space="preserve">              SK Straník 147 - realizace ČOV (</t>
    </r>
    <r>
      <rPr>
        <b/>
        <sz val="10"/>
        <color theme="1"/>
        <rFont val="Arial CE"/>
      </rPr>
      <t>2023</t>
    </r>
    <r>
      <rPr>
        <sz val="10"/>
        <color theme="1"/>
        <rFont val="Arial CE"/>
      </rPr>
      <t xml:space="preserve"> - nákup zahradní sekačky, pol. 6122, přístřešek pol. 6121)</t>
    </r>
  </si>
  <si>
    <t xml:space="preserve">            TSM - provoz tržnice</t>
  </si>
  <si>
    <t xml:space="preserve">              Příspěvek na TSM -  Zateplení štítu garáže(310 tis.), Oprava kanceláře skladu třídička(110 tis.), Oprava zdi stolárny MK (72 tis.)</t>
  </si>
  <si>
    <t xml:space="preserve">             úsek 5 (p. Friedecká, Černochová) NP + NP v MPR</t>
  </si>
  <si>
    <t xml:space="preserve">                                      Krytá stání Loučka (nepředvídané opravy, sanace)</t>
  </si>
  <si>
    <t xml:space="preserve">                                      Hűckelovy vily- oprava a údržba do doby rekonstrukce</t>
  </si>
  <si>
    <t xml:space="preserve">                                    SK Straník 147 - oprava podlahy v tělocvičně</t>
  </si>
  <si>
    <t xml:space="preserve">                                    Žilina - zámková dlažba u přístřešku cca 70m2 + další nepředvídatelné opravy</t>
  </si>
  <si>
    <t xml:space="preserve">                                    Kojetín 7 - dlažba ve volební místnosti, oprava dřevěné kůlny</t>
  </si>
  <si>
    <t>z toho:  nákup služeb - obsluha a revize kotelny Hotelu Praha + Suvorovova 152 + Dům k Archivu 2, revize, PD nepředvídatelné opravy    pol. 5169</t>
  </si>
  <si>
    <t>z toho opravy: nepředvídané opravy tepelného hospodářství (havarie OPS, přípojek a potrubí TUV, rozvodů tepla a prostupů)</t>
  </si>
  <si>
    <t xml:space="preserve">             opravy: na základě výstupu z kontroly otopných soustav (500), topná větev teplovodu Loučka 227 vč. Kompenzátoru (500). Kotelny: Anenská a Loučka střecha + dešťové svody (1600), nosná kostrukce oblast CZT Tonak teplovod Máchova (400), likvidace 4 KGJ (400)</t>
  </si>
  <si>
    <t xml:space="preserve">             Dodávka 5 ks nerez zásobníků teplé vody do kotelen a odběrných před.stanic v domech (pol. 6122)</t>
  </si>
  <si>
    <t xml:space="preserve">             Výměna spalinové cesty kotelny Krytý bazén </t>
  </si>
  <si>
    <t xml:space="preserve">             Rekonstrukce kotelny technoligie rolby zimního stadionu  </t>
  </si>
  <si>
    <t xml:space="preserve">            Energetické dokumentace (EA, PENB, energetický posudek dle požadavku dotací), poplatky spojené s energiemi</t>
  </si>
  <si>
    <t xml:space="preserve">             vratky příjmů z minulých let</t>
  </si>
  <si>
    <t>z toho: změna č. 8 Územního plánu města</t>
  </si>
  <si>
    <t xml:space="preserve">            změna č. 1 Regulačního plánu MPR Nový Jičín</t>
  </si>
  <si>
    <r>
      <t xml:space="preserve">Bezpečnost silničního provozu - </t>
    </r>
    <r>
      <rPr>
        <sz val="10"/>
        <rFont val="Arial CE"/>
      </rPr>
      <t>převod příjmů z min.roku na příjmový účet-kód 146 NŘ přestupky dopravní</t>
    </r>
  </si>
  <si>
    <r>
      <t>Základní školy</t>
    </r>
    <r>
      <rPr>
        <sz val="10"/>
        <rFont val="Arial CE"/>
      </rPr>
      <t xml:space="preserve"> - finanční vypořádání</t>
    </r>
  </si>
  <si>
    <t>z toho: doplatek energií za rok 2023 (ZŠ+MŠ Jub.: 237,96757+ ZŠ K66: 45,26034+ ZŠ K68: 71,09203+ ZŠ Tyrš.: 416,27447)</t>
  </si>
  <si>
    <r>
      <rPr>
        <b/>
        <sz val="10"/>
        <rFont val="Arial CE"/>
      </rPr>
      <t xml:space="preserve">Bytové hospodářství </t>
    </r>
    <r>
      <rPr>
        <sz val="10"/>
        <rFont val="Arial CE"/>
      </rPr>
      <t>(úroky z úvěru u ČS)</t>
    </r>
  </si>
  <si>
    <r>
      <t xml:space="preserve">Činnost místní správy </t>
    </r>
    <r>
      <rPr>
        <sz val="10"/>
        <rFont val="Arial CE"/>
      </rPr>
      <t>(daňové, účetní poradenství, odborné konzultace, psí známky, poplatky FÚ za bezdlužnost města)</t>
    </r>
  </si>
  <si>
    <r>
      <t>Obecné příjmy a výdaje z finančních operací</t>
    </r>
    <r>
      <rPr>
        <b/>
        <sz val="9"/>
        <rFont val="Arial CE"/>
      </rPr>
      <t xml:space="preserve"> </t>
    </r>
    <r>
      <rPr>
        <sz val="10"/>
        <rFont val="Arial CE"/>
      </rPr>
      <t>(bankovní poplatky za vedení účtů a položky)</t>
    </r>
  </si>
  <si>
    <t xml:space="preserve">             investice - koupě obchodního podílu v Nové Slunce, s.r.o.</t>
  </si>
  <si>
    <t>Finanční vypořádání</t>
  </si>
  <si>
    <t xml:space="preserve">             vratka části dotace Obědy dětem (úz 253+911 ZŠK 66)</t>
  </si>
  <si>
    <t xml:space="preserve">             vratka části dotace Obědy dětem (úz 253+911 ZŠK 68)</t>
  </si>
  <si>
    <t xml:space="preserve">             vratka části dotace Obědy dětem (úz 253+911 ZŠMŠ Jub 18,354)</t>
  </si>
  <si>
    <t xml:space="preserve">             vratka nespotřebované části dotace z r. 2023 na Revitalizaci veřejn.prostr.býv.Horního nádraží</t>
  </si>
  <si>
    <t xml:space="preserve">            mylné výdaje</t>
  </si>
  <si>
    <r>
      <t xml:space="preserve">Rozpočtová skladba                                                                                                                                                                                                                                                  </t>
    </r>
    <r>
      <rPr>
        <sz val="8"/>
        <rFont val="Arial CE"/>
      </rPr>
      <t xml:space="preserve"> ORJ/oddpar/pol/org/                                                                                                                       ÚZ/NáZ</t>
    </r>
  </si>
  <si>
    <t>Výsledky hospodaření města Nový Jičín 
za 1. pololetí 2025</t>
  </si>
  <si>
    <r>
      <t xml:space="preserve">Schválený rozpočet
za 1.pol. 2025
</t>
    </r>
    <r>
      <rPr>
        <sz val="9"/>
        <rFont val="Arial CE"/>
      </rPr>
      <t>v Kč</t>
    </r>
  </si>
  <si>
    <r>
      <t xml:space="preserve">Upravený rozpočet
za 1.pol. 2025
</t>
    </r>
    <r>
      <rPr>
        <sz val="9"/>
        <rFont val="Arial CE"/>
      </rPr>
      <t>v Kč</t>
    </r>
  </si>
  <si>
    <r>
      <t xml:space="preserve">Skutečnost za
1.pol. 2025
</t>
    </r>
    <r>
      <rPr>
        <sz val="9"/>
        <rFont val="Arial CE"/>
      </rPr>
      <t>v Kč</t>
    </r>
  </si>
  <si>
    <t>výpočty</t>
  </si>
  <si>
    <t>% plnění
k SR</t>
  </si>
  <si>
    <t>% plnění
k UR</t>
  </si>
  <si>
    <t>% plnění
2025/2024</t>
  </si>
  <si>
    <t>1.pol.2024</t>
  </si>
  <si>
    <r>
      <t xml:space="preserve">Příjem z odvodů z vybraných činností a služeb jinde neuvedených </t>
    </r>
    <r>
      <rPr>
        <sz val="10"/>
        <rFont val="Arial CE"/>
      </rPr>
      <t>(odvod ekolog. daně na SFŽP)</t>
    </r>
  </si>
  <si>
    <r>
      <t xml:space="preserve">            Obecní živnostenský úřad </t>
    </r>
    <r>
      <rPr>
        <sz val="9"/>
        <rFont val="Arial CE"/>
      </rPr>
      <t>(nové a změnové výpisy z živnost. rejstříku 430, vydání výpisů z živnost. rejstříku 1, vydání povolení k hernímu prostoru 10, osvědčení zemědělský podnikatel 9)</t>
    </r>
  </si>
  <si>
    <t>Příjem ze zrušeného odvodu z VHP</t>
  </si>
  <si>
    <t>Příjem z daně z hazard. her s výjimkou techn. her neprovozovaných prostřednictvím internetu</t>
  </si>
  <si>
    <r>
      <t xml:space="preserve">           § 3412 sportovní zařízení v majetku obce</t>
    </r>
    <r>
      <rPr>
        <sz val="9"/>
        <rFont val="Arial CE"/>
      </rPr>
      <t xml:space="preserve"> (bazé</t>
    </r>
    <r>
      <rPr>
        <sz val="9"/>
        <rFont val="Arial CE"/>
      </rPr>
      <t>n: Basketbalový klub, z.s. - vstupné, nájmy)</t>
    </r>
  </si>
  <si>
    <r>
      <t xml:space="preserve">           § 3412 sportovní zařízení v majetku obce </t>
    </r>
    <r>
      <rPr>
        <sz val="9"/>
        <rFont val="Arial CE"/>
      </rPr>
      <t>(zimní stadión: Hokejový klub, z.s. - vstupné, nájmy)</t>
    </r>
  </si>
  <si>
    <r>
      <t xml:space="preserve">           § 3612 tržby za správu SVJ</t>
    </r>
    <r>
      <rPr>
        <sz val="9"/>
        <rFont val="Arial CE"/>
      </rPr>
      <t xml:space="preserve"> (odbor bytový)</t>
    </r>
  </si>
  <si>
    <r>
      <t xml:space="preserve">           § 3613 nebytové hospodářství </t>
    </r>
    <r>
      <rPr>
        <sz val="9"/>
        <rFont val="Arial CE"/>
      </rPr>
      <t>(odbor bytový)</t>
    </r>
  </si>
  <si>
    <r>
      <t xml:space="preserve">           § 4351 </t>
    </r>
    <r>
      <rPr>
        <sz val="10"/>
        <rFont val="Arial CE"/>
      </rPr>
      <t xml:space="preserve">pečovatelská služba, denní stacionář, odlehč. služba Pohoda </t>
    </r>
    <r>
      <rPr>
        <sz val="9"/>
        <rFont val="Arial CE"/>
      </rPr>
      <t>(ProSenior NJ)</t>
    </r>
  </si>
  <si>
    <t>Ostatní příjmy z výnosů finančního majetku</t>
  </si>
  <si>
    <t xml:space="preserve">             § 2219 odbor dopravy-pokuty</t>
  </si>
  <si>
    <r>
      <t xml:space="preserve">             § 2223 pokuty za dopravní přestupky </t>
    </r>
    <r>
      <rPr>
        <sz val="9"/>
        <rFont val="Arial CE"/>
      </rPr>
      <t>(Odbor přestupkových agent)</t>
    </r>
  </si>
  <si>
    <r>
      <t xml:space="preserve">             § 6171 sankce za porušení smlouvy o dílo</t>
    </r>
    <r>
      <rPr>
        <sz val="9"/>
        <rFont val="Arial CE"/>
      </rPr>
      <t xml:space="preserve"> (vstup Divadelní 1 - PD)</t>
    </r>
  </si>
  <si>
    <t xml:space="preserve">             § 6409 ostatní činnosti j.n.</t>
  </si>
  <si>
    <t>z toho:  § 2212 TSM vratka části přísp na energie 2024</t>
  </si>
  <si>
    <t xml:space="preserve">             § 2292 Arriva Ova-FV provoz MHD 2024</t>
  </si>
  <si>
    <r>
      <t xml:space="preserve">             § 3111 MŠ vratka části příspěvku na energie </t>
    </r>
    <r>
      <rPr>
        <sz val="9"/>
        <rFont val="Arial CE"/>
      </rPr>
      <t>(Sady 62,53816)</t>
    </r>
  </si>
  <si>
    <r>
      <t xml:space="preserve">             § 3113 ZŠ vratka části příspěvku na energie </t>
    </r>
    <r>
      <rPr>
        <sz val="9"/>
        <rFont val="Arial CE"/>
      </rPr>
      <t>(Jub 129,48070 )</t>
    </r>
  </si>
  <si>
    <r>
      <t xml:space="preserve">             § 3233 SVČ Fokus vratka příspěvku na energie </t>
    </r>
    <r>
      <rPr>
        <sz val="9"/>
        <rFont val="Arial CE"/>
      </rPr>
      <t>(169,54453)</t>
    </r>
  </si>
  <si>
    <r>
      <t xml:space="preserve">             § 3311 Beskydské divadlo vratka příspěvku na energie </t>
    </r>
    <r>
      <rPr>
        <sz val="8"/>
        <rFont val="Arial CE"/>
      </rPr>
      <t>(70.27033)</t>
    </r>
  </si>
  <si>
    <t xml:space="preserve">             § 3412 Basketbalový klub z.s.-vratky příspěvků na energie a provoz bazénů 2024</t>
  </si>
  <si>
    <t xml:space="preserve">             § vratky nevyčerpaných indiv.dotací 2024 (441 org. 1180,1131, 1134)</t>
  </si>
  <si>
    <t xml:space="preserve">             § vratky nevyčerpaných indiv.dotací 2024 (541)</t>
  </si>
  <si>
    <t xml:space="preserve">             § 3634 lokální zásobování teplem</t>
  </si>
  <si>
    <t xml:space="preserve">             § 6402 MŠ Sady vratka nevyčerp.dotace 2024 JAK úz 33092 NáZ 143 1,5</t>
  </si>
  <si>
    <t xml:space="preserve">             § 6402 SVČ Fokus vratka nevyčerp.dotace Podpora soutěží 2024 (úz 910)</t>
  </si>
  <si>
    <r>
      <t xml:space="preserve">Příjem z prodeje krd a drobného dld majetku </t>
    </r>
    <r>
      <rPr>
        <sz val="9"/>
        <rFont val="Arial CE"/>
      </rPr>
      <t>(odbor organizační)</t>
    </r>
  </si>
  <si>
    <t xml:space="preserve">           § 1037 celospolečenské funkce lesů</t>
  </si>
  <si>
    <t xml:space="preserve">           § 2329 ostatní záležitosti v silniční dopravě</t>
  </si>
  <si>
    <r>
      <t xml:space="preserve">           § 3631 veřejné osvětlení </t>
    </r>
    <r>
      <rPr>
        <sz val="9"/>
        <rFont val="Arial CE"/>
      </rPr>
      <t>(odbor správy majetku: přefakturace elektrické energie)</t>
    </r>
  </si>
  <si>
    <r>
      <t xml:space="preserve">           § 3341 kabelová televize Straník-přihlášky</t>
    </r>
    <r>
      <rPr>
        <sz val="9"/>
        <rFont val="Arial CE"/>
      </rPr>
      <t xml:space="preserve"> </t>
    </r>
    <r>
      <rPr>
        <sz val="9"/>
        <rFont val="Arial CE"/>
      </rPr>
      <t>(odbor správy majetku)</t>
    </r>
  </si>
  <si>
    <r>
      <t xml:space="preserve">           § 3429 chata Jíčínka </t>
    </r>
    <r>
      <rPr>
        <sz val="9"/>
        <rFont val="Arial CE"/>
      </rPr>
      <t>(odbor organizační)</t>
    </r>
  </si>
  <si>
    <r>
      <t xml:space="preserve">           § 3612 bytové hospodářství </t>
    </r>
    <r>
      <rPr>
        <sz val="9"/>
        <rFont val="Arial CE"/>
      </rPr>
      <t>(odbor bytový)</t>
    </r>
  </si>
  <si>
    <r>
      <t xml:space="preserve">           § 3613 nebytové hospodářství </t>
    </r>
    <r>
      <rPr>
        <sz val="9"/>
        <rFont val="Arial CE"/>
      </rPr>
      <t>(odbor bytový, příspěvek na realizaci rekuperace Steak House 200 tis.)</t>
    </r>
  </si>
  <si>
    <r>
      <t xml:space="preserve">           § 3632</t>
    </r>
    <r>
      <rPr>
        <sz val="10"/>
        <rFont val="Arial CE"/>
      </rPr>
      <t xml:space="preserve"> pohřebnictví </t>
    </r>
    <r>
      <rPr>
        <sz val="9"/>
        <rFont val="Arial CE"/>
      </rPr>
      <t>(odbor sociálních věcí - příjmy ze sociálních pohřbů)</t>
    </r>
  </si>
  <si>
    <r>
      <t xml:space="preserve">           § 3639 provoz internetu ve Straníku </t>
    </r>
    <r>
      <rPr>
        <sz val="9"/>
        <rFont val="Arial CE"/>
      </rPr>
      <t>(odbor správy majetku)</t>
    </r>
  </si>
  <si>
    <r>
      <t xml:space="preserve">           § 4351 neinvestiční příspěvek na poskytování sociálních služeb pro ProSenior </t>
    </r>
    <r>
      <rPr>
        <sz val="9"/>
        <rFont val="Arial CE"/>
      </rPr>
      <t>(předpokládaná dotace z MPSV) - po schválení je rozpočtováno na pol. 4122 (ÚZ 914)</t>
    </r>
  </si>
  <si>
    <t xml:space="preserve">           § 4399 ostatní záležitosti soc. věcí</t>
  </si>
  <si>
    <r>
      <t xml:space="preserve">           § 6409 neinvestiční příspěvek na regeneraci MPR a MPZ</t>
    </r>
    <r>
      <rPr>
        <sz val="9"/>
        <rFont val="Arial CE"/>
      </rPr>
      <t xml:space="preserve"> (předpokládaná dotace z MK ČR) -po schválení je rozpočtováno na pol. 4116 (ÚZ 34054)</t>
    </r>
  </si>
  <si>
    <r>
      <t xml:space="preserve">           § 6409 na volby </t>
    </r>
    <r>
      <rPr>
        <sz val="9"/>
        <rFont val="Arial CE"/>
      </rPr>
      <t>(předpokládané dotace)</t>
    </r>
    <r>
      <rPr>
        <sz val="10"/>
        <rFont val="Arial CE"/>
      </rPr>
      <t xml:space="preserve"> - </t>
    </r>
    <r>
      <rPr>
        <sz val="9"/>
        <rFont val="Arial CE"/>
      </rPr>
      <t>po schválení je rozpočtováno na pol. 4111</t>
    </r>
  </si>
  <si>
    <t xml:space="preserve">           § 6409 výplata 95% pohledávky ze Sberbank CZ, a.s. v likvidaci v r. 2024, zbývajících 5% v roce 2025</t>
  </si>
  <si>
    <r>
      <t>Příjmy z prodeje pozemků s DPH 21%</t>
    </r>
    <r>
      <rPr>
        <b/>
        <sz val="9"/>
        <rFont val="Arial CE"/>
      </rPr>
      <t xml:space="preserve"> </t>
    </r>
    <r>
      <rPr>
        <sz val="9"/>
        <rFont val="Arial CE"/>
      </rPr>
      <t>(Za Školou 1700, ost. 600, Hřebčín Ži 5424,45 vč. DPH)</t>
    </r>
  </si>
  <si>
    <t>bytový dům Dolní Brána 26</t>
  </si>
  <si>
    <t>bytový dům Dolní Brána 22</t>
  </si>
  <si>
    <t>nebytový dům Beskydská 176</t>
  </si>
  <si>
    <t>přístavba hotelu Praha</t>
  </si>
  <si>
    <t>sklepy Štefánikova</t>
  </si>
  <si>
    <r>
      <t xml:space="preserve">Revitalizace veřejného prostranství v MPR </t>
    </r>
    <r>
      <rPr>
        <sz val="9"/>
        <rFont val="Arial CE"/>
      </rPr>
      <t>(G. Hlaďo, Tyršova)</t>
    </r>
    <r>
      <rPr>
        <sz val="10"/>
        <rFont val="Arial CE"/>
      </rPr>
      <t xml:space="preserve"> PD</t>
    </r>
  </si>
  <si>
    <r>
      <t>Příjem z prodeje majetkových podílů</t>
    </r>
    <r>
      <rPr>
        <b/>
        <sz val="9"/>
        <rFont val="Arial"/>
      </rPr>
      <t xml:space="preserve"> (SBD Pod Skalkou)</t>
    </r>
  </si>
  <si>
    <t>z toho: na volby do Parlamentu ČR - PS (úz 98071)</t>
  </si>
  <si>
    <t xml:space="preserve">            SFŽP - Intenzifikace kompostárny (ÚZ 90008)</t>
  </si>
  <si>
    <t xml:space="preserve">            SFŽP - Pomoc domácnostem při řešení následků povodní 2024 v NJ (ÚZ 90002)</t>
  </si>
  <si>
    <t xml:space="preserve">            SZIF - Zachování porostního typu hosp.souboru 2024 (SR 89028 1301, EU 89029 1305)</t>
  </si>
  <si>
    <t xml:space="preserve">            MPSV: Výkon soc. práce mimo sociálně-právní ochrany dětí (ÚZ 13015) </t>
  </si>
  <si>
    <t xml:space="preserve">            MZe - Příspěvek na obnovu, zajištění a výchovu porostů-z EU (ÚZ 29014)</t>
  </si>
  <si>
    <t xml:space="preserve">            MMR - IROP Modernizace NCNJ město klobouků (ÚZ 17085,NáZ 1495)</t>
  </si>
  <si>
    <t xml:space="preserve">            MMR - IROP Autobusová zastávka Riegrova (úz 17085, NáZ 1495)</t>
  </si>
  <si>
    <t xml:space="preserve">            MŠMT - program JAK MŠ Rev (ÚZ 33092 1431,5)</t>
  </si>
  <si>
    <t xml:space="preserve">            MŠMT - program JAK MŠ K. Čapka (ÚZ 33092 1431,5)</t>
  </si>
  <si>
    <t xml:space="preserve">            MŠMT - program JAK MŠ Trojl (ÚZ 33092 1431,5)</t>
  </si>
  <si>
    <t xml:space="preserve">            MŠMT - program JAK ZŠ Tyrš (ÚZ 33092 1431,5)</t>
  </si>
  <si>
    <r>
      <t xml:space="preserve">            za veřejnoprávní smlouvy s ostatními obcemi </t>
    </r>
    <r>
      <rPr>
        <sz val="9"/>
        <rFont val="Arial CE"/>
      </rPr>
      <t>(Městská policie-odchyt psů)</t>
    </r>
  </si>
  <si>
    <t xml:space="preserve">            na poskytování podpory soc. služeb dle zákona o soc. službách ORJ 541, org.1113</t>
  </si>
  <si>
    <t xml:space="preserve">            na poskytování podpory soc. služeb dle zákona o soc. službách ORJ 541, org.1114</t>
  </si>
  <si>
    <t xml:space="preserve">            na poskytování podpory soc. služeb dle zákona o soc. službách ORJ 029, org.1119 (pro ProSenior)</t>
  </si>
  <si>
    <r>
      <t>z toho: Kouzelný den v Hückelových vilách - pro MěKS</t>
    </r>
    <r>
      <rPr>
        <sz val="9"/>
        <rFont val="Arial CE"/>
      </rPr>
      <t xml:space="preserve"> (ÚZ 341)</t>
    </r>
  </si>
  <si>
    <r>
      <t xml:space="preserve">             Podpora technických atraktivit v NJ - pro Návštěvnické centrum NJ </t>
    </r>
    <r>
      <rPr>
        <sz val="9"/>
        <rFont val="Arial CE"/>
      </rPr>
      <t>(ÚZ 695)</t>
    </r>
  </si>
  <si>
    <r>
      <t xml:space="preserve">z toho: Sociální fond </t>
    </r>
    <r>
      <rPr>
        <sz val="9"/>
        <rFont val="Arial CE"/>
      </rPr>
      <t>(Odbor kancelář vedení města)</t>
    </r>
  </si>
  <si>
    <t xml:space="preserve">            ZŠ Dlouhá 56 - Rekonstrukce školní kuchyně EU (úz 15501 1465)</t>
  </si>
  <si>
    <t xml:space="preserve">            ZŠ Jubilejní 3 - Rekonstrukce školní kuchyně EU (úz 15501 1465)</t>
  </si>
  <si>
    <t xml:space="preserve">            Kelímky, kompostéry, myčka (Návštěvnické centrum) EU (úz 15501 1465)</t>
  </si>
  <si>
    <t xml:space="preserve">            MPSV-NPO-Pořízení nových vozidel pro ProSenior NJ II (úz 13502, NáZ 1705) - 2024</t>
  </si>
  <si>
    <t xml:space="preserve">            MMR - IROP Autobusová zastávka Riegrova (úz 17519, NáZ 1495)</t>
  </si>
  <si>
    <t xml:space="preserve">            MŠMT-Veřejná info služba knihoven-Biblioschránka (MěKS) (úz 34544)</t>
  </si>
  <si>
    <r>
      <t>z toho: Podpora technických atraktivit v NJ - pro Návštěvnické centrum NJ</t>
    </r>
    <r>
      <rPr>
        <sz val="10"/>
        <rFont val="Arial CE"/>
      </rPr>
      <t xml:space="preserve"> (ÚZ 695)</t>
    </r>
  </si>
  <si>
    <r>
      <t>Změna stavu krátkodobých prostředků na bankovních účtech</t>
    </r>
    <r>
      <rPr>
        <b/>
        <sz val="9"/>
        <rFont val="Arial CE"/>
      </rPr>
      <t xml:space="preserve"> </t>
    </r>
    <r>
      <rPr>
        <sz val="9"/>
        <rFont val="Arial CE"/>
      </rPr>
      <t>(zapojení konečných zůstatků k 31.12.na účtech města)</t>
    </r>
  </si>
  <si>
    <r>
      <t xml:space="preserve">          odvod DPH </t>
    </r>
    <r>
      <rPr>
        <sz val="9"/>
        <rFont val="Arial CE"/>
      </rPr>
      <t>(včetně přenesené daňové povinnosti z účtů výdajového, DPH a odboru bytového)</t>
    </r>
  </si>
  <si>
    <t xml:space="preserve">          nájmy SVJ</t>
  </si>
  <si>
    <t xml:space="preserve">            Kanalizace Trlicova 2.etapa</t>
  </si>
  <si>
    <r>
      <t xml:space="preserve">            Plán financování obnovy-</t>
    </r>
    <r>
      <rPr>
        <sz val="9"/>
        <rFont val="Arial CE"/>
      </rPr>
      <t>účet 2310441- opr. a udržování  (rekonstrukce - obnova kanalizačních šachet )</t>
    </r>
  </si>
  <si>
    <r>
      <t xml:space="preserve">veřejně prospěšné práce </t>
    </r>
    <r>
      <rPr>
        <sz val="9"/>
        <rFont val="Arial CE"/>
      </rPr>
      <t>(TSM)</t>
    </r>
  </si>
  <si>
    <r>
      <t xml:space="preserve">oprava a údržba místních komunikací </t>
    </r>
    <r>
      <rPr>
        <sz val="9"/>
        <rFont val="Arial CE"/>
      </rPr>
      <t>(TSM)</t>
    </r>
  </si>
  <si>
    <t>nákup materiálu j.n.</t>
  </si>
  <si>
    <r>
      <t xml:space="preserve">oprava a údržba místních komunikací  </t>
    </r>
    <r>
      <rPr>
        <sz val="9"/>
        <rFont val="Arial CE"/>
      </rPr>
      <t>(m.č. Kojetín, m.č. Bludovice, Lamberk - Žilina, ul. Štefánikova - autobusový  záliv)</t>
    </r>
  </si>
  <si>
    <t>oprava a údržba mostů a propustků</t>
  </si>
  <si>
    <r>
      <rPr>
        <sz val="10"/>
        <rFont val="Arial CE"/>
      </rPr>
      <t xml:space="preserve">služby - PD k opravám </t>
    </r>
    <r>
      <rPr>
        <strike/>
        <sz val="11"/>
        <color indexed="2"/>
        <rFont val="Calibri"/>
        <scheme val="minor"/>
      </rPr>
      <t/>
    </r>
  </si>
  <si>
    <t>služby - mostní prohlídky 150,  rozpočty 300</t>
  </si>
  <si>
    <t>0386/2219/6121</t>
  </si>
  <si>
    <t xml:space="preserve">             osazení sloupků Máchova</t>
  </si>
  <si>
    <t xml:space="preserve">nájemné (užití pozemku, DZ) </t>
  </si>
  <si>
    <t>služby - PD k opravám</t>
  </si>
  <si>
    <r>
      <t xml:space="preserve">opravy a údržba chodníků </t>
    </r>
    <r>
      <rPr>
        <sz val="9"/>
        <color theme="1"/>
        <rFont val="Arial CE"/>
      </rPr>
      <t>(Vančurova 1500, cyklopruhy Palackého 350, Dlouhá 400, Valašská 700, Tyršova 400, Hřbitovní 700, ost. 950)</t>
    </r>
  </si>
  <si>
    <t xml:space="preserve">                 Autobusová zastávka Riegrova</t>
  </si>
  <si>
    <t>1080/2221/6121</t>
  </si>
  <si>
    <t xml:space="preserve">                 Autobusová zastávka Sv. Čecha PD</t>
  </si>
  <si>
    <t>drobný dlouhodobý hmotný majetek</t>
  </si>
  <si>
    <t>služby - revize, poplatky</t>
  </si>
  <si>
    <t>opravy autobusových přístřešků</t>
  </si>
  <si>
    <r>
      <t>investice: výkupy pozemků -</t>
    </r>
    <r>
      <rPr>
        <sz val="9"/>
        <color theme="1"/>
        <rFont val="Arial"/>
      </rPr>
      <t xml:space="preserve"> </t>
    </r>
    <r>
      <rPr>
        <sz val="9"/>
        <rFont val="Arial"/>
      </rPr>
      <t>(Pod Skalkou 3 etapa 2860 + ost. 1540 + Na Prachárně 3375,00864)</t>
    </r>
  </si>
  <si>
    <r>
      <t>věcná břemena (</t>
    </r>
    <r>
      <rPr>
        <sz val="9"/>
        <rFont val="Arial CE"/>
      </rPr>
      <t>účet 2310440)</t>
    </r>
  </si>
  <si>
    <r>
      <t>věcná břemena (</t>
    </r>
    <r>
      <rPr>
        <sz val="9"/>
        <rFont val="Arial CE"/>
      </rPr>
      <t>účet 2310800)</t>
    </r>
  </si>
  <si>
    <t>majetkoprávní - nájemné</t>
  </si>
  <si>
    <t>majetkoprávní - znalecké posudky</t>
  </si>
  <si>
    <t>majetkoprávní - posudky a geometrické plány</t>
  </si>
  <si>
    <t>majetkoprávní - správní poplatky</t>
  </si>
  <si>
    <t>opravy a udržování</t>
  </si>
  <si>
    <t xml:space="preserve">platby poplatky </t>
  </si>
  <si>
    <r>
      <t xml:space="preserve">investice: Bezdrát - umístění nových hlásičů </t>
    </r>
    <r>
      <rPr>
        <sz val="9"/>
        <rFont val="Arial"/>
      </rPr>
      <t>( ul. Pod Skalkou, ul. Za Školou)</t>
    </r>
  </si>
  <si>
    <t>Workoutové hřiště  - služby, revize, kontroly</t>
  </si>
  <si>
    <t>opravy a údržba</t>
  </si>
  <si>
    <t>Dětská hřiště - příspěvek na údržbu a opravy (TSM)</t>
  </si>
  <si>
    <t>Dětská hřiště  - drobný hmotný dlouhodobý majetek</t>
  </si>
  <si>
    <t xml:space="preserve">                        - nákup materiálu j.n.</t>
  </si>
  <si>
    <t xml:space="preserve">                        - služby, revize, kontroly</t>
  </si>
  <si>
    <r>
      <t xml:space="preserve">                        - opravy a údržba </t>
    </r>
    <r>
      <rPr>
        <sz val="9"/>
        <rFont val="Arial CE"/>
      </rPr>
      <t>(DH Vančurova 600, Loučka 400, Nerudova 500, ost.1000)</t>
    </r>
  </si>
  <si>
    <r>
      <t xml:space="preserve">DH ul. Novellara </t>
    </r>
    <r>
      <rPr>
        <sz val="9"/>
        <rFont val="Arial"/>
      </rPr>
      <t>(participativní rozpočet)</t>
    </r>
  </si>
  <si>
    <t>multigenerační DH ul. Bezručova</t>
  </si>
  <si>
    <t>Discgolfové hřiště  - nákup materiálu j.n.</t>
  </si>
  <si>
    <t xml:space="preserve">                                - služby, revize, kontroly</t>
  </si>
  <si>
    <t xml:space="preserve">                                - opravy a údržba</t>
  </si>
  <si>
    <t>drobný hmotný dlouhodobý majetek</t>
  </si>
  <si>
    <r>
      <t xml:space="preserve">voda </t>
    </r>
    <r>
      <rPr>
        <sz val="9"/>
        <rFont val="Arial CE"/>
      </rPr>
      <t>(fontány, MN sloupky)</t>
    </r>
  </si>
  <si>
    <r>
      <t xml:space="preserve">elektrická energie </t>
    </r>
    <r>
      <rPr>
        <sz val="9"/>
        <rFont val="Arial CE"/>
      </rPr>
      <t>(MN sloupky, fontány, letní kino)</t>
    </r>
  </si>
  <si>
    <t>služby, revize, prohlídky</t>
  </si>
  <si>
    <r>
      <t xml:space="preserve">opravy a údržba </t>
    </r>
    <r>
      <rPr>
        <sz val="9"/>
        <rFont val="Arial CE"/>
      </rPr>
      <t>(nátěry dřev. prvků Smet. sady 300, oprava plotu Jiráskova 500, opravy fontán Masarykovo nám., Janáčkovy sady 700)</t>
    </r>
  </si>
  <si>
    <t>VO - příspěvek na údržbu a opravy TSM</t>
  </si>
  <si>
    <r>
      <t xml:space="preserve">opravy a údržba </t>
    </r>
    <r>
      <rPr>
        <sz val="9"/>
        <rFont val="Arial CE"/>
      </rPr>
      <t>(z toho opravy ul. Na Výslunní 800, ost.700 )</t>
    </r>
  </si>
  <si>
    <t xml:space="preserve">elektrická energie </t>
  </si>
  <si>
    <t xml:space="preserve">             VO Skalky</t>
  </si>
  <si>
    <t>3906/3631/6121</t>
  </si>
  <si>
    <t xml:space="preserve">             VO Žilinská u cyklostezky PD</t>
  </si>
  <si>
    <t xml:space="preserve">             VO Dlouhá nad hřištěm ZŠ Dlouhá</t>
  </si>
  <si>
    <t xml:space="preserve">             VO K Archivu</t>
  </si>
  <si>
    <t>Hřbitovy - příspěvek na údržbu a opravy TSM</t>
  </si>
  <si>
    <t>0382/3632/51xx</t>
  </si>
  <si>
    <t xml:space="preserve">             - opravy a údržba hřbitova-město</t>
  </si>
  <si>
    <r>
      <t>přípojky na televizní kabelové rozvody Straník - materiál</t>
    </r>
    <r>
      <rPr>
        <sz val="9"/>
        <rFont val="Arial CE"/>
      </rPr>
      <t xml:space="preserve"> (účet 2310800)</t>
    </r>
  </si>
  <si>
    <r>
      <t xml:space="preserve">mobiliář město </t>
    </r>
    <r>
      <rPr>
        <sz val="9"/>
        <rFont val="Arial CE"/>
      </rPr>
      <t>(Lesopark Skalky - odpadkové koše)</t>
    </r>
  </si>
  <si>
    <r>
      <t xml:space="preserve">mobiliář </t>
    </r>
    <r>
      <rPr>
        <sz val="10"/>
        <rFont val="Arial CE"/>
      </rPr>
      <t>(TSM 350)</t>
    </r>
  </si>
  <si>
    <t>Vodovod Žilina, Pstruží potok - Životice PD</t>
  </si>
  <si>
    <t>Vodojem Straník</t>
  </si>
  <si>
    <t>Cyklo Loučka - odvodnění</t>
  </si>
  <si>
    <t>Nad zahr. osadou za kotelnou Dlouhá - odvodnění pozemku PD</t>
  </si>
  <si>
    <t xml:space="preserve">Jednotná kanalizace Žilina, Příčná </t>
  </si>
  <si>
    <t>Kanalizace Trlicova 2.etapa</t>
  </si>
  <si>
    <t>Kanalizace Žilina, Okružní  PD</t>
  </si>
  <si>
    <t>Velkoplošné opravy MK nad 500 000 Kč - služby</t>
  </si>
  <si>
    <t xml:space="preserve">Velkoplošné opravy MK nad 500 000 Kč </t>
  </si>
  <si>
    <t xml:space="preserve">Komunikace Žilina, Za Školou </t>
  </si>
  <si>
    <r>
      <t>Komunikace Straník - Kojetín - rekonstrukce</t>
    </r>
    <r>
      <rPr>
        <sz val="10"/>
        <rFont val="Arial CE"/>
      </rPr>
      <t xml:space="preserve"> 2.etapa </t>
    </r>
  </si>
  <si>
    <t>Převedení chodců ul. K Nemocnici parc. č. 558/26 (Honzek); Křižovatka ul. K Archivu a K  Nemocnici PD</t>
  </si>
  <si>
    <t>Most Za Potokem u č.p. 26 PD</t>
  </si>
  <si>
    <t>Most Jiráskova - pod gymnáziem - rekonstrukce PD</t>
  </si>
  <si>
    <t>Most Dolní Brána (U Laposu  - Grasmanka) přeložky IS (SmVaK)</t>
  </si>
  <si>
    <t xml:space="preserve">Most Na Poříčí u č.p. 53 - rekonstrukce </t>
  </si>
  <si>
    <t xml:space="preserve">Most Loučka, V Kútě PD </t>
  </si>
  <si>
    <t>Lávka Straník u č.p. 119 PD</t>
  </si>
  <si>
    <t>Lávka Novosady</t>
  </si>
  <si>
    <t xml:space="preserve">Propustek Straník u č.p. 61 (cesta ke hřbitovu) </t>
  </si>
  <si>
    <t>1075/2212/6121</t>
  </si>
  <si>
    <t>P 605 Propustek Straník u č.p. 59</t>
  </si>
  <si>
    <t>Sanace svahu MK Kojetín (Bala) PD</t>
  </si>
  <si>
    <t>Velkoplošné opravy chodníků nad 500 000 Kč - služby</t>
  </si>
  <si>
    <t xml:space="preserve">Velkoplošné opravy chodníků nad 500 000 Kč </t>
  </si>
  <si>
    <t>Laudonovo nádvoří</t>
  </si>
  <si>
    <t xml:space="preserve">Čerťák 3. etapa - 2. část (volejbalový kurt, malé travnaté hřiště, úprava travnatého ostrůvku na parkovišti, zeleň, mobiliář) </t>
  </si>
  <si>
    <t>Chodník Bludovice č.p. 4 - č.p. 90</t>
  </si>
  <si>
    <t>1076/2219/6121</t>
  </si>
  <si>
    <r>
      <t xml:space="preserve">Chodník ve vnitrobloku na ul. Máchova </t>
    </r>
    <r>
      <rPr>
        <sz val="10"/>
        <rFont val="Arial CE"/>
      </rPr>
      <t>PD</t>
    </r>
  </si>
  <si>
    <t>Chodník Žilina, Pstruží potok - Životice PD</t>
  </si>
  <si>
    <t xml:space="preserve">Parkoviště na ul. Dlouhá u AZ Sportovní  PD (KSD 16) </t>
  </si>
  <si>
    <t xml:space="preserve">Parkoviště na ul. Dlouhá u byt. Domu č.p. 13 -15 PD (KSD 33) </t>
  </si>
  <si>
    <t xml:space="preserve">Parkoviště Hřbitovní (městský hřbitov)  </t>
  </si>
  <si>
    <t>Parkoviště Smetanovy sady (před byt.domy  č.p. 8 - 16, 26 - 28) PD (KSD 31)</t>
  </si>
  <si>
    <t>Parkoviště Vančurova (J. Hory, kolmá a podélná stání)  (KSD 38)</t>
  </si>
  <si>
    <t>Parkoviště Hoblíkova PD (KSD 6)</t>
  </si>
  <si>
    <t>Parkoviště Vančurova, nové parkoviště u Policie ČR - u garáží (KSD 37)</t>
  </si>
  <si>
    <t>Parkoviště Dlouhá, podél komunikace ve svahu, p.č. 608/1 (KSD 18)</t>
  </si>
  <si>
    <t>Parkoviště MŠ Loučka, Na Drážkách (KSD 22) PD</t>
  </si>
  <si>
    <t>Parkoviště, cyklostezka ve sportovním areálu, Divadelní</t>
  </si>
  <si>
    <t>Parkoviště Restaurace Na Skalkách</t>
  </si>
  <si>
    <t xml:space="preserve">Regenerace PS Nerudova II. etapa </t>
  </si>
  <si>
    <t>Regenerace PS Nerudova, etážové stání - realizace přeložky ČEZ</t>
  </si>
  <si>
    <t xml:space="preserve">Regenerace PS Nerudova III. etapa </t>
  </si>
  <si>
    <t>Regenerace PS Nerudova IV. etapa PD</t>
  </si>
  <si>
    <t>Regenerace PS Nerudova V. etapa PD</t>
  </si>
  <si>
    <t>Zpevněná plocha podél komunikace I/57, Revoluční PD</t>
  </si>
  <si>
    <t>Revitalizace veř. prostranství Horního nádraží - zpevn. plochy kolem pumptracku a demolice</t>
  </si>
  <si>
    <t>Revitalizace sídliště Dvořákova I.etapa PD</t>
  </si>
  <si>
    <t>1077/2219/6121</t>
  </si>
  <si>
    <t>Revitalizace veřejného prostranství v MPR (ul. Gen. Hlaďo, Tyršova) studie</t>
  </si>
  <si>
    <t>1078/2219/6121</t>
  </si>
  <si>
    <t>Revitalizace břehů řeky Jičínky studie</t>
  </si>
  <si>
    <t>1079/2219/6121</t>
  </si>
  <si>
    <t>Dopravní řešení okolí škol na ul. Dlouhá v NJ PD (KSD 14)</t>
  </si>
  <si>
    <r>
      <t xml:space="preserve">Autobusová zastávka Straník p.č. 191/45 </t>
    </r>
    <r>
      <rPr>
        <sz val="10"/>
        <rFont val="Arial CE"/>
      </rPr>
      <t>PD</t>
    </r>
  </si>
  <si>
    <t>Autobusová zastávka Sv. Čecha PD</t>
  </si>
  <si>
    <t xml:space="preserve">MŠ Revoluční (MŠ Sady) - sanace zdiva </t>
  </si>
  <si>
    <t xml:space="preserve">MŠ Revoluční (MŠ Sady) - revitalizace sociálního zařízení  </t>
  </si>
  <si>
    <t>1426/3111/6121</t>
  </si>
  <si>
    <t>MŠ Revoluční (MŠ Sady) - kuchyň PD</t>
  </si>
  <si>
    <t xml:space="preserve">MŠ Máchova (MŠ Trojlístek)- energetické úspory </t>
  </si>
  <si>
    <t>1427/3111/5169</t>
  </si>
  <si>
    <t>MŠ Máchova (MŠ Trojlístek) - oprava plotu PD</t>
  </si>
  <si>
    <t xml:space="preserve">MŠ Komenského (MŠ Trojlístek) - revitalizace zahrady 2. etapa </t>
  </si>
  <si>
    <t xml:space="preserve">MŠ Komenského (MŠ Trojlístek) - učebny, verandy PD </t>
  </si>
  <si>
    <t>MŠ Beskydská (MŠ Trojlístek) - oprava plotu PD 1.etapa</t>
  </si>
  <si>
    <t xml:space="preserve"> MŠ K. Čapka (MŠ Máj) - zateplení objektu, stínící technika </t>
  </si>
  <si>
    <t xml:space="preserve">ZŠ Jubilejní - rekonstrukce školní kuchyně </t>
  </si>
  <si>
    <t>ZŠ Jubilejní - revitalizace atria PD</t>
  </si>
  <si>
    <t>1428/3113/51xx</t>
  </si>
  <si>
    <t>ZŠ Jubilejní - střecha</t>
  </si>
  <si>
    <t>ZŠ Komenského 66 - výměna ležatých rozvodů vody a výměna podhledů  2. etapa</t>
  </si>
  <si>
    <t>1425/3113/51xx</t>
  </si>
  <si>
    <t xml:space="preserve">ZŠ Komenského 66 - oprava havarijního stavu podlahy tělocvičny </t>
  </si>
  <si>
    <t>1429/3113/5169</t>
  </si>
  <si>
    <t>ZŠ Komenského 66 - odstranění závad elektroinstalace PD</t>
  </si>
  <si>
    <t xml:space="preserve">ZŠ Komenského 68 - nátěr a oprava fasády </t>
  </si>
  <si>
    <t xml:space="preserve">ZŠ Komenského 68 - oprava žákovských šaten PD  </t>
  </si>
  <si>
    <t>ZŠ Tyršova - oprava vnitřní kanalizace v ŠJ PD</t>
  </si>
  <si>
    <t>1430/3113/6121</t>
  </si>
  <si>
    <t>ZŠ Tyršova - tělocvična PD</t>
  </si>
  <si>
    <t>Zapojení města do pilotního projektu Sdílená kola</t>
  </si>
  <si>
    <t>Konzultační a poradenské služby</t>
  </si>
  <si>
    <t>Studie - oddělení investic</t>
  </si>
  <si>
    <t>Ostatní materiál (Zdravé město 45)</t>
  </si>
  <si>
    <t>Konzultační služby (městský architekt, ostatní právní služby)</t>
  </si>
  <si>
    <t>Rozvojové plány a studie 2218,5; administrace projektu 1060; Zdravé město - DPNK 60; publicita projektů 200</t>
  </si>
  <si>
    <t xml:space="preserve">Pohoštění </t>
  </si>
  <si>
    <t>Intenzifikace kompostárny</t>
  </si>
  <si>
    <t>Beskydské divadlo - oprava vzduchotechniky PD+realizace</t>
  </si>
  <si>
    <t>Beskydské divadlo - modernizace kotelny Divadelní 5 (č.z. 14/22) PD+realizace</t>
  </si>
  <si>
    <t xml:space="preserve">Beskydské divadlo - oprava vnějšího pláště historické budovy PD </t>
  </si>
  <si>
    <t>1607/3311/5169</t>
  </si>
  <si>
    <t>Beskydské divadlo - oprava balkonů nové budovy PD</t>
  </si>
  <si>
    <t>Kino Květen - rekonstrukce PD</t>
  </si>
  <si>
    <t>Kulturní dům Nové Slunce studie</t>
  </si>
  <si>
    <t xml:space="preserve">Sociální zařízení na Skalkách (MKS) - revitalizace PD </t>
  </si>
  <si>
    <t>1903/6171/6121,5137</t>
  </si>
  <si>
    <t xml:space="preserve">Budova Divadelní 1 - rekonstrukce vstupu, vestibulu, nová jednací místnost  </t>
  </si>
  <si>
    <t>Radnice - vchod z ul. Úzká a dvůr, revitalizace prostoru PD</t>
  </si>
  <si>
    <t>1906/6171/5171</t>
  </si>
  <si>
    <t>Oprava fasády a kamenných prvků radnice</t>
  </si>
  <si>
    <t>Skladovací boxy Kompostárna TSNJ PD</t>
  </si>
  <si>
    <t>Kanalizace v areálu TSNJ ul. Suvorovova PD</t>
  </si>
  <si>
    <t>Dům na ul. Hřbitovní 889/72 PD</t>
  </si>
  <si>
    <t>Středisko zeleně ul. Palackého - dílny, rekonstrukce</t>
  </si>
  <si>
    <t>Stavebninový dvůr ul. Suvorovova - oplocení, zpevněná plocha PD</t>
  </si>
  <si>
    <t>3xxx/3722/6121</t>
  </si>
  <si>
    <t xml:space="preserve">Podzemní kontejnery TSNJ 4 ks PD + 3 ks realizace </t>
  </si>
  <si>
    <t>Vnitřní bazén</t>
  </si>
  <si>
    <r>
      <t xml:space="preserve">Areál krytého bazénu - ústřední topení </t>
    </r>
    <r>
      <rPr>
        <sz val="10"/>
        <rFont val="Arial CE"/>
      </rPr>
      <t>PD</t>
    </r>
  </si>
  <si>
    <t>Zimní stadion - přístavba ubytovny a tělocvičny studie</t>
  </si>
  <si>
    <t>BD Trlicova - revitalizace (střecha, fasáda, kotelna, topení, voda, kanalizace)</t>
  </si>
  <si>
    <t>3731/3612/51xx</t>
  </si>
  <si>
    <t>Dům na ul. Dobrovského 39/2 - oprava (střecha, výlohy, okna, sklepy a chodba, instalační šachty)</t>
  </si>
  <si>
    <t>Dům na ul. Gen. Hlaďo 758/22 (Čedok) - oprava střechy, fasády, sklepy, výměna oken, instalační šachty PD</t>
  </si>
  <si>
    <t>Dům Masarykovo nám. 27/16 (Hruška) - oprava střechy, schodiště, podlahy</t>
  </si>
  <si>
    <t>Dům na ul.  Jungmannova 1, 5. května - revitalizace PD (kompletní rekonstrukce domu)</t>
  </si>
  <si>
    <t>3736/3612/51xx</t>
  </si>
  <si>
    <t xml:space="preserve">Dům na ul. Resslova 1213/1 (nebyt.prostor) - oprava výloh,  vstup a interiéru  </t>
  </si>
  <si>
    <t>Dům na ul. 5. května 2098/4 - revitalizace, PD (kompletní rekonstrukce domu)</t>
  </si>
  <si>
    <t>Dům na ul. Havlíčkova 104/11 - sanace PD</t>
  </si>
  <si>
    <t>Dům zvláštního určení U Jičínky 2007/5 - PD (oprava střechy, zateplení, koupelny, výtahy)</t>
  </si>
  <si>
    <t>3752/3612/6121</t>
  </si>
  <si>
    <t>Výtahy Luční 1828/2, 1799/3 a 1825/4 - výměna - PD + realizace</t>
  </si>
  <si>
    <t>3753/3612/5169</t>
  </si>
  <si>
    <t>Oprava fasády a střech na objektech Masaryk. nám 45/29 (NC), Masar.nám 43/27, Masar.nám 44/28 -vnitroblok Laudonovo nádvoří PD</t>
  </si>
  <si>
    <t>3754/3612/6121</t>
  </si>
  <si>
    <t>Revitalizace domu Msgr. Šrámka 1029/13 PD (vybudování 2 byt.jednotek v 1NP, oprava střechy, fasády, kanalizace a instalační šachty, sklepů)</t>
  </si>
  <si>
    <t>Hückelovy vily - odvodnění - průzkum HG (č.z. 02/22) PD</t>
  </si>
  <si>
    <t>Objekt na ul. Suvorovova 152 - sociální zařízení (č.z. 11/22)</t>
  </si>
  <si>
    <t>3736/3613/51xx</t>
  </si>
  <si>
    <t>3748/3613/6121</t>
  </si>
  <si>
    <t>Kostelní věž - realizace (pol.5169: 300 tis., pol.5171: 3200 tis.)</t>
  </si>
  <si>
    <t>Veřejné WC na ul. Úzká- rekonstrukce PD</t>
  </si>
  <si>
    <t>3755/3613/5xxx</t>
  </si>
  <si>
    <r>
      <t xml:space="preserve">Hotel Praha - </t>
    </r>
    <r>
      <rPr>
        <sz val="10"/>
        <rFont val="Arial CE"/>
      </rPr>
      <t>WC ve vstupu PD+realizace (oprava)</t>
    </r>
  </si>
  <si>
    <t>3756/3613/5a6</t>
  </si>
  <si>
    <t>0518/3613/5169</t>
  </si>
  <si>
    <t>Sokolovská 9 - sanace + fasáda</t>
  </si>
  <si>
    <t>3758/3613/6121</t>
  </si>
  <si>
    <r>
      <t xml:space="preserve">Výměna VZT pro restauraci </t>
    </r>
    <r>
      <rPr>
        <sz val="10"/>
        <rFont val="Arial CE"/>
      </rPr>
      <t xml:space="preserve">Steak House </t>
    </r>
    <r>
      <rPr>
        <sz val="10"/>
        <rFont val="Arial CE"/>
      </rPr>
      <t xml:space="preserve">na ul. Revoluční </t>
    </r>
  </si>
  <si>
    <t>Objektové předávací stanice x ks - výměna MaR PD + realizace</t>
  </si>
  <si>
    <t xml:space="preserve">Kotelna Divadelní 8 - modernizace </t>
  </si>
  <si>
    <t>3759/3634/6121</t>
  </si>
  <si>
    <t>Výměna teplovodního potrubí Loučka 7 (stolní tenis)</t>
  </si>
  <si>
    <t>3708/4351/5a6</t>
  </si>
  <si>
    <t>Azylový dům Straník - rekonstrukce vnitřních prostor PD</t>
  </si>
  <si>
    <t>Provozní objekt (šatny) pro sportovní areál PD</t>
  </si>
  <si>
    <t>Multifunkční hřiště ve sportovním areálu PD</t>
  </si>
  <si>
    <t xml:space="preserve">Revitalizace Horního nádraží - pumptrack </t>
  </si>
  <si>
    <t>3903/3412/6121</t>
  </si>
  <si>
    <t xml:space="preserve">Smetanovy sady - etapa za kaplí PD </t>
  </si>
  <si>
    <t>VO EFEKT 2025</t>
  </si>
  <si>
    <t>Hřbitov - kolumbárium, vsypová loučka (TSNJ)</t>
  </si>
  <si>
    <t>Hřbitov -chodníky, sítě (TSNJ) PD</t>
  </si>
  <si>
    <t>Smuteční síň a technické zázemí - rekonstrukce (TSNJ)</t>
  </si>
  <si>
    <t xml:space="preserve">Inženýrské sítě ve sportovním areálu PD </t>
  </si>
  <si>
    <r>
      <t xml:space="preserve">Kotlíkové dotace MSK </t>
    </r>
    <r>
      <rPr>
        <sz val="10"/>
        <rFont val="Arial CE"/>
      </rPr>
      <t>účet 231 0417</t>
    </r>
  </si>
  <si>
    <r>
      <t>Cestovní ruch</t>
    </r>
    <r>
      <rPr>
        <b/>
        <sz val="9"/>
        <rFont val="Arial CE"/>
      </rPr>
      <t xml:space="preserve"> </t>
    </r>
    <r>
      <rPr>
        <sz val="9"/>
        <rFont val="Arial CE"/>
      </rPr>
      <t xml:space="preserve"> (platy 4610+230), dohody 600, soc. poj. 1143,280+57040, zdrav. poj. 414,9+20,7, knihy, tisk 10, drobný hmotný maj. 1300, materiál (kalendáře, upom. Př., tiskoviny,…) 1130, materiál DPH 400, poštovné 1, poštovné DPH 7,5, telefony 10, služby peněž. úst. 50, pronájem 900, služby zprac. dat. 130, nákup služeb (prop. inz., služby, rozvoj podnikání na Novojičínsku, dotace z MSK 200 částečně investiční, neinvestiční) 2050, nákup služeb DPH (služby spojené s kelímky NICKNACK) 235,972, opravy a údržba 130, cestovné 15, pohoštění 200, účast. úpl. 5, ost.nák.j.n. 50, posk. náhr. 5, neinvest. transfery 200, neinvest. přísp. TSM na Pivobraní 490)</t>
    </r>
  </si>
  <si>
    <t>Volby do parlamentu ČR - PS (ÚZ 98071)</t>
  </si>
  <si>
    <r>
      <t xml:space="preserve">v tom:  </t>
    </r>
    <r>
      <rPr>
        <b/>
        <i/>
        <sz val="10"/>
        <rFont val="Arial CE"/>
      </rPr>
      <t>MŠ Sady</t>
    </r>
    <r>
      <rPr>
        <sz val="10"/>
        <rFont val="Arial CE"/>
      </rPr>
      <t xml:space="preserve"> (org. 305)</t>
    </r>
  </si>
  <si>
    <t xml:space="preserve">                   - příspěvek na provoz, včetně energií 1 200, včetně odpisů z nemovitého majetku </t>
  </si>
  <si>
    <r>
      <t xml:space="preserve">                  - příspěvek na údržbu </t>
    </r>
    <r>
      <rPr>
        <sz val="9"/>
        <rFont val="Arial CE"/>
      </rPr>
      <t>(malování a nátěry všech pracovišť 350, výměna podlahových krytin a šatních bloků MŠ Smet.sady 190, mříže oken 62) zapojení FR a FI 270</t>
    </r>
  </si>
  <si>
    <t xml:space="preserve">                   - příspěvek na investice </t>
  </si>
  <si>
    <r>
      <t xml:space="preserve">          MŠ Máj</t>
    </r>
    <r>
      <rPr>
        <sz val="11"/>
        <rFont val="Calibri"/>
        <scheme val="minor"/>
      </rPr>
      <t xml:space="preserve"> (org. 307)</t>
    </r>
  </si>
  <si>
    <t xml:space="preserve">                  - příspěvek na provoz, včetně energií 1 600, včetně odpisů z nemovitého majetku </t>
  </si>
  <si>
    <r>
      <t xml:space="preserve">                  - příspěvek na údržbu </t>
    </r>
    <r>
      <rPr>
        <sz val="9"/>
        <rFont val="Arial CE"/>
      </rPr>
      <t xml:space="preserve">(malování a nátěry 280, oprava soc. zařízení MŠ Vančurova 420) </t>
    </r>
  </si>
  <si>
    <r>
      <t xml:space="preserve">                   - příspěvek na investice</t>
    </r>
    <r>
      <rPr>
        <sz val="9"/>
        <rFont val="Arial CE"/>
      </rPr>
      <t xml:space="preserve"> (smažící pánev 200</t>
    </r>
    <r>
      <rPr>
        <sz val="9"/>
        <rFont val="Arial CE"/>
      </rPr>
      <t>) zapojení FI a FR 200</t>
    </r>
  </si>
  <si>
    <r>
      <t xml:space="preserve">          </t>
    </r>
    <r>
      <rPr>
        <b/>
        <i/>
        <sz val="10"/>
        <rFont val="Arial CE"/>
      </rPr>
      <t>MŠ Trojlístek</t>
    </r>
    <r>
      <rPr>
        <sz val="10"/>
        <rFont val="Arial CE"/>
      </rPr>
      <t xml:space="preserve"> (org. 309)</t>
    </r>
  </si>
  <si>
    <t xml:space="preserve">                  - příspěvek na provoz, včetně energií 1 300, včetně odpisů z nemovitého majetku </t>
  </si>
  <si>
    <r>
      <t xml:space="preserve">                  - příspěvek na údržbu </t>
    </r>
    <r>
      <rPr>
        <sz val="9"/>
        <rFont val="Arial CE"/>
      </rPr>
      <t xml:space="preserve">(malování a nátěry 130, čištění žlabů a oprava chodníku MŠ Kom 100, výměna podlahových krytin 200) </t>
    </r>
  </si>
  <si>
    <t xml:space="preserve">                  - příspěvek na investice (kamerový systém Žilina 232) zapojení FI a FR 102</t>
  </si>
  <si>
    <r>
      <t xml:space="preserve">v tom:  </t>
    </r>
    <r>
      <rPr>
        <b/>
        <i/>
        <sz val="10"/>
        <rFont val="Arial CE"/>
      </rPr>
      <t xml:space="preserve">ZŠ Jubilejní </t>
    </r>
    <r>
      <rPr>
        <sz val="10"/>
        <rFont val="Arial CE"/>
      </rPr>
      <t xml:space="preserve">celkem (org. 321) </t>
    </r>
  </si>
  <si>
    <t xml:space="preserve">                 - příspěvek na provoz, včetně energií 5 000, včetně odpisů z nemovitého majetku </t>
  </si>
  <si>
    <r>
      <t xml:space="preserve">                - přísp.na údržbu</t>
    </r>
    <r>
      <rPr>
        <sz val="9"/>
        <rFont val="Arial CE"/>
      </rPr>
      <t xml:space="preserve"> (Jubilejní: malování a nátěry 275, oprava obkladů soc. zař. 900) ZŠ Dlouhá malování a nátěry 275, výměna dveří s hliníkovým rámem MŠ 115, oprava prostor pro prádelnu 190, oprava dřevěného obkladu v tělocvičně 280, oprava rozvodu vody MŠ Dlouhá 170, oprava prosklených stěn 160) po zapojení FR a FI 550 tis. Kč </t>
    </r>
  </si>
  <si>
    <r>
      <t xml:space="preserve">                 - příspěvek na investice </t>
    </r>
    <r>
      <rPr>
        <sz val="9"/>
        <rFont val="Arial CE"/>
      </rPr>
      <t/>
    </r>
  </si>
  <si>
    <r>
      <t xml:space="preserve">          </t>
    </r>
    <r>
      <rPr>
        <b/>
        <i/>
        <sz val="10"/>
        <rFont val="Arial CE"/>
      </rPr>
      <t xml:space="preserve">ZŠ Komenského 66 </t>
    </r>
    <r>
      <rPr>
        <sz val="10"/>
        <rFont val="Arial CE"/>
      </rPr>
      <t>(org. 322)</t>
    </r>
  </si>
  <si>
    <t xml:space="preserve">                 - příspěvek na provoz, včetně energií 2 600, včetně odpisů z nemovitého majetku </t>
  </si>
  <si>
    <r>
      <t xml:space="preserve">                 - příspěvek na údržbu </t>
    </r>
    <r>
      <rPr>
        <sz val="9"/>
        <rFont val="Arial CE"/>
      </rPr>
      <t xml:space="preserve">(malování a nátěry 200, umytí fasády 138, odstranění závad hromosvodu 490) </t>
    </r>
  </si>
  <si>
    <t xml:space="preserve">                 - příspěvek na investice (chladící boxy do ŠJ 503, elektrický sporák do ŠJ 96) zapojení FI a FR 450</t>
  </si>
  <si>
    <r>
      <t xml:space="preserve">           </t>
    </r>
    <r>
      <rPr>
        <b/>
        <i/>
        <sz val="10"/>
        <rFont val="Arial CE"/>
      </rPr>
      <t>ZŠ Komenského 68</t>
    </r>
    <r>
      <rPr>
        <sz val="10"/>
        <rFont val="Arial CE"/>
      </rPr>
      <t xml:space="preserve"> (org. 323)</t>
    </r>
  </si>
  <si>
    <t xml:space="preserve">                 - příspěvek na provoz, včetně energií 2 180, včetně odpisů z nemovitého majetku </t>
  </si>
  <si>
    <r>
      <t xml:space="preserve">                 - příspěvek na údržbu </t>
    </r>
    <r>
      <rPr>
        <sz val="9"/>
        <rFont val="Arial CE"/>
      </rPr>
      <t xml:space="preserve">(malování a nátěry 300, oprava plotu a kácení bříz 320, oprava hyg. Zázemí pro úklid a výměna baterií v nouzových světlech 70)  </t>
    </r>
  </si>
  <si>
    <r>
      <t xml:space="preserve">                 - příspěvek na investice</t>
    </r>
    <r>
      <rPr>
        <sz val="9"/>
        <rFont val="Arial CE"/>
      </rPr>
      <t xml:space="preserve"> (rekonstrukce vzduchotechniky PD 400, škrabka na brambory 87, el. pánev 140) po zapojení FR a FI  177 tis. Kč </t>
    </r>
  </si>
  <si>
    <r>
      <t xml:space="preserve">            </t>
    </r>
    <r>
      <rPr>
        <b/>
        <i/>
        <sz val="10"/>
        <rFont val="Arial CE"/>
      </rPr>
      <t xml:space="preserve">ZŠ Tyršova </t>
    </r>
    <r>
      <rPr>
        <sz val="10"/>
        <rFont val="Arial CE"/>
      </rPr>
      <t>(org. 325)</t>
    </r>
  </si>
  <si>
    <t xml:space="preserve">                 - příspěvek na provoz ( vč. energií 3 170, vč. odpisů z nem.majetku</t>
  </si>
  <si>
    <r>
      <t xml:space="preserve">                 - příspěvek na údržbu</t>
    </r>
    <r>
      <rPr>
        <sz val="9"/>
        <rFont val="Arial CE"/>
      </rPr>
      <t xml:space="preserve"> (malování, nátěry a sádrokartonová stěna 250, výměna PVC v učebnách a na chodbě 240, oprava odvodnění střechy - zachytávání sněhu, přístavba 430, oprava dlažby v suterénu - šatny 200) zapojení FI a FR 1 000)</t>
    </r>
  </si>
  <si>
    <r>
      <t xml:space="preserve">                 - příspěvek na investice </t>
    </r>
    <r>
      <rPr>
        <sz val="10"/>
        <rFont val="Arial CE"/>
      </rPr>
      <t xml:space="preserve">   </t>
    </r>
  </si>
  <si>
    <t xml:space="preserve">                - příspěvek na provoz, včetně energií 1 170, včetně odpisů z nemovitého majetku </t>
  </si>
  <si>
    <t xml:space="preserve">                - příspěvek na údržbu (renovace stolů 40, akustické panely do sálu 30, táhla na okna 29, panikové kování výměna dveří 120)</t>
  </si>
  <si>
    <t xml:space="preserve">                - příspěvek na investice (klimatizace kanceláří 250, defibrilátor 44) zapojení FI a FR 44 </t>
  </si>
  <si>
    <t xml:space="preserve">             příspěvek na investice (kamerový systém 423, aktivní dva pásmové reproduktory do velkého sálu 415) zapojení FI a FR 500</t>
  </si>
  <si>
    <t xml:space="preserve">            Drobný materiál</t>
  </si>
  <si>
    <t xml:space="preserve">            Up-grade informačního systému památek (okolonas.eu)</t>
  </si>
  <si>
    <t xml:space="preserve">            Propagace v rámci EHD (modely papírové 20, postřiky hradebních zdí, vč. likvidace náletů 40, sbírky, rozšíření posudky na radnici 50)</t>
  </si>
  <si>
    <t xml:space="preserve">            Drobné opravy - údržba 50</t>
  </si>
  <si>
    <t xml:space="preserve">           -  příspěvek na provoz MKS a Kina Květen, vč. energií 1 520, vč. odpisů z nem.majetku 178 </t>
  </si>
  <si>
    <t>417 - Sportoviště</t>
  </si>
  <si>
    <t>3412</t>
  </si>
  <si>
    <t>Správa sportovišť TSM - příspěvek provoz</t>
  </si>
  <si>
    <t>z toho : platy 19370+840, zák. odvody (4803,76+208,32) +(1743,3+75,6), zdrav.pomůcky 5, výstroj 350, knihy, časopisy a tisk 2, DHM 348, materiál 143, elektř. 35, PHM 264, služby pošt 1, telekomunikace 245, nájemné 30, konzult.a porad.služby 3, školení 149, konference 3, služby 747, opravy a udrž. 275, služby zpracování dat 200, podlimitní progr. vybavení 45, cestovné 17, neinv.přísp.a náhrady-prac.úrazy 50, správní poplatky 16, investice: progr. vybavení, stroje: kamera pro RZ 170, kamera MKDS 150, interaktivní dotyk. tabule 90</t>
  </si>
  <si>
    <r>
      <rPr>
        <b/>
        <sz val="10"/>
        <rFont val="Arial CE"/>
      </rPr>
      <t>Chata Jičínka</t>
    </r>
    <r>
      <rPr>
        <sz val="10"/>
        <rFont val="Arial CE"/>
      </rPr>
      <t>-</t>
    </r>
    <r>
      <rPr>
        <b/>
        <sz val="10"/>
        <rFont val="Arial CE"/>
      </rPr>
      <t>org. 4381</t>
    </r>
    <r>
      <rPr>
        <sz val="10"/>
        <rFont val="Arial CE"/>
      </rPr>
      <t xml:space="preserve"> </t>
    </r>
    <r>
      <rPr>
        <sz val="9"/>
        <rFont val="Arial CE"/>
      </rPr>
      <t xml:space="preserve">(v tom: drobný hmotný majetek 80, materiál 20, voda 11, elektr.energie 200, pevná paliva 12,3, PHM 1, služby-praní, odpady,... 30, opravy a udržování 120, místní poplatky 20, </t>
    </r>
    <r>
      <rPr>
        <b/>
        <sz val="9"/>
        <rFont val="Arial CE"/>
      </rPr>
      <t>investice:</t>
    </r>
    <r>
      <rPr>
        <sz val="9"/>
        <rFont val="Arial CE"/>
      </rPr>
      <t xml:space="preserve"> další etapa - terénní úpravy - chodníky, parkovací stání)</t>
    </r>
  </si>
  <si>
    <r>
      <t xml:space="preserve">Krizová opatření </t>
    </r>
    <r>
      <rPr>
        <sz val="9"/>
        <rFont val="Arial CE"/>
      </rPr>
      <t>(čerpá se jen při živelních pohromách: přikrývky, písek+pytle, respirátory, dezinfekce, zabezpečení chodu evak.středisek, teplo, elektrická energie, PHM, služby: ubytovací, stravovací, dopravní)</t>
    </r>
  </si>
  <si>
    <r>
      <t>Ostatní záležitosti civilní připravenosti na krizové stavy</t>
    </r>
    <r>
      <rPr>
        <sz val="10"/>
        <rFont val="Arial CE"/>
      </rPr>
      <t>-Pomoc domácnostem při řeš.následků povodní 2024 v NJ</t>
    </r>
  </si>
  <si>
    <t>Požární ochrana - dobrovolná část (pro hasiče Straník: OOPP 12, DHM - přívěsný vozík s koly pod ložnou plochou 44, materiál 10, PHM 15, služby+internet 5, školení - 2x prodloužení osvědčení strojník, 1x velitel 14, nákup služeb-technické prohlídky vozidel, měření emisí, výměna pneu,... 10, opravy a udržování-příprava na STK, drobné opravy vozového parku 30)</t>
  </si>
  <si>
    <r>
      <t>z toho</t>
    </r>
    <r>
      <rPr>
        <b/>
        <sz val="9"/>
        <rFont val="Arial CE"/>
      </rPr>
      <t xml:space="preserve"> investice: </t>
    </r>
    <r>
      <rPr>
        <sz val="9"/>
        <rFont val="Arial CE"/>
      </rPr>
      <t>činnost místní správy-</t>
    </r>
    <r>
      <rPr>
        <b/>
        <sz val="9"/>
        <rFont val="Arial CE"/>
      </rPr>
      <t>org.381:</t>
    </r>
    <r>
      <rPr>
        <sz val="9"/>
        <rFont val="Arial CE"/>
      </rPr>
      <t xml:space="preserve"> klimatizační jednotka lokální 50, soubor nábytku, koberec, kuch. linky 100, sl. vozidlo 1000</t>
    </r>
  </si>
  <si>
    <r>
      <t>z toho</t>
    </r>
    <r>
      <rPr>
        <b/>
        <sz val="9"/>
        <rFont val="Arial CE"/>
      </rPr>
      <t xml:space="preserve"> investice: </t>
    </r>
    <r>
      <rPr>
        <sz val="9"/>
        <rFont val="Arial CE"/>
      </rPr>
      <t>činnost místní správy-</t>
    </r>
    <r>
      <rPr>
        <b/>
        <sz val="9"/>
        <rFont val="Arial CE"/>
      </rPr>
      <t>org.381:</t>
    </r>
    <r>
      <rPr>
        <sz val="9"/>
        <rFont val="Arial CE"/>
      </rPr>
      <t xml:space="preserve"> klimatizační jednotka lokální + klimatizace Div. 8 </t>
    </r>
    <r>
      <rPr>
        <sz val="9"/>
        <color indexed="2"/>
        <rFont val="Arial CE"/>
      </rPr>
      <t>50+1000</t>
    </r>
    <r>
      <rPr>
        <sz val="9"/>
        <rFont val="Arial CE"/>
      </rPr>
      <t xml:space="preserve">, soubor nábytku, koberec, kuch. linky 100, sl. vozidlo </t>
    </r>
    <r>
      <rPr>
        <sz val="9"/>
        <color indexed="2"/>
        <rFont val="Arial CE"/>
      </rPr>
      <t>1000+1500</t>
    </r>
  </si>
  <si>
    <t>Zastupitelstva obcí (ost.platy-refundace mzdy 30, odměny členů ZM 9270, zák.odvody 1071,4+834,3, refund.zák.odvodů 12, školení a vzdělávání pro uvolněné ZM 10, parkovné 0,5, cestovné (ubytování a doprava) 20, pohoštění vč. komisí a výborů 200, poplatky na konference 7, ošatné 90, dary 30)</t>
  </si>
  <si>
    <r>
      <t>z toho provoz: činnost místní správy-</t>
    </r>
    <r>
      <rPr>
        <b/>
        <sz val="9"/>
        <rFont val="Arial CE"/>
      </rPr>
      <t>org.381 (bez OSPODu)</t>
    </r>
    <r>
      <rPr>
        <sz val="9"/>
        <rFont val="Arial CE"/>
      </rPr>
      <t xml:space="preserve"> v tom: platy 101960+3850, ost.platy 10, dohody 1500, refundace 10, zák.odvody 25658,1+954,8)+(9311,4+346,5)+600+1, školení a vzdělávání 900, elektronické předplatné 150, léky a zdr. mat. 25, právní služby 50, nákup ostatních služeb 2550, cestovné 300, konference 15, ostatní (ošatné ceremoniářky, matrikářky, hudebníci) 204, náhrady 40</t>
    </r>
  </si>
  <si>
    <r>
      <t>Záležitosti soc. věcí a politiky nezaměstn. j.n.</t>
    </r>
    <r>
      <rPr>
        <b/>
        <sz val="9"/>
        <rFont val="Arial CE"/>
      </rPr>
      <t xml:space="preserve"> </t>
    </r>
    <r>
      <rPr>
        <sz val="9"/>
        <rFont val="Arial CE"/>
      </rPr>
      <t>(nákup tiskopisů receptů a žádanek na omamné látky, vč. zálohy pokladně pro nesvéprávné)</t>
    </r>
  </si>
  <si>
    <r>
      <t xml:space="preserve">             podpora sociálních služeb dle zákona o soc. službách (org. 1113), </t>
    </r>
    <r>
      <rPr>
        <sz val="8"/>
        <rFont val="Arial CE"/>
      </rPr>
      <t>vč. spolufinancování obcí 1.465.013 Kč</t>
    </r>
  </si>
  <si>
    <t xml:space="preserve">             individuální dotace na SeniorPoint Nový Jičín (org. 5383)</t>
  </si>
  <si>
    <t xml:space="preserve">             ozvučení haly Basketbalový klub</t>
  </si>
  <si>
    <t xml:space="preserve">             nákup 4ks elektronických basket košů-hala</t>
  </si>
  <si>
    <t xml:space="preserve">             projekt, statika nosných konstrukcí střechy pro rozmístění panelů FVE</t>
  </si>
  <si>
    <t xml:space="preserve">          - nákup DDHM a ost.materiálu  5137 (židle a tiskárna, sklad.kontejner+8ks lehátek), 5139 </t>
  </si>
  <si>
    <r>
      <t xml:space="preserve">           </t>
    </r>
    <r>
      <rPr>
        <b/>
        <sz val="10"/>
        <color theme="1"/>
        <rFont val="Arial CE"/>
      </rPr>
      <t xml:space="preserve">  služby</t>
    </r>
    <r>
      <rPr>
        <sz val="10"/>
        <color theme="1"/>
        <rFont val="Arial CE"/>
      </rPr>
      <t xml:space="preserve">  org. 0518 (úklidy, revize, výtahy, odečty, poruch. služba, deratizace, čištění kanalizace, komíny, SBI, zn. posudky)</t>
    </r>
  </si>
  <si>
    <t xml:space="preserve">              SK Straník 147 - realizace ČOV</t>
  </si>
  <si>
    <t xml:space="preserve">                                      Kulturní a společenský dům - nepředvídané opravy </t>
  </si>
  <si>
    <t xml:space="preserve">               osadní výbory celkem:                                                                                       </t>
  </si>
  <si>
    <t>z toho opravy: nepředvídané opravy tepelného hospodářství (havárie OPS, přípojek a potrubí TUV, rozvodů tepla a prostupů)</t>
  </si>
  <si>
    <t xml:space="preserve">             opravy: na základě výstupu z kontroly otopných soustav (500), topná větev teplovodu Loučka 227 vč. Kompenzátoru (500). Kotelny: Anenská a Loučka střecha + dešťové svody (1600), nosná konstrukce oblast CZT Tonak teplovod Máchova (400), likvidace 4 KGJ (400)</t>
  </si>
  <si>
    <t xml:space="preserve">             Dodávka 5 ks nerez zásobníků teplé vody do kotelen a odběrných před. stanic v domech (pol. 6122)</t>
  </si>
  <si>
    <t xml:space="preserve">             Rekonstrukce kotelny technologie rolby zimního stadionu  </t>
  </si>
  <si>
    <r>
      <t>Mateřské školy</t>
    </r>
    <r>
      <rPr>
        <sz val="10"/>
        <rFont val="Arial CE"/>
      </rPr>
      <t xml:space="preserve"> - fin. vypořádání energie (2024 Máj 76.214,38 + Sady 111.686,75)</t>
    </r>
  </si>
  <si>
    <r>
      <t>Základní školy</t>
    </r>
    <r>
      <rPr>
        <sz val="10"/>
        <rFont val="Arial CE"/>
      </rPr>
      <t xml:space="preserve"> - fin. vypořádání energie 2024 (K66: 212.592,52+ K68: 261.781,31+ Tyrš: 349.438,48)</t>
    </r>
  </si>
  <si>
    <r>
      <t xml:space="preserve">SVČ Fokus - </t>
    </r>
    <r>
      <rPr>
        <sz val="10"/>
        <rFont val="Arial CE"/>
      </rPr>
      <t>vratka části dotace 2024 Podpora okresních a krajských kol soutěží (úz 910)</t>
    </r>
  </si>
  <si>
    <r>
      <t>MěKS</t>
    </r>
    <r>
      <rPr>
        <sz val="10"/>
        <rFont val="Arial CE"/>
      </rPr>
      <t xml:space="preserve"> - fin. vypořádání energie 2024 </t>
    </r>
  </si>
  <si>
    <t>MěKS - investice - koupě obchodního podílu v Nové Slunce, s.r.o.</t>
  </si>
  <si>
    <t xml:space="preserve">             vratka části dotace JAK (úz 33092 1431,5 MŠ Sady)</t>
  </si>
  <si>
    <t xml:space="preserve">             vratka části dotace Volby do Senátu ČR a zastupitelstev krajů (úz 98193)</t>
  </si>
  <si>
    <t xml:space="preserve">             vratka části dotace Volby do EP (úz 98348)</t>
  </si>
  <si>
    <t>z toho: rozpočtová rezerva (vč. rezervy  z progr. dotací OSV: celorok 291, dobrov. 5, hospic 65)</t>
  </si>
  <si>
    <r>
      <t xml:space="preserve">Upravený rozpočet                                         2025 
</t>
    </r>
    <r>
      <rPr>
        <sz val="9"/>
        <rFont val="Arial CE"/>
      </rPr>
      <t>(v Kč)</t>
    </r>
  </si>
  <si>
    <t xml:space="preserve">           § 2143 cestovní ruch (Návštěvnické centrum NJ)</t>
  </si>
  <si>
    <r>
      <t xml:space="preserve">           § 4351 neinvestiční příspěvek na poskytování sociálních služeb pro Prosenior </t>
    </r>
    <r>
      <rPr>
        <sz val="9"/>
        <rFont val="Arial CE"/>
      </rPr>
      <t>(předpokládaná dotace z MPSV) - po schválení je rozpočtováno na pol. 4122 (ÚZ 914)</t>
    </r>
  </si>
  <si>
    <t xml:space="preserve">            SFŽP - Pomoc domácnostem při řešení následků povodní 2024 v NJ</t>
  </si>
  <si>
    <t xml:space="preserve">            MMR - IROP Autobusová zastávka Riegrova (úz17085, NáZ 1495)</t>
  </si>
  <si>
    <t xml:space="preserve">            MŠMT - program JAK MŠ K.Čapka (ÚZ 33092 1431,5)</t>
  </si>
  <si>
    <t>0387/2321/51xx</t>
  </si>
  <si>
    <t xml:space="preserve">                   multigenerační DH ul. Bezručova</t>
  </si>
  <si>
    <t xml:space="preserve">                  VO Žilinská u cyklostezky PD</t>
  </si>
  <si>
    <t xml:space="preserve">                            - opravy a údržba hřbitova-město</t>
  </si>
  <si>
    <t xml:space="preserve">                      Kanalizace Trlicova 2.etapa</t>
  </si>
  <si>
    <t xml:space="preserve">                   Oprava fasády a kamenných prvků radnice</t>
  </si>
  <si>
    <r>
      <t>Mateřské školy</t>
    </r>
    <r>
      <rPr>
        <sz val="10"/>
        <rFont val="Arial CE"/>
      </rPr>
      <t xml:space="preserve"> - fin.vypořádání energie (2024 Máj 76.214,38 + Sady 111.686,75)</t>
    </r>
  </si>
  <si>
    <r>
      <t>Základní školy</t>
    </r>
    <r>
      <rPr>
        <sz val="10"/>
        <rFont val="Arial CE"/>
      </rPr>
      <t xml:space="preserve"> - fin.vypořádání energie 2024 (K66: 212.592,52+ K68: 261.781,31+ Tyrš: 349.438,48)</t>
    </r>
  </si>
  <si>
    <r>
      <t>MěKS</t>
    </r>
    <r>
      <rPr>
        <sz val="10"/>
        <rFont val="Arial CE"/>
      </rPr>
      <t xml:space="preserve"> - fin.vypořádání energie 2024 </t>
    </r>
  </si>
  <si>
    <t xml:space="preserve">             vratka části dotace Volby doSenátu ČR a zastupitelstev krajů (úz 98193)</t>
  </si>
  <si>
    <t>Město Nový Jičín</t>
  </si>
  <si>
    <t>Závěrečný propočet výsledků hospodaření</t>
  </si>
  <si>
    <t xml:space="preserve">dle výkazu 040 </t>
  </si>
  <si>
    <t>období:</t>
  </si>
  <si>
    <t>1.pol. 2025</t>
  </si>
  <si>
    <t>skutečnost</t>
  </si>
  <si>
    <t>UR</t>
  </si>
  <si>
    <t>po konsolidaci</t>
  </si>
  <si>
    <t>ř. 4200</t>
  </si>
  <si>
    <t xml:space="preserve"> +  převod soc. fond</t>
  </si>
  <si>
    <t>ř. 4281</t>
  </si>
  <si>
    <t>pozor na FSS (přidat do převodů)</t>
  </si>
  <si>
    <t xml:space="preserve">  +  třída 8 financování</t>
  </si>
  <si>
    <t>ř. 8000</t>
  </si>
  <si>
    <t>Zdroje celkem</t>
  </si>
  <si>
    <t>ř. 4430</t>
  </si>
  <si>
    <t>ř.4430-4220+4281=Výcelk-tř.6</t>
  </si>
  <si>
    <t>z toho</t>
  </si>
  <si>
    <t>tř. 5</t>
  </si>
  <si>
    <t>tř. 6</t>
  </si>
  <si>
    <t>ř. 4220</t>
  </si>
  <si>
    <t xml:space="preserve">celkem </t>
  </si>
  <si>
    <t>Třída 4 - včetně převodů</t>
  </si>
  <si>
    <t>ř. 4040</t>
  </si>
  <si>
    <t>ř. 4130</t>
  </si>
  <si>
    <t>ř. 4140</t>
  </si>
  <si>
    <t>ř. 4150</t>
  </si>
  <si>
    <t>převody celkem</t>
  </si>
  <si>
    <t>(kontrola ř.4250)</t>
  </si>
  <si>
    <t>Třída 4 - bez převodů</t>
  </si>
  <si>
    <t>Třída 4 - do tabulek</t>
  </si>
  <si>
    <t>Vyhotovila: Holíková</t>
  </si>
  <si>
    <t>rozpočet</t>
  </si>
  <si>
    <t>Třída 1</t>
  </si>
  <si>
    <t>ř. 4010</t>
  </si>
  <si>
    <t>Třída 2</t>
  </si>
  <si>
    <t>ř. 4020</t>
  </si>
  <si>
    <t>Třída 3</t>
  </si>
  <si>
    <t>ř. 4030</t>
  </si>
  <si>
    <t>Třída 4</t>
  </si>
  <si>
    <t>(tab) viz výše</t>
  </si>
  <si>
    <t>Třída 8</t>
  </si>
  <si>
    <t>Kapitola 741</t>
  </si>
  <si>
    <t>celkem</t>
  </si>
  <si>
    <t>Finanční přehledy</t>
  </si>
  <si>
    <t xml:space="preserve"> výdaje 741 celkem</t>
  </si>
  <si>
    <r>
      <t xml:space="preserve"> </t>
    </r>
    <r>
      <rPr>
        <sz val="10"/>
        <rFont val="Arial CE"/>
      </rPr>
      <t xml:space="preserve">  -</t>
    </r>
  </si>
  <si>
    <t>převody</t>
  </si>
  <si>
    <t>§ 6330 53xx</t>
  </si>
  <si>
    <t xml:space="preserve"> 741 / 6330 / 53xx</t>
  </si>
  <si>
    <t>Kapitola 741 výdaje - čistá do tabulek</t>
  </si>
  <si>
    <t>kap 741 celá</t>
  </si>
  <si>
    <t>minus převody § 6330</t>
  </si>
  <si>
    <t>Výsledky hospodaření města Nový Jičín 
za rok 2025</t>
  </si>
  <si>
    <r>
      <t xml:space="preserve">Schválený rozpočet
za rok 2025
</t>
    </r>
    <r>
      <rPr>
        <sz val="9"/>
        <rFont val="Arial CE"/>
      </rPr>
      <t>v Kč</t>
    </r>
  </si>
  <si>
    <r>
      <t xml:space="preserve">Upravený rozpočet
za rok 2025
</t>
    </r>
    <r>
      <rPr>
        <sz val="9"/>
        <rFont val="Arial CE"/>
      </rPr>
      <t>v Kč</t>
    </r>
  </si>
  <si>
    <r>
      <t xml:space="preserve">Skutečnost za
rok 2025
</t>
    </r>
    <r>
      <rPr>
        <sz val="9"/>
        <rFont val="Arial CE"/>
      </rPr>
      <t>v Kč</t>
    </r>
  </si>
  <si>
    <t>rok 2024</t>
  </si>
  <si>
    <t>Příjem z daně z hazardních her s výjimkou dílčí daně z tech. her</t>
  </si>
  <si>
    <t>Příjem z dílčí daně z tech. her</t>
  </si>
  <si>
    <t xml:space="preserve">           § 1019 ostatní zemědělská a potravinářská činnost</t>
  </si>
  <si>
    <r>
      <t xml:space="preserve">           § 3412 sportovní zařízení v majetku obce</t>
    </r>
    <r>
      <rPr>
        <sz val="9"/>
        <rFont val="Arial CE"/>
      </rPr>
      <t xml:space="preserve"> (bazé</t>
    </r>
    <r>
      <rPr>
        <sz val="9"/>
        <rFont val="Arial CE"/>
      </rPr>
      <t>n: Basketbalový klub, z.s.-vstupné, nájmy)</t>
    </r>
  </si>
  <si>
    <r>
      <t xml:space="preserve">Příjem z ostatních odvodů příspěvkových organizací </t>
    </r>
    <r>
      <rPr>
        <sz val="9"/>
        <rFont val="Arial CE"/>
      </rPr>
      <t>(splátky z exe býv. účetní ZŠ K68)</t>
    </r>
    <r>
      <rPr>
        <b/>
        <i/>
        <sz val="9"/>
        <rFont val="Arial CE"/>
      </rPr>
      <t xml:space="preserve"> </t>
    </r>
    <r>
      <rPr>
        <b/>
        <i/>
        <sz val="9"/>
        <color indexed="2"/>
        <rFont val="Arial CE"/>
      </rPr>
      <t xml:space="preserve"> </t>
    </r>
    <r>
      <rPr>
        <b/>
        <i/>
        <sz val="9"/>
        <rFont val="Arial CE"/>
      </rPr>
      <t xml:space="preserve">   </t>
    </r>
    <r>
      <rPr>
        <sz val="9"/>
        <rFont val="Arial CE"/>
      </rPr>
      <t xml:space="preserve">      </t>
    </r>
  </si>
  <si>
    <t xml:space="preserve">             § 2219 odbor rozvoje a inv - smluvní pokuty</t>
  </si>
  <si>
    <t xml:space="preserve">             § 3419 odbor školství - smluvní pokuty dotace</t>
  </si>
  <si>
    <t xml:space="preserve">             § 3612 odbor rozvoje a inv - smluvní pokuty bytové domy </t>
  </si>
  <si>
    <t xml:space="preserve">             § 3631 odbor správy maj - smluvní pokuty veřejné osvětlení</t>
  </si>
  <si>
    <t xml:space="preserve">             § 3769 odbor život prostředí - smluvní pokuty v ostatní správě živ. prostředí</t>
  </si>
  <si>
    <t xml:space="preserve">             § 5311 bezpečnost a veřejný pořádek (Městská policie: na místě zaplac. 500, na místě nezapl. 150)</t>
  </si>
  <si>
    <t xml:space="preserve">             § 6409 ostatní činnosti j.n.-smluvní pokuty ORI</t>
  </si>
  <si>
    <t xml:space="preserve">             § 3113 ZŠ+MŠ Jub vratka části přísp 2024 obědy do škol</t>
  </si>
  <si>
    <t xml:space="preserve">             § 3113 ZŠ K66 vratka části přísp 2024 obědy do škol</t>
  </si>
  <si>
    <t xml:space="preserve">             § vratky nevyčerpaných indiv. dotací 2024 (441 org. 1180,1131, 1134)</t>
  </si>
  <si>
    <t xml:space="preserve">             § vratky nevyčerpaných indiv. dotací 2024 (541)</t>
  </si>
  <si>
    <t xml:space="preserve">             § 6402 MŠ Sady vratka nevyčerp. dotace 2024 JAK úz 33092 NáZ 143 1,5</t>
  </si>
  <si>
    <t xml:space="preserve">             § 6402 ZS K68 vratka nevyčerp. dotace 2024 JAK úz 33092 NáZ 143 1,5</t>
  </si>
  <si>
    <t xml:space="preserve">             § 6402 SVČ Fokus vratka nevyčerp. dotace Podpora soutěží 2024 (úz 910)</t>
  </si>
  <si>
    <t xml:space="preserve">           § 2229 ostatní záležitosti v silniční dopravě</t>
  </si>
  <si>
    <r>
      <t xml:space="preserve">           § 3613 nebytové hospodářství </t>
    </r>
    <r>
      <rPr>
        <sz val="9"/>
        <rFont val="Arial CE"/>
      </rPr>
      <t>(odbor bytový: úhrada nákladů soudních řízení+popl.z prodlení)</t>
    </r>
  </si>
  <si>
    <t xml:space="preserve">           § 3635 územní plánování</t>
  </si>
  <si>
    <t xml:space="preserve">           § 3722 sběr a svoz komunálních odpadů</t>
  </si>
  <si>
    <t xml:space="preserve">           § 6409 ost. činnosti j.n.</t>
  </si>
  <si>
    <t xml:space="preserve">           § 2143 neinvest. přísp. z MSK NCNJ</t>
  </si>
  <si>
    <t xml:space="preserve">           § 2212 silnice</t>
  </si>
  <si>
    <t xml:space="preserve">           § 3639 revitalizace veřejného prostranství v MPR (G.Hľaďo, Tyršova) PD</t>
  </si>
  <si>
    <t xml:space="preserve">           § 5311 bezpečnost a veřejný pořádek (Městská policie)</t>
  </si>
  <si>
    <t xml:space="preserve">           § 6409 odbor rozvoje a inv. ostatní příjmy</t>
  </si>
  <si>
    <t xml:space="preserve">           § 6171, § 6409 odbor organizační ostatní příjmy</t>
  </si>
  <si>
    <r>
      <t xml:space="preserve">           § 6409 neinvestiční příspěvek na regeneraci MPR a MPZ (předpokládaná dotace z MK ČR) -</t>
    </r>
    <r>
      <rPr>
        <sz val="9"/>
        <rFont val="Arial CE"/>
      </rPr>
      <t>po schválení je rozpočtováno na pol. 4116 (ÚZ 34054)</t>
    </r>
  </si>
  <si>
    <t>Příjem z prodeje majetkových podílů (SBD Pod Skalkou)</t>
  </si>
  <si>
    <t xml:space="preserve">            SZIF - Zachování porostního typu hosp. souboru 2024 (SR 89028 1301, EU 89029 1305)</t>
  </si>
  <si>
    <t xml:space="preserve">            MPSV: Výkon sociálně-právní ochrany dětí (ÚZ 13024)-doplatek 2024</t>
  </si>
  <si>
    <t xml:space="preserve">            Kelímky, kompostery, myčka (Návštěvnické centrum) EU (úz 15016 1485)</t>
  </si>
  <si>
    <t xml:space="preserve">            MŽP-NIV-EU-OP Spravedlivá transf 2021-Podpora mimoškolních pobytů ZŠ K66 (úz 15019 1405)</t>
  </si>
  <si>
    <t xml:space="preserve">            MŽP-NIV-EU-OP Spravedlivá transf 2021-Podpora mimoškolních pobytů ZŠ K68 (úz 15019 1405)</t>
  </si>
  <si>
    <t xml:space="preserve">            MMR - IROP Modernizace NCNJ město klobouků (ÚZ 17085, NáZ 1495)</t>
  </si>
  <si>
    <t xml:space="preserve">            MMR-Podpora obnovy a rozvoje regionů-Obnova majetku města NJ po povodních 2024 (ÚZ 17101)</t>
  </si>
  <si>
    <t xml:space="preserve">            MŠMT - program JAK ZŠ+MŠ Jub (ÚZ 33092 1431,5)</t>
  </si>
  <si>
    <t xml:space="preserve">            MŠMT - program JAK ZŠ K66 (ÚZ 33092 1431,5)</t>
  </si>
  <si>
    <t xml:space="preserve">            MŠMT - program JAK ZŠ K68 (ÚZ 33092 1431,5)</t>
  </si>
  <si>
    <t xml:space="preserve">            MŠMT - program JAK SVČ Fokus (ÚZ 33092 1431,5)</t>
  </si>
  <si>
    <t xml:space="preserve">            MK-progr. regen MPR+Z 2025-restaurování kamen. prvků radnice + obnova podloubí MN1-5 (ÚZ 34054)</t>
  </si>
  <si>
    <t xml:space="preserve">             Peněžitý dar od MSK-soutěž O keramickou popelnici-3.místo (ÚZ 809)</t>
  </si>
  <si>
    <r>
      <t xml:space="preserve">             Zabezpečení oborových soutěží 2025 v okrese NJ  (ÚZ 910) - </t>
    </r>
    <r>
      <rPr>
        <sz val="9"/>
        <rFont val="Arial CE"/>
      </rPr>
      <t>pro SVČ Fokus</t>
    </r>
  </si>
  <si>
    <r>
      <t xml:space="preserve">Převody z rozpočtových účtů </t>
    </r>
    <r>
      <rPr>
        <sz val="9"/>
        <rFont val="Arial CE"/>
      </rPr>
      <t>Sociální fond (Odbor kancelář vedení města)</t>
    </r>
  </si>
  <si>
    <t xml:space="preserve">            Kelímky, kompostéry, myčka (Návštěvnické centrum) EU (úz 15501 1485)</t>
  </si>
  <si>
    <t xml:space="preserve">            EÚ Suvorovova 152 EU (úz 15501 1485)</t>
  </si>
  <si>
    <t xml:space="preserve">          odvod DPH (včetně přenesené daňové povinnosti z účtů výdajového, DPH a odboru bytového)</t>
  </si>
  <si>
    <t xml:space="preserve">          kauce OB, OSM</t>
  </si>
  <si>
    <t>0387/2310/6341</t>
  </si>
  <si>
    <t xml:space="preserve">           Inv. transfer obci Hodslavice na poříz. PD k akci Úpravna vody ve Straníku</t>
  </si>
  <si>
    <t xml:space="preserve">             stavby-zábradlí v k.ú. Straník, p.č.1737/1</t>
  </si>
  <si>
    <t>oprava a údržba místních komunikací  (m.č. Kojetín, m.č. Bludovice, Lamberk - Žilina, ul. Štefánikova - autobusový  záliv)</t>
  </si>
  <si>
    <t xml:space="preserve">             Bezbariérová rampa z chodníkového tělesa ul. Novosady-vstup do objektu bazénu PD</t>
  </si>
  <si>
    <r>
      <t>opravy a údržba chodníků (</t>
    </r>
    <r>
      <rPr>
        <sz val="10"/>
        <color theme="1"/>
        <rFont val="Arial CE"/>
      </rPr>
      <t>Vančurova 1500, cyklopruhy Palackého 350, Dlouhá 400, Valašská 700, Tyršova 400, Hřbitovní 700, ost. 950</t>
    </r>
    <r>
      <rPr>
        <sz val="9"/>
        <color theme="1"/>
        <rFont val="Arial CE"/>
      </rPr>
      <t>)</t>
    </r>
  </si>
  <si>
    <r>
      <t xml:space="preserve">investice: výkupy pozemků - </t>
    </r>
    <r>
      <rPr>
        <sz val="10"/>
        <rFont val="Arial"/>
      </rPr>
      <t>(Pod Skalkou 3 etapa 2860 + ost. 1540 + Na Prachárně 3375,00864)</t>
    </r>
  </si>
  <si>
    <t>investice: Bezdrát - umístění nových hlásičů ( ul. Pod Skalkou, ul. Za Školou)</t>
  </si>
  <si>
    <t xml:space="preserve">                        - opravy a údržba (DH Vančurova 600, Loučka 400, Nerudova 500, ost.1000)</t>
  </si>
  <si>
    <t>DH ul. Novellara ( participativní rozpočet)</t>
  </si>
  <si>
    <t>DH ul. Dlouhá a K. Čapka - revitalizace</t>
  </si>
  <si>
    <t>DH Smetanovy sady u hudebního pavilonu</t>
  </si>
  <si>
    <t>0382/3421/6122</t>
  </si>
  <si>
    <t>DH Luční a Nábřežní</t>
  </si>
  <si>
    <t>voda (fontány, MN sloupky)</t>
  </si>
  <si>
    <t>elektrická energie (MN sloupky, fontány, letní kino)</t>
  </si>
  <si>
    <r>
      <t>opravy a údržba (nátěry dřev. prvků Smet. sady 300, oprava plotu Jiráskova 500, opravy fontán Masarykovo nám., Janáčkovy sady 700</t>
    </r>
    <r>
      <rPr>
        <sz val="10"/>
        <rFont val="Arial CE"/>
      </rPr>
      <t>)</t>
    </r>
  </si>
  <si>
    <t>0382/3613/6121</t>
  </si>
  <si>
    <t>NP-stavby-restaurace Na Prachárně, zábradlí u bazénu Novosady, aj.</t>
  </si>
  <si>
    <t>0382/3631/51xx</t>
  </si>
  <si>
    <t>opravy a údržba (z toho opravy ul. Na Výslunní 800, ost.700 )</t>
  </si>
  <si>
    <t xml:space="preserve">             VO Štefánikova</t>
  </si>
  <si>
    <t xml:space="preserve">             VO Hřbitovní</t>
  </si>
  <si>
    <t xml:space="preserve">             VO K. Schwarze</t>
  </si>
  <si>
    <t xml:space="preserve">             VO B. Martinů, K Nemocnici </t>
  </si>
  <si>
    <t>podstavec pod sochu Solidarita</t>
  </si>
  <si>
    <t>mobiliář město (Lesopark Skalky - odpadkové koše)</t>
  </si>
  <si>
    <t xml:space="preserve">Parkoviště Dlouhá u AZ Sportovní  PD (KSD 16) </t>
  </si>
  <si>
    <t xml:space="preserve">Parkoviště Dlouhá u byt. Domu č.p. 13 -15 PD (KSD 33) </t>
  </si>
  <si>
    <t>Parkoviště Smetanovy sady (před byt. domy  č.p. 8 - 16, 26 - 28) PD (KSD 31)</t>
  </si>
  <si>
    <t>1405/3111/51xx</t>
  </si>
  <si>
    <t xml:space="preserve">MŠ K. Čapka (MŠ Máj) - zateplení objektu, stínící technika </t>
  </si>
  <si>
    <r>
      <rPr>
        <b/>
        <sz val="10"/>
        <rFont val="Arial CE"/>
      </rPr>
      <t xml:space="preserve">Základní školy </t>
    </r>
    <r>
      <rPr>
        <sz val="10"/>
        <rFont val="Arial CE"/>
      </rPr>
      <t>(účet 2310800)</t>
    </r>
  </si>
  <si>
    <t>1603/3311/51xx</t>
  </si>
  <si>
    <t>1906/6171/51xx</t>
  </si>
  <si>
    <t xml:space="preserve">Dům na ul. Resslova 1213/1 (nebyt. prostor) - oprava výloh,  vstup a interiéru  </t>
  </si>
  <si>
    <t>Dům zvláštního určení U Jičínky 2007/25 - PD (oprava střechy, zateplení, koupelny, výtahy)</t>
  </si>
  <si>
    <t>Oprava fasády a střech na objektech Masaryk. nám 45/29 (NC), Masaryk. nám 43/27, Masaryk. nám 44/28 -vnitroblok Laudonovo nádvoří PD</t>
  </si>
  <si>
    <t>Revitalizace domu Msgr. Šrámka 1029/13 PD (vybudování 2 byt. jednotek v 1NP, oprava střechy, fasády, kanalizace a instalační šachty, sklepů)</t>
  </si>
  <si>
    <r>
      <t>Cestovní ruch</t>
    </r>
    <r>
      <rPr>
        <b/>
        <sz val="9"/>
        <rFont val="Arial CE"/>
      </rPr>
      <t xml:space="preserve"> </t>
    </r>
    <r>
      <rPr>
        <sz val="9"/>
        <rFont val="Arial CE"/>
      </rPr>
      <t xml:space="preserve"> (platy 4610+230), dohody 600, soc. poj. 1143,280+57040, zdrav. poj. 414,9+20,7, knihy, tisk 10, drobný hmotný maj. 1300, materiál (kalendáře, upom. Př., tiskoviny,…) 1130, materiál DPH 400, poštovné 1, poštovné DPH 7,5, telefony 10, služby peněž. úst. 50, pronájem 900, služby zprac. dat. 130, nákup služeb (prop. inz., služby, rozvoj podnikání na Novojičínsku, dotace z MSK 200 částečně investiční, neinvestiční) 2050, nákup služeb DPH (služby spojené s kelímky NICKNACK) 235,972, opravy a údržba 130, cestovné 15, pohoštění 200, účast. úpl. 5, ost. nákl. j.n. 50, posk. náhr. 5, neinvest. transfery 200, neinvest. přísp. TSM na Pivobraní 490)</t>
    </r>
  </si>
  <si>
    <r>
      <t>Ost. záležitosti kultury, církví a sdělovacích prostředků</t>
    </r>
    <r>
      <rPr>
        <sz val="10"/>
        <rFont val="Arial CE"/>
      </rPr>
      <t xml:space="preserve">  </t>
    </r>
    <r>
      <rPr>
        <sz val="9"/>
        <rFont val="Arial CE"/>
      </rPr>
      <t>(platby za autorská práva-OSA, Integram, ozvučení náměstí)</t>
    </r>
  </si>
  <si>
    <r>
      <t xml:space="preserve">Obecné příjmy a výdaje z finančních operací </t>
    </r>
    <r>
      <rPr>
        <sz val="9"/>
        <rFont val="Arial CE"/>
      </rPr>
      <t>bankovní poplatky za manipulaci s hotovými penězi Pivobraní</t>
    </r>
  </si>
  <si>
    <r>
      <t xml:space="preserve">Činnost místní správy - </t>
    </r>
    <r>
      <rPr>
        <sz val="10"/>
        <rFont val="Arial CE"/>
      </rPr>
      <t>ostatní platy (refundace vč. pojist.), konzult. a porad. služby, náhrady svědkům</t>
    </r>
  </si>
  <si>
    <r>
      <t xml:space="preserve">                  - příspěvek na údržbu </t>
    </r>
    <r>
      <rPr>
        <sz val="9"/>
        <rFont val="Arial CE"/>
      </rPr>
      <t>(malování a nátěry všech pracovišť 350, výměna podlahových krytin a šatních bloků MŠ Smet. sady 190, mříže oken 62) zapojení FR a FI 270</t>
    </r>
  </si>
  <si>
    <t xml:space="preserve">                 - příspěvek na provoz ( vč. energií 3 170, vč. odpisů z nem. majetku</t>
  </si>
  <si>
    <t xml:space="preserve">           -  příspěvek na provoz MKS a Kina Květen, vč. energií 1 520, vč. odpisů z nem. majetku 178 </t>
  </si>
  <si>
    <t xml:space="preserve">            podpora volnočasových a mimoškolních aktivit dětí z NJ (231 0411 bez org)</t>
  </si>
  <si>
    <t>z toho : platy 19370+840, zák. odvody (4803,76+208,32) +(1743,3+75,6), zdrav. pomůcky 5, výstroj 350, knihy, časopisy a tisk 2, DHM 348, materiál 143, elektř. 35, PHM 264, služby pošt 1, telekomunikace 245, nájemné 30, konzult. a porad. služby 3, školení 149, konference 3, služby 747, opravy a udrž. 275, služby zpracování dat 200, podlimitní progr. vybavení 45, cestovné 17, neinv. přísp.a náhrady-prac.úrazy 50, správní poplatky 16, investice: progr. vybavení, stroje: kamera pro RZ 170, kamera MKDS 150, interaktivní dotyk. tabule 90</t>
  </si>
  <si>
    <t>Chata Jičínka-org. 4381 (v tom: drobný hmotný majetek 80, materiál 20, voda 11, elektr. energie 200, pevná paliva 12,3, PHM 1, služby-praní, odpady,... 30, opravy a udržování 120, místní poplatky 20, investice: další etapa - terénní úpravy - chodníky, parkovací stání)</t>
  </si>
  <si>
    <r>
      <t xml:space="preserve">Krizová opatření </t>
    </r>
    <r>
      <rPr>
        <sz val="9"/>
        <rFont val="Arial CE"/>
      </rPr>
      <t>(čerpá se jen při živelních pohromách: přikrývky, písek+pytle, respirátory, dezinfekce, zabezpečení chodu evak. středisek, teplo, elektrická energie, PHM, služby: ubytovací, stravovací, dopravní)</t>
    </r>
  </si>
  <si>
    <r>
      <t>Ostatní záležitosti civilní připravenosti na krizové stavy</t>
    </r>
    <r>
      <rPr>
        <sz val="10"/>
        <rFont val="Arial CE"/>
      </rPr>
      <t>-Pomoc domácnostem při řeš. následků povodní 2024 v NJ</t>
    </r>
  </si>
  <si>
    <r>
      <t xml:space="preserve">z toho </t>
    </r>
    <r>
      <rPr>
        <b/>
        <sz val="9"/>
        <rFont val="Arial CE"/>
      </rPr>
      <t>provoz</t>
    </r>
    <r>
      <rPr>
        <sz val="9"/>
        <rFont val="Arial CE"/>
      </rPr>
      <t>: činnost místní správy-</t>
    </r>
    <r>
      <rPr>
        <b/>
        <sz val="9"/>
        <rFont val="Arial CE"/>
      </rPr>
      <t>org.381</t>
    </r>
    <r>
      <rPr>
        <sz val="9"/>
        <rFont val="Arial CE"/>
      </rPr>
      <t xml:space="preserve"> v tom: odměny za užití duševního vlastnictví-OSA 40, ochranné pomůcky - OOPP pro nové zaměstnance a obměna stávajících 40, léky a zdrav. materiál 5, knihy+učební pomůcky+tisk 100, Novojičínský zpravodaj 500, drobný hmotný majetek-nábytek 825, klimatizační jednotka lokální 50, telefony, mobily 40, drobný kanc. mat. (skartovačky, fax, sešívačky, ...) 90, kanc. židle 200, skříně, police 50, podlah. krytiny 500, materiál-kancelářský, hygienický, čistící, doručovací obálky, ikebana, automobily-mazadla, nemrznoucí směsi,... 1075, voda 600, teplo 3500, elektr. energie 2550, pevná paliva 1, PHM 170, služby pošt 4100, telekomun.150, nájemné 120, právní služby 129,4, služby BOZP 72,6, bezplatné právní služby pro veřejnost 50, pověřenec 48, zpracování dat 330, služby vč. úklidu, servisu kopírek, elektrorevize 3900, opravy a udržování - servis vozidel 300, opravy židlí 20, příp. škodní události 100, malování, nátěry fasády, opravy oken a dveří 450, Div. 8 garáže - oprava kanalizace, oprava garážových vrat 30,  ostatní opravy 1000, okna ulice Lidická 950, Div. 1 kanalizace 400, Div. 1 střešní okna 950, Div. 8 - brána, zeď, plot, vjezd 700, pohoštění 200, ostatní nákupy (čl. přísp. auditorů a tajemníků) 4,5, daně a poplatky vč. dálničních známek 30, ostatní výdaje 2. </t>
    </r>
  </si>
  <si>
    <r>
      <t xml:space="preserve">z toho </t>
    </r>
    <r>
      <rPr>
        <b/>
        <sz val="9"/>
        <rFont val="Arial CE"/>
      </rPr>
      <t>provoz</t>
    </r>
    <r>
      <rPr>
        <sz val="9"/>
        <rFont val="Arial CE"/>
      </rPr>
      <t>: činnost místní správy-</t>
    </r>
    <r>
      <rPr>
        <b/>
        <sz val="9"/>
        <rFont val="Arial CE"/>
      </rPr>
      <t>org. 381</t>
    </r>
    <r>
      <rPr>
        <sz val="9"/>
        <rFont val="Arial CE"/>
      </rPr>
      <t xml:space="preserve"> v tom: odměny za užití duševního vlastnictví-OSA 40, ochranné pomůcky - OOPP pro nové zaměstnance a obměna stávajících 40, léky a zdrav. materiál 5, knihy+učební pomůcky+tisk 100, Novojičínský zpravodaj 500, drobný hmotný majetek-nábytek </t>
    </r>
    <r>
      <rPr>
        <sz val="9"/>
        <color indexed="2"/>
        <rFont val="Arial CE"/>
      </rPr>
      <t>825+500</t>
    </r>
    <r>
      <rPr>
        <sz val="9"/>
        <rFont val="Arial CE"/>
      </rPr>
      <t xml:space="preserve">, klimatizační jednotka lokální 50, telefony, mobily </t>
    </r>
    <r>
      <rPr>
        <sz val="9"/>
        <color indexed="2"/>
        <rFont val="Arial CE"/>
      </rPr>
      <t>60</t>
    </r>
    <r>
      <rPr>
        <sz val="9"/>
        <rFont val="Arial CE"/>
      </rPr>
      <t xml:space="preserve">, drobný kan. mat. (skartovačky, fax, sešívačky, ...) 90, kan. židle </t>
    </r>
    <r>
      <rPr>
        <sz val="9"/>
        <color indexed="2"/>
        <rFont val="Arial CE"/>
      </rPr>
      <t>300</t>
    </r>
    <r>
      <rPr>
        <sz val="9"/>
        <rFont val="Arial CE"/>
      </rPr>
      <t xml:space="preserve">, skříně, police 50, podlah. rytiny </t>
    </r>
    <r>
      <rPr>
        <sz val="9"/>
        <color indexed="2"/>
        <rFont val="Arial CE"/>
      </rPr>
      <t>700</t>
    </r>
    <r>
      <rPr>
        <sz val="9"/>
        <rFont val="Arial CE"/>
      </rPr>
      <t xml:space="preserve">, materiál-kancelářský, hygienický, čistící, doručovací obálky, ikebana, automobily-mazadla, nemrznoucí směsi,... 1075, voda 600, teplo 3500, elektr. energie 2550, pevná paliva 1, PHM 170, služby pošt 4100, telekomun. 150, nájemné 120, právní služby 129,4, služby BOZP 72,6, bezplatné právní služby pro veřejnost 50, pověřenec 48, zpracování dat 330, služby vč. úklidu, servisu kopírek, elektrorevize 3900, opravy a udržování - servis vozidel 300, opravy židlí 20, příp. škodní události 100, malování, nátěry fasády, opravy oken a dveří 450, repase oken velká zas. </t>
    </r>
    <r>
      <rPr>
        <sz val="9"/>
        <color indexed="2"/>
        <rFont val="Arial CE"/>
      </rPr>
      <t>1000</t>
    </r>
    <r>
      <rPr>
        <sz val="9"/>
        <rFont val="Arial CE"/>
      </rPr>
      <t xml:space="preserve">, Div. 8 garáže - oprava kanalizace, oprava garážových vrat 30,  ostatní opravy 1000, okna ulice Lidická 950, Div. 1 kanalizace 400, Div. 1 střešní okna 950, Div. 8 - brána, zeď, plot, vjezd 700, pohoštění 200, ostatní nákupy (čl. přísp. auditorů a tajemníků) 4,5, daně a poplatky vč. dálničních známek 30, ostatní výdaje 2. </t>
    </r>
  </si>
  <si>
    <r>
      <t xml:space="preserve">z toho </t>
    </r>
    <r>
      <rPr>
        <b/>
        <sz val="9"/>
        <rFont val="Arial CE"/>
      </rPr>
      <t>provoz</t>
    </r>
    <r>
      <rPr>
        <sz val="9"/>
        <rFont val="Arial CE"/>
      </rPr>
      <t>: činnost místní správy-</t>
    </r>
    <r>
      <rPr>
        <b/>
        <sz val="9"/>
        <rFont val="Arial CE"/>
      </rPr>
      <t>org.381</t>
    </r>
    <r>
      <rPr>
        <sz val="9"/>
        <rFont val="Arial CE"/>
      </rPr>
      <t xml:space="preserve"> v tom: odměny za užití duševního vlastnictví-OSA 40, ochranné pomůcky - OOPP pro nové zaměstnance a obměna stávajících 40, léky a zdrav. materiál 5, knihy+učební pomůcky+tisk 100, Novojičínský zpravodaj 500, drobný hmotný majetek-nábytek </t>
    </r>
    <r>
      <rPr>
        <sz val="9"/>
        <color indexed="2"/>
        <rFont val="Arial CE"/>
      </rPr>
      <t>825+1000</t>
    </r>
    <r>
      <rPr>
        <sz val="9"/>
        <rFont val="Arial CE"/>
      </rPr>
      <t>, klimatizační jednotka lokální 50, telefony, mobily 60, drobný kanc. mat. (skartovačky, fax, sešívačky, ...) 90, kanc. židle 300, skříně, police 50, podlah. krytiny</t>
    </r>
    <r>
      <rPr>
        <sz val="9"/>
        <color indexed="2"/>
        <rFont val="Arial CE"/>
      </rPr>
      <t xml:space="preserve"> 1000</t>
    </r>
    <r>
      <rPr>
        <sz val="9"/>
        <rFont val="Arial CE"/>
      </rPr>
      <t xml:space="preserve">, materiál-kancelářský, hygienický, čistící, doručovací obálky, ikebana, automobily-mazadla, nemrznoucí směsi,... 1075, voda 600, teplo 3500, elektr.energie 2550, pevná paliva 1, PHM 170, služby pošt 4100, telekomun.150, nájemné 120, právní služby 129,4, služby BOZP 72,6, bezplatné právní služby pro veřejnost 50, pověřenec 48, zpracování dat 330, služby vč. úklidu, servisu kopírek, elektrorevize 3900, opravy a udržování - servis vozidel 300, opravy židlí 20, příp. škodní události 100, malování, nátěry fasády, opravy oken a dveří 450, repase oken velká zas. 1000, Div. 8 garáže - oprava kanalizace, oprava garážových vrat 30,  ostatní opravy 1000, okna ulice Lidická 950, Div. 1 kanalizace 400, Div. 1 střešní okna 950, Div. 8 - brána, zeď, plot, vjezd 700, pohoštění 200, ostatní nákupy (čl. přísp. auditorů a tajemníků) 4,5, daně a poplatky vč. dálničních známek 30, ostatní výdaje 2. </t>
    </r>
  </si>
  <si>
    <r>
      <t xml:space="preserve">Úsek informatiky </t>
    </r>
    <r>
      <rPr>
        <sz val="9"/>
        <rFont val="Arial CE"/>
      </rPr>
      <t xml:space="preserve">- </t>
    </r>
    <r>
      <rPr>
        <b/>
        <sz val="9"/>
        <rFont val="Arial CE"/>
      </rPr>
      <t>provoz - org.3381</t>
    </r>
    <r>
      <rPr>
        <sz val="9"/>
        <rFont val="Arial CE"/>
      </rPr>
      <t xml:space="preserve"> (v tom: drobný hmotný majetek-nové PC a LCD monitory 200, notebooky, kopírky, tiskárny, velkoplošná TV do auly, drobné síťové prvky, UPS 590, materiál 225, nájemné 40, školení 20, služby zpracování dat 3012,8, ost. služby - kybernetická bezpečnost NIS2 200, opravy a udržování 240, nákup softwaru 70.</t>
    </r>
  </si>
  <si>
    <r>
      <t xml:space="preserve">Úsek informatiky </t>
    </r>
    <r>
      <rPr>
        <sz val="9"/>
        <rFont val="Arial CE"/>
      </rPr>
      <t xml:space="preserve">- </t>
    </r>
    <r>
      <rPr>
        <b/>
        <sz val="9"/>
        <rFont val="Arial CE"/>
      </rPr>
      <t>provoz - org.3381</t>
    </r>
    <r>
      <rPr>
        <sz val="9"/>
        <rFont val="Arial CE"/>
      </rPr>
      <t xml:space="preserve"> (v tom: drobný hmotný majetek-nové PC a LCD monitory </t>
    </r>
    <r>
      <rPr>
        <sz val="9"/>
        <color indexed="2"/>
        <rFont val="Arial CE"/>
      </rPr>
      <t>300,</t>
    </r>
    <r>
      <rPr>
        <sz val="9"/>
        <rFont val="Arial CE"/>
      </rPr>
      <t xml:space="preserve"> notebooky, kopírky, tiskárny, velkoplošná TV do auly, drobné síťové prvky, UPS 590, materiál 225, nájemné 40, školení 20, služby zpracování dat 3012,8, ost. služby - kybernetická bezpečnost NIS2 200, opravy a udržování 240, nákup softwaru 70.</t>
    </r>
  </si>
  <si>
    <r>
      <t>Zastupitelstva obcí</t>
    </r>
    <r>
      <rPr>
        <sz val="9"/>
        <rFont val="Arial CE"/>
      </rPr>
      <t xml:space="preserve"> (ost. platy-refundace mzdy 30, odměny členů ZM 9270, zák. odvody 1071,4+834,3, refund. zák. odvodů 12, školení a vzdělávání pro uvolněné ZM 10, parkovné 0,5, cestovné (ubytování a doprava) 20, pohoštění vč. komisí a výborů 200, poplatky na konference 7, ošatné 90, dary 30)</t>
    </r>
  </si>
  <si>
    <r>
      <t>z toho provoz: činnost místní správy-</t>
    </r>
    <r>
      <rPr>
        <b/>
        <sz val="9"/>
        <rFont val="Arial CE"/>
      </rPr>
      <t>org.381 (bez OSPODu)</t>
    </r>
    <r>
      <rPr>
        <sz val="9"/>
        <rFont val="Arial CE"/>
      </rPr>
      <t xml:space="preserve"> v tom: platy 101960+3850, ost. platy 10, dohody 1500, refundace 10, zák. odvody 25658,1+954,8)+(9311,4+346,5)+600+1, školení a vzdělávání 900, elektronické předplatné 150, léky a zdr. mat. 25, právní služby 50, nákup ostatních služeb 2550, cestovné 300, konference 15, ostatní (ošatné ceremoniářky, matrikářky, hudebníci) 204, náhrady 40</t>
    </r>
  </si>
  <si>
    <r>
      <t>Dotace na OSPOD-</t>
    </r>
    <r>
      <rPr>
        <b/>
        <sz val="10"/>
        <rFont val="Arial CE"/>
      </rPr>
      <t>org. 1385</t>
    </r>
    <r>
      <rPr>
        <sz val="10"/>
        <rFont val="Arial CE"/>
      </rPr>
      <t xml:space="preserve"> </t>
    </r>
    <r>
      <rPr>
        <sz val="9"/>
        <rFont val="Arial CE"/>
      </rPr>
      <t>v tom: platy 7060+275, dohody 30, zák. odvody (1758,3+68,2)+(638,1+24,75), školení 180, cestovné 10</t>
    </r>
  </si>
  <si>
    <t xml:space="preserve">               senior taxi - systém Corrency</t>
  </si>
  <si>
    <r>
      <t>Záležitosti soc. věcí a politiky nezaměstn. j.n.</t>
    </r>
    <r>
      <rPr>
        <b/>
        <sz val="9"/>
        <rFont val="Arial CE"/>
      </rPr>
      <t xml:space="preserve"> </t>
    </r>
    <r>
      <rPr>
        <sz val="9"/>
        <rFont val="Arial CE"/>
      </rPr>
      <t>(nákup tiskopisů receptů a žádanek na omam. látky, vč. zálohy pokl. pro nesvéprávné)</t>
    </r>
  </si>
  <si>
    <t xml:space="preserve">             podpora mobility seniorské populace 70+ z NJ (231 0411 bez org)</t>
  </si>
  <si>
    <t xml:space="preserve">            převod do FSS</t>
  </si>
  <si>
    <r>
      <t xml:space="preserve">z toho </t>
    </r>
    <r>
      <rPr>
        <b/>
        <sz val="10"/>
        <rFont val="Arial CE"/>
      </rPr>
      <t>Denní stacionář=Domovinka</t>
    </r>
    <r>
      <rPr>
        <b/>
        <sz val="9"/>
        <rFont val="Arial CE"/>
      </rPr>
      <t xml:space="preserve"> (org.1391)</t>
    </r>
    <r>
      <rPr>
        <sz val="9"/>
        <rFont val="Arial CE"/>
      </rPr>
      <t xml:space="preserve">: platy 1110+ 445, dohody 60, zákonné odvody275+110 100+40, ochr. os. pomůcky 10, prádlo+oděv 1,5, knihy+tisk 1, DHM 20, materiál 32, elektrická energie 17, služby telekomunikací 1, školení a vzdělávání 10, zpracování dat 14, služby 30, opravy a údržba 50, cestovné 3, účastn. popl. na konferencích 2,5, náhrady mezd v době nemoci </t>
    </r>
  </si>
  <si>
    <r>
      <rPr>
        <b/>
        <sz val="9"/>
        <rFont val="Arial CE"/>
      </rPr>
      <t>2321</t>
    </r>
    <r>
      <rPr>
        <sz val="9"/>
        <rFont val="Arial CE"/>
      </rPr>
      <t>/6371</t>
    </r>
  </si>
  <si>
    <t xml:space="preserve">            Dotace na vybudování malých domovních čistíren odpadních vod</t>
  </si>
  <si>
    <t xml:space="preserve">             nákup TV Hisense</t>
  </si>
  <si>
    <r>
      <t xml:space="preserve">          - nákup DDHM a ost. materiálu  </t>
    </r>
    <r>
      <rPr>
        <sz val="8"/>
        <color theme="1"/>
        <rFont val="Arial CE"/>
      </rPr>
      <t xml:space="preserve">5137 </t>
    </r>
    <r>
      <rPr>
        <sz val="9"/>
        <color theme="1"/>
        <rFont val="Arial CE"/>
      </rPr>
      <t xml:space="preserve">(židle a tiskárna, sklad.kontejner+10ks lehátek, fén, držák TV), 5139 </t>
    </r>
  </si>
  <si>
    <t xml:space="preserve">          - úročení vrácené peněžní jistoty VZ Rekonstrukce venkovního bazénu NJ</t>
  </si>
  <si>
    <t>Poskytnuté náhrady-pol 5909 (přeplatky z vyúčtování služeb nájemcům z min let)</t>
  </si>
  <si>
    <t>ZŠ K66 - obědy do škol -vratka části dotace 2024</t>
  </si>
  <si>
    <t xml:space="preserve">             vratka části dotace JAK (úz 33092 1431,5 ZŠ+MŠ Jub)</t>
  </si>
  <si>
    <t xml:space="preserve">             vratka části dotace JAK (úz 33092 1431,5 ZŠ K68)</t>
  </si>
  <si>
    <t>Příjem z dílčí daně z tech.her</t>
  </si>
  <si>
    <r>
      <t xml:space="preserve">Příjem z ostatních odvodů příspěvkových organizací </t>
    </r>
    <r>
      <rPr>
        <sz val="9"/>
        <rFont val="Arial CE"/>
      </rPr>
      <t>(splátky z exe býv.účetní ZŠ K68)</t>
    </r>
    <r>
      <rPr>
        <b/>
        <i/>
        <sz val="9"/>
        <rFont val="Arial CE"/>
      </rPr>
      <t xml:space="preserve"> </t>
    </r>
    <r>
      <rPr>
        <b/>
        <i/>
        <sz val="9"/>
        <color indexed="2"/>
        <rFont val="Arial CE"/>
      </rPr>
      <t xml:space="preserve"> </t>
    </r>
    <r>
      <rPr>
        <b/>
        <i/>
        <sz val="9"/>
        <rFont val="Arial CE"/>
      </rPr>
      <t xml:space="preserve">   </t>
    </r>
    <r>
      <rPr>
        <sz val="9"/>
        <rFont val="Arial CE"/>
      </rPr>
      <t xml:space="preserve">      </t>
    </r>
  </si>
  <si>
    <t xml:space="preserve">             § 3311 odbor rozvoje a inv - smluvní pokuty</t>
  </si>
  <si>
    <t xml:space="preserve">             § 3412 odbor rozvoje a inv - smluvní pokuty</t>
  </si>
  <si>
    <t xml:space="preserve">             § 3722 odbor rozvoje a inv - smluvní pokuty</t>
  </si>
  <si>
    <t xml:space="preserve">             § 3113 ZŠ+MŠ Jub vratka části přísp 2022 obědy do škol</t>
  </si>
  <si>
    <t xml:space="preserve">             § 6402 ZS K68 vratka nevyčerp.dotace 2024 JAK úz 33092 NáZ 143 1,5</t>
  </si>
  <si>
    <t xml:space="preserve">           § 4399 ostatní záležitosti soc.věcí</t>
  </si>
  <si>
    <t xml:space="preserve">            MK-progr.regen MPR+Z 2025-restaurování kamen.prvků radnice + obnova podloubí MN1-5</t>
  </si>
  <si>
    <t xml:space="preserve">            Fond sociálních služeb (odbor soc.věcí)</t>
  </si>
  <si>
    <t xml:space="preserve">            Kelímky, kompostery, myčka (Návštěvnické centrum) EU (úz 15501 1465)</t>
  </si>
  <si>
    <t xml:space="preserve">            Kelímky, kompostery, myčka (Návštěvnické centrum) EU (úz 15501 1485)</t>
  </si>
  <si>
    <t xml:space="preserve">           Inv.transfer obci Hodslavice na poříz.PD k akci Úpravna vody ve Straníku</t>
  </si>
  <si>
    <t xml:space="preserve">             stavby-zábradlí v k.ú.Straník, p.č.1737/1</t>
  </si>
  <si>
    <t xml:space="preserve">             Bezbariérová rampa z chodníkového tělesa ul.Novosady-vstup do objektu bazénu PD</t>
  </si>
  <si>
    <t>DH ul. Dlouhá a K.Čapka - revitalizace</t>
  </si>
  <si>
    <t xml:space="preserve">             VO K.Schwarze</t>
  </si>
  <si>
    <t xml:space="preserve">Čerťák 3. etapa - 2. část (volejbalový kurt, malé travnaté hřiště, úprava travnatého ostrůvku na parkovišti, zeleň,mobiliář) </t>
  </si>
  <si>
    <t xml:space="preserve"> MŠ K. Čapka (MŠ Máj) - zateplení objektu,stínící technika </t>
  </si>
  <si>
    <t xml:space="preserve">Budova Divadelní 1 - rekontrukce vstupu, vestibulu, nová jednací místnost  </t>
  </si>
  <si>
    <t>Dům na ul. Gen. Hlaďo 758/22 (Čedok) - oprava střechy, fasády, sklepy, výměna oken,instalační šachty PD</t>
  </si>
  <si>
    <t>Dům zvláštního určení U Jičínky 2007/25 - PD (oprava střechy, zateplení, koupelny,výtahy)</t>
  </si>
  <si>
    <t>MŠ Husova 1 (Beruška) fasáda,střecha, kotelna PD</t>
  </si>
  <si>
    <r>
      <t xml:space="preserve">                - přísp.na údržbu</t>
    </r>
    <r>
      <rPr>
        <sz val="9"/>
        <rFont val="Arial CE"/>
      </rPr>
      <t xml:space="preserve"> (Jubilejní: malování a nátěry 275, oprava obkladů soc.zař. 900) ZŠ Dlouhá malování a nátěry 275, výměna dveří s hliníkovým rámem MŠ 115, oprava prostor pro prádelnu 190, oprava dřevěného obkladu v tělocvičně 280, oprava rozvodu vody MŠ Dlouhá 170, oprava prosklených stěn 160) po zapojení FR a FI 550 tis. Kč </t>
    </r>
  </si>
  <si>
    <t xml:space="preserve">                 - příspěvek na provoz ( vč.energií 3 170, vč.odpisů z nem.majetku</t>
  </si>
  <si>
    <r>
      <t xml:space="preserve">                 - příspěvek na údržbu</t>
    </r>
    <r>
      <rPr>
        <sz val="9"/>
        <rFont val="Arial CE"/>
      </rPr>
      <t xml:space="preserve"> (malování, nátěry a sádrokartonová stěna 250, výměna PVC v učebnách a na chodbě 240, oprava odvodnění střechy - zachytávání sněhu, přístavba 430, oprava dlažby v ssuterénu - šatny 200) zapojení FI a FR 1 000)</t>
    </r>
  </si>
  <si>
    <t xml:space="preserve">                - příspěvek na údržbu (reniovace stolů 40, akustické panely do sálu 30, táhla na okna 29, panikové kování výměna dveří 120)</t>
  </si>
  <si>
    <t xml:space="preserve">                - příspěvek na investice (klimatizace kanceláří 250, defibrilátor 44) zapjení FI a FR 44 </t>
  </si>
  <si>
    <t xml:space="preserve">             příspěvek na investice (kamerový systém 423, aktivní dvu pásmové reproduktory do velkého sálu 415) zapojení FI a FR 500</t>
  </si>
  <si>
    <r>
      <t xml:space="preserve">          - nákup DDHM a ost.materiálu  </t>
    </r>
    <r>
      <rPr>
        <sz val="8"/>
        <color theme="1"/>
        <rFont val="Arial CE"/>
      </rPr>
      <t xml:space="preserve">5137 (židle a tiskárna, sklad.kontejner+10ks lehátek, fén, držák TV), 5139 </t>
    </r>
  </si>
  <si>
    <t>rok 2025</t>
  </si>
  <si>
    <t xml:space="preserve"> +  převod FSS</t>
  </si>
  <si>
    <t>ř.4150</t>
  </si>
  <si>
    <t xml:space="preserve"> +  převod soc. fond + FSS</t>
  </si>
  <si>
    <t xml:space="preserve"> 741 / 6330 / 53*</t>
  </si>
  <si>
    <r>
      <t>Příjmy z prodeje pozemků s DPH 21%</t>
    </r>
    <r>
      <rPr>
        <b/>
        <sz val="9"/>
        <rFont val="Arial CE"/>
      </rPr>
      <t xml:space="preserve"> </t>
    </r>
    <r>
      <rPr>
        <sz val="9"/>
        <rFont val="Arial CE"/>
      </rPr>
      <t>(Za Školou 1700, ost. 600, Hřebčín Žilina 5424,45 vč. DPH)</t>
    </r>
  </si>
  <si>
    <t xml:space="preserve">           Revitalizace veřejného prostranství Horního nádraží (ÚZ 612)</t>
  </si>
  <si>
    <t xml:space="preserve">           Lávka na ul. Novosady v Novém Jičíně (ÚZ 712)</t>
  </si>
  <si>
    <r>
      <t xml:space="preserve">Ostatní převody z vlastních fondů </t>
    </r>
    <r>
      <rPr>
        <sz val="9"/>
        <rFont val="Arial CE"/>
      </rPr>
      <t>Fond sociálních služeb (Odbor soc. věcí)</t>
    </r>
  </si>
  <si>
    <t xml:space="preserve">             § 2223 pokuty za dopravní přestupky (Odbor přestupkových agend)</t>
  </si>
</sst>
</file>

<file path=xl/styles.xml><?xml version="1.0" encoding="utf-8"?>
<styleSheet xmlns="http://schemas.openxmlformats.org/spreadsheetml/2006/main" xmlns:mc="http://schemas.openxmlformats.org/markup-compatibility/2006" xmlns:x14ac="http://schemas.microsoft.com/office/spreadsheetml/2009/9/ac" mc:Ignorable="x14ac">
  <numFmts count="7">
    <numFmt numFmtId="44" formatCode="_-* #,##0.00\ &quot;Kč&quot;_-;\-* #,##0.00\ &quot;Kč&quot;_-;_-* &quot;-&quot;??\ &quot;Kč&quot;_-;_-@_-"/>
    <numFmt numFmtId="43" formatCode="_-* #,##0.00\ _K_č_-;\-* #,##0.00\ _K_č_-;_-* &quot;-&quot;??\ _K_č_-;_-@_-"/>
    <numFmt numFmtId="164" formatCode="_-* #,##0.00\ _K_č_-;\-* #,##0.00\ _K_č_-;_-* \-??\ _K_č_-;_-@_-"/>
    <numFmt numFmtId="165" formatCode="#,##0.000"/>
    <numFmt numFmtId="166" formatCode="0.0"/>
    <numFmt numFmtId="167" formatCode="0.000"/>
    <numFmt numFmtId="168" formatCode="d/m/yyyy;@"/>
  </numFmts>
  <fonts count="86" x14ac:knownFonts="1">
    <font>
      <sz val="10"/>
      <color theme="1"/>
      <name val="Arial CE"/>
    </font>
    <font>
      <sz val="10"/>
      <name val="Arial CE"/>
    </font>
    <font>
      <sz val="11"/>
      <color theme="1"/>
      <name val="Calibri"/>
      <scheme val="minor"/>
    </font>
    <font>
      <sz val="11"/>
      <color rgb="FF9C0006"/>
      <name val="Calibri"/>
      <scheme val="minor"/>
    </font>
    <font>
      <sz val="11"/>
      <color indexed="64"/>
      <name val="Calibri"/>
    </font>
    <font>
      <sz val="10"/>
      <name val="Arial"/>
    </font>
    <font>
      <b/>
      <sz val="10"/>
      <name val="Arial CE"/>
    </font>
    <font>
      <b/>
      <sz val="12"/>
      <name val="Arial CE"/>
    </font>
    <font>
      <b/>
      <sz val="14"/>
      <name val="Arial CE"/>
    </font>
    <font>
      <b/>
      <sz val="9"/>
      <name val="Arial CE"/>
    </font>
    <font>
      <sz val="14"/>
      <name val="Arial CE"/>
    </font>
    <font>
      <sz val="12"/>
      <name val="Arial CE"/>
    </font>
    <font>
      <b/>
      <i/>
      <sz val="12"/>
      <name val="Arial CE"/>
    </font>
    <font>
      <i/>
      <sz val="12"/>
      <name val="Arial CE"/>
    </font>
    <font>
      <sz val="18"/>
      <name val="Arial CE"/>
    </font>
    <font>
      <b/>
      <sz val="18"/>
      <name val="Arial CE"/>
    </font>
    <font>
      <b/>
      <sz val="16"/>
      <name val="Arial CE"/>
    </font>
    <font>
      <b/>
      <i/>
      <sz val="14"/>
      <name val="Arial CE"/>
    </font>
    <font>
      <b/>
      <i/>
      <sz val="13"/>
      <name val="Arial CE"/>
    </font>
    <font>
      <sz val="16"/>
      <name val="Arial CE"/>
    </font>
    <font>
      <sz val="10"/>
      <color indexed="64"/>
      <name val="Arial"/>
    </font>
    <font>
      <sz val="9"/>
      <name val="Arial CE"/>
    </font>
    <font>
      <b/>
      <sz val="20"/>
      <name val="Arial CE"/>
    </font>
    <font>
      <sz val="20"/>
      <name val="Arial CE"/>
    </font>
    <font>
      <sz val="8"/>
      <name val="Arial CE"/>
    </font>
    <font>
      <sz val="10"/>
      <color indexed="64"/>
      <name val="Arial CE"/>
    </font>
    <font>
      <b/>
      <sz val="12"/>
      <color indexed="64"/>
      <name val="Arial CE"/>
    </font>
    <font>
      <b/>
      <sz val="15"/>
      <name val="Arial CE"/>
    </font>
    <font>
      <sz val="9"/>
      <name val="Arial"/>
    </font>
    <font>
      <sz val="11"/>
      <name val="Calibri"/>
    </font>
    <font>
      <sz val="10"/>
      <color indexed="40"/>
      <name val="Arial CE"/>
    </font>
    <font>
      <sz val="10"/>
      <color indexed="30"/>
      <name val="Arial CE"/>
    </font>
    <font>
      <b/>
      <i/>
      <sz val="10"/>
      <name val="Arial CE"/>
    </font>
    <font>
      <u/>
      <sz val="9"/>
      <name val="Arial CE"/>
    </font>
    <font>
      <b/>
      <sz val="10"/>
      <name val="Arial"/>
    </font>
    <font>
      <b/>
      <i/>
      <sz val="10"/>
      <name val="Arial"/>
    </font>
    <font>
      <sz val="10"/>
      <color indexed="2"/>
      <name val="Arial"/>
    </font>
    <font>
      <b/>
      <sz val="10"/>
      <color indexed="2"/>
      <name val="Arial"/>
    </font>
    <font>
      <i/>
      <sz val="10"/>
      <name val="Arial CE"/>
    </font>
    <font>
      <i/>
      <sz val="10"/>
      <name val="Arial"/>
    </font>
    <font>
      <i/>
      <sz val="11"/>
      <name val="Calibri"/>
    </font>
    <font>
      <sz val="14"/>
      <name val="Arial"/>
    </font>
    <font>
      <b/>
      <sz val="10"/>
      <color indexed="64"/>
      <name val="Arial CE"/>
    </font>
    <font>
      <b/>
      <sz val="10"/>
      <color indexed="2"/>
      <name val="Arial CE"/>
    </font>
    <font>
      <sz val="8"/>
      <color theme="1"/>
      <name val="Arial CE"/>
    </font>
    <font>
      <b/>
      <sz val="14"/>
      <color theme="1"/>
      <name val="Arial CE"/>
    </font>
    <font>
      <b/>
      <sz val="12"/>
      <name val="Arial"/>
    </font>
    <font>
      <sz val="11"/>
      <name val="Arial"/>
    </font>
    <font>
      <b/>
      <sz val="14"/>
      <name val="Arial"/>
    </font>
    <font>
      <sz val="10"/>
      <color rgb="FFC00000"/>
      <name val="Arial CE"/>
    </font>
    <font>
      <sz val="9"/>
      <color theme="4" tint="-0.249977111117893"/>
      <name val="Tahoma"/>
    </font>
    <font>
      <sz val="9"/>
      <name val="Tahoma"/>
    </font>
    <font>
      <b/>
      <sz val="9"/>
      <name val="Tahoma"/>
    </font>
    <font>
      <b/>
      <sz val="12"/>
      <name val="Tahoma"/>
    </font>
    <font>
      <b/>
      <sz val="9"/>
      <color theme="4" tint="-0.249977111117893"/>
      <name val="Tahoma"/>
    </font>
    <font>
      <sz val="9"/>
      <color indexed="2"/>
      <name val="Tahoma"/>
    </font>
    <font>
      <b/>
      <sz val="8"/>
      <name val="Tahoma"/>
    </font>
    <font>
      <b/>
      <sz val="8"/>
      <color indexed="2"/>
      <name val="Tahoma"/>
    </font>
    <font>
      <sz val="8"/>
      <color indexed="2"/>
      <name val="Tahoma"/>
    </font>
    <font>
      <sz val="8"/>
      <name val="Tahoma"/>
    </font>
    <font>
      <i/>
      <sz val="12"/>
      <name val="Arial"/>
    </font>
    <font>
      <b/>
      <sz val="14"/>
      <color indexed="64"/>
      <name val="Arial CE"/>
    </font>
    <font>
      <sz val="11"/>
      <name val="Calibri"/>
      <scheme val="minor"/>
    </font>
    <font>
      <sz val="10"/>
      <color theme="1"/>
      <name val="Arial"/>
    </font>
    <font>
      <b/>
      <sz val="10"/>
      <color theme="1"/>
      <name val="Arial CE"/>
    </font>
    <font>
      <b/>
      <i/>
      <sz val="10"/>
      <color theme="1"/>
      <name val="Arial CE"/>
    </font>
    <font>
      <i/>
      <sz val="10"/>
      <color theme="1"/>
      <name val="Arial CE"/>
    </font>
    <font>
      <b/>
      <sz val="16"/>
      <name val="Arial"/>
    </font>
    <font>
      <sz val="16"/>
      <name val="Arial"/>
    </font>
    <font>
      <sz val="10"/>
      <color indexed="2"/>
      <name val="Arial CE"/>
    </font>
    <font>
      <sz val="11"/>
      <name val="Arial CE"/>
    </font>
    <font>
      <b/>
      <sz val="11"/>
      <name val="Arial CE"/>
    </font>
    <font>
      <i/>
      <sz val="9"/>
      <name val="Arial CE"/>
    </font>
    <font>
      <b/>
      <i/>
      <sz val="9"/>
      <name val="Arial CE"/>
    </font>
    <font>
      <b/>
      <i/>
      <u/>
      <sz val="10"/>
      <name val="Arial"/>
    </font>
    <font>
      <sz val="8"/>
      <name val="Arial"/>
    </font>
    <font>
      <sz val="9"/>
      <color indexed="2"/>
      <name val="Arial CE"/>
    </font>
    <font>
      <b/>
      <i/>
      <sz val="9"/>
      <color indexed="2"/>
      <name val="Arial CE"/>
    </font>
    <font>
      <sz val="9"/>
      <color theme="1"/>
      <name val="Arial CE"/>
    </font>
    <font>
      <b/>
      <sz val="9"/>
      <color indexed="2"/>
      <name val="Arial CE"/>
    </font>
    <font>
      <sz val="10"/>
      <color rgb="FF0070C0"/>
      <name val="Arial CE"/>
    </font>
    <font>
      <sz val="10"/>
      <color theme="9"/>
      <name val="Arial CE"/>
    </font>
    <font>
      <sz val="10"/>
      <color indexed="4"/>
      <name val="Arial CE"/>
    </font>
    <font>
      <strike/>
      <sz val="11"/>
      <color indexed="2"/>
      <name val="Calibri"/>
      <scheme val="minor"/>
    </font>
    <font>
      <b/>
      <sz val="9"/>
      <name val="Arial"/>
    </font>
    <font>
      <sz val="9"/>
      <color theme="1"/>
      <name val="Arial"/>
    </font>
  </fonts>
  <fills count="14">
    <fill>
      <patternFill patternType="none"/>
    </fill>
    <fill>
      <patternFill patternType="gray125"/>
    </fill>
    <fill>
      <patternFill patternType="solid">
        <fgColor indexed="26"/>
      </patternFill>
    </fill>
    <fill>
      <patternFill patternType="solid">
        <fgColor rgb="FFFFC7CE"/>
      </patternFill>
    </fill>
    <fill>
      <patternFill patternType="solid">
        <fgColor indexed="65"/>
        <bgColor indexed="26"/>
      </patternFill>
    </fill>
    <fill>
      <patternFill patternType="solid">
        <fgColor indexed="42"/>
        <bgColor indexed="27"/>
      </patternFill>
    </fill>
    <fill>
      <patternFill patternType="solid">
        <fgColor indexed="47"/>
        <bgColor indexed="22"/>
      </patternFill>
    </fill>
    <fill>
      <patternFill patternType="solid">
        <fgColor theme="0"/>
      </patternFill>
    </fill>
    <fill>
      <patternFill patternType="solid">
        <fgColor theme="7" tint="0.59999389629810485"/>
        <bgColor indexed="65"/>
      </patternFill>
    </fill>
    <fill>
      <patternFill patternType="solid">
        <fgColor indexed="47"/>
        <bgColor indexed="47"/>
      </patternFill>
    </fill>
    <fill>
      <patternFill patternType="solid">
        <fgColor theme="7" tint="0.79998168889431442"/>
        <bgColor indexed="65"/>
      </patternFill>
    </fill>
    <fill>
      <patternFill patternType="solid">
        <fgColor indexed="65"/>
      </patternFill>
    </fill>
    <fill>
      <patternFill patternType="solid">
        <fgColor theme="0"/>
        <bgColor theme="0"/>
      </patternFill>
    </fill>
    <fill>
      <patternFill patternType="solid">
        <fgColor indexed="5"/>
      </patternFill>
    </fill>
  </fills>
  <borders count="288">
    <border>
      <left/>
      <right/>
      <top/>
      <bottom/>
      <diagonal/>
    </border>
    <border>
      <left style="thin">
        <color indexed="22"/>
      </left>
      <right style="thin">
        <color indexed="22"/>
      </right>
      <top style="thin">
        <color indexed="22"/>
      </top>
      <bottom style="thin">
        <color indexed="22"/>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hair">
        <color indexed="64"/>
      </bottom>
      <diagonal/>
    </border>
    <border>
      <left style="medium">
        <color indexed="64"/>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hair">
        <color indexed="64"/>
      </top>
      <bottom/>
      <diagonal/>
    </border>
    <border>
      <left style="medium">
        <color indexed="64"/>
      </left>
      <right style="medium">
        <color indexed="64"/>
      </right>
      <top style="hair">
        <color indexed="64"/>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hair">
        <color indexed="64"/>
      </bottom>
      <diagonal/>
    </border>
    <border>
      <left style="medium">
        <color indexed="64"/>
      </left>
      <right/>
      <top/>
      <bottom style="hair">
        <color indexed="64"/>
      </bottom>
      <diagonal/>
    </border>
    <border>
      <left style="medium">
        <color indexed="64"/>
      </left>
      <right/>
      <top/>
      <bottom style="medium">
        <color indexed="64"/>
      </bottom>
      <diagonal/>
    </border>
    <border>
      <left style="medium">
        <color indexed="64"/>
      </left>
      <right/>
      <top style="hair">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bottom style="hair">
        <color indexed="64"/>
      </bottom>
      <diagonal/>
    </border>
    <border>
      <left/>
      <right/>
      <top style="hair">
        <color indexed="64"/>
      </top>
      <bottom style="hair">
        <color indexed="64"/>
      </bottom>
      <diagonal/>
    </border>
    <border>
      <left style="medium">
        <color indexed="64"/>
      </left>
      <right/>
      <top style="hair">
        <color indexed="64"/>
      </top>
      <bottom/>
      <diagonal/>
    </border>
    <border>
      <left/>
      <right style="medium">
        <color indexed="64"/>
      </right>
      <top style="hair">
        <color indexed="64"/>
      </top>
      <bottom style="hair">
        <color indexed="64"/>
      </bottom>
      <diagonal/>
    </border>
    <border>
      <left/>
      <right style="medium">
        <color indexed="64"/>
      </right>
      <top style="hair">
        <color indexed="64"/>
      </top>
      <bottom/>
      <diagonal/>
    </border>
    <border>
      <left style="medium">
        <color indexed="64"/>
      </left>
      <right/>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style="medium">
        <color indexed="64"/>
      </top>
      <bottom style="hair">
        <color indexed="64"/>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style="thin">
        <color indexed="64"/>
      </left>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hair">
        <color indexed="64"/>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hair">
        <color indexed="64"/>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diagonal/>
    </border>
    <border>
      <left style="thin">
        <color indexed="64"/>
      </left>
      <right/>
      <top style="hair">
        <color indexed="64"/>
      </top>
      <bottom/>
      <diagonal/>
    </border>
    <border>
      <left/>
      <right/>
      <top style="hair">
        <color indexed="64"/>
      </top>
      <bottom/>
      <diagonal/>
    </border>
    <border>
      <left style="thin">
        <color indexed="64"/>
      </left>
      <right/>
      <top/>
      <bottom style="hair">
        <color indexed="64"/>
      </bottom>
      <diagonal/>
    </border>
    <border>
      <left/>
      <right/>
      <top/>
      <bottom style="hair">
        <color indexed="64"/>
      </bottom>
      <diagonal/>
    </border>
    <border>
      <left/>
      <right style="medium">
        <color indexed="64"/>
      </right>
      <top/>
      <bottom/>
      <diagonal/>
    </border>
    <border>
      <left/>
      <right style="thin">
        <color indexed="64"/>
      </right>
      <top/>
      <bottom style="thin">
        <color indexed="64"/>
      </bottom>
      <diagonal/>
    </border>
    <border>
      <left style="thin">
        <color indexed="64"/>
      </left>
      <right style="thin">
        <color indexed="64"/>
      </right>
      <top style="medium">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style="medium">
        <color indexed="64"/>
      </left>
      <right style="medium">
        <color indexed="64"/>
      </right>
      <top/>
      <bottom style="thin">
        <color indexed="64"/>
      </bottom>
      <diagonal/>
    </border>
    <border>
      <left style="hair">
        <color indexed="64"/>
      </left>
      <right style="thin">
        <color indexed="64"/>
      </right>
      <top style="hair">
        <color indexed="64"/>
      </top>
      <bottom style="hair">
        <color indexed="64"/>
      </bottom>
      <diagonal/>
    </border>
    <border>
      <left style="medium">
        <color indexed="64"/>
      </left>
      <right style="medium">
        <color indexed="64"/>
      </right>
      <top style="thin">
        <color indexed="64"/>
      </top>
      <bottom style="hair">
        <color indexed="64"/>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hair">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right style="thin">
        <color indexed="64"/>
      </right>
      <top style="thin">
        <color indexed="64"/>
      </top>
      <bottom/>
      <diagonal/>
    </border>
    <border>
      <left/>
      <right style="medium">
        <color indexed="64"/>
      </right>
      <top style="medium">
        <color indexed="64"/>
      </top>
      <bottom style="medium">
        <color indexed="64"/>
      </bottom>
      <diagonal/>
    </border>
    <border>
      <left style="medium">
        <color auto="1"/>
      </left>
      <right style="medium">
        <color auto="1"/>
      </right>
      <top style="medium">
        <color auto="1"/>
      </top>
      <bottom style="medium">
        <color indexed="64"/>
      </bottom>
      <diagonal/>
    </border>
    <border>
      <left style="medium">
        <color auto="1"/>
      </left>
      <right style="medium">
        <color indexed="64"/>
      </right>
      <top style="medium">
        <color auto="1"/>
      </top>
      <bottom style="medium">
        <color indexed="64"/>
      </bottom>
      <diagonal/>
    </border>
    <border>
      <left style="medium">
        <color indexed="64"/>
      </left>
      <right style="medium">
        <color indexed="64"/>
      </right>
      <top style="medium">
        <color auto="1"/>
      </top>
      <bottom style="medium">
        <color indexed="64"/>
      </bottom>
      <diagonal/>
    </border>
    <border>
      <left style="medium">
        <color indexed="64"/>
      </left>
      <right style="medium">
        <color auto="1"/>
      </right>
      <top style="medium">
        <color auto="1"/>
      </top>
      <bottom style="medium">
        <color indexed="64"/>
      </bottom>
      <diagonal/>
    </border>
    <border>
      <left style="medium">
        <color indexed="64"/>
      </left>
      <right/>
      <top style="medium">
        <color indexed="64"/>
      </top>
      <bottom/>
      <diagonal/>
    </border>
    <border>
      <left style="medium">
        <color auto="1"/>
      </left>
      <right style="medium">
        <color auto="1"/>
      </right>
      <top style="medium">
        <color auto="1"/>
      </top>
      <bottom style="medium">
        <color auto="1"/>
      </bottom>
      <diagonal/>
    </border>
    <border>
      <left style="medium">
        <color auto="1"/>
      </left>
      <right style="medium">
        <color auto="1"/>
      </right>
      <top style="medium">
        <color indexed="64"/>
      </top>
      <bottom style="medium">
        <color indexed="64"/>
      </bottom>
      <diagonal/>
    </border>
    <border>
      <left style="medium">
        <color auto="1"/>
      </left>
      <right style="medium">
        <color indexed="64"/>
      </right>
      <top/>
      <bottom style="medium">
        <color indexed="64"/>
      </bottom>
      <diagonal/>
    </border>
    <border>
      <left style="medium">
        <color auto="1"/>
      </left>
      <right/>
      <top style="medium">
        <color auto="1"/>
      </top>
      <bottom style="medium">
        <color auto="1"/>
      </bottom>
      <diagonal/>
    </border>
    <border>
      <left style="medium">
        <color auto="1"/>
      </left>
      <right style="medium">
        <color auto="1"/>
      </right>
      <top style="medium">
        <color indexed="64"/>
      </top>
      <bottom style="medium">
        <color auto="1"/>
      </bottom>
      <diagonal/>
    </border>
    <border>
      <left style="medium">
        <color auto="1"/>
      </left>
      <right style="medium">
        <color indexed="64"/>
      </right>
      <top style="medium">
        <color indexed="64"/>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auto="1"/>
      </left>
      <right style="medium">
        <color indexed="64"/>
      </right>
      <top style="medium">
        <color indexed="64"/>
      </top>
      <bottom/>
      <diagonal/>
    </border>
    <border>
      <left/>
      <right style="medium">
        <color auto="1"/>
      </right>
      <top style="medium">
        <color auto="1"/>
      </top>
      <bottom style="medium">
        <color auto="1"/>
      </bottom>
      <diagonal/>
    </border>
    <border>
      <left/>
      <right/>
      <top/>
      <bottom style="medium">
        <color indexed="64"/>
      </bottom>
      <diagonal/>
    </border>
    <border>
      <left/>
      <right style="medium">
        <color indexed="64"/>
      </right>
      <top/>
      <bottom style="medium">
        <color indexed="64"/>
      </bottom>
      <diagonal/>
    </border>
    <border>
      <left style="medium">
        <color auto="1"/>
      </left>
      <right style="medium">
        <color auto="1"/>
      </right>
      <top/>
      <bottom style="medium">
        <color indexed="64"/>
      </bottom>
      <diagonal/>
    </border>
    <border>
      <left/>
      <right style="medium">
        <color indexed="64"/>
      </right>
      <top style="medium">
        <color auto="1"/>
      </top>
      <bottom style="medium">
        <color auto="1"/>
      </bottom>
      <diagonal/>
    </border>
    <border>
      <left style="medium">
        <color indexed="64"/>
      </left>
      <right style="medium">
        <color indexed="64"/>
      </right>
      <top style="medium">
        <color auto="1"/>
      </top>
      <bottom style="medium">
        <color auto="1"/>
      </bottom>
      <diagonal/>
    </border>
    <border>
      <left style="medium">
        <color indexed="64"/>
      </left>
      <right/>
      <top style="medium">
        <color auto="1"/>
      </top>
      <bottom style="medium">
        <color auto="1"/>
      </bottom>
      <diagonal/>
    </border>
    <border>
      <left style="medium">
        <color auto="1"/>
      </left>
      <right style="medium">
        <color indexed="64"/>
      </right>
      <top style="medium">
        <color indexed="64"/>
      </top>
      <bottom style="medium">
        <color auto="1"/>
      </bottom>
      <diagonal/>
    </border>
    <border>
      <left style="medium">
        <color indexed="64"/>
      </left>
      <right style="medium">
        <color indexed="64"/>
      </right>
      <top style="medium">
        <color indexed="64"/>
      </top>
      <bottom style="medium">
        <color auto="1"/>
      </bottom>
      <diagonal/>
    </border>
    <border>
      <left style="medium">
        <color indexed="64"/>
      </left>
      <right/>
      <top style="medium">
        <color indexed="64"/>
      </top>
      <bottom style="medium">
        <color auto="1"/>
      </bottom>
      <diagonal/>
    </border>
    <border>
      <left/>
      <right style="medium">
        <color auto="1"/>
      </right>
      <top style="medium">
        <color auto="1"/>
      </top>
      <bottom style="medium">
        <color indexed="64"/>
      </bottom>
      <diagonal/>
    </border>
    <border>
      <left/>
      <right style="medium">
        <color auto="1"/>
      </right>
      <top style="medium">
        <color indexed="64"/>
      </top>
      <bottom style="medium">
        <color indexed="64"/>
      </bottom>
      <diagonal/>
    </border>
    <border>
      <left style="medium">
        <color auto="1"/>
      </left>
      <right style="medium">
        <color auto="1"/>
      </right>
      <top style="medium">
        <color auto="1"/>
      </top>
      <bottom/>
      <diagonal/>
    </border>
    <border>
      <left style="medium">
        <color auto="1"/>
      </left>
      <right style="medium">
        <color auto="1"/>
      </right>
      <top/>
      <bottom style="hair">
        <color indexed="64"/>
      </bottom>
      <diagonal/>
    </border>
    <border>
      <left/>
      <right style="medium">
        <color auto="1"/>
      </right>
      <top/>
      <bottom style="hair">
        <color indexed="64"/>
      </bottom>
      <diagonal/>
    </border>
    <border>
      <left style="medium">
        <color auto="1"/>
      </left>
      <right style="medium">
        <color auto="1"/>
      </right>
      <top style="medium">
        <color indexed="64"/>
      </top>
      <bottom style="hair">
        <color auto="1"/>
      </bottom>
      <diagonal/>
    </border>
    <border>
      <left style="medium">
        <color auto="1"/>
      </left>
      <right style="medium">
        <color auto="1"/>
      </right>
      <top style="medium">
        <color auto="1"/>
      </top>
      <bottom style="hair">
        <color auto="1"/>
      </bottom>
      <diagonal/>
    </border>
    <border>
      <left style="medium">
        <color auto="1"/>
      </left>
      <right/>
      <top style="medium">
        <color auto="1"/>
      </top>
      <bottom/>
      <diagonal/>
    </border>
    <border>
      <left style="medium">
        <color auto="1"/>
      </left>
      <right/>
      <top style="medium">
        <color auto="1"/>
      </top>
      <bottom style="hair">
        <color auto="1"/>
      </bottom>
      <diagonal/>
    </border>
    <border>
      <left style="medium">
        <color auto="1"/>
      </left>
      <right style="medium">
        <color auto="1"/>
      </right>
      <top style="hair">
        <color indexed="64"/>
      </top>
      <bottom style="hair">
        <color indexed="64"/>
      </bottom>
      <diagonal/>
    </border>
    <border>
      <left/>
      <right style="medium">
        <color auto="1"/>
      </right>
      <top style="hair">
        <color indexed="64"/>
      </top>
      <bottom style="hair">
        <color indexed="64"/>
      </bottom>
      <diagonal/>
    </border>
    <border>
      <left style="medium">
        <color auto="1"/>
      </left>
      <right style="medium">
        <color auto="1"/>
      </right>
      <top style="hair">
        <color auto="1"/>
      </top>
      <bottom style="hair">
        <color auto="1"/>
      </bottom>
      <diagonal/>
    </border>
    <border>
      <left style="medium">
        <color auto="1"/>
      </left>
      <right/>
      <top style="hair">
        <color auto="1"/>
      </top>
      <bottom style="hair">
        <color auto="1"/>
      </bottom>
      <diagonal/>
    </border>
    <border>
      <left style="medium">
        <color auto="1"/>
      </left>
      <right style="medium">
        <color auto="1"/>
      </right>
      <top/>
      <bottom style="hair">
        <color auto="1"/>
      </bottom>
      <diagonal/>
    </border>
    <border>
      <left style="medium">
        <color auto="1"/>
      </left>
      <right style="medium">
        <color auto="1"/>
      </right>
      <top/>
      <bottom/>
      <diagonal/>
    </border>
    <border>
      <left style="medium">
        <color auto="1"/>
      </left>
      <right style="medium">
        <color auto="1"/>
      </right>
      <top style="hair">
        <color auto="1"/>
      </top>
      <bottom/>
      <diagonal/>
    </border>
    <border>
      <left style="medium">
        <color auto="1"/>
      </left>
      <right/>
      <top/>
      <bottom style="hair">
        <color auto="1"/>
      </bottom>
      <diagonal/>
    </border>
    <border>
      <left style="medium">
        <color auto="1"/>
      </left>
      <right/>
      <top style="hair">
        <color auto="1"/>
      </top>
      <bottom/>
      <diagonal/>
    </border>
    <border>
      <left style="medium">
        <color auto="1"/>
      </left>
      <right style="medium">
        <color auto="1"/>
      </right>
      <top style="hair">
        <color indexed="64"/>
      </top>
      <bottom style="medium">
        <color indexed="64"/>
      </bottom>
      <diagonal/>
    </border>
    <border>
      <left/>
      <right style="medium">
        <color auto="1"/>
      </right>
      <top style="hair">
        <color indexed="64"/>
      </top>
      <bottom style="medium">
        <color indexed="64"/>
      </bottom>
      <diagonal/>
    </border>
    <border>
      <left style="medium">
        <color auto="1"/>
      </left>
      <right style="medium">
        <color auto="1"/>
      </right>
      <top/>
      <bottom style="medium">
        <color auto="1"/>
      </bottom>
      <diagonal/>
    </border>
    <border>
      <left style="medium">
        <color auto="1"/>
      </left>
      <right/>
      <top/>
      <bottom style="medium">
        <color auto="1"/>
      </bottom>
      <diagonal/>
    </border>
    <border>
      <left style="medium">
        <color auto="1"/>
      </left>
      <right style="medium">
        <color auto="1"/>
      </right>
      <top style="medium">
        <color auto="1"/>
      </top>
      <bottom style="hair">
        <color indexed="64"/>
      </bottom>
      <diagonal/>
    </border>
    <border>
      <left/>
      <right style="medium">
        <color auto="1"/>
      </right>
      <top/>
      <bottom/>
      <diagonal/>
    </border>
    <border>
      <left style="medium">
        <color auto="1"/>
      </left>
      <right style="medium">
        <color auto="1"/>
      </right>
      <top style="hair">
        <color indexed="64"/>
      </top>
      <bottom style="hair">
        <color auto="1"/>
      </bottom>
      <diagonal/>
    </border>
    <border>
      <left/>
      <right style="medium">
        <color auto="1"/>
      </right>
      <top style="hair">
        <color indexed="64"/>
      </top>
      <bottom style="hair">
        <color auto="1"/>
      </bottom>
      <diagonal/>
    </border>
    <border>
      <left style="medium">
        <color auto="1"/>
      </left>
      <right style="medium">
        <color auto="1"/>
      </right>
      <top style="hair">
        <color indexed="64"/>
      </top>
      <bottom/>
      <diagonal/>
    </border>
    <border>
      <left/>
      <right style="medium">
        <color auto="1"/>
      </right>
      <top style="hair">
        <color indexed="64"/>
      </top>
      <bottom/>
      <diagonal/>
    </border>
    <border>
      <left style="medium">
        <color auto="1"/>
      </left>
      <right style="medium">
        <color auto="1"/>
      </right>
      <top style="hair">
        <color indexed="64"/>
      </top>
      <bottom style="medium">
        <color auto="1"/>
      </bottom>
      <diagonal/>
    </border>
    <border>
      <left/>
      <right style="medium">
        <color auto="1"/>
      </right>
      <top style="hair">
        <color indexed="64"/>
      </top>
      <bottom style="medium">
        <color auto="1"/>
      </bottom>
      <diagonal/>
    </border>
    <border>
      <left/>
      <right/>
      <top style="medium">
        <color auto="1"/>
      </top>
      <bottom style="hair">
        <color indexed="64"/>
      </bottom>
      <diagonal/>
    </border>
    <border>
      <left style="thin">
        <color auto="1"/>
      </left>
      <right style="thin">
        <color auto="1"/>
      </right>
      <top/>
      <bottom/>
      <diagonal/>
    </border>
    <border>
      <left style="medium">
        <color auto="1"/>
      </left>
      <right style="medium">
        <color auto="1"/>
      </right>
      <top style="hair">
        <color auto="1"/>
      </top>
      <bottom style="medium">
        <color auto="1"/>
      </bottom>
      <diagonal/>
    </border>
    <border>
      <left/>
      <right/>
      <top style="hair">
        <color auto="1"/>
      </top>
      <bottom style="medium">
        <color auto="1"/>
      </bottom>
      <diagonal/>
    </border>
    <border>
      <left/>
      <right style="medium">
        <color auto="1"/>
      </right>
      <top style="medium">
        <color auto="1"/>
      </top>
      <bottom/>
      <diagonal/>
    </border>
    <border>
      <left/>
      <right style="medium">
        <color auto="1"/>
      </right>
      <top style="medium">
        <color auto="1"/>
      </top>
      <bottom style="hair">
        <color indexed="64"/>
      </bottom>
      <diagonal/>
    </border>
    <border>
      <left style="medium">
        <color auto="1"/>
      </left>
      <right/>
      <top/>
      <bottom style="hair">
        <color indexed="64"/>
      </bottom>
      <diagonal/>
    </border>
    <border>
      <left style="medium">
        <color auto="1"/>
      </left>
      <right style="medium">
        <color auto="1"/>
      </right>
      <top style="hair">
        <color auto="1"/>
      </top>
      <bottom style="hair">
        <color indexed="64"/>
      </bottom>
      <diagonal/>
    </border>
    <border>
      <left style="medium">
        <color auto="1"/>
      </left>
      <right/>
      <top style="hair">
        <color indexed="64"/>
      </top>
      <bottom/>
      <diagonal/>
    </border>
    <border>
      <left style="medium">
        <color auto="1"/>
      </left>
      <right/>
      <top style="hair">
        <color indexed="64"/>
      </top>
      <bottom style="hair">
        <color indexed="64"/>
      </bottom>
      <diagonal/>
    </border>
    <border>
      <left style="medium">
        <color auto="1"/>
      </left>
      <right/>
      <top/>
      <bottom/>
      <diagonal/>
    </border>
    <border>
      <left/>
      <right style="medium">
        <color auto="1"/>
      </right>
      <top style="hair">
        <color auto="1"/>
      </top>
      <bottom/>
      <diagonal/>
    </border>
    <border>
      <left/>
      <right style="medium">
        <color auto="1"/>
      </right>
      <top style="hair">
        <color auto="1"/>
      </top>
      <bottom style="hair">
        <color auto="1"/>
      </bottom>
      <diagonal/>
    </border>
    <border>
      <left/>
      <right style="medium">
        <color auto="1"/>
      </right>
      <top/>
      <bottom style="medium">
        <color auto="1"/>
      </bottom>
      <diagonal/>
    </border>
    <border>
      <left/>
      <right style="medium">
        <color auto="1"/>
      </right>
      <top/>
      <bottom style="medium">
        <color indexed="64"/>
      </bottom>
      <diagonal/>
    </border>
    <border>
      <left/>
      <right style="medium">
        <color auto="1"/>
      </right>
      <top style="medium">
        <color indexed="64"/>
      </top>
      <bottom style="hair">
        <color indexed="64"/>
      </bottom>
      <diagonal/>
    </border>
    <border>
      <left style="medium">
        <color auto="1"/>
      </left>
      <right style="medium">
        <color indexed="64"/>
      </right>
      <top/>
      <bottom style="hair">
        <color indexed="64"/>
      </bottom>
      <diagonal/>
    </border>
    <border>
      <left style="medium">
        <color indexed="64"/>
      </left>
      <right style="medium">
        <color indexed="64"/>
      </right>
      <top style="hair">
        <color indexed="64"/>
      </top>
      <bottom style="hair">
        <color auto="1"/>
      </bottom>
      <diagonal/>
    </border>
    <border>
      <left style="medium">
        <color auto="1"/>
      </left>
      <right style="medium">
        <color auto="1"/>
      </right>
      <top style="medium">
        <color indexed="64"/>
      </top>
      <bottom style="hair">
        <color indexed="64"/>
      </bottom>
      <diagonal/>
    </border>
    <border>
      <left style="medium">
        <color auto="1"/>
      </left>
      <right/>
      <top style="hair">
        <color auto="1"/>
      </top>
      <bottom style="medium">
        <color auto="1"/>
      </bottom>
      <diagonal/>
    </border>
    <border>
      <left style="medium">
        <color indexed="64"/>
      </left>
      <right style="medium">
        <color indexed="64"/>
      </right>
      <top style="medium">
        <color auto="1"/>
      </top>
      <bottom/>
      <diagonal/>
    </border>
    <border>
      <left style="medium">
        <color indexed="64"/>
      </left>
      <right/>
      <top style="medium">
        <color auto="1"/>
      </top>
      <bottom/>
      <diagonal/>
    </border>
    <border>
      <left style="medium">
        <color auto="1"/>
      </left>
      <right/>
      <top style="medium">
        <color auto="1"/>
      </top>
      <bottom style="hair">
        <color indexed="64"/>
      </bottom>
      <diagonal/>
    </border>
    <border>
      <left style="hair">
        <color auto="1"/>
      </left>
      <right/>
      <top/>
      <bottom style="hair">
        <color auto="1"/>
      </bottom>
      <diagonal/>
    </border>
    <border>
      <left style="hair">
        <color auto="1"/>
      </left>
      <right/>
      <top style="hair">
        <color auto="1"/>
      </top>
      <bottom style="hair">
        <color auto="1"/>
      </bottom>
      <diagonal/>
    </border>
    <border>
      <left style="hair">
        <color auto="1"/>
      </left>
      <right/>
      <top style="hair">
        <color auto="1"/>
      </top>
      <bottom/>
      <diagonal/>
    </border>
    <border>
      <left style="medium">
        <color indexed="64"/>
      </left>
      <right style="medium">
        <color indexed="64"/>
      </right>
      <top style="medium">
        <color auto="1"/>
      </top>
      <bottom style="hair">
        <color indexed="64"/>
      </bottom>
      <diagonal/>
    </border>
    <border>
      <left style="medium">
        <color auto="1"/>
      </left>
      <right/>
      <top style="medium">
        <color indexed="64"/>
      </top>
      <bottom style="medium">
        <color auto="1"/>
      </bottom>
      <diagonal/>
    </border>
    <border>
      <left/>
      <right style="medium">
        <color auto="1"/>
      </right>
      <top style="medium">
        <color indexed="64"/>
      </top>
      <bottom style="medium">
        <color auto="1"/>
      </bottom>
      <diagonal/>
    </border>
    <border>
      <left style="medium">
        <color auto="1"/>
      </left>
      <right style="medium">
        <color auto="1"/>
      </right>
      <top style="thin">
        <color indexed="64"/>
      </top>
      <bottom style="thin">
        <color indexed="64"/>
      </bottom>
      <diagonal/>
    </border>
    <border>
      <left/>
      <right style="medium">
        <color auto="1"/>
      </right>
      <top style="thin">
        <color indexed="64"/>
      </top>
      <bottom style="thin">
        <color indexed="64"/>
      </bottom>
      <diagonal/>
    </border>
    <border>
      <left style="medium">
        <color auto="1"/>
      </left>
      <right style="medium">
        <color auto="1"/>
      </right>
      <top style="thin">
        <color indexed="64"/>
      </top>
      <bottom/>
      <diagonal/>
    </border>
    <border>
      <left/>
      <right style="medium">
        <color auto="1"/>
      </right>
      <top style="thin">
        <color indexed="64"/>
      </top>
      <bottom/>
      <diagonal/>
    </border>
    <border>
      <left/>
      <right/>
      <top style="medium">
        <color auto="1"/>
      </top>
      <bottom style="medium">
        <color auto="1"/>
      </bottom>
      <diagonal/>
    </border>
    <border>
      <left/>
      <right style="medium">
        <color auto="1"/>
      </right>
      <top style="thin">
        <color auto="1"/>
      </top>
      <bottom/>
      <diagonal/>
    </border>
    <border>
      <left style="medium">
        <color auto="1"/>
      </left>
      <right style="medium">
        <color auto="1"/>
      </right>
      <top style="thin">
        <color auto="1"/>
      </top>
      <bottom/>
      <diagonal/>
    </border>
    <border>
      <left/>
      <right/>
      <top style="thin">
        <color auto="1"/>
      </top>
      <bottom/>
      <diagonal/>
    </border>
    <border>
      <left style="medium">
        <color auto="1"/>
      </left>
      <right style="medium">
        <color auto="1"/>
      </right>
      <top style="thin">
        <color indexed="64"/>
      </top>
      <bottom style="hair">
        <color auto="1"/>
      </bottom>
      <diagonal/>
    </border>
    <border>
      <left style="medium">
        <color auto="1"/>
      </left>
      <right style="medium">
        <color auto="1"/>
      </right>
      <top/>
      <bottom style="thin">
        <color indexed="64"/>
      </bottom>
      <diagonal/>
    </border>
    <border>
      <left style="medium">
        <color auto="1"/>
      </left>
      <right style="medium">
        <color auto="1"/>
      </right>
      <top style="hair">
        <color auto="1"/>
      </top>
      <bottom style="thin">
        <color indexed="64"/>
      </bottom>
      <diagonal/>
    </border>
    <border>
      <left/>
      <right/>
      <top style="thin">
        <color indexed="64"/>
      </top>
      <bottom style="thin">
        <color auto="1"/>
      </bottom>
      <diagonal/>
    </border>
    <border>
      <left style="medium">
        <color auto="1"/>
      </left>
      <right style="medium">
        <color auto="1"/>
      </right>
      <top style="thin">
        <color auto="1"/>
      </top>
      <bottom style="thin">
        <color auto="1"/>
      </bottom>
      <diagonal/>
    </border>
    <border>
      <left/>
      <right style="medium">
        <color auto="1"/>
      </right>
      <top style="thin">
        <color auto="1"/>
      </top>
      <bottom style="thin">
        <color auto="1"/>
      </bottom>
      <diagonal/>
    </border>
    <border>
      <left/>
      <right/>
      <top style="thin">
        <color auto="1"/>
      </top>
      <bottom style="thin">
        <color auto="1"/>
      </bottom>
      <diagonal/>
    </border>
    <border>
      <left style="medium">
        <color auto="1"/>
      </left>
      <right/>
      <top style="thin">
        <color auto="1"/>
      </top>
      <bottom style="thin">
        <color auto="1"/>
      </bottom>
      <diagonal/>
    </border>
    <border>
      <left style="medium">
        <color auto="1"/>
      </left>
      <right style="medium">
        <color auto="1"/>
      </right>
      <top style="thin">
        <color auto="1"/>
      </top>
      <bottom style="medium">
        <color auto="1"/>
      </bottom>
      <diagonal/>
    </border>
    <border>
      <left/>
      <right/>
      <top style="medium">
        <color auto="1"/>
      </top>
      <bottom style="medium">
        <color indexed="64"/>
      </bottom>
      <diagonal/>
    </border>
    <border>
      <left style="medium">
        <color auto="1"/>
      </left>
      <right/>
      <top style="thin">
        <color indexed="64"/>
      </top>
      <bottom style="thin">
        <color indexed="64"/>
      </bottom>
      <diagonal/>
    </border>
    <border>
      <left style="medium">
        <color auto="1"/>
      </left>
      <right style="medium">
        <color auto="1"/>
      </right>
      <top style="thin">
        <color indexed="64"/>
      </top>
      <bottom style="thin">
        <color auto="1"/>
      </bottom>
      <diagonal/>
    </border>
    <border>
      <left style="medium">
        <color auto="1"/>
      </left>
      <right/>
      <top style="thin">
        <color indexed="64"/>
      </top>
      <bottom style="thin">
        <color auto="1"/>
      </bottom>
      <diagonal/>
    </border>
    <border>
      <left/>
      <right style="medium">
        <color auto="1"/>
      </right>
      <top style="thin">
        <color indexed="64"/>
      </top>
      <bottom style="thin">
        <color auto="1"/>
      </bottom>
      <diagonal/>
    </border>
    <border>
      <left style="medium">
        <color auto="1"/>
      </left>
      <right/>
      <top style="thin">
        <color indexed="64"/>
      </top>
      <bottom/>
      <diagonal/>
    </border>
    <border>
      <left/>
      <right/>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
      <left style="medium">
        <color auto="1"/>
      </left>
      <right style="medium">
        <color auto="1"/>
      </right>
      <top style="medium">
        <color auto="1"/>
      </top>
      <bottom style="thin">
        <color auto="1"/>
      </bottom>
      <diagonal/>
    </border>
    <border>
      <left style="medium">
        <color auto="1"/>
      </left>
      <right style="medium">
        <color auto="1"/>
      </right>
      <top style="thin">
        <color auto="1"/>
      </top>
      <bottom style="thin">
        <color indexed="64"/>
      </bottom>
      <diagonal/>
    </border>
    <border>
      <left style="medium">
        <color auto="1"/>
      </left>
      <right/>
      <top/>
      <bottom style="thin">
        <color auto="1"/>
      </bottom>
      <diagonal/>
    </border>
    <border>
      <left style="medium">
        <color auto="1"/>
      </left>
      <right/>
      <top style="thin">
        <color auto="1"/>
      </top>
      <bottom/>
      <diagonal/>
    </border>
    <border>
      <left/>
      <right style="medium">
        <color auto="1"/>
      </right>
      <top style="thin">
        <color auto="1"/>
      </top>
      <bottom style="thin">
        <color indexed="64"/>
      </bottom>
      <diagonal/>
    </border>
    <border>
      <left style="medium">
        <color auto="1"/>
      </left>
      <right/>
      <top style="thin">
        <color auto="1"/>
      </top>
      <bottom style="thin">
        <color indexed="64"/>
      </bottom>
      <diagonal/>
    </border>
    <border>
      <left/>
      <right/>
      <top style="thin">
        <color auto="1"/>
      </top>
      <bottom style="thin">
        <color indexed="64"/>
      </bottom>
      <diagonal/>
    </border>
    <border>
      <left style="medium">
        <color auto="1"/>
      </left>
      <right style="medium">
        <color auto="1"/>
      </right>
      <top style="thin">
        <color auto="1"/>
      </top>
      <bottom style="hair">
        <color auto="1"/>
      </bottom>
      <diagonal/>
    </border>
    <border>
      <left style="medium">
        <color auto="1"/>
      </left>
      <right style="medium">
        <color auto="1"/>
      </right>
      <top style="hair">
        <color auto="1"/>
      </top>
      <bottom style="thin">
        <color auto="1"/>
      </bottom>
      <diagonal/>
    </border>
    <border>
      <left style="medium">
        <color auto="1"/>
      </left>
      <right/>
      <top style="medium">
        <color auto="1"/>
      </top>
      <bottom style="medium">
        <color indexed="64"/>
      </bottom>
      <diagonal/>
    </border>
    <border>
      <left/>
      <right style="medium">
        <color auto="1"/>
      </right>
      <top/>
      <bottom style="thin">
        <color indexed="64"/>
      </bottom>
      <diagonal/>
    </border>
    <border>
      <left style="medium">
        <color auto="1"/>
      </left>
      <right style="medium">
        <color auto="1"/>
      </right>
      <top style="medium">
        <color indexed="64"/>
      </top>
      <bottom/>
      <diagonal/>
    </border>
    <border>
      <left/>
      <right/>
      <top style="hair">
        <color indexed="64"/>
      </top>
      <bottom style="hair">
        <color auto="1"/>
      </bottom>
      <diagonal/>
    </border>
    <border>
      <left/>
      <right style="medium">
        <color auto="1"/>
      </right>
      <top/>
      <bottom style="hair">
        <color auto="1"/>
      </bottom>
      <diagonal/>
    </border>
    <border>
      <left/>
      <right/>
      <top style="medium">
        <color auto="1"/>
      </top>
      <bottom style="hair">
        <color auto="1"/>
      </bottom>
      <diagonal/>
    </border>
    <border>
      <left/>
      <right/>
      <top style="hair">
        <color auto="1"/>
      </top>
      <bottom style="hair">
        <color auto="1"/>
      </bottom>
      <diagonal/>
    </border>
    <border>
      <left/>
      <right/>
      <top style="hair">
        <color auto="1"/>
      </top>
      <bottom/>
      <diagonal/>
    </border>
    <border>
      <left/>
      <right/>
      <top/>
      <bottom style="hair">
        <color auto="1"/>
      </bottom>
      <diagonal/>
    </border>
    <border>
      <left/>
      <right style="medium">
        <color auto="1"/>
      </right>
      <top style="hair">
        <color auto="1"/>
      </top>
      <bottom style="medium">
        <color auto="1"/>
      </bottom>
      <diagonal/>
    </border>
    <border>
      <left style="medium">
        <color auto="1"/>
      </left>
      <right/>
      <top style="hair">
        <color indexed="64"/>
      </top>
      <bottom style="medium">
        <color auto="1"/>
      </bottom>
      <diagonal/>
    </border>
    <border>
      <left style="hair">
        <color auto="1"/>
      </left>
      <right style="medium">
        <color auto="1"/>
      </right>
      <top/>
      <bottom style="hair">
        <color auto="1"/>
      </bottom>
      <diagonal/>
    </border>
    <border>
      <left style="medium">
        <color indexed="64"/>
      </left>
      <right/>
      <top/>
      <bottom style="hair">
        <color auto="1"/>
      </bottom>
      <diagonal/>
    </border>
    <border>
      <left/>
      <right style="hair">
        <color auto="1"/>
      </right>
      <top/>
      <bottom style="hair">
        <color auto="1"/>
      </bottom>
      <diagonal/>
    </border>
    <border>
      <left style="medium">
        <color auto="1"/>
      </left>
      <right/>
      <top style="medium">
        <color indexed="64"/>
      </top>
      <bottom style="medium">
        <color indexed="64"/>
      </bottom>
      <diagonal/>
    </border>
    <border>
      <left style="medium">
        <color auto="1"/>
      </left>
      <right style="medium">
        <color indexed="64"/>
      </right>
      <top style="medium">
        <color indexed="64"/>
      </top>
      <bottom style="hair">
        <color indexed="64"/>
      </bottom>
      <diagonal/>
    </border>
    <border>
      <left style="medium">
        <color auto="1"/>
      </left>
      <right style="medium">
        <color indexed="64"/>
      </right>
      <top style="hair">
        <color indexed="64"/>
      </top>
      <bottom style="hair">
        <color indexed="64"/>
      </bottom>
      <diagonal/>
    </border>
    <border>
      <left style="medium">
        <color auto="1"/>
      </left>
      <right style="medium">
        <color indexed="64"/>
      </right>
      <top/>
      <bottom/>
      <diagonal/>
    </border>
    <border>
      <left style="medium">
        <color auto="1"/>
      </left>
      <right style="medium">
        <color indexed="64"/>
      </right>
      <top style="hair">
        <color auto="1"/>
      </top>
      <bottom style="medium">
        <color indexed="64"/>
      </bottom>
      <diagonal/>
    </border>
    <border>
      <left/>
      <right/>
      <top style="hair">
        <color auto="1"/>
      </top>
      <bottom style="medium">
        <color indexed="64"/>
      </bottom>
      <diagonal/>
    </border>
    <border>
      <left/>
      <right style="medium">
        <color auto="1"/>
      </right>
      <top style="medium">
        <color indexed="64"/>
      </top>
      <bottom/>
      <diagonal/>
    </border>
    <border>
      <left/>
      <right style="medium">
        <color auto="1"/>
      </right>
      <top style="medium">
        <color auto="1"/>
      </top>
      <bottom style="hair">
        <color auto="1"/>
      </bottom>
      <diagonal/>
    </border>
    <border>
      <left/>
      <right style="medium">
        <color auto="1"/>
      </right>
      <top style="hair">
        <color auto="1"/>
      </top>
      <bottom style="hair">
        <color indexed="64"/>
      </bottom>
      <diagonal/>
    </border>
    <border>
      <left style="medium">
        <color auto="1"/>
      </left>
      <right style="hair">
        <color auto="1"/>
      </right>
      <top style="hair">
        <color auto="1"/>
      </top>
      <bottom style="hair">
        <color indexed="64"/>
      </bottom>
      <diagonal/>
    </border>
    <border>
      <left style="medium">
        <color auto="1"/>
      </left>
      <right/>
      <top style="hair">
        <color auto="1"/>
      </top>
      <bottom style="hair">
        <color indexed="64"/>
      </bottom>
      <diagonal/>
    </border>
    <border>
      <left style="medium">
        <color auto="1"/>
      </left>
      <right style="hair">
        <color auto="1"/>
      </right>
      <top style="hair">
        <color indexed="64"/>
      </top>
      <bottom style="hair">
        <color auto="1"/>
      </bottom>
      <diagonal/>
    </border>
    <border>
      <left style="medium">
        <color auto="1"/>
      </left>
      <right/>
      <top style="hair">
        <color indexed="64"/>
      </top>
      <bottom style="hair">
        <color auto="1"/>
      </bottom>
      <diagonal/>
    </border>
    <border>
      <left/>
      <right style="medium">
        <color auto="1"/>
      </right>
      <top style="hair">
        <color auto="1"/>
      </top>
      <bottom style="medium">
        <color indexed="64"/>
      </bottom>
      <diagonal/>
    </border>
    <border>
      <left style="medium">
        <color auto="1"/>
      </left>
      <right style="medium">
        <color auto="1"/>
      </right>
      <top style="hair">
        <color auto="1"/>
      </top>
      <bottom style="medium">
        <color indexed="64"/>
      </bottom>
      <diagonal/>
    </border>
    <border>
      <left style="medium">
        <color auto="1"/>
      </left>
      <right/>
      <top style="hair">
        <color auto="1"/>
      </top>
      <bottom style="medium">
        <color indexed="64"/>
      </bottom>
      <diagonal/>
    </border>
    <border>
      <left style="medium">
        <color indexed="64"/>
      </left>
      <right style="medium">
        <color indexed="64"/>
      </right>
      <top style="hair">
        <color auto="1"/>
      </top>
      <bottom style="hair">
        <color auto="1"/>
      </bottom>
      <diagonal/>
    </border>
    <border>
      <left style="medium">
        <color indexed="64"/>
      </left>
      <right/>
      <top style="hair">
        <color auto="1"/>
      </top>
      <bottom style="hair">
        <color auto="1"/>
      </bottom>
      <diagonal/>
    </border>
    <border>
      <left style="medium">
        <color indexed="64"/>
      </left>
      <right/>
      <top/>
      <bottom style="medium">
        <color auto="1"/>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thin">
        <color auto="1"/>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thin">
        <color auto="1"/>
      </left>
      <right style="medium">
        <color auto="1"/>
      </right>
      <top style="medium">
        <color auto="1"/>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bottom style="medium">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right/>
      <top style="medium">
        <color auto="1"/>
      </top>
      <bottom/>
      <diagonal/>
    </border>
    <border>
      <left/>
      <right style="thin">
        <color auto="1"/>
      </right>
      <top style="thin">
        <color auto="1"/>
      </top>
      <bottom style="thin">
        <color auto="1"/>
      </bottom>
      <diagonal/>
    </border>
    <border>
      <left style="medium">
        <color indexed="64"/>
      </left>
      <right style="medium">
        <color auto="1"/>
      </right>
      <top style="medium">
        <color indexed="64"/>
      </top>
      <bottom style="hair">
        <color auto="1"/>
      </bottom>
      <diagonal/>
    </border>
    <border>
      <left style="medium">
        <color indexed="64"/>
      </left>
      <right style="medium">
        <color auto="1"/>
      </right>
      <top style="hair">
        <color auto="1"/>
      </top>
      <bottom style="hair">
        <color auto="1"/>
      </bottom>
      <diagonal/>
    </border>
    <border>
      <left style="medium">
        <color indexed="64"/>
      </left>
      <right style="medium">
        <color auto="1"/>
      </right>
      <top style="hair">
        <color auto="1"/>
      </top>
      <bottom style="medium">
        <color indexed="64"/>
      </bottom>
      <diagonal/>
    </border>
    <border>
      <left style="medium">
        <color indexed="64"/>
      </left>
      <right style="medium">
        <color auto="1"/>
      </right>
      <top style="medium">
        <color indexed="64"/>
      </top>
      <bottom style="medium">
        <color indexed="64"/>
      </bottom>
      <diagonal/>
    </border>
    <border>
      <left style="medium">
        <color indexed="64"/>
      </left>
      <right style="medium">
        <color auto="1"/>
      </right>
      <top style="medium">
        <color indexed="64"/>
      </top>
      <bottom/>
      <diagonal/>
    </border>
    <border>
      <left style="medium">
        <color auto="1"/>
      </left>
      <right style="medium">
        <color indexed="64"/>
      </right>
      <top style="hair">
        <color auto="1"/>
      </top>
      <bottom style="hair">
        <color auto="1"/>
      </bottom>
      <diagonal/>
    </border>
    <border>
      <left style="medium">
        <color indexed="64"/>
      </left>
      <right style="medium">
        <color auto="1"/>
      </right>
      <top style="hair">
        <color auto="1"/>
      </top>
      <bottom/>
      <diagonal/>
    </border>
    <border>
      <left style="medium">
        <color indexed="64"/>
      </left>
      <right style="medium">
        <color auto="1"/>
      </right>
      <top style="medium">
        <color indexed="64"/>
      </top>
      <bottom style="medium">
        <color auto="1"/>
      </bottom>
      <diagonal/>
    </border>
    <border>
      <left style="medium">
        <color indexed="64"/>
      </left>
      <right/>
      <top style="hair">
        <color indexed="64"/>
      </top>
      <bottom style="hair">
        <color auto="1"/>
      </bottom>
      <diagonal/>
    </border>
    <border>
      <left/>
      <right/>
      <top style="hair">
        <color auto="1"/>
      </top>
      <bottom style="hair">
        <color indexed="64"/>
      </bottom>
      <diagonal/>
    </border>
    <border>
      <left style="medium">
        <color auto="1"/>
      </left>
      <right style="thick">
        <color indexed="64"/>
      </right>
      <top style="hair">
        <color auto="1"/>
      </top>
      <bottom style="hair">
        <color auto="1"/>
      </bottom>
      <diagonal/>
    </border>
    <border>
      <left style="thick">
        <color indexed="64"/>
      </left>
      <right style="thick">
        <color indexed="64"/>
      </right>
      <top style="dotted">
        <color indexed="64"/>
      </top>
      <bottom style="dotted">
        <color indexed="64"/>
      </bottom>
      <diagonal/>
    </border>
    <border>
      <left style="thick">
        <color indexed="64"/>
      </left>
      <right/>
      <top style="dotted">
        <color indexed="64"/>
      </top>
      <bottom style="dotted">
        <color indexed="64"/>
      </bottom>
      <diagonal/>
    </border>
    <border>
      <left style="hair">
        <color auto="1"/>
      </left>
      <right style="medium">
        <color auto="1"/>
      </right>
      <top style="hair">
        <color auto="1"/>
      </top>
      <bottom style="hair">
        <color auto="1"/>
      </bottom>
      <diagonal/>
    </border>
    <border>
      <left/>
      <right style="thick">
        <color indexed="64"/>
      </right>
      <top style="hair">
        <color auto="1"/>
      </top>
      <bottom style="hair">
        <color auto="1"/>
      </bottom>
      <diagonal/>
    </border>
    <border>
      <left/>
      <right/>
      <top/>
      <bottom style="medium">
        <color auto="1"/>
      </bottom>
      <diagonal/>
    </border>
    <border>
      <left style="thin">
        <color auto="1"/>
      </left>
      <right style="thin">
        <color auto="1"/>
      </right>
      <top/>
      <bottom style="hair">
        <color auto="1"/>
      </bottom>
      <diagonal/>
    </border>
    <border>
      <left style="medium">
        <color auto="1"/>
      </left>
      <right/>
      <top style="hair">
        <color indexed="64"/>
      </top>
      <bottom style="medium">
        <color indexed="64"/>
      </bottom>
      <diagonal/>
    </border>
    <border>
      <left style="medium">
        <color auto="1"/>
      </left>
      <right style="medium">
        <color indexed="64"/>
      </right>
      <top/>
      <bottom style="hair">
        <color auto="1"/>
      </bottom>
      <diagonal/>
    </border>
    <border>
      <left style="medium">
        <color auto="1"/>
      </left>
      <right style="medium">
        <color indexed="64"/>
      </right>
      <top style="hair">
        <color indexed="64"/>
      </top>
      <bottom style="hair">
        <color auto="1"/>
      </bottom>
      <diagonal/>
    </border>
    <border>
      <left style="medium">
        <color indexed="64"/>
      </left>
      <right style="medium">
        <color auto="1"/>
      </right>
      <top style="hair">
        <color indexed="64"/>
      </top>
      <bottom style="hair">
        <color auto="1"/>
      </bottom>
      <diagonal/>
    </border>
    <border>
      <left style="medium">
        <color auto="1"/>
      </left>
      <right style="medium">
        <color indexed="64"/>
      </right>
      <top style="hair">
        <color auto="1"/>
      </top>
      <bottom style="hair">
        <color indexed="64"/>
      </bottom>
      <diagonal/>
    </border>
    <border>
      <left style="medium">
        <color auto="1"/>
      </left>
      <right/>
      <top/>
      <bottom style="thin">
        <color indexed="64"/>
      </bottom>
      <diagonal/>
    </border>
    <border>
      <left/>
      <right/>
      <top style="thin">
        <color indexed="64"/>
      </top>
      <bottom style="hair">
        <color auto="1"/>
      </bottom>
      <diagonal/>
    </border>
    <border>
      <left/>
      <right/>
      <top style="hair">
        <color auto="1"/>
      </top>
      <bottom style="thin">
        <color indexed="64"/>
      </bottom>
      <diagonal/>
    </border>
    <border>
      <left/>
      <right/>
      <top style="thin">
        <color auto="1"/>
      </top>
      <bottom style="medium">
        <color auto="1"/>
      </bottom>
      <diagonal/>
    </border>
    <border>
      <left style="medium">
        <color auto="1"/>
      </left>
      <right/>
      <top style="medium">
        <color indexed="64"/>
      </top>
      <bottom style="hair">
        <color indexed="64"/>
      </bottom>
      <diagonal/>
    </border>
    <border>
      <left style="medium">
        <color auto="1"/>
      </left>
      <right/>
      <top style="thin">
        <color auto="1"/>
      </top>
      <bottom style="hair">
        <color auto="1"/>
      </bottom>
      <diagonal/>
    </border>
    <border>
      <left style="medium">
        <color auto="1"/>
      </left>
      <right/>
      <top/>
      <bottom style="medium">
        <color indexed="64"/>
      </bottom>
      <diagonal/>
    </border>
    <border>
      <left style="medium">
        <color auto="1"/>
      </left>
      <right style="hair">
        <color auto="1"/>
      </right>
      <top style="hair">
        <color auto="1"/>
      </top>
      <bottom style="hair">
        <color auto="1"/>
      </bottom>
      <diagonal/>
    </border>
    <border>
      <left style="medium">
        <color indexed="64"/>
      </left>
      <right style="medium">
        <color auto="1"/>
      </right>
      <top style="hair">
        <color indexed="64"/>
      </top>
      <bottom style="hair">
        <color indexed="64"/>
      </bottom>
      <diagonal/>
    </border>
    <border>
      <left style="medium">
        <color indexed="64"/>
      </left>
      <right style="medium">
        <color auto="1"/>
      </right>
      <top/>
      <bottom style="hair">
        <color auto="1"/>
      </bottom>
      <diagonal/>
    </border>
    <border>
      <left style="medium">
        <color indexed="64"/>
      </left>
      <right style="medium">
        <color auto="1"/>
      </right>
      <top/>
      <bottom style="hair">
        <color indexed="64"/>
      </bottom>
      <diagonal/>
    </border>
    <border>
      <left style="medium">
        <color indexed="64"/>
      </left>
      <right style="medium">
        <color auto="1"/>
      </right>
      <top style="hair">
        <color indexed="64"/>
      </top>
      <bottom style="medium">
        <color indexed="64"/>
      </bottom>
      <diagonal/>
    </border>
    <border>
      <left style="medium">
        <color indexed="64"/>
      </left>
      <right style="medium">
        <color auto="1"/>
      </right>
      <top style="hair">
        <color indexed="64"/>
      </top>
      <bottom/>
      <diagonal/>
    </border>
    <border>
      <left style="medium">
        <color indexed="64"/>
      </left>
      <right style="medium">
        <color auto="1"/>
      </right>
      <top/>
      <bottom/>
      <diagonal/>
    </border>
    <border>
      <left style="medium">
        <color indexed="64"/>
      </left>
      <right style="medium">
        <color auto="1"/>
      </right>
      <top style="hair">
        <color auto="1"/>
      </top>
      <bottom style="medium">
        <color auto="1"/>
      </bottom>
      <diagonal/>
    </border>
    <border>
      <left style="medium">
        <color indexed="64"/>
      </left>
      <right style="medium">
        <color auto="1"/>
      </right>
      <top style="hair">
        <color auto="1"/>
      </top>
      <bottom style="hair">
        <color indexed="64"/>
      </bottom>
      <diagonal/>
    </border>
    <border>
      <left style="medium">
        <color indexed="64"/>
      </left>
      <right style="medium">
        <color auto="1"/>
      </right>
      <top/>
      <bottom style="medium">
        <color indexed="64"/>
      </bottom>
      <diagonal/>
    </border>
    <border>
      <left style="medium">
        <color indexed="64"/>
      </left>
      <right style="medium">
        <color auto="1"/>
      </right>
      <top style="medium">
        <color indexed="64"/>
      </top>
      <bottom style="hair">
        <color indexed="64"/>
      </bottom>
      <diagonal/>
    </border>
    <border>
      <left style="medium">
        <color indexed="64"/>
      </left>
      <right style="medium">
        <color auto="1"/>
      </right>
      <top style="hair">
        <color indexed="64"/>
      </top>
      <bottom style="medium">
        <color auto="1"/>
      </bottom>
      <diagonal/>
    </border>
    <border>
      <left style="medium">
        <color indexed="64"/>
      </left>
      <right style="medium">
        <color auto="1"/>
      </right>
      <top style="hair">
        <color auto="1"/>
      </top>
      <bottom style="thin">
        <color indexed="64"/>
      </bottom>
      <diagonal/>
    </border>
    <border>
      <left style="medium">
        <color indexed="64"/>
      </left>
      <right style="medium">
        <color auto="1"/>
      </right>
      <top style="medium">
        <color auto="1"/>
      </top>
      <bottom style="hair">
        <color auto="1"/>
      </bottom>
      <diagonal/>
    </border>
    <border>
      <left style="medium">
        <color indexed="64"/>
      </left>
      <right style="medium">
        <color auto="1"/>
      </right>
      <top style="medium">
        <color auto="1"/>
      </top>
      <bottom style="medium">
        <color auto="1"/>
      </bottom>
      <diagonal/>
    </border>
    <border>
      <left style="medium">
        <color indexed="64"/>
      </left>
      <right style="medium">
        <color auto="1"/>
      </right>
      <top style="thin">
        <color auto="1"/>
      </top>
      <bottom style="hair">
        <color auto="1"/>
      </bottom>
      <diagonal/>
    </border>
    <border>
      <left style="medium">
        <color indexed="64"/>
      </left>
      <right style="medium">
        <color auto="1"/>
      </right>
      <top style="hair">
        <color auto="1"/>
      </top>
      <bottom style="thin">
        <color auto="1"/>
      </bottom>
      <diagonal/>
    </border>
    <border>
      <left style="medium">
        <color indexed="64"/>
      </left>
      <right style="medium">
        <color auto="1"/>
      </right>
      <top/>
      <bottom style="thin">
        <color auto="1"/>
      </bottom>
      <diagonal/>
    </border>
    <border>
      <left style="medium">
        <color indexed="64"/>
      </left>
      <right style="medium">
        <color auto="1"/>
      </right>
      <top/>
      <bottom style="medium">
        <color auto="1"/>
      </bottom>
      <diagonal/>
    </border>
    <border>
      <left style="medium">
        <color indexed="64"/>
      </left>
      <right style="medium">
        <color auto="1"/>
      </right>
      <top style="medium">
        <color auto="1"/>
      </top>
      <bottom/>
      <diagonal/>
    </border>
    <border>
      <left/>
      <right style="medium">
        <color auto="1"/>
      </right>
      <top style="medium">
        <color indexed="64"/>
      </top>
      <bottom style="hair">
        <color auto="1"/>
      </bottom>
      <diagonal/>
    </border>
    <border>
      <left style="thin">
        <color auto="1"/>
      </left>
      <right style="medium">
        <color auto="1"/>
      </right>
      <top style="hair">
        <color auto="1"/>
      </top>
      <bottom style="hair">
        <color auto="1"/>
      </bottom>
      <diagonal/>
    </border>
    <border>
      <left style="thin">
        <color auto="1"/>
      </left>
      <right style="medium">
        <color auto="1"/>
      </right>
      <top style="thin">
        <color auto="1"/>
      </top>
      <bottom style="hair">
        <color auto="1"/>
      </bottom>
      <diagonal/>
    </border>
    <border>
      <left style="medium">
        <color indexed="64"/>
      </left>
      <right style="medium">
        <color auto="1"/>
      </right>
      <top style="medium">
        <color auto="1"/>
      </top>
      <bottom style="hair">
        <color indexed="64"/>
      </bottom>
      <diagonal/>
    </border>
  </borders>
  <cellStyleXfs count="14">
    <xf numFmtId="0" fontId="0" fillId="0" borderId="0"/>
    <xf numFmtId="164" fontId="1" fillId="0" borderId="0" applyFill="0" applyBorder="0" applyProtection="0"/>
    <xf numFmtId="43" fontId="2" fillId="0" borderId="0" applyFont="0" applyFill="0" applyBorder="0" applyProtection="0"/>
    <xf numFmtId="43" fontId="2" fillId="0" borderId="0" applyFont="0" applyFill="0" applyBorder="0" applyProtection="0"/>
    <xf numFmtId="0" fontId="1" fillId="2" borderId="1" applyNumberFormat="0" applyProtection="0"/>
    <xf numFmtId="0" fontId="1" fillId="2" borderId="1" applyNumberFormat="0" applyProtection="0"/>
    <xf numFmtId="0" fontId="3" fillId="3" borderId="0" applyNumberFormat="0" applyBorder="0" applyProtection="0"/>
    <xf numFmtId="44" fontId="1" fillId="0" borderId="0" applyFont="0" applyFill="0" applyBorder="0" applyProtection="0"/>
    <xf numFmtId="44" fontId="1" fillId="0" borderId="0" applyFont="0" applyFill="0" applyBorder="0" applyProtection="0"/>
    <xf numFmtId="0" fontId="1" fillId="0" borderId="0"/>
    <xf numFmtId="0" fontId="4" fillId="0" borderId="0"/>
    <xf numFmtId="0" fontId="5" fillId="0" borderId="0"/>
    <xf numFmtId="0" fontId="5" fillId="0" borderId="0"/>
    <xf numFmtId="0" fontId="1" fillId="0" borderId="0"/>
  </cellStyleXfs>
  <cellXfs count="2679">
    <xf numFmtId="0" fontId="0" fillId="0" borderId="0" xfId="0"/>
    <xf numFmtId="0" fontId="1" fillId="0" borderId="0" xfId="0" applyFont="1"/>
    <xf numFmtId="0" fontId="0" fillId="0" borderId="0" xfId="0"/>
    <xf numFmtId="0" fontId="6" fillId="0" borderId="0" xfId="0" applyFont="1" applyAlignment="1">
      <alignment horizontal="right"/>
    </xf>
    <xf numFmtId="4" fontId="7" fillId="0" borderId="0" xfId="0" applyNumberFormat="1" applyFont="1" applyAlignment="1">
      <alignment horizontal="center" wrapText="1"/>
    </xf>
    <xf numFmtId="4" fontId="0" fillId="0" borderId="0" xfId="0" applyNumberFormat="1" applyAlignment="1">
      <alignment horizontal="center" vertical="center" wrapText="1"/>
    </xf>
    <xf numFmtId="4" fontId="8" fillId="0" borderId="0" xfId="0" applyNumberFormat="1" applyFont="1" applyAlignment="1">
      <alignment horizontal="center" vertical="center" wrapText="1"/>
    </xf>
    <xf numFmtId="0" fontId="1" fillId="0" borderId="0" xfId="0" applyFont="1" applyAlignment="1">
      <alignment horizontal="center" vertical="center"/>
    </xf>
    <xf numFmtId="0" fontId="9" fillId="0" borderId="2" xfId="0" applyFont="1" applyBorder="1" applyAlignment="1">
      <alignment horizontal="center" vertical="center" wrapText="1"/>
    </xf>
    <xf numFmtId="0" fontId="8" fillId="0" borderId="2" xfId="0" applyFont="1" applyBorder="1" applyAlignment="1">
      <alignment horizontal="center" vertical="center" wrapText="1"/>
    </xf>
    <xf numFmtId="4" fontId="7" fillId="0" borderId="3" xfId="0" applyNumberFormat="1" applyFont="1" applyBorder="1" applyAlignment="1">
      <alignment horizontal="center" vertical="center" wrapText="1"/>
    </xf>
    <xf numFmtId="4" fontId="7" fillId="0" borderId="2" xfId="0" applyNumberFormat="1" applyFont="1" applyBorder="1" applyAlignment="1">
      <alignment horizontal="center" vertical="center" wrapText="1"/>
    </xf>
    <xf numFmtId="0" fontId="10" fillId="0" borderId="0" xfId="0" applyFont="1"/>
    <xf numFmtId="0" fontId="10" fillId="4" borderId="4" xfId="0" applyFont="1" applyFill="1" applyBorder="1"/>
    <xf numFmtId="0" fontId="8" fillId="4" borderId="4" xfId="0" applyFont="1" applyFill="1" applyBorder="1"/>
    <xf numFmtId="0" fontId="8" fillId="4" borderId="5" xfId="0" applyFont="1" applyFill="1" applyBorder="1"/>
    <xf numFmtId="4" fontId="7" fillId="0" borderId="5" xfId="0" applyNumberFormat="1" applyFont="1" applyBorder="1" applyAlignment="1">
      <alignment horizontal="center" wrapText="1"/>
    </xf>
    <xf numFmtId="4" fontId="0" fillId="0" borderId="5" xfId="0" applyNumberFormat="1" applyBorder="1" applyAlignment="1">
      <alignment horizontal="center" vertical="center" wrapText="1"/>
    </xf>
    <xf numFmtId="4" fontId="7" fillId="0" borderId="5" xfId="0" applyNumberFormat="1" applyFont="1" applyBorder="1" applyAlignment="1">
      <alignment horizontal="center" vertical="center" wrapText="1"/>
    </xf>
    <xf numFmtId="0" fontId="11" fillId="0" borderId="0" xfId="0" applyFont="1"/>
    <xf numFmtId="0" fontId="11" fillId="4" borderId="6" xfId="0" applyFont="1" applyFill="1" applyBorder="1"/>
    <xf numFmtId="0" fontId="12" fillId="4" borderId="6" xfId="0" applyFont="1" applyFill="1" applyBorder="1"/>
    <xf numFmtId="4" fontId="12" fillId="4" borderId="4" xfId="0" applyNumberFormat="1" applyFont="1" applyFill="1" applyBorder="1"/>
    <xf numFmtId="0" fontId="11" fillId="0" borderId="0" xfId="0" applyFont="1" applyAlignment="1">
      <alignment vertical="center"/>
    </xf>
    <xf numFmtId="0" fontId="13" fillId="4" borderId="6" xfId="0" applyFont="1" applyFill="1" applyBorder="1"/>
    <xf numFmtId="4" fontId="12" fillId="4" borderId="6" xfId="0" applyNumberFormat="1" applyFont="1" applyFill="1" applyBorder="1"/>
    <xf numFmtId="0" fontId="10" fillId="4" borderId="6" xfId="0" applyFont="1" applyFill="1" applyBorder="1"/>
    <xf numFmtId="0" fontId="8" fillId="4" borderId="6" xfId="0" applyFont="1" applyFill="1" applyBorder="1"/>
    <xf numFmtId="4" fontId="8" fillId="4" borderId="6" xfId="0" applyNumberFormat="1" applyFont="1" applyFill="1" applyBorder="1"/>
    <xf numFmtId="4" fontId="1" fillId="0" borderId="0" xfId="0" applyNumberFormat="1" applyFont="1"/>
    <xf numFmtId="0" fontId="12" fillId="4" borderId="7" xfId="0" applyFont="1" applyFill="1" applyBorder="1"/>
    <xf numFmtId="4" fontId="12" fillId="4" borderId="8" xfId="0" applyNumberFormat="1" applyFont="1" applyFill="1" applyBorder="1"/>
    <xf numFmtId="4" fontId="0" fillId="0" borderId="0" xfId="0" applyNumberFormat="1" applyAlignment="1">
      <alignment vertical="center"/>
    </xf>
    <xf numFmtId="0" fontId="14" fillId="0" borderId="0" xfId="0" applyFont="1"/>
    <xf numFmtId="0" fontId="14" fillId="4" borderId="2" xfId="0" applyFont="1" applyFill="1" applyBorder="1"/>
    <xf numFmtId="0" fontId="15" fillId="4" borderId="2" xfId="0" applyFont="1" applyFill="1" applyBorder="1"/>
    <xf numFmtId="4" fontId="16" fillId="4" borderId="2" xfId="0" applyNumberFormat="1" applyFont="1" applyFill="1" applyBorder="1"/>
    <xf numFmtId="4" fontId="14" fillId="0" borderId="0" xfId="0" applyNumberFormat="1" applyFont="1"/>
    <xf numFmtId="165" fontId="12" fillId="0" borderId="4" xfId="0" applyNumberFormat="1" applyFont="1" applyBorder="1"/>
    <xf numFmtId="165" fontId="13" fillId="0" borderId="4" xfId="0" applyNumberFormat="1" applyFont="1" applyBorder="1"/>
    <xf numFmtId="165" fontId="12" fillId="0" borderId="5" xfId="0" applyNumberFormat="1" applyFont="1" applyBorder="1"/>
    <xf numFmtId="4" fontId="12" fillId="4" borderId="4" xfId="0" applyNumberFormat="1" applyFont="1" applyFill="1" applyBorder="1" applyAlignment="1">
      <alignment vertical="center"/>
    </xf>
    <xf numFmtId="4" fontId="12" fillId="4" borderId="6" xfId="0" applyNumberFormat="1" applyFont="1" applyFill="1" applyBorder="1" applyAlignment="1">
      <alignment vertical="center"/>
    </xf>
    <xf numFmtId="0" fontId="7" fillId="4" borderId="4" xfId="0" applyFont="1" applyFill="1" applyBorder="1"/>
    <xf numFmtId="165" fontId="12" fillId="0" borderId="6" xfId="0" applyNumberFormat="1" applyFont="1" applyBorder="1"/>
    <xf numFmtId="165" fontId="13" fillId="0" borderId="6" xfId="0" applyNumberFormat="1" applyFont="1" applyBorder="1"/>
    <xf numFmtId="0" fontId="17" fillId="4" borderId="9" xfId="0" applyFont="1" applyFill="1" applyBorder="1" applyAlignment="1">
      <alignment vertical="center" wrapText="1"/>
    </xf>
    <xf numFmtId="4" fontId="17" fillId="4" borderId="4" xfId="0" applyNumberFormat="1" applyFont="1" applyFill="1" applyBorder="1" applyAlignment="1">
      <alignment vertical="center"/>
    </xf>
    <xf numFmtId="0" fontId="7" fillId="4" borderId="6" xfId="0" applyFont="1" applyFill="1" applyBorder="1"/>
    <xf numFmtId="0" fontId="12" fillId="4" borderId="4" xfId="0" applyFont="1" applyFill="1" applyBorder="1"/>
    <xf numFmtId="0" fontId="12" fillId="4" borderId="8" xfId="0" applyFont="1" applyFill="1" applyBorder="1"/>
    <xf numFmtId="0" fontId="17" fillId="4" borderId="10" xfId="0" applyFont="1" applyFill="1" applyBorder="1" applyAlignment="1">
      <alignment vertical="center" wrapText="1"/>
    </xf>
    <xf numFmtId="0" fontId="12" fillId="4" borderId="9" xfId="0" applyFont="1" applyFill="1" applyBorder="1"/>
    <xf numFmtId="0" fontId="12" fillId="4" borderId="11" xfId="0" applyFont="1" applyFill="1" applyBorder="1"/>
    <xf numFmtId="4" fontId="12" fillId="4" borderId="11" xfId="0" applyNumberFormat="1" applyFont="1" applyFill="1" applyBorder="1"/>
    <xf numFmtId="0" fontId="12" fillId="4" borderId="2" xfId="0" applyFont="1" applyFill="1" applyBorder="1"/>
    <xf numFmtId="0" fontId="17" fillId="4" borderId="2" xfId="0" applyFont="1" applyFill="1" applyBorder="1"/>
    <xf numFmtId="4" fontId="17" fillId="4" borderId="2" xfId="0" applyNumberFormat="1" applyFont="1" applyFill="1" applyBorder="1"/>
    <xf numFmtId="0" fontId="11" fillId="4" borderId="0" xfId="0" applyFont="1" applyFill="1"/>
    <xf numFmtId="0" fontId="17" fillId="4" borderId="8" xfId="0" applyFont="1" applyFill="1" applyBorder="1"/>
    <xf numFmtId="4" fontId="17" fillId="4" borderId="8" xfId="0" applyNumberFormat="1" applyFont="1" applyFill="1" applyBorder="1"/>
    <xf numFmtId="0" fontId="17" fillId="4" borderId="9" xfId="0" applyFont="1" applyFill="1" applyBorder="1"/>
    <xf numFmtId="4" fontId="17" fillId="4" borderId="9" xfId="0" applyNumberFormat="1" applyFont="1" applyFill="1" applyBorder="1"/>
    <xf numFmtId="0" fontId="11" fillId="5" borderId="0" xfId="0" applyFont="1" applyFill="1"/>
    <xf numFmtId="0" fontId="7" fillId="0" borderId="2" xfId="0" applyFont="1" applyBorder="1"/>
    <xf numFmtId="0" fontId="17" fillId="0" borderId="2" xfId="0" applyFont="1" applyBorder="1" applyAlignment="1">
      <alignment vertical="center" wrapText="1"/>
    </xf>
    <xf numFmtId="4" fontId="17" fillId="0" borderId="2" xfId="0" applyNumberFormat="1" applyFont="1" applyBorder="1" applyAlignment="1">
      <alignment vertical="center"/>
    </xf>
    <xf numFmtId="0" fontId="17" fillId="4" borderId="4" xfId="0" applyFont="1" applyFill="1" applyBorder="1"/>
    <xf numFmtId="4" fontId="18" fillId="4" borderId="4" xfId="0" applyNumberFormat="1" applyFont="1" applyFill="1" applyBorder="1"/>
    <xf numFmtId="4" fontId="17" fillId="4" borderId="4" xfId="0" applyNumberFormat="1" applyFont="1" applyFill="1" applyBorder="1"/>
    <xf numFmtId="0" fontId="17" fillId="4" borderId="11" xfId="0" applyFont="1" applyFill="1" applyBorder="1"/>
    <xf numFmtId="4" fontId="17" fillId="4" borderId="11" xfId="0" applyNumberFormat="1" applyFont="1" applyFill="1" applyBorder="1"/>
    <xf numFmtId="0" fontId="17" fillId="4" borderId="11" xfId="0" applyFont="1" applyFill="1" applyBorder="1" applyAlignment="1">
      <alignment vertical="center" wrapText="1"/>
    </xf>
    <xf numFmtId="4" fontId="18" fillId="4" borderId="2" xfId="0" applyNumberFormat="1" applyFont="1" applyFill="1" applyBorder="1" applyAlignment="1">
      <alignment vertical="center"/>
    </xf>
    <xf numFmtId="4" fontId="17" fillId="4" borderId="2" xfId="0" applyNumberFormat="1" applyFont="1" applyFill="1" applyBorder="1" applyAlignment="1">
      <alignment vertical="center"/>
    </xf>
    <xf numFmtId="0" fontId="12" fillId="4" borderId="5" xfId="0" applyFont="1" applyFill="1" applyBorder="1"/>
    <xf numFmtId="0" fontId="12" fillId="0" borderId="6" xfId="0" applyFont="1" applyBorder="1"/>
    <xf numFmtId="0" fontId="17" fillId="4" borderId="12" xfId="0" applyFont="1" applyFill="1" applyBorder="1"/>
    <xf numFmtId="4" fontId="17" fillId="4" borderId="5" xfId="0" applyNumberFormat="1" applyFont="1" applyFill="1" applyBorder="1"/>
    <xf numFmtId="0" fontId="12" fillId="4" borderId="13" xfId="0" applyFont="1" applyFill="1" applyBorder="1"/>
    <xf numFmtId="4" fontId="17" fillId="4" borderId="6" xfId="0" applyNumberFormat="1" applyFont="1" applyFill="1" applyBorder="1"/>
    <xf numFmtId="0" fontId="12" fillId="4" borderId="14" xfId="0" applyFont="1" applyFill="1" applyBorder="1"/>
    <xf numFmtId="0" fontId="12" fillId="4" borderId="15" xfId="0" applyFont="1" applyFill="1" applyBorder="1"/>
    <xf numFmtId="0" fontId="13" fillId="4" borderId="2" xfId="0" applyFont="1" applyFill="1" applyBorder="1"/>
    <xf numFmtId="4" fontId="18" fillId="4" borderId="2" xfId="0" applyNumberFormat="1" applyFont="1" applyFill="1" applyBorder="1"/>
    <xf numFmtId="0" fontId="19" fillId="0" borderId="0" xfId="0" applyFont="1"/>
    <xf numFmtId="0" fontId="17" fillId="4" borderId="5" xfId="0" applyFont="1" applyFill="1" applyBorder="1"/>
    <xf numFmtId="0" fontId="12" fillId="4" borderId="11" xfId="0" applyFont="1" applyFill="1" applyBorder="1" applyAlignment="1">
      <alignment vertical="center"/>
    </xf>
    <xf numFmtId="4" fontId="0" fillId="0" borderId="0" xfId="0" applyNumberFormat="1"/>
    <xf numFmtId="0" fontId="10" fillId="4" borderId="2" xfId="0" applyFont="1" applyFill="1" applyBorder="1"/>
    <xf numFmtId="0" fontId="16" fillId="4" borderId="2" xfId="0" applyFont="1" applyFill="1" applyBorder="1"/>
    <xf numFmtId="4" fontId="8" fillId="4" borderId="2" xfId="0" applyNumberFormat="1" applyFont="1" applyFill="1" applyBorder="1"/>
    <xf numFmtId="0" fontId="1" fillId="0" borderId="2" xfId="0" applyFont="1" applyBorder="1"/>
    <xf numFmtId="0" fontId="16" fillId="0" borderId="2" xfId="0" applyFont="1" applyBorder="1"/>
    <xf numFmtId="0" fontId="8" fillId="0" borderId="2" xfId="0" applyFont="1" applyBorder="1" applyAlignment="1">
      <alignment horizontal="center"/>
    </xf>
    <xf numFmtId="4" fontId="6" fillId="0" borderId="2" xfId="0" applyNumberFormat="1" applyFont="1" applyBorder="1" applyAlignment="1">
      <alignment vertical="center" shrinkToFit="1"/>
    </xf>
    <xf numFmtId="4" fontId="0" fillId="0" borderId="2" xfId="0" applyNumberFormat="1" applyBorder="1" applyAlignment="1">
      <alignment vertical="center" shrinkToFit="1"/>
    </xf>
    <xf numFmtId="4" fontId="6" fillId="0" borderId="2" xfId="0" applyNumberFormat="1" applyFont="1" applyBorder="1" applyAlignment="1">
      <alignment vertical="center"/>
    </xf>
    <xf numFmtId="0" fontId="6" fillId="0" borderId="0" xfId="0" applyFont="1"/>
    <xf numFmtId="0" fontId="8" fillId="0" borderId="2" xfId="0" applyFont="1" applyBorder="1"/>
    <xf numFmtId="0" fontId="7" fillId="0" borderId="2" xfId="0" applyFont="1" applyBorder="1" applyAlignment="1">
      <alignment vertical="center" wrapText="1"/>
    </xf>
    <xf numFmtId="4" fontId="7" fillId="0" borderId="2" xfId="0" applyNumberFormat="1" applyFont="1" applyBorder="1" applyAlignment="1">
      <alignment shrinkToFit="1"/>
    </xf>
    <xf numFmtId="0" fontId="6" fillId="0" borderId="14" xfId="0" applyFont="1" applyBorder="1" applyAlignment="1">
      <alignment vertical="center"/>
    </xf>
    <xf numFmtId="0" fontId="6" fillId="0" borderId="4" xfId="0" applyFont="1" applyBorder="1" applyAlignment="1">
      <alignment vertical="center"/>
    </xf>
    <xf numFmtId="4" fontId="6" fillId="0" borderId="4" xfId="0" applyNumberFormat="1" applyFont="1" applyBorder="1" applyAlignment="1">
      <alignment vertical="center" shrinkToFit="1"/>
    </xf>
    <xf numFmtId="4" fontId="6" fillId="0" borderId="4" xfId="0" applyNumberFormat="1" applyFont="1" applyBorder="1" applyAlignment="1">
      <alignment vertical="center"/>
    </xf>
    <xf numFmtId="0" fontId="6" fillId="0" borderId="13" xfId="0" applyFont="1" applyBorder="1" applyAlignment="1">
      <alignment vertical="center"/>
    </xf>
    <xf numFmtId="0" fontId="6" fillId="0" borderId="6" xfId="0" applyFont="1" applyBorder="1" applyAlignment="1">
      <alignment vertical="center"/>
    </xf>
    <xf numFmtId="4" fontId="6" fillId="0" borderId="6" xfId="0" applyNumberFormat="1" applyFont="1" applyBorder="1" applyAlignment="1">
      <alignment vertical="center" shrinkToFit="1"/>
    </xf>
    <xf numFmtId="4" fontId="6" fillId="0" borderId="6" xfId="0" applyNumberFormat="1" applyFont="1" applyBorder="1" applyAlignment="1">
      <alignment vertical="center"/>
    </xf>
    <xf numFmtId="0" fontId="6" fillId="0" borderId="6" xfId="0" applyFont="1" applyBorder="1" applyAlignment="1">
      <alignment vertical="center" wrapText="1"/>
    </xf>
    <xf numFmtId="0" fontId="1" fillId="0" borderId="13" xfId="0" applyFont="1" applyBorder="1" applyAlignment="1">
      <alignment vertical="center"/>
    </xf>
    <xf numFmtId="0" fontId="1" fillId="0" borderId="6" xfId="0" applyFont="1" applyBorder="1" applyAlignment="1">
      <alignment vertical="center"/>
    </xf>
    <xf numFmtId="4" fontId="0" fillId="0" borderId="6" xfId="0" applyNumberFormat="1" applyBorder="1" applyAlignment="1">
      <alignment vertical="center"/>
    </xf>
    <xf numFmtId="4" fontId="0" fillId="0" borderId="4" xfId="0" applyNumberFormat="1" applyBorder="1" applyAlignment="1">
      <alignment vertical="center"/>
    </xf>
    <xf numFmtId="0" fontId="0" fillId="0" borderId="13" xfId="0" applyBorder="1" applyAlignment="1">
      <alignment vertical="center"/>
    </xf>
    <xf numFmtId="0" fontId="0" fillId="0" borderId="6" xfId="0" applyBorder="1" applyAlignment="1">
      <alignment vertical="center" wrapText="1"/>
    </xf>
    <xf numFmtId="4" fontId="0" fillId="0" borderId="6" xfId="0" applyNumberFormat="1" applyBorder="1" applyAlignment="1">
      <alignment vertical="center" shrinkToFit="1"/>
    </xf>
    <xf numFmtId="0" fontId="0" fillId="4" borderId="0" xfId="0" applyFill="1"/>
    <xf numFmtId="0" fontId="0" fillId="4" borderId="13" xfId="0" applyFill="1" applyBorder="1" applyAlignment="1">
      <alignment vertical="center"/>
    </xf>
    <xf numFmtId="0" fontId="0" fillId="4" borderId="6" xfId="0" applyFill="1" applyBorder="1" applyAlignment="1">
      <alignment vertical="center" wrapText="1"/>
    </xf>
    <xf numFmtId="4" fontId="0" fillId="4" borderId="6" xfId="0" applyNumberFormat="1" applyFill="1" applyBorder="1" applyAlignment="1">
      <alignment vertical="center"/>
    </xf>
    <xf numFmtId="4" fontId="0" fillId="4" borderId="6" xfId="0" applyNumberFormat="1" applyFill="1" applyBorder="1" applyAlignment="1">
      <alignment vertical="center" shrinkToFit="1"/>
    </xf>
    <xf numFmtId="4" fontId="0" fillId="4" borderId="4" xfId="0" applyNumberFormat="1" applyFill="1" applyBorder="1" applyAlignment="1">
      <alignment vertical="center"/>
    </xf>
    <xf numFmtId="4" fontId="0" fillId="4" borderId="0" xfId="0" applyNumberFormat="1" applyFill="1" applyAlignment="1">
      <alignment vertical="center"/>
    </xf>
    <xf numFmtId="0" fontId="1" fillId="0" borderId="6" xfId="0" applyFont="1" applyBorder="1" applyAlignment="1">
      <alignment vertical="center" wrapText="1"/>
    </xf>
    <xf numFmtId="0" fontId="1" fillId="5" borderId="0" xfId="0" applyFont="1" applyFill="1"/>
    <xf numFmtId="0" fontId="1" fillId="4" borderId="13" xfId="0" applyFont="1" applyFill="1" applyBorder="1" applyAlignment="1">
      <alignment vertical="center"/>
    </xf>
    <xf numFmtId="0" fontId="1" fillId="4" borderId="6" xfId="0" applyFont="1" applyFill="1" applyBorder="1" applyAlignment="1">
      <alignment vertical="center"/>
    </xf>
    <xf numFmtId="4" fontId="0" fillId="4" borderId="0" xfId="0" applyNumberFormat="1" applyFill="1"/>
    <xf numFmtId="0" fontId="1" fillId="4" borderId="0" xfId="0" applyFont="1" applyFill="1"/>
    <xf numFmtId="0" fontId="6" fillId="0" borderId="16" xfId="0" applyFont="1" applyBorder="1" applyAlignment="1">
      <alignment vertical="center"/>
    </xf>
    <xf numFmtId="0" fontId="6" fillId="0" borderId="8" xfId="0" applyFont="1" applyBorder="1" applyAlignment="1">
      <alignment vertical="center"/>
    </xf>
    <xf numFmtId="4" fontId="6" fillId="0" borderId="11" xfId="0" applyNumberFormat="1" applyFont="1" applyBorder="1"/>
    <xf numFmtId="4" fontId="0" fillId="0" borderId="11" xfId="0" applyNumberFormat="1" applyBorder="1"/>
    <xf numFmtId="4" fontId="6" fillId="0" borderId="11" xfId="0" applyNumberFormat="1" applyFont="1" applyBorder="1" applyAlignment="1">
      <alignment vertical="center"/>
    </xf>
    <xf numFmtId="0" fontId="6" fillId="0" borderId="17" xfId="0" applyFont="1" applyBorder="1"/>
    <xf numFmtId="4" fontId="7" fillId="0" borderId="2" xfId="0" applyNumberFormat="1" applyFont="1" applyBorder="1"/>
    <xf numFmtId="0" fontId="6" fillId="4" borderId="14" xfId="0" applyFont="1" applyFill="1" applyBorder="1" applyAlignment="1">
      <alignment vertical="center"/>
    </xf>
    <xf numFmtId="0" fontId="6" fillId="4" borderId="4" xfId="0" applyFont="1" applyFill="1" applyBorder="1" applyAlignment="1">
      <alignment vertical="center"/>
    </xf>
    <xf numFmtId="4" fontId="6" fillId="4" borderId="5" xfId="0" applyNumberFormat="1" applyFont="1" applyFill="1" applyBorder="1" applyAlignment="1">
      <alignment vertical="center"/>
    </xf>
    <xf numFmtId="0" fontId="6" fillId="4" borderId="13" xfId="0" applyFont="1" applyFill="1" applyBorder="1" applyAlignment="1">
      <alignment vertical="center"/>
    </xf>
    <xf numFmtId="4" fontId="20" fillId="0" borderId="9" xfId="0" applyNumberFormat="1" applyFont="1" applyBorder="1"/>
    <xf numFmtId="4" fontId="0" fillId="0" borderId="9" xfId="0" applyNumberFormat="1" applyBorder="1" applyAlignment="1">
      <alignment vertical="center"/>
    </xf>
    <xf numFmtId="0" fontId="6" fillId="4" borderId="6" xfId="0" applyFont="1" applyFill="1" applyBorder="1" applyAlignment="1">
      <alignment vertical="center"/>
    </xf>
    <xf numFmtId="4" fontId="6" fillId="4" borderId="6" xfId="0" applyNumberFormat="1" applyFont="1" applyFill="1" applyBorder="1" applyAlignment="1">
      <alignment vertical="center"/>
    </xf>
    <xf numFmtId="0" fontId="6" fillId="4" borderId="6" xfId="0" applyFont="1" applyFill="1" applyBorder="1" applyAlignment="1">
      <alignment vertical="center" wrapText="1"/>
    </xf>
    <xf numFmtId="0" fontId="1" fillId="4" borderId="6" xfId="0" applyFont="1" applyFill="1" applyBorder="1" applyAlignment="1">
      <alignment vertical="center" wrapText="1"/>
    </xf>
    <xf numFmtId="4" fontId="0" fillId="0" borderId="18" xfId="0" applyNumberFormat="1" applyBorder="1" applyAlignment="1">
      <alignment vertical="center"/>
    </xf>
    <xf numFmtId="4" fontId="0" fillId="0" borderId="6" xfId="0" applyNumberFormat="1" applyBorder="1" applyAlignment="1">
      <alignment horizontal="right" vertical="center"/>
    </xf>
    <xf numFmtId="0" fontId="16" fillId="0" borderId="0" xfId="0" applyFont="1" applyAlignment="1">
      <alignment vertical="center"/>
    </xf>
    <xf numFmtId="4" fontId="1" fillId="0" borderId="6" xfId="0" applyNumberFormat="1" applyFont="1" applyBorder="1" applyAlignment="1">
      <alignment shrinkToFit="1"/>
    </xf>
    <xf numFmtId="4" fontId="0" fillId="0" borderId="6" xfId="0" applyNumberFormat="1" applyBorder="1" applyAlignment="1">
      <alignment shrinkToFit="1"/>
    </xf>
    <xf numFmtId="4" fontId="6" fillId="0" borderId="19" xfId="0" applyNumberFormat="1" applyFont="1" applyBorder="1" applyAlignment="1">
      <alignment vertical="center"/>
    </xf>
    <xf numFmtId="4" fontId="9" fillId="4" borderId="6" xfId="0" applyNumberFormat="1" applyFont="1" applyFill="1" applyBorder="1" applyAlignment="1">
      <alignment vertical="center"/>
    </xf>
    <xf numFmtId="0" fontId="0" fillId="4" borderId="6" xfId="0" applyFill="1" applyBorder="1" applyAlignment="1">
      <alignment vertical="center"/>
    </xf>
    <xf numFmtId="0" fontId="1" fillId="4" borderId="13" xfId="0" applyFont="1" applyFill="1" applyBorder="1"/>
    <xf numFmtId="0" fontId="1" fillId="4" borderId="6" xfId="0" applyFont="1" applyFill="1" applyBorder="1" applyAlignment="1">
      <alignment wrapText="1"/>
    </xf>
    <xf numFmtId="0" fontId="1" fillId="0" borderId="0" xfId="0" applyFont="1" applyAlignment="1">
      <alignment vertical="center"/>
    </xf>
    <xf numFmtId="0" fontId="0" fillId="0" borderId="6" xfId="0" applyBorder="1" applyAlignment="1">
      <alignment vertical="center"/>
    </xf>
    <xf numFmtId="4" fontId="1" fillId="0" borderId="6" xfId="0" applyNumberFormat="1" applyFont="1" applyBorder="1" applyAlignment="1">
      <alignment vertical="center"/>
    </xf>
    <xf numFmtId="0" fontId="6" fillId="4" borderId="20" xfId="0" applyFont="1" applyFill="1" applyBorder="1"/>
    <xf numFmtId="0" fontId="6" fillId="4" borderId="7" xfId="0" applyFont="1" applyFill="1" applyBorder="1"/>
    <xf numFmtId="4" fontId="6" fillId="4" borderId="8" xfId="0" applyNumberFormat="1" applyFont="1" applyFill="1" applyBorder="1"/>
    <xf numFmtId="4" fontId="1" fillId="0" borderId="7" xfId="0" applyNumberFormat="1" applyFont="1" applyBorder="1" applyAlignment="1">
      <alignment shrinkToFit="1"/>
    </xf>
    <xf numFmtId="4" fontId="0" fillId="0" borderId="7" xfId="0" applyNumberFormat="1" applyBorder="1" applyAlignment="1">
      <alignment shrinkToFit="1"/>
    </xf>
    <xf numFmtId="4" fontId="0" fillId="0" borderId="11" xfId="0" applyNumberFormat="1" applyBorder="1" applyAlignment="1">
      <alignment vertical="center"/>
    </xf>
    <xf numFmtId="0" fontId="6" fillId="4" borderId="17" xfId="0" applyFont="1" applyFill="1" applyBorder="1"/>
    <xf numFmtId="0" fontId="7" fillId="4" borderId="2" xfId="0" applyFont="1" applyFill="1" applyBorder="1"/>
    <xf numFmtId="4" fontId="7" fillId="4" borderId="2" xfId="0" applyNumberFormat="1" applyFont="1" applyFill="1" applyBorder="1"/>
    <xf numFmtId="0" fontId="6" fillId="4" borderId="14" xfId="0" applyFont="1" applyFill="1" applyBorder="1" applyAlignment="1">
      <alignment vertical="center" wrapText="1"/>
    </xf>
    <xf numFmtId="4" fontId="6" fillId="0" borderId="18" xfId="0" applyNumberFormat="1" applyFont="1" applyBorder="1" applyAlignment="1">
      <alignment vertical="center"/>
    </xf>
    <xf numFmtId="4" fontId="6" fillId="0" borderId="14" xfId="0" applyNumberFormat="1" applyFont="1" applyBorder="1" applyAlignment="1">
      <alignment vertical="center"/>
    </xf>
    <xf numFmtId="4" fontId="6" fillId="0" borderId="5" xfId="0" applyNumberFormat="1" applyFont="1" applyBorder="1" applyAlignment="1">
      <alignment vertical="center"/>
    </xf>
    <xf numFmtId="4" fontId="6" fillId="4" borderId="21" xfId="0" applyNumberFormat="1" applyFont="1" applyFill="1" applyBorder="1" applyAlignment="1">
      <alignment vertical="center"/>
    </xf>
    <xf numFmtId="4" fontId="6" fillId="4" borderId="13" xfId="0" applyNumberFormat="1" applyFont="1" applyFill="1" applyBorder="1" applyAlignment="1">
      <alignment vertical="center"/>
    </xf>
    <xf numFmtId="0" fontId="1" fillId="4" borderId="20" xfId="0" applyFont="1" applyFill="1" applyBorder="1" applyAlignment="1">
      <alignment vertical="center"/>
    </xf>
    <xf numFmtId="4" fontId="0" fillId="0" borderId="21" xfId="0" applyNumberFormat="1" applyBorder="1" applyAlignment="1">
      <alignment vertical="center"/>
    </xf>
    <xf numFmtId="4" fontId="0" fillId="0" borderId="13" xfId="0" applyNumberFormat="1" applyBorder="1" applyAlignment="1">
      <alignment vertical="center"/>
    </xf>
    <xf numFmtId="4" fontId="1" fillId="4" borderId="6" xfId="0" applyNumberFormat="1" applyFont="1" applyFill="1" applyBorder="1" applyAlignment="1">
      <alignment vertical="center"/>
    </xf>
    <xf numFmtId="4" fontId="6" fillId="0" borderId="21" xfId="0" applyNumberFormat="1" applyFont="1" applyBorder="1" applyAlignment="1">
      <alignment vertical="center"/>
    </xf>
    <xf numFmtId="4" fontId="6" fillId="0" borderId="13" xfId="0" applyNumberFormat="1" applyFont="1" applyBorder="1" applyAlignment="1">
      <alignment vertical="center"/>
    </xf>
    <xf numFmtId="0" fontId="6" fillId="4" borderId="13" xfId="0" applyFont="1" applyFill="1" applyBorder="1" applyAlignment="1">
      <alignment vertical="center" wrapText="1"/>
    </xf>
    <xf numFmtId="0" fontId="6" fillId="4" borderId="20" xfId="0" applyFont="1" applyFill="1" applyBorder="1" applyAlignment="1">
      <alignment vertical="center"/>
    </xf>
    <xf numFmtId="4" fontId="0" fillId="0" borderId="22" xfId="0" applyNumberFormat="1" applyBorder="1" applyAlignment="1">
      <alignment vertical="center"/>
    </xf>
    <xf numFmtId="4" fontId="0" fillId="0" borderId="20" xfId="0" applyNumberFormat="1" applyBorder="1" applyAlignment="1">
      <alignment vertical="center"/>
    </xf>
    <xf numFmtId="0" fontId="6" fillId="4" borderId="7" xfId="0" applyFont="1" applyFill="1" applyBorder="1" applyAlignment="1">
      <alignment vertical="center"/>
    </xf>
    <xf numFmtId="4" fontId="6" fillId="4" borderId="11" xfId="0" applyNumberFormat="1" applyFont="1" applyFill="1" applyBorder="1" applyAlignment="1">
      <alignment vertical="center"/>
    </xf>
    <xf numFmtId="0" fontId="6" fillId="4" borderId="2" xfId="0" applyFont="1" applyFill="1" applyBorder="1"/>
    <xf numFmtId="4" fontId="7" fillId="4" borderId="17" xfId="0" applyNumberFormat="1" applyFont="1" applyFill="1" applyBorder="1"/>
    <xf numFmtId="0" fontId="6" fillId="4" borderId="4" xfId="0" applyFont="1" applyFill="1" applyBorder="1"/>
    <xf numFmtId="4" fontId="6" fillId="4" borderId="4" xfId="0" applyNumberFormat="1" applyFont="1" applyFill="1" applyBorder="1"/>
    <xf numFmtId="4" fontId="6" fillId="4" borderId="14" xfId="0" applyNumberFormat="1" applyFont="1" applyFill="1" applyBorder="1"/>
    <xf numFmtId="0" fontId="0" fillId="4" borderId="4" xfId="0" applyFill="1" applyBorder="1"/>
    <xf numFmtId="4" fontId="0" fillId="4" borderId="4" xfId="0" applyNumberFormat="1" applyFill="1" applyBorder="1"/>
    <xf numFmtId="4" fontId="0" fillId="4" borderId="14" xfId="0" applyNumberFormat="1" applyFill="1" applyBorder="1"/>
    <xf numFmtId="0" fontId="6" fillId="4" borderId="4" xfId="0" applyFont="1" applyFill="1" applyBorder="1" applyAlignment="1">
      <alignment vertical="center" wrapText="1"/>
    </xf>
    <xf numFmtId="4" fontId="6" fillId="4" borderId="4" xfId="0" applyNumberFormat="1" applyFont="1" applyFill="1" applyBorder="1" applyAlignment="1">
      <alignment vertical="center"/>
    </xf>
    <xf numFmtId="4" fontId="0" fillId="4" borderId="13" xfId="0" applyNumberFormat="1" applyFill="1" applyBorder="1" applyAlignment="1">
      <alignment vertical="center"/>
    </xf>
    <xf numFmtId="0" fontId="1" fillId="0" borderId="7" xfId="0" applyFont="1" applyBorder="1" applyAlignment="1">
      <alignment vertical="center"/>
    </xf>
    <xf numFmtId="4" fontId="0" fillId="4" borderId="7" xfId="0" applyNumberFormat="1" applyFill="1" applyBorder="1" applyAlignment="1">
      <alignment vertical="center"/>
    </xf>
    <xf numFmtId="4" fontId="0" fillId="4" borderId="20" xfId="0" applyNumberFormat="1" applyFill="1" applyBorder="1" applyAlignment="1">
      <alignment vertical="center"/>
    </xf>
    <xf numFmtId="0" fontId="6" fillId="0" borderId="7" xfId="0" applyFont="1" applyBorder="1" applyAlignment="1">
      <alignment vertical="center"/>
    </xf>
    <xf numFmtId="4" fontId="1" fillId="0" borderId="7" xfId="0" applyNumberFormat="1" applyFont="1" applyBorder="1" applyAlignment="1">
      <alignment vertical="center"/>
    </xf>
    <xf numFmtId="4" fontId="1" fillId="0" borderId="20" xfId="0" applyNumberFormat="1" applyFont="1" applyBorder="1" applyAlignment="1">
      <alignment vertical="center"/>
    </xf>
    <xf numFmtId="4" fontId="1" fillId="0" borderId="13" xfId="0" applyNumberFormat="1" applyFont="1" applyBorder="1" applyAlignment="1">
      <alignment vertical="center"/>
    </xf>
    <xf numFmtId="0" fontId="21" fillId="4" borderId="6" xfId="0" applyFont="1" applyFill="1" applyBorder="1" applyAlignment="1">
      <alignment horizontal="right" vertical="center"/>
    </xf>
    <xf numFmtId="4" fontId="6" fillId="0" borderId="13" xfId="0" applyNumberFormat="1" applyFont="1" applyBorder="1"/>
    <xf numFmtId="4" fontId="0" fillId="0" borderId="13" xfId="0" applyNumberFormat="1" applyBorder="1"/>
    <xf numFmtId="0" fontId="6" fillId="0" borderId="13" xfId="0" applyFont="1" applyBorder="1" applyAlignment="1">
      <alignment vertical="center" wrapText="1"/>
    </xf>
    <xf numFmtId="4" fontId="6" fillId="0" borderId="6" xfId="4" applyNumberFormat="1" applyFont="1" applyFill="1" applyBorder="1" applyAlignment="1" applyProtection="1">
      <alignment vertical="center"/>
    </xf>
    <xf numFmtId="4" fontId="6" fillId="0" borderId="13" xfId="4" applyNumberFormat="1" applyFont="1" applyFill="1" applyBorder="1" applyAlignment="1" applyProtection="1">
      <alignment vertical="center"/>
    </xf>
    <xf numFmtId="4" fontId="0" fillId="4" borderId="7" xfId="0" applyNumberFormat="1" applyFill="1" applyBorder="1"/>
    <xf numFmtId="0" fontId="1" fillId="4" borderId="7" xfId="0" applyFont="1" applyFill="1" applyBorder="1" applyAlignment="1">
      <alignment vertical="center"/>
    </xf>
    <xf numFmtId="4" fontId="1" fillId="4" borderId="7" xfId="0" applyNumberFormat="1" applyFont="1" applyFill="1" applyBorder="1" applyAlignment="1">
      <alignment vertical="center"/>
    </xf>
    <xf numFmtId="4" fontId="1" fillId="4" borderId="20" xfId="0" applyNumberFormat="1" applyFont="1" applyFill="1" applyBorder="1" applyAlignment="1">
      <alignment vertical="center"/>
    </xf>
    <xf numFmtId="4" fontId="6" fillId="4" borderId="6" xfId="4" applyNumberFormat="1" applyFont="1" applyFill="1" applyBorder="1" applyAlignment="1" applyProtection="1">
      <alignment vertical="center"/>
    </xf>
    <xf numFmtId="4" fontId="6" fillId="4" borderId="13" xfId="4" applyNumberFormat="1" applyFont="1" applyFill="1" applyBorder="1" applyAlignment="1" applyProtection="1">
      <alignment vertical="center"/>
    </xf>
    <xf numFmtId="0" fontId="0" fillId="4" borderId="7" xfId="0" applyFill="1" applyBorder="1" applyAlignment="1">
      <alignment vertical="center"/>
    </xf>
    <xf numFmtId="0" fontId="0" fillId="4" borderId="7" xfId="0" applyFill="1" applyBorder="1" applyAlignment="1">
      <alignment vertical="center" wrapText="1"/>
    </xf>
    <xf numFmtId="4" fontId="0" fillId="4" borderId="6" xfId="0" applyNumberFormat="1" applyFill="1" applyBorder="1"/>
    <xf numFmtId="0" fontId="6" fillId="4" borderId="8" xfId="0" applyFont="1" applyFill="1" applyBorder="1" applyAlignment="1">
      <alignment vertical="center"/>
    </xf>
    <xf numFmtId="0" fontId="1" fillId="4" borderId="7" xfId="0" applyFont="1" applyFill="1" applyBorder="1" applyAlignment="1">
      <alignment vertical="center" wrapText="1"/>
    </xf>
    <xf numFmtId="4" fontId="6" fillId="0" borderId="8" xfId="0" applyNumberFormat="1" applyFont="1" applyBorder="1" applyAlignment="1">
      <alignment vertical="center"/>
    </xf>
    <xf numFmtId="4" fontId="0" fillId="0" borderId="16" xfId="0" applyNumberFormat="1" applyBorder="1" applyAlignment="1">
      <alignment vertical="center"/>
    </xf>
    <xf numFmtId="0" fontId="16" fillId="4" borderId="17" xfId="0" applyFont="1" applyFill="1" applyBorder="1"/>
    <xf numFmtId="4" fontId="8" fillId="4" borderId="2" xfId="0" applyNumberFormat="1" applyFont="1" applyFill="1" applyBorder="1" applyAlignment="1">
      <alignment vertical="center" shrinkToFit="1"/>
    </xf>
    <xf numFmtId="0" fontId="6" fillId="4" borderId="23" xfId="0" applyFont="1" applyFill="1" applyBorder="1"/>
    <xf numFmtId="0" fontId="7" fillId="4" borderId="9" xfId="0" applyFont="1" applyFill="1" applyBorder="1"/>
    <xf numFmtId="4" fontId="1" fillId="4" borderId="2" xfId="0" applyNumberFormat="1" applyFont="1" applyFill="1" applyBorder="1" applyAlignment="1">
      <alignment vertical="center"/>
    </xf>
    <xf numFmtId="4" fontId="0" fillId="4" borderId="2" xfId="0" applyNumberFormat="1" applyFill="1" applyBorder="1" applyAlignment="1">
      <alignment vertical="center"/>
    </xf>
    <xf numFmtId="4" fontId="0" fillId="0" borderId="2" xfId="0" applyNumberFormat="1" applyBorder="1" applyAlignment="1">
      <alignment vertical="center"/>
    </xf>
    <xf numFmtId="4" fontId="7" fillId="4" borderId="2" xfId="0" applyNumberFormat="1" applyFont="1" applyFill="1" applyBorder="1" applyAlignment="1">
      <alignment shrinkToFit="1"/>
    </xf>
    <xf numFmtId="0" fontId="6" fillId="4" borderId="12" xfId="0" applyFont="1" applyFill="1" applyBorder="1" applyAlignment="1">
      <alignment horizontal="left" vertical="center" wrapText="1"/>
    </xf>
    <xf numFmtId="0" fontId="6" fillId="0" borderId="14" xfId="0" applyFont="1" applyBorder="1" applyAlignment="1">
      <alignment horizontal="left" vertical="center" wrapText="1"/>
    </xf>
    <xf numFmtId="0" fontId="22" fillId="0" borderId="0" xfId="0" applyFont="1"/>
    <xf numFmtId="0" fontId="23" fillId="0" borderId="0" xfId="0" applyFont="1"/>
    <xf numFmtId="0" fontId="0" fillId="4" borderId="13" xfId="0" applyFill="1" applyBorder="1" applyAlignment="1">
      <alignment vertical="center" wrapText="1"/>
    </xf>
    <xf numFmtId="0" fontId="1" fillId="4" borderId="23" xfId="0" applyFont="1" applyFill="1" applyBorder="1" applyAlignment="1">
      <alignment vertical="center"/>
    </xf>
    <xf numFmtId="165" fontId="1" fillId="4" borderId="9" xfId="0" applyNumberFormat="1" applyFont="1" applyFill="1" applyBorder="1" applyAlignment="1">
      <alignment vertical="center"/>
    </xf>
    <xf numFmtId="4" fontId="0" fillId="4" borderId="8" xfId="0" applyNumberFormat="1" applyFill="1" applyBorder="1" applyAlignment="1">
      <alignment vertical="center"/>
    </xf>
    <xf numFmtId="4" fontId="0" fillId="0" borderId="8" xfId="0" applyNumberFormat="1" applyBorder="1" applyAlignment="1">
      <alignment vertical="center"/>
    </xf>
    <xf numFmtId="0" fontId="22" fillId="4" borderId="17" xfId="0" applyFont="1" applyFill="1" applyBorder="1"/>
    <xf numFmtId="4" fontId="16" fillId="4" borderId="2" xfId="0" applyNumberFormat="1" applyFont="1" applyFill="1" applyBorder="1" applyAlignment="1">
      <alignment shrinkToFit="1"/>
    </xf>
    <xf numFmtId="0" fontId="7" fillId="0" borderId="0" xfId="0" applyFont="1"/>
    <xf numFmtId="0" fontId="22" fillId="4" borderId="3" xfId="0" applyFont="1" applyFill="1" applyBorder="1"/>
    <xf numFmtId="0" fontId="15" fillId="4" borderId="3" xfId="0" applyFont="1" applyFill="1" applyBorder="1"/>
    <xf numFmtId="165" fontId="15" fillId="4" borderId="3" xfId="0" applyNumberFormat="1" applyFont="1" applyFill="1" applyBorder="1" applyAlignment="1">
      <alignment shrinkToFit="1"/>
    </xf>
    <xf numFmtId="4" fontId="0" fillId="4" borderId="3" xfId="0" applyNumberFormat="1" applyFill="1" applyBorder="1" applyAlignment="1">
      <alignment vertical="center"/>
    </xf>
    <xf numFmtId="4" fontId="0" fillId="0" borderId="3" xfId="0" applyNumberFormat="1" applyBorder="1" applyAlignment="1">
      <alignment vertical="center"/>
    </xf>
    <xf numFmtId="0" fontId="1" fillId="4" borderId="17" xfId="0" applyFont="1" applyFill="1" applyBorder="1"/>
    <xf numFmtId="0" fontId="19" fillId="4" borderId="17" xfId="0" applyFont="1" applyFill="1" applyBorder="1"/>
    <xf numFmtId="0" fontId="7" fillId="4" borderId="2" xfId="0" applyFont="1" applyFill="1" applyBorder="1" applyAlignment="1">
      <alignment vertical="center"/>
    </xf>
    <xf numFmtId="4" fontId="7" fillId="4" borderId="2" xfId="0" applyNumberFormat="1" applyFont="1" applyFill="1" applyBorder="1" applyAlignment="1">
      <alignment vertical="center"/>
    </xf>
    <xf numFmtId="0" fontId="6" fillId="4" borderId="5" xfId="0" applyFont="1" applyFill="1" applyBorder="1" applyAlignment="1">
      <alignment vertical="center"/>
    </xf>
    <xf numFmtId="4" fontId="6" fillId="4" borderId="10" xfId="0" applyNumberFormat="1" applyFont="1" applyFill="1" applyBorder="1" applyAlignment="1">
      <alignment vertical="center"/>
    </xf>
    <xf numFmtId="0" fontId="24" fillId="4" borderId="6" xfId="0" applyFont="1" applyFill="1" applyBorder="1" applyAlignment="1">
      <alignment vertical="center"/>
    </xf>
    <xf numFmtId="4" fontId="0" fillId="4" borderId="6" xfId="0" applyNumberFormat="1" applyFill="1" applyBorder="1" applyAlignment="1">
      <alignment horizontal="right" vertical="center"/>
    </xf>
    <xf numFmtId="0" fontId="6" fillId="4" borderId="9" xfId="0" applyFont="1" applyFill="1" applyBorder="1" applyAlignment="1">
      <alignment vertical="center"/>
    </xf>
    <xf numFmtId="0" fontId="6" fillId="4" borderId="12" xfId="0" applyFont="1" applyFill="1" applyBorder="1" applyAlignment="1">
      <alignment vertical="center"/>
    </xf>
    <xf numFmtId="0" fontId="0" fillId="4" borderId="14" xfId="0" applyFill="1" applyBorder="1" applyAlignment="1">
      <alignment vertical="center"/>
    </xf>
    <xf numFmtId="0" fontId="1" fillId="4" borderId="14" xfId="0" applyFont="1" applyFill="1" applyBorder="1" applyAlignment="1">
      <alignment vertical="center"/>
    </xf>
    <xf numFmtId="0" fontId="6" fillId="4" borderId="23" xfId="0" applyFont="1" applyFill="1" applyBorder="1" applyAlignment="1">
      <alignment vertical="center"/>
    </xf>
    <xf numFmtId="0" fontId="24" fillId="4" borderId="11" xfId="0" applyFont="1" applyFill="1" applyBorder="1" applyAlignment="1">
      <alignment vertical="center"/>
    </xf>
    <xf numFmtId="0" fontId="1" fillId="4" borderId="15" xfId="0" applyFont="1" applyFill="1" applyBorder="1" applyAlignment="1">
      <alignment vertical="center"/>
    </xf>
    <xf numFmtId="4" fontId="0" fillId="4" borderId="11" xfId="0" applyNumberFormat="1" applyFill="1" applyBorder="1" applyAlignment="1">
      <alignment vertical="center"/>
    </xf>
    <xf numFmtId="4" fontId="0" fillId="0" borderId="7" xfId="0" applyNumberFormat="1" applyBorder="1" applyAlignment="1">
      <alignment vertical="center"/>
    </xf>
    <xf numFmtId="4" fontId="25" fillId="0" borderId="4" xfId="0" applyNumberFormat="1" applyFont="1" applyBorder="1" applyAlignment="1">
      <alignment vertical="center"/>
    </xf>
    <xf numFmtId="0" fontId="24" fillId="4" borderId="9" xfId="0" applyFont="1" applyFill="1" applyBorder="1" applyAlignment="1">
      <alignment vertical="center"/>
    </xf>
    <xf numFmtId="0" fontId="24" fillId="4" borderId="7" xfId="0" applyFont="1" applyFill="1" applyBorder="1" applyAlignment="1">
      <alignment vertical="center"/>
    </xf>
    <xf numFmtId="4" fontId="26" fillId="4" borderId="2" xfId="0" applyNumberFormat="1" applyFont="1" applyFill="1" applyBorder="1"/>
    <xf numFmtId="0" fontId="0" fillId="4" borderId="6" xfId="0" applyFill="1" applyBorder="1" applyAlignment="1">
      <alignment horizontal="left" vertical="center"/>
    </xf>
    <xf numFmtId="0" fontId="0" fillId="4" borderId="4" xfId="0" applyFill="1" applyBorder="1" applyAlignment="1">
      <alignment horizontal="left" vertical="center"/>
    </xf>
    <xf numFmtId="0" fontId="24" fillId="4" borderId="4" xfId="0" applyFont="1" applyFill="1" applyBorder="1" applyAlignment="1">
      <alignment vertical="center"/>
    </xf>
    <xf numFmtId="0" fontId="1" fillId="4" borderId="4" xfId="0" applyFont="1" applyFill="1" applyBorder="1" applyAlignment="1">
      <alignment vertical="center"/>
    </xf>
    <xf numFmtId="4" fontId="0" fillId="4" borderId="21" xfId="0" applyNumberFormat="1" applyFill="1" applyBorder="1" applyAlignment="1">
      <alignment vertical="center"/>
    </xf>
    <xf numFmtId="0" fontId="1" fillId="4" borderId="9" xfId="0" applyFont="1" applyFill="1" applyBorder="1" applyAlignment="1">
      <alignment vertical="center"/>
    </xf>
    <xf numFmtId="0" fontId="24" fillId="0" borderId="17" xfId="0" applyFont="1" applyBorder="1" applyAlignment="1">
      <alignment vertical="center"/>
    </xf>
    <xf numFmtId="0" fontId="16" fillId="0" borderId="2" xfId="0" applyFont="1" applyBorder="1" applyAlignment="1">
      <alignment vertical="center"/>
    </xf>
    <xf numFmtId="4" fontId="16" fillId="0" borderId="3" xfId="0" applyNumberFormat="1" applyFont="1" applyBorder="1" applyAlignment="1">
      <alignment vertical="center"/>
    </xf>
    <xf numFmtId="4" fontId="16" fillId="0" borderId="17" xfId="0" applyNumberFormat="1" applyFont="1" applyBorder="1" applyAlignment="1">
      <alignment vertical="center"/>
    </xf>
    <xf numFmtId="4" fontId="16" fillId="0" borderId="2" xfId="0" applyNumberFormat="1" applyFont="1" applyBorder="1" applyAlignment="1">
      <alignment vertical="center"/>
    </xf>
    <xf numFmtId="4" fontId="27" fillId="0" borderId="2" xfId="0" applyNumberFormat="1" applyFont="1" applyBorder="1" applyAlignment="1">
      <alignment vertical="center"/>
    </xf>
    <xf numFmtId="0" fontId="6" fillId="0" borderId="17" xfId="0" applyFont="1" applyBorder="1" applyAlignment="1">
      <alignment vertical="center"/>
    </xf>
    <xf numFmtId="0" fontId="7" fillId="0" borderId="2" xfId="0" applyFont="1" applyBorder="1" applyAlignment="1">
      <alignment vertical="center"/>
    </xf>
    <xf numFmtId="4" fontId="7" fillId="0" borderId="24" xfId="0" applyNumberFormat="1" applyFont="1" applyBorder="1" applyAlignment="1">
      <alignment vertical="center"/>
    </xf>
    <xf numFmtId="4" fontId="7" fillId="0" borderId="25" xfId="0" applyNumberFormat="1" applyFont="1" applyBorder="1" applyAlignment="1">
      <alignment vertical="center"/>
    </xf>
    <xf numFmtId="4" fontId="7" fillId="0" borderId="2" xfId="0" applyNumberFormat="1" applyFont="1" applyBorder="1" applyAlignment="1">
      <alignment vertical="center"/>
    </xf>
    <xf numFmtId="4" fontId="7" fillId="0" borderId="3" xfId="0" applyNumberFormat="1" applyFont="1" applyBorder="1" applyAlignment="1">
      <alignment vertical="center"/>
    </xf>
    <xf numFmtId="0" fontId="6" fillId="0" borderId="12" xfId="0" applyFont="1" applyBorder="1" applyAlignment="1">
      <alignment vertical="center"/>
    </xf>
    <xf numFmtId="0" fontId="6" fillId="0" borderId="5" xfId="0" applyFont="1" applyBorder="1" applyAlignment="1">
      <alignment vertical="center"/>
    </xf>
    <xf numFmtId="4" fontId="6" fillId="0" borderId="26" xfId="0" applyNumberFormat="1" applyFont="1" applyBorder="1" applyAlignment="1">
      <alignment vertical="center"/>
    </xf>
    <xf numFmtId="4" fontId="6" fillId="0" borderId="27" xfId="0" applyNumberFormat="1" applyFont="1" applyBorder="1" applyAlignment="1">
      <alignment vertical="center"/>
    </xf>
    <xf numFmtId="4" fontId="6" fillId="0" borderId="28" xfId="0" applyNumberFormat="1" applyFont="1" applyBorder="1" applyAlignment="1">
      <alignment vertical="center"/>
    </xf>
    <xf numFmtId="0" fontId="24" fillId="0" borderId="13" xfId="0" applyFont="1" applyBorder="1" applyAlignment="1">
      <alignment vertical="center"/>
    </xf>
    <xf numFmtId="4" fontId="0" fillId="0" borderId="29" xfId="0" applyNumberFormat="1" applyBorder="1" applyAlignment="1">
      <alignment vertical="center"/>
    </xf>
    <xf numFmtId="4" fontId="0" fillId="0" borderId="30" xfId="0" applyNumberFormat="1" applyBorder="1" applyAlignment="1">
      <alignment vertical="center"/>
    </xf>
    <xf numFmtId="4" fontId="0" fillId="0" borderId="19" xfId="0" applyNumberFormat="1" applyBorder="1" applyAlignment="1">
      <alignment vertical="center"/>
    </xf>
    <xf numFmtId="4" fontId="0" fillId="0" borderId="31" xfId="0" applyNumberFormat="1" applyBorder="1" applyAlignment="1">
      <alignment vertical="center"/>
    </xf>
    <xf numFmtId="4" fontId="0" fillId="0" borderId="32" xfId="0" applyNumberFormat="1" applyBorder="1" applyAlignment="1">
      <alignment vertical="center"/>
    </xf>
    <xf numFmtId="4" fontId="6" fillId="0" borderId="29" xfId="0" applyNumberFormat="1" applyFont="1" applyBorder="1" applyAlignment="1">
      <alignment vertical="center"/>
    </xf>
    <xf numFmtId="4" fontId="6" fillId="0" borderId="33" xfId="0" applyNumberFormat="1" applyFont="1" applyBorder="1" applyAlignment="1">
      <alignment vertical="center"/>
    </xf>
    <xf numFmtId="4" fontId="6" fillId="0" borderId="34" xfId="0" applyNumberFormat="1" applyFont="1" applyBorder="1" applyAlignment="1">
      <alignment vertical="center"/>
    </xf>
    <xf numFmtId="4" fontId="0" fillId="0" borderId="35" xfId="0" applyNumberFormat="1" applyBorder="1" applyAlignment="1">
      <alignment vertical="center"/>
    </xf>
    <xf numFmtId="4" fontId="0" fillId="0" borderId="33" xfId="0" applyNumberFormat="1" applyBorder="1" applyAlignment="1">
      <alignment vertical="center"/>
    </xf>
    <xf numFmtId="4" fontId="0" fillId="0" borderId="34" xfId="0" applyNumberFormat="1" applyBorder="1" applyAlignment="1">
      <alignment vertical="center"/>
    </xf>
    <xf numFmtId="0" fontId="0" fillId="0" borderId="4" xfId="0" applyBorder="1" applyAlignment="1">
      <alignment vertical="center"/>
    </xf>
    <xf numFmtId="0" fontId="24" fillId="0" borderId="20" xfId="0" applyFont="1" applyBorder="1" applyAlignment="1">
      <alignment vertical="center"/>
    </xf>
    <xf numFmtId="0" fontId="0" fillId="0" borderId="9" xfId="0" applyBorder="1" applyAlignment="1">
      <alignment vertical="center"/>
    </xf>
    <xf numFmtId="4" fontId="0" fillId="0" borderId="36" xfId="0" applyNumberFormat="1" applyBorder="1" applyAlignment="1">
      <alignment vertical="center"/>
    </xf>
    <xf numFmtId="4" fontId="0" fillId="0" borderId="37" xfId="0" applyNumberFormat="1" applyBorder="1" applyAlignment="1">
      <alignment vertical="center"/>
    </xf>
    <xf numFmtId="4" fontId="0" fillId="0" borderId="38" xfId="0" applyNumberFormat="1" applyBorder="1" applyAlignment="1">
      <alignment vertical="center"/>
    </xf>
    <xf numFmtId="0" fontId="7" fillId="0" borderId="17" xfId="0" applyFont="1" applyBorder="1"/>
    <xf numFmtId="4" fontId="6" fillId="0" borderId="30" xfId="0" applyNumberFormat="1" applyFont="1" applyBorder="1" applyAlignment="1">
      <alignment vertical="center"/>
    </xf>
    <xf numFmtId="0" fontId="0" fillId="0" borderId="8" xfId="0" applyBorder="1" applyAlignment="1">
      <alignment vertical="center"/>
    </xf>
    <xf numFmtId="4" fontId="0" fillId="0" borderId="39" xfId="0" applyNumberFormat="1" applyBorder="1" applyAlignment="1">
      <alignment vertical="center"/>
    </xf>
    <xf numFmtId="4" fontId="0" fillId="0" borderId="40" xfId="0" applyNumberFormat="1" applyBorder="1" applyAlignment="1">
      <alignment vertical="center"/>
    </xf>
    <xf numFmtId="4" fontId="0" fillId="0" borderId="41" xfId="0" applyNumberFormat="1" applyBorder="1" applyAlignment="1">
      <alignment vertical="center"/>
    </xf>
    <xf numFmtId="0" fontId="21" fillId="0" borderId="6" xfId="0" applyFont="1" applyBorder="1" applyAlignment="1">
      <alignment vertical="center" wrapText="1"/>
    </xf>
    <xf numFmtId="4" fontId="7" fillId="0" borderId="24" xfId="0" applyNumberFormat="1" applyFont="1" applyBorder="1"/>
    <xf numFmtId="4" fontId="7" fillId="0" borderId="25" xfId="0" applyNumberFormat="1" applyFont="1" applyBorder="1"/>
    <xf numFmtId="4" fontId="7" fillId="0" borderId="3" xfId="0" applyNumberFormat="1" applyFont="1" applyBorder="1"/>
    <xf numFmtId="0" fontId="0" fillId="0" borderId="7" xfId="0" applyBorder="1" applyAlignment="1">
      <alignment vertical="center"/>
    </xf>
    <xf numFmtId="4" fontId="0" fillId="0" borderId="42" xfId="0" applyNumberFormat="1" applyBorder="1" applyAlignment="1">
      <alignment vertical="center"/>
    </xf>
    <xf numFmtId="4" fontId="0" fillId="0" borderId="43" xfId="0" applyNumberFormat="1" applyBorder="1" applyAlignment="1">
      <alignment vertical="center"/>
    </xf>
    <xf numFmtId="4" fontId="0" fillId="0" borderId="44" xfId="0" applyNumberFormat="1" applyBorder="1" applyAlignment="1">
      <alignment vertical="center"/>
    </xf>
    <xf numFmtId="0" fontId="24" fillId="0" borderId="14" xfId="0" applyFont="1" applyBorder="1" applyAlignment="1">
      <alignment vertical="center"/>
    </xf>
    <xf numFmtId="4" fontId="0" fillId="0" borderId="45" xfId="0" applyNumberFormat="1" applyBorder="1" applyAlignment="1">
      <alignment vertical="center"/>
    </xf>
    <xf numFmtId="4" fontId="0" fillId="0" borderId="46" xfId="0" applyNumberFormat="1" applyBorder="1" applyAlignment="1">
      <alignment vertical="center"/>
    </xf>
    <xf numFmtId="0" fontId="24" fillId="0" borderId="16" xfId="0" applyFont="1" applyBorder="1" applyAlignment="1">
      <alignment vertical="center"/>
    </xf>
    <xf numFmtId="0" fontId="6" fillId="4" borderId="2" xfId="0" applyFont="1" applyFill="1" applyBorder="1" applyAlignment="1">
      <alignment vertical="center"/>
    </xf>
    <xf numFmtId="0" fontId="16" fillId="4" borderId="2" xfId="0" applyFont="1" applyFill="1" applyBorder="1" applyAlignment="1">
      <alignment vertical="center"/>
    </xf>
    <xf numFmtId="4" fontId="8" fillId="4" borderId="2" xfId="0" applyNumberFormat="1" applyFont="1" applyFill="1" applyBorder="1" applyAlignment="1">
      <alignment vertical="center"/>
    </xf>
    <xf numFmtId="4" fontId="6" fillId="4" borderId="4" xfId="0" applyNumberFormat="1" applyFont="1" applyFill="1" applyBorder="1" applyAlignment="1">
      <alignment vertical="center" wrapText="1"/>
    </xf>
    <xf numFmtId="4" fontId="6" fillId="0" borderId="0" xfId="0" applyNumberFormat="1" applyFont="1" applyAlignment="1">
      <alignment horizontal="right" vertical="center"/>
    </xf>
    <xf numFmtId="4" fontId="6" fillId="0" borderId="23" xfId="0" applyNumberFormat="1" applyFont="1" applyBorder="1" applyAlignment="1">
      <alignment horizontal="right" vertical="center"/>
    </xf>
    <xf numFmtId="4" fontId="6" fillId="0" borderId="19" xfId="0" applyNumberFormat="1" applyFont="1" applyBorder="1" applyAlignment="1">
      <alignment horizontal="right" vertical="center"/>
    </xf>
    <xf numFmtId="4" fontId="6" fillId="0" borderId="13" xfId="0" applyNumberFormat="1" applyFont="1" applyBorder="1" applyAlignment="1">
      <alignment horizontal="right" vertical="center"/>
    </xf>
    <xf numFmtId="0" fontId="6" fillId="4" borderId="13" xfId="0" applyFont="1" applyFill="1" applyBorder="1"/>
    <xf numFmtId="4" fontId="6" fillId="4" borderId="0" xfId="0" applyNumberFormat="1" applyFont="1" applyFill="1" applyAlignment="1">
      <alignment vertical="center"/>
    </xf>
    <xf numFmtId="4" fontId="0" fillId="4" borderId="23" xfId="0" applyNumberFormat="1" applyFill="1" applyBorder="1" applyAlignment="1">
      <alignment vertical="center"/>
    </xf>
    <xf numFmtId="0" fontId="7" fillId="0" borderId="15" xfId="0" applyFont="1" applyBorder="1"/>
    <xf numFmtId="0" fontId="6" fillId="4" borderId="6" xfId="0" applyFont="1" applyFill="1" applyBorder="1"/>
    <xf numFmtId="0" fontId="6" fillId="4" borderId="0" xfId="0" applyFont="1" applyFill="1"/>
    <xf numFmtId="0" fontId="7" fillId="4" borderId="17" xfId="0" applyFont="1" applyFill="1" applyBorder="1"/>
    <xf numFmtId="4" fontId="16" fillId="4" borderId="2" xfId="0" applyNumberFormat="1" applyFont="1" applyFill="1" applyBorder="1" applyAlignment="1">
      <alignment vertical="center"/>
    </xf>
    <xf numFmtId="4" fontId="16" fillId="4" borderId="17" xfId="0" applyNumberFormat="1" applyFont="1" applyFill="1" applyBorder="1" applyAlignment="1">
      <alignment vertical="center"/>
    </xf>
    <xf numFmtId="4" fontId="6" fillId="4" borderId="46" xfId="0" applyNumberFormat="1" applyFont="1" applyFill="1" applyBorder="1" applyAlignment="1">
      <alignment vertical="center"/>
    </xf>
    <xf numFmtId="4" fontId="6" fillId="4" borderId="14" xfId="0" applyNumberFormat="1" applyFont="1" applyFill="1" applyBorder="1" applyAlignment="1">
      <alignment vertical="center"/>
    </xf>
    <xf numFmtId="4" fontId="6" fillId="4" borderId="19" xfId="0" applyNumberFormat="1" applyFont="1" applyFill="1" applyBorder="1" applyAlignment="1">
      <alignment vertical="center"/>
    </xf>
    <xf numFmtId="0" fontId="6" fillId="4" borderId="16" xfId="0" applyFont="1" applyFill="1" applyBorder="1"/>
    <xf numFmtId="0" fontId="6" fillId="4" borderId="8" xfId="0" applyFont="1" applyFill="1" applyBorder="1"/>
    <xf numFmtId="4" fontId="6" fillId="4" borderId="11" xfId="0" applyNumberFormat="1" applyFont="1" applyFill="1" applyBorder="1"/>
    <xf numFmtId="0" fontId="7" fillId="4" borderId="17" xfId="0" applyFont="1" applyFill="1" applyBorder="1" applyAlignment="1">
      <alignment vertical="center"/>
    </xf>
    <xf numFmtId="0" fontId="21" fillId="4" borderId="13" xfId="0" applyFont="1" applyFill="1" applyBorder="1" applyAlignment="1">
      <alignment vertical="center"/>
    </xf>
    <xf numFmtId="0" fontId="1" fillId="4" borderId="13" xfId="0" applyFont="1" applyFill="1" applyBorder="1" applyAlignment="1">
      <alignment vertical="center" wrapText="1"/>
    </xf>
    <xf numFmtId="0" fontId="21" fillId="4" borderId="13" xfId="0" applyFont="1" applyFill="1" applyBorder="1"/>
    <xf numFmtId="0" fontId="21" fillId="4" borderId="23" xfId="0" applyFont="1" applyFill="1" applyBorder="1"/>
    <xf numFmtId="4" fontId="0" fillId="4" borderId="11" xfId="0" applyNumberFormat="1" applyFill="1" applyBorder="1"/>
    <xf numFmtId="4" fontId="0" fillId="0" borderId="47" xfId="0" applyNumberFormat="1" applyBorder="1" applyAlignment="1">
      <alignment vertical="center"/>
    </xf>
    <xf numFmtId="0" fontId="6" fillId="4" borderId="15" xfId="0" applyFont="1" applyFill="1" applyBorder="1" applyAlignment="1">
      <alignment vertical="center"/>
    </xf>
    <xf numFmtId="0" fontId="6" fillId="4" borderId="11" xfId="0" applyFont="1" applyFill="1" applyBorder="1" applyAlignment="1">
      <alignment vertical="center"/>
    </xf>
    <xf numFmtId="4" fontId="8" fillId="0" borderId="11" xfId="0" applyNumberFormat="1" applyFont="1" applyBorder="1"/>
    <xf numFmtId="4" fontId="8" fillId="0" borderId="2" xfId="0" applyNumberFormat="1" applyFont="1" applyBorder="1"/>
    <xf numFmtId="4" fontId="8" fillId="0" borderId="17" xfId="0" applyNumberFormat="1" applyFont="1" applyBorder="1"/>
    <xf numFmtId="0" fontId="6" fillId="0" borderId="9" xfId="0" applyFont="1" applyBorder="1" applyAlignment="1">
      <alignment vertical="center"/>
    </xf>
    <xf numFmtId="4" fontId="6" fillId="0" borderId="9" xfId="0" applyNumberFormat="1" applyFont="1" applyBorder="1" applyAlignment="1">
      <alignment vertical="center"/>
    </xf>
    <xf numFmtId="4" fontId="6" fillId="0" borderId="23" xfId="0" applyNumberFormat="1" applyFont="1" applyBorder="1" applyAlignment="1">
      <alignment vertical="center"/>
    </xf>
    <xf numFmtId="0" fontId="16" fillId="0" borderId="2" xfId="0" applyFont="1" applyBorder="1" applyAlignment="1">
      <alignment wrapText="1"/>
    </xf>
    <xf numFmtId="0" fontId="7" fillId="0" borderId="2" xfId="0" applyFont="1" applyBorder="1" applyAlignment="1">
      <alignment wrapText="1"/>
    </xf>
    <xf numFmtId="0" fontId="6" fillId="0" borderId="4" xfId="0" applyFont="1" applyBorder="1" applyAlignment="1">
      <alignment vertical="center" wrapText="1"/>
    </xf>
    <xf numFmtId="0" fontId="28" fillId="0" borderId="6" xfId="0" applyFont="1" applyBorder="1" applyAlignment="1">
      <alignment vertical="center" wrapText="1"/>
    </xf>
    <xf numFmtId="4" fontId="28" fillId="4" borderId="6" xfId="0" applyNumberFormat="1" applyFont="1" applyFill="1" applyBorder="1" applyAlignment="1">
      <alignment vertical="center"/>
    </xf>
    <xf numFmtId="4" fontId="28" fillId="0" borderId="6" xfId="0" applyNumberFormat="1" applyFont="1" applyBorder="1" applyAlignment="1">
      <alignment vertical="center"/>
    </xf>
    <xf numFmtId="4" fontId="29" fillId="0" borderId="6" xfId="0" applyNumberFormat="1" applyFont="1" applyBorder="1" applyAlignment="1">
      <alignment vertical="center"/>
    </xf>
    <xf numFmtId="0" fontId="30" fillId="0" borderId="13" xfId="0" applyFont="1" applyBorder="1" applyAlignment="1">
      <alignment vertical="center"/>
    </xf>
    <xf numFmtId="0" fontId="31" fillId="0" borderId="6" xfId="0" applyFont="1" applyBorder="1" applyAlignment="1">
      <alignment vertical="center" wrapText="1"/>
    </xf>
    <xf numFmtId="4" fontId="1" fillId="0" borderId="6" xfId="0" applyNumberFormat="1" applyFont="1" applyBorder="1" applyAlignment="1">
      <alignment vertical="center" wrapText="1"/>
    </xf>
    <xf numFmtId="0" fontId="32" fillId="0" borderId="6" xfId="0" applyFont="1" applyBorder="1" applyAlignment="1">
      <alignment vertical="center" wrapText="1"/>
    </xf>
    <xf numFmtId="0" fontId="30" fillId="0" borderId="0" xfId="0" applyFont="1"/>
    <xf numFmtId="4" fontId="29" fillId="0" borderId="7" xfId="0" applyNumberFormat="1" applyFont="1" applyBorder="1" applyAlignment="1">
      <alignment vertical="center" wrapText="1"/>
    </xf>
    <xf numFmtId="4" fontId="6" fillId="4" borderId="7" xfId="0" applyNumberFormat="1" applyFont="1" applyFill="1" applyBorder="1" applyAlignment="1">
      <alignment vertical="center"/>
    </xf>
    <xf numFmtId="4" fontId="6" fillId="0" borderId="7" xfId="0" applyNumberFormat="1" applyFont="1" applyBorder="1" applyAlignment="1">
      <alignment vertical="center"/>
    </xf>
    <xf numFmtId="4" fontId="29" fillId="0" borderId="6" xfId="0" applyNumberFormat="1" applyFont="1" applyBorder="1" applyAlignment="1">
      <alignment vertical="center" wrapText="1"/>
    </xf>
    <xf numFmtId="4" fontId="0" fillId="0" borderId="14" xfId="0" applyNumberFormat="1" applyBorder="1" applyAlignment="1">
      <alignment vertical="center"/>
    </xf>
    <xf numFmtId="4" fontId="29" fillId="4" borderId="6" xfId="0" applyNumberFormat="1" applyFont="1" applyFill="1" applyBorder="1" applyAlignment="1">
      <alignment vertical="center"/>
    </xf>
    <xf numFmtId="4" fontId="0" fillId="0" borderId="23" xfId="0" applyNumberFormat="1" applyBorder="1"/>
    <xf numFmtId="4" fontId="0" fillId="0" borderId="23" xfId="0" applyNumberFormat="1" applyBorder="1" applyAlignment="1">
      <alignment vertical="center"/>
    </xf>
    <xf numFmtId="4" fontId="0" fillId="0" borderId="6" xfId="0" applyNumberFormat="1" applyBorder="1"/>
    <xf numFmtId="49" fontId="6" fillId="0" borderId="14" xfId="0" applyNumberFormat="1" applyFont="1" applyBorder="1" applyAlignment="1">
      <alignment horizontal="right" vertical="center"/>
    </xf>
    <xf numFmtId="2" fontId="6" fillId="0" borderId="4" xfId="0" applyNumberFormat="1" applyFont="1" applyBorder="1" applyAlignment="1">
      <alignment vertical="center" wrapText="1"/>
    </xf>
    <xf numFmtId="49" fontId="1" fillId="0" borderId="13" xfId="0" applyNumberFormat="1" applyFont="1" applyBorder="1" applyAlignment="1">
      <alignment horizontal="right" vertical="center"/>
    </xf>
    <xf numFmtId="2" fontId="1" fillId="0" borderId="6" xfId="0" applyNumberFormat="1" applyFont="1" applyBorder="1" applyAlignment="1">
      <alignment vertical="center" wrapText="1"/>
    </xf>
    <xf numFmtId="4" fontId="29" fillId="0" borderId="4" xfId="0" applyNumberFormat="1" applyFont="1" applyBorder="1" applyAlignment="1">
      <alignment vertical="center"/>
    </xf>
    <xf numFmtId="49" fontId="6" fillId="0" borderId="13" xfId="0" applyNumberFormat="1" applyFont="1" applyBorder="1" applyAlignment="1">
      <alignment horizontal="right" vertical="center"/>
    </xf>
    <xf numFmtId="2" fontId="6" fillId="4" borderId="6" xfId="0" applyNumberFormat="1" applyFont="1" applyFill="1" applyBorder="1" applyAlignment="1">
      <alignment vertical="center" wrapText="1"/>
    </xf>
    <xf numFmtId="2" fontId="1" fillId="4" borderId="6" xfId="0" applyNumberFormat="1" applyFont="1" applyFill="1" applyBorder="1" applyAlignment="1">
      <alignment vertical="center" wrapText="1"/>
    </xf>
    <xf numFmtId="2" fontId="21" fillId="4" borderId="6" xfId="0" applyNumberFormat="1" applyFont="1" applyFill="1" applyBorder="1" applyAlignment="1">
      <alignment vertical="center" wrapText="1"/>
    </xf>
    <xf numFmtId="2" fontId="6" fillId="0" borderId="6" xfId="0" applyNumberFormat="1" applyFont="1" applyBorder="1" applyAlignment="1">
      <alignment vertical="center" wrapText="1"/>
    </xf>
    <xf numFmtId="4" fontId="29" fillId="0" borderId="8" xfId="0" applyNumberFormat="1" applyFont="1" applyBorder="1" applyAlignment="1">
      <alignment vertical="center"/>
    </xf>
    <xf numFmtId="4" fontId="7" fillId="0" borderId="2" xfId="0" applyNumberFormat="1" applyFont="1" applyBorder="1" applyAlignment="1">
      <alignment vertical="center" shrinkToFit="1"/>
    </xf>
    <xf numFmtId="4" fontId="8" fillId="4" borderId="2" xfId="1" applyNumberFormat="1" applyFont="1" applyFill="1" applyBorder="1" applyAlignment="1" applyProtection="1">
      <alignment horizontal="right"/>
    </xf>
    <xf numFmtId="4" fontId="16" fillId="4" borderId="2" xfId="1" applyNumberFormat="1" applyFont="1" applyFill="1" applyBorder="1" applyAlignment="1" applyProtection="1">
      <alignment horizontal="right"/>
    </xf>
    <xf numFmtId="4" fontId="6" fillId="4" borderId="4" xfId="1" applyNumberFormat="1" applyFont="1" applyFill="1" applyBorder="1" applyAlignment="1" applyProtection="1">
      <alignment vertical="center"/>
    </xf>
    <xf numFmtId="4" fontId="0" fillId="4" borderId="6" xfId="1" applyNumberFormat="1" applyFont="1" applyFill="1" applyBorder="1" applyAlignment="1" applyProtection="1">
      <alignment vertical="center"/>
    </xf>
    <xf numFmtId="0" fontId="6" fillId="0" borderId="15" xfId="0" applyFont="1" applyBorder="1" applyAlignment="1">
      <alignment vertical="center"/>
    </xf>
    <xf numFmtId="0" fontId="1" fillId="4" borderId="15" xfId="0" applyFont="1" applyFill="1" applyBorder="1" applyAlignment="1">
      <alignment vertical="center" wrapText="1"/>
    </xf>
    <xf numFmtId="4" fontId="21" fillId="4" borderId="11" xfId="0" applyNumberFormat="1" applyFont="1" applyFill="1" applyBorder="1" applyAlignment="1">
      <alignment horizontal="right"/>
    </xf>
    <xf numFmtId="0" fontId="21" fillId="4" borderId="6" xfId="0" applyFont="1" applyFill="1" applyBorder="1" applyAlignment="1">
      <alignment vertical="center" wrapText="1"/>
    </xf>
    <xf numFmtId="0" fontId="33" fillId="4" borderId="6" xfId="0" applyFont="1" applyFill="1" applyBorder="1" applyAlignment="1">
      <alignment vertical="center" wrapText="1"/>
    </xf>
    <xf numFmtId="4" fontId="0" fillId="0" borderId="0" xfId="0" applyNumberFormat="1" applyAlignment="1">
      <alignment horizontal="right" vertical="center"/>
    </xf>
    <xf numFmtId="0" fontId="6" fillId="0" borderId="16" xfId="0" applyFont="1" applyBorder="1"/>
    <xf numFmtId="4" fontId="8" fillId="4" borderId="2" xfId="0" applyNumberFormat="1" applyFont="1" applyFill="1" applyBorder="1" applyAlignment="1">
      <alignment shrinkToFit="1"/>
    </xf>
    <xf numFmtId="0" fontId="21" fillId="4" borderId="4" xfId="0" applyFont="1" applyFill="1" applyBorder="1" applyAlignment="1">
      <alignment vertical="center" wrapText="1"/>
    </xf>
    <xf numFmtId="0" fontId="7" fillId="0" borderId="14" xfId="0" applyFont="1" applyBorder="1"/>
    <xf numFmtId="4" fontId="0" fillId="4" borderId="4" xfId="0" applyNumberFormat="1" applyFill="1" applyBorder="1" applyAlignment="1">
      <alignment vertical="center" shrinkToFit="1"/>
    </xf>
    <xf numFmtId="0" fontId="6" fillId="0" borderId="15" xfId="0" applyFont="1" applyBorder="1"/>
    <xf numFmtId="0" fontId="6" fillId="4" borderId="11" xfId="0" applyFont="1" applyFill="1" applyBorder="1"/>
    <xf numFmtId="166" fontId="6" fillId="4" borderId="6" xfId="0" applyNumberFormat="1" applyFont="1" applyFill="1" applyBorder="1" applyAlignment="1">
      <alignment vertical="center"/>
    </xf>
    <xf numFmtId="166" fontId="6" fillId="0" borderId="0" xfId="0" applyNumberFormat="1" applyFont="1"/>
    <xf numFmtId="4" fontId="6" fillId="4" borderId="8" xfId="0" applyNumberFormat="1" applyFont="1" applyFill="1" applyBorder="1" applyAlignment="1">
      <alignment vertical="center"/>
    </xf>
    <xf numFmtId="0" fontId="6" fillId="0" borderId="20" xfId="0" applyFont="1" applyBorder="1" applyAlignment="1">
      <alignment vertical="center"/>
    </xf>
    <xf numFmtId="0" fontId="1" fillId="4" borderId="8" xfId="0" applyFont="1" applyFill="1" applyBorder="1" applyAlignment="1">
      <alignment vertical="center"/>
    </xf>
    <xf numFmtId="0" fontId="16" fillId="4" borderId="11" xfId="0" applyFont="1" applyFill="1" applyBorder="1" applyAlignment="1">
      <alignment vertical="center"/>
    </xf>
    <xf numFmtId="0" fontId="6" fillId="0" borderId="23" xfId="0" applyFont="1" applyBorder="1" applyAlignment="1">
      <alignment vertical="center"/>
    </xf>
    <xf numFmtId="4" fontId="6" fillId="4" borderId="5" xfId="0" applyNumberFormat="1" applyFont="1" applyFill="1" applyBorder="1" applyAlignment="1">
      <alignment horizontal="right" vertical="center"/>
    </xf>
    <xf numFmtId="4" fontId="0" fillId="4" borderId="4" xfId="0" applyNumberFormat="1" applyFill="1" applyBorder="1" applyAlignment="1">
      <alignment horizontal="right" vertical="center"/>
    </xf>
    <xf numFmtId="0" fontId="1" fillId="4" borderId="11" xfId="0" applyFont="1" applyFill="1" applyBorder="1" applyAlignment="1">
      <alignment vertical="center"/>
    </xf>
    <xf numFmtId="4" fontId="6" fillId="6" borderId="4" xfId="0" applyNumberFormat="1" applyFont="1" applyFill="1" applyBorder="1" applyAlignment="1">
      <alignment vertical="center"/>
    </xf>
    <xf numFmtId="4" fontId="6" fillId="6" borderId="6" xfId="0" applyNumberFormat="1" applyFont="1" applyFill="1" applyBorder="1" applyAlignment="1">
      <alignment vertical="center"/>
    </xf>
    <xf numFmtId="4" fontId="0" fillId="6" borderId="6" xfId="0" applyNumberFormat="1" applyFill="1" applyBorder="1" applyAlignment="1">
      <alignment vertical="center"/>
    </xf>
    <xf numFmtId="4" fontId="0" fillId="6" borderId="7" xfId="0" applyNumberFormat="1" applyFill="1" applyBorder="1" applyAlignment="1">
      <alignment vertical="center"/>
    </xf>
    <xf numFmtId="4" fontId="6" fillId="0" borderId="6" xfId="0" applyNumberFormat="1" applyFont="1" applyBorder="1"/>
    <xf numFmtId="4" fontId="0" fillId="6" borderId="6" xfId="0" applyNumberFormat="1" applyFill="1" applyBorder="1"/>
    <xf numFmtId="4" fontId="0" fillId="6" borderId="4" xfId="0" applyNumberFormat="1" applyFill="1" applyBorder="1" applyAlignment="1">
      <alignment vertical="center"/>
    </xf>
    <xf numFmtId="4" fontId="6" fillId="6" borderId="7" xfId="0" applyNumberFormat="1" applyFont="1" applyFill="1" applyBorder="1" applyAlignment="1">
      <alignment vertical="center"/>
    </xf>
    <xf numFmtId="4" fontId="6" fillId="4" borderId="9" xfId="0" applyNumberFormat="1" applyFont="1" applyFill="1" applyBorder="1" applyAlignment="1">
      <alignment vertical="center"/>
    </xf>
    <xf numFmtId="0" fontId="8" fillId="0" borderId="17" xfId="0" applyFont="1" applyBorder="1" applyAlignment="1">
      <alignment horizontal="center" vertical="center"/>
    </xf>
    <xf numFmtId="0" fontId="34" fillId="0" borderId="10" xfId="0" applyFont="1" applyBorder="1" applyAlignment="1">
      <alignment horizontal="right" vertical="center"/>
    </xf>
    <xf numFmtId="49" fontId="34" fillId="0" borderId="5" xfId="0" applyNumberFormat="1" applyFont="1" applyBorder="1" applyAlignment="1">
      <alignment vertical="center" wrapText="1"/>
    </xf>
    <xf numFmtId="4" fontId="34" fillId="0" borderId="5" xfId="0" applyNumberFormat="1" applyFont="1" applyBorder="1" applyAlignment="1">
      <alignment vertical="center"/>
    </xf>
    <xf numFmtId="4" fontId="34" fillId="0" borderId="48" xfId="0" applyNumberFormat="1" applyFont="1" applyBorder="1" applyAlignment="1">
      <alignment vertical="center"/>
    </xf>
    <xf numFmtId="4" fontId="34" fillId="0" borderId="49" xfId="0" applyNumberFormat="1" applyFont="1" applyBorder="1" applyAlignment="1">
      <alignment vertical="center"/>
    </xf>
    <xf numFmtId="0" fontId="34" fillId="0" borderId="6" xfId="0" applyFont="1" applyBorder="1" applyAlignment="1">
      <alignment horizontal="right" vertical="center"/>
    </xf>
    <xf numFmtId="0" fontId="34" fillId="0" borderId="6" xfId="0" applyFont="1" applyBorder="1" applyAlignment="1">
      <alignment vertical="center"/>
    </xf>
    <xf numFmtId="4" fontId="34" fillId="0" borderId="4" xfId="0" applyNumberFormat="1" applyFont="1" applyBorder="1" applyAlignment="1">
      <alignment vertical="center"/>
    </xf>
    <xf numFmtId="4" fontId="34" fillId="0" borderId="30" xfId="0" applyNumberFormat="1" applyFont="1" applyBorder="1" applyAlignment="1">
      <alignment vertical="center"/>
    </xf>
    <xf numFmtId="4" fontId="34" fillId="0" borderId="6" xfId="0" applyNumberFormat="1" applyFont="1" applyBorder="1" applyAlignment="1">
      <alignment vertical="center"/>
    </xf>
    <xf numFmtId="0" fontId="35" fillId="0" borderId="6" xfId="0" applyFont="1" applyBorder="1" applyAlignment="1">
      <alignment vertical="center" wrapText="1"/>
    </xf>
    <xf numFmtId="0" fontId="5" fillId="0" borderId="6" xfId="0" applyFont="1" applyBorder="1" applyAlignment="1">
      <alignment vertical="center"/>
    </xf>
    <xf numFmtId="4" fontId="5" fillId="0" borderId="4" xfId="0" applyNumberFormat="1" applyFont="1" applyBorder="1" applyAlignment="1">
      <alignment vertical="center"/>
    </xf>
    <xf numFmtId="4" fontId="5" fillId="0" borderId="30" xfId="0" applyNumberFormat="1" applyFont="1" applyBorder="1" applyAlignment="1">
      <alignment vertical="center"/>
    </xf>
    <xf numFmtId="4" fontId="5" fillId="0" borderId="6" xfId="0" applyNumberFormat="1" applyFont="1" applyBorder="1" applyAlignment="1">
      <alignment vertical="center"/>
    </xf>
    <xf numFmtId="0" fontId="5" fillId="0" borderId="6" xfId="0" applyFont="1" applyBorder="1" applyAlignment="1">
      <alignment vertical="center" wrapText="1"/>
    </xf>
    <xf numFmtId="4" fontId="5" fillId="0" borderId="50" xfId="0" applyNumberFormat="1" applyFont="1" applyBorder="1" applyAlignment="1">
      <alignment vertical="center"/>
    </xf>
    <xf numFmtId="4" fontId="5" fillId="0" borderId="51" xfId="0" applyNumberFormat="1" applyFont="1" applyBorder="1" applyAlignment="1">
      <alignment vertical="center"/>
    </xf>
    <xf numFmtId="49" fontId="5" fillId="0" borderId="6" xfId="0" applyNumberFormat="1" applyFont="1" applyBorder="1" applyAlignment="1">
      <alignment vertical="center" wrapText="1"/>
    </xf>
    <xf numFmtId="4" fontId="5" fillId="0" borderId="52" xfId="0" applyNumberFormat="1" applyFont="1" applyBorder="1" applyAlignment="1">
      <alignment vertical="center"/>
    </xf>
    <xf numFmtId="4" fontId="0" fillId="0" borderId="9" xfId="0" applyNumberFormat="1" applyBorder="1" applyAlignment="1">
      <alignment horizontal="right" vertical="center"/>
    </xf>
    <xf numFmtId="4" fontId="5" fillId="0" borderId="53" xfId="0" applyNumberFormat="1" applyFont="1" applyBorder="1" applyAlignment="1">
      <alignment vertical="center"/>
    </xf>
    <xf numFmtId="4" fontId="5" fillId="0" borderId="34" xfId="0" applyNumberFormat="1" applyFont="1" applyBorder="1" applyAlignment="1">
      <alignment vertical="center"/>
    </xf>
    <xf numFmtId="4" fontId="5" fillId="0" borderId="54" xfId="0" applyNumberFormat="1" applyFont="1" applyBorder="1" applyAlignment="1">
      <alignment vertical="center"/>
    </xf>
    <xf numFmtId="4" fontId="0" fillId="0" borderId="30" xfId="0" applyNumberFormat="1" applyBorder="1" applyAlignment="1">
      <alignment horizontal="right" vertical="center"/>
    </xf>
    <xf numFmtId="4" fontId="34" fillId="0" borderId="55" xfId="0" applyNumberFormat="1" applyFont="1" applyBorder="1" applyAlignment="1">
      <alignment vertical="center"/>
    </xf>
    <xf numFmtId="4" fontId="34" fillId="0" borderId="34" xfId="0" applyNumberFormat="1" applyFont="1" applyBorder="1" applyAlignment="1">
      <alignment vertical="center"/>
    </xf>
    <xf numFmtId="4" fontId="5" fillId="0" borderId="56" xfId="0" applyNumberFormat="1" applyFont="1" applyBorder="1" applyAlignment="1">
      <alignment vertical="center"/>
    </xf>
    <xf numFmtId="4" fontId="0" fillId="0" borderId="57" xfId="0" applyNumberFormat="1" applyBorder="1" applyAlignment="1">
      <alignment vertical="center"/>
    </xf>
    <xf numFmtId="0" fontId="5" fillId="0" borderId="4" xfId="0" applyFont="1" applyBorder="1" applyAlignment="1">
      <alignment vertical="center" wrapText="1"/>
    </xf>
    <xf numFmtId="4" fontId="5" fillId="0" borderId="58" xfId="0" applyNumberFormat="1" applyFont="1" applyBorder="1" applyAlignment="1">
      <alignment vertical="center"/>
    </xf>
    <xf numFmtId="4" fontId="34" fillId="0" borderId="50" xfId="0" applyNumberFormat="1" applyFont="1" applyBorder="1" applyAlignment="1">
      <alignment vertical="center"/>
    </xf>
    <xf numFmtId="4" fontId="34" fillId="0" borderId="33" xfId="0" applyNumberFormat="1" applyFont="1" applyBorder="1" applyAlignment="1">
      <alignment vertical="center"/>
    </xf>
    <xf numFmtId="0" fontId="5" fillId="0" borderId="6" xfId="0" applyFont="1" applyBorder="1" applyAlignment="1">
      <alignment horizontal="right" vertical="center"/>
    </xf>
    <xf numFmtId="0" fontId="5" fillId="0" borderId="4" xfId="0" applyFont="1" applyBorder="1" applyAlignment="1">
      <alignment vertical="center"/>
    </xf>
    <xf numFmtId="0" fontId="35" fillId="0" borderId="6" xfId="0" applyFont="1" applyBorder="1" applyAlignment="1">
      <alignment vertical="center"/>
    </xf>
    <xf numFmtId="49" fontId="5" fillId="0" borderId="4" xfId="0" applyNumberFormat="1" applyFont="1" applyBorder="1" applyAlignment="1">
      <alignment vertical="center"/>
    </xf>
    <xf numFmtId="0" fontId="36" fillId="0" borderId="6" xfId="0" applyFont="1" applyBorder="1" applyAlignment="1">
      <alignment horizontal="right" vertical="center"/>
    </xf>
    <xf numFmtId="4" fontId="0" fillId="0" borderId="33" xfId="0" applyNumberFormat="1" applyBorder="1"/>
    <xf numFmtId="4" fontId="0" fillId="0" borderId="4" xfId="0" applyNumberFormat="1" applyBorder="1"/>
    <xf numFmtId="4" fontId="20" fillId="0" borderId="50" xfId="0" applyNumberFormat="1" applyFont="1" applyBorder="1" applyAlignment="1">
      <alignment vertical="center"/>
    </xf>
    <xf numFmtId="4" fontId="20" fillId="0" borderId="51" xfId="0" applyNumberFormat="1" applyFont="1" applyBorder="1" applyAlignment="1">
      <alignment vertical="center"/>
    </xf>
    <xf numFmtId="4" fontId="20" fillId="0" borderId="58" xfId="0" applyNumberFormat="1" applyFont="1" applyBorder="1" applyAlignment="1">
      <alignment vertical="center"/>
    </xf>
    <xf numFmtId="0" fontId="37" fillId="0" borderId="6" xfId="0" applyFont="1" applyBorder="1" applyAlignment="1">
      <alignment horizontal="right" vertical="center"/>
    </xf>
    <xf numFmtId="4" fontId="36" fillId="0" borderId="50" xfId="0" applyNumberFormat="1" applyFont="1" applyBorder="1" applyAlignment="1">
      <alignment vertical="center"/>
    </xf>
    <xf numFmtId="4" fontId="36" fillId="0" borderId="58" xfId="0" applyNumberFormat="1" applyFont="1" applyBorder="1" applyAlignment="1">
      <alignment vertical="center"/>
    </xf>
    <xf numFmtId="4" fontId="5" fillId="0" borderId="33" xfId="0" applyNumberFormat="1" applyFont="1" applyBorder="1"/>
    <xf numFmtId="4" fontId="5" fillId="0" borderId="6" xfId="0" applyNumberFormat="1" applyFont="1" applyBorder="1"/>
    <xf numFmtId="4" fontId="36" fillId="0" borderId="51" xfId="0" applyNumberFormat="1" applyFont="1" applyBorder="1" applyAlignment="1">
      <alignment vertical="center"/>
    </xf>
    <xf numFmtId="4" fontId="5" fillId="0" borderId="4" xfId="0" applyNumberFormat="1" applyFont="1" applyBorder="1"/>
    <xf numFmtId="0" fontId="38" fillId="0" borderId="0" xfId="0" applyFont="1"/>
    <xf numFmtId="0" fontId="39" fillId="0" borderId="6" xfId="0" applyFont="1" applyBorder="1" applyAlignment="1">
      <alignment horizontal="right" vertical="center"/>
    </xf>
    <xf numFmtId="4" fontId="39" fillId="0" borderId="4" xfId="0" applyNumberFormat="1" applyFont="1" applyBorder="1" applyAlignment="1">
      <alignment vertical="center"/>
    </xf>
    <xf numFmtId="4" fontId="39" fillId="0" borderId="50" xfId="0" applyNumberFormat="1" applyFont="1" applyBorder="1" applyAlignment="1">
      <alignment vertical="center"/>
    </xf>
    <xf numFmtId="4" fontId="39" fillId="0" borderId="51" xfId="0" applyNumberFormat="1" applyFont="1" applyBorder="1" applyAlignment="1">
      <alignment vertical="center"/>
    </xf>
    <xf numFmtId="4" fontId="40" fillId="0" borderId="33" xfId="0" applyNumberFormat="1" applyFont="1" applyBorder="1" applyAlignment="1">
      <alignment horizontal="right" vertical="center"/>
    </xf>
    <xf numFmtId="4" fontId="29" fillId="0" borderId="4" xfId="0" applyNumberFormat="1" applyFont="1" applyBorder="1" applyAlignment="1">
      <alignment horizontal="right" vertical="center"/>
    </xf>
    <xf numFmtId="4" fontId="0" fillId="0" borderId="50" xfId="0" applyNumberFormat="1" applyBorder="1" applyAlignment="1">
      <alignment vertical="center"/>
    </xf>
    <xf numFmtId="4" fontId="39" fillId="0" borderId="33" xfId="0" applyNumberFormat="1" applyFont="1" applyBorder="1" applyAlignment="1">
      <alignment vertical="center"/>
    </xf>
    <xf numFmtId="4" fontId="39" fillId="0" borderId="6" xfId="0" applyNumberFormat="1" applyFont="1" applyBorder="1" applyAlignment="1">
      <alignment vertical="center"/>
    </xf>
    <xf numFmtId="4" fontId="5" fillId="0" borderId="33" xfId="0" applyNumberFormat="1" applyFont="1" applyBorder="1" applyAlignment="1">
      <alignment vertical="center"/>
    </xf>
    <xf numFmtId="49" fontId="5" fillId="0" borderId="4" xfId="0" applyNumberFormat="1" applyFont="1" applyBorder="1" applyAlignment="1">
      <alignment vertical="center" wrapText="1"/>
    </xf>
    <xf numFmtId="4" fontId="39" fillId="0" borderId="58" xfId="0" applyNumberFormat="1" applyFont="1" applyBorder="1" applyAlignment="1">
      <alignment vertical="center"/>
    </xf>
    <xf numFmtId="4" fontId="40" fillId="0" borderId="33" xfId="0" applyNumberFormat="1" applyFont="1" applyBorder="1" applyAlignment="1">
      <alignment vertical="center"/>
    </xf>
    <xf numFmtId="4" fontId="40" fillId="0" borderId="6" xfId="0" applyNumberFormat="1" applyFont="1" applyBorder="1" applyAlignment="1">
      <alignment vertical="center"/>
    </xf>
    <xf numFmtId="4" fontId="29" fillId="0" borderId="33" xfId="0" applyNumberFormat="1" applyFont="1" applyBorder="1" applyAlignment="1">
      <alignment horizontal="right" vertical="center"/>
    </xf>
    <xf numFmtId="4" fontId="29" fillId="0" borderId="6" xfId="0" applyNumberFormat="1" applyFont="1" applyBorder="1" applyAlignment="1">
      <alignment horizontal="right" vertical="center"/>
    </xf>
    <xf numFmtId="0" fontId="5" fillId="0" borderId="32" xfId="0" applyFont="1" applyBorder="1" applyAlignment="1">
      <alignment vertical="center"/>
    </xf>
    <xf numFmtId="4" fontId="20" fillId="0" borderId="59" xfId="0" applyNumberFormat="1" applyFont="1" applyBorder="1" applyAlignment="1">
      <alignment vertical="center"/>
    </xf>
    <xf numFmtId="4" fontId="0" fillId="0" borderId="53" xfId="0" applyNumberFormat="1" applyBorder="1" applyAlignment="1">
      <alignment vertical="center"/>
    </xf>
    <xf numFmtId="0" fontId="5" fillId="0" borderId="55" xfId="0" applyFont="1" applyBorder="1" applyAlignment="1">
      <alignment vertical="center"/>
    </xf>
    <xf numFmtId="4" fontId="5" fillId="0" borderId="55" xfId="0" applyNumberFormat="1" applyFont="1" applyBorder="1" applyAlignment="1">
      <alignment vertical="center"/>
    </xf>
    <xf numFmtId="4" fontId="29" fillId="0" borderId="33" xfId="0" applyNumberFormat="1" applyFont="1" applyBorder="1" applyAlignment="1">
      <alignment vertical="center"/>
    </xf>
    <xf numFmtId="49" fontId="5" fillId="0" borderId="6" xfId="0" applyNumberFormat="1" applyFont="1" applyBorder="1" applyAlignment="1">
      <alignment vertical="center"/>
    </xf>
    <xf numFmtId="4" fontId="38" fillId="0" borderId="33" xfId="0" applyNumberFormat="1" applyFont="1" applyBorder="1" applyAlignment="1">
      <alignment vertical="center"/>
    </xf>
    <xf numFmtId="4" fontId="38" fillId="0" borderId="4" xfId="0" applyNumberFormat="1" applyFont="1" applyBorder="1" applyAlignment="1">
      <alignment vertical="center"/>
    </xf>
    <xf numFmtId="0" fontId="5" fillId="0" borderId="6" xfId="9" applyFont="1" applyBorder="1" applyAlignment="1">
      <alignment vertical="center"/>
    </xf>
    <xf numFmtId="0" fontId="5" fillId="0" borderId="6" xfId="9" applyFont="1" applyBorder="1" applyAlignment="1">
      <alignment vertical="center" wrapText="1"/>
    </xf>
    <xf numFmtId="0" fontId="5" fillId="0" borderId="4" xfId="9" applyFont="1" applyBorder="1" applyAlignment="1">
      <alignment vertical="center" wrapText="1"/>
    </xf>
    <xf numFmtId="49" fontId="5" fillId="0" borderId="6" xfId="9" applyNumberFormat="1" applyFont="1" applyBorder="1" applyAlignment="1">
      <alignment vertical="center" wrapText="1"/>
    </xf>
    <xf numFmtId="0" fontId="5" fillId="0" borderId="4" xfId="0" applyFont="1" applyBorder="1" applyAlignment="1">
      <alignment horizontal="right" vertical="center"/>
    </xf>
    <xf numFmtId="0" fontId="34" fillId="0" borderId="4" xfId="0" applyFont="1" applyBorder="1" applyAlignment="1">
      <alignment horizontal="right" vertical="center"/>
    </xf>
    <xf numFmtId="0" fontId="35" fillId="0" borderId="6" xfId="0" applyFont="1" applyBorder="1" applyAlignment="1">
      <alignment horizontal="right" vertical="center"/>
    </xf>
    <xf numFmtId="4" fontId="35" fillId="0" borderId="33" xfId="0" applyNumberFormat="1" applyFont="1" applyBorder="1" applyAlignment="1">
      <alignment vertical="center"/>
    </xf>
    <xf numFmtId="4" fontId="5" fillId="0" borderId="33" xfId="0" applyNumberFormat="1" applyFont="1" applyBorder="1" applyAlignment="1">
      <alignment horizontal="right" vertical="center"/>
    </xf>
    <xf numFmtId="4" fontId="5" fillId="0" borderId="6" xfId="0" applyNumberFormat="1" applyFont="1" applyBorder="1" applyAlignment="1">
      <alignment horizontal="right" vertical="center"/>
    </xf>
    <xf numFmtId="2" fontId="5" fillId="0" borderId="6" xfId="0" applyNumberFormat="1" applyFont="1" applyBorder="1" applyAlignment="1">
      <alignment vertical="center" wrapText="1"/>
    </xf>
    <xf numFmtId="0" fontId="5" fillId="0" borderId="6" xfId="10" applyFont="1" applyBorder="1" applyAlignment="1">
      <alignment vertical="center" wrapText="1"/>
    </xf>
    <xf numFmtId="0" fontId="39" fillId="0" borderId="6" xfId="0" applyFont="1" applyBorder="1" applyAlignment="1">
      <alignment vertical="center"/>
    </xf>
    <xf numFmtId="2" fontId="5" fillId="0" borderId="32" xfId="0" applyNumberFormat="1" applyFont="1" applyBorder="1" applyAlignment="1">
      <alignment vertical="center" wrapText="1"/>
    </xf>
    <xf numFmtId="4" fontId="5" fillId="0" borderId="59" xfId="0" applyNumberFormat="1" applyFont="1" applyBorder="1" applyAlignment="1">
      <alignment vertical="center"/>
    </xf>
    <xf numFmtId="4" fontId="5" fillId="0" borderId="60" xfId="0" applyNumberFormat="1" applyFont="1" applyBorder="1" applyAlignment="1">
      <alignment vertical="center"/>
    </xf>
    <xf numFmtId="4" fontId="38" fillId="0" borderId="6" xfId="0" applyNumberFormat="1" applyFont="1" applyBorder="1" applyAlignment="1">
      <alignment vertical="center"/>
    </xf>
    <xf numFmtId="4" fontId="38" fillId="0" borderId="50" xfId="0" applyNumberFormat="1" applyFont="1" applyBorder="1" applyAlignment="1">
      <alignment vertical="center"/>
    </xf>
    <xf numFmtId="49" fontId="5" fillId="0" borderId="4" xfId="9" applyNumberFormat="1" applyFont="1" applyBorder="1" applyAlignment="1">
      <alignment vertical="center" wrapText="1"/>
    </xf>
    <xf numFmtId="4" fontId="0" fillId="0" borderId="33" xfId="0" applyNumberFormat="1" applyBorder="1" applyAlignment="1">
      <alignment horizontal="right" vertical="center"/>
    </xf>
    <xf numFmtId="0" fontId="35" fillId="0" borderId="6" xfId="9" applyFont="1" applyBorder="1" applyAlignment="1">
      <alignment vertical="center"/>
    </xf>
    <xf numFmtId="4" fontId="5" fillId="0" borderId="61" xfId="0" applyNumberFormat="1" applyFont="1" applyBorder="1" applyAlignment="1">
      <alignment vertical="center"/>
    </xf>
    <xf numFmtId="4" fontId="5" fillId="0" borderId="37" xfId="0" applyNumberFormat="1" applyFont="1" applyBorder="1" applyAlignment="1">
      <alignment vertical="center"/>
    </xf>
    <xf numFmtId="0" fontId="34" fillId="0" borderId="4" xfId="0" applyFont="1" applyBorder="1" applyAlignment="1">
      <alignment vertical="center"/>
    </xf>
    <xf numFmtId="0" fontId="0" fillId="0" borderId="34" xfId="0" applyBorder="1"/>
    <xf numFmtId="49" fontId="5" fillId="0" borderId="6" xfId="10" applyNumberFormat="1" applyFont="1" applyBorder="1" applyAlignment="1">
      <alignment vertical="center" wrapText="1"/>
    </xf>
    <xf numFmtId="49" fontId="5" fillId="0" borderId="4" xfId="10" applyNumberFormat="1" applyFont="1" applyBorder="1" applyAlignment="1">
      <alignment vertical="center" wrapText="1"/>
    </xf>
    <xf numFmtId="0" fontId="5" fillId="0" borderId="4" xfId="10" applyFont="1" applyBorder="1" applyAlignment="1">
      <alignment vertical="center" wrapText="1"/>
    </xf>
    <xf numFmtId="0" fontId="5" fillId="0" borderId="7" xfId="0" applyFont="1" applyBorder="1" applyAlignment="1">
      <alignment horizontal="right" vertical="center"/>
    </xf>
    <xf numFmtId="49" fontId="5" fillId="0" borderId="4" xfId="9" applyNumberFormat="1" applyFont="1" applyBorder="1" applyAlignment="1">
      <alignment vertical="center"/>
    </xf>
    <xf numFmtId="0" fontId="5" fillId="0" borderId="11" xfId="0" applyFont="1" applyBorder="1" applyAlignment="1">
      <alignment horizontal="right" vertical="center"/>
    </xf>
    <xf numFmtId="0" fontId="5" fillId="0" borderId="0" xfId="0" applyFont="1" applyAlignment="1">
      <alignment vertical="center"/>
    </xf>
    <xf numFmtId="0" fontId="16" fillId="0" borderId="3" xfId="0" applyFont="1" applyBorder="1"/>
    <xf numFmtId="4" fontId="16" fillId="0" borderId="62" xfId="0" applyNumberFormat="1" applyFont="1" applyBorder="1" applyAlignment="1">
      <alignment vertical="center"/>
    </xf>
    <xf numFmtId="0" fontId="1" fillId="0" borderId="20" xfId="0" applyFont="1" applyBorder="1" applyAlignment="1">
      <alignment vertical="center"/>
    </xf>
    <xf numFmtId="0" fontId="1" fillId="0" borderId="17" xfId="0" applyFont="1" applyBorder="1" applyAlignment="1">
      <alignment vertical="center"/>
    </xf>
    <xf numFmtId="0" fontId="34" fillId="0" borderId="0" xfId="0" applyFont="1" applyAlignment="1">
      <alignment vertical="center"/>
    </xf>
    <xf numFmtId="4" fontId="16" fillId="0" borderId="2" xfId="0" applyNumberFormat="1" applyFont="1" applyBorder="1"/>
    <xf numFmtId="4" fontId="27" fillId="0" borderId="2" xfId="0" applyNumberFormat="1" applyFont="1" applyBorder="1"/>
    <xf numFmtId="0" fontId="7" fillId="0" borderId="0" xfId="0" applyFont="1" applyAlignment="1">
      <alignment vertical="center"/>
    </xf>
    <xf numFmtId="0" fontId="21" fillId="0" borderId="14" xfId="0" applyFont="1" applyBorder="1" applyAlignment="1">
      <alignment horizontal="right" vertical="center"/>
    </xf>
    <xf numFmtId="4" fontId="6" fillId="0" borderId="4" xfId="0" applyNumberFormat="1" applyFont="1" applyBorder="1" applyAlignment="1">
      <alignment vertical="center" wrapText="1"/>
    </xf>
    <xf numFmtId="0" fontId="21" fillId="0" borderId="14" xfId="0" applyFont="1" applyBorder="1" applyAlignment="1">
      <alignment horizontal="right" vertical="center" wrapText="1"/>
    </xf>
    <xf numFmtId="0" fontId="16" fillId="0" borderId="0" xfId="0" applyFont="1" applyAlignment="1">
      <alignment wrapText="1"/>
    </xf>
    <xf numFmtId="0" fontId="16" fillId="0" borderId="0" xfId="0" applyFont="1"/>
    <xf numFmtId="0" fontId="6" fillId="0" borderId="4" xfId="0" applyFont="1" applyBorder="1" applyAlignment="1">
      <alignment vertical="top" wrapText="1"/>
    </xf>
    <xf numFmtId="0" fontId="1" fillId="0" borderId="16" xfId="0" applyFont="1" applyBorder="1" applyAlignment="1">
      <alignment vertical="center"/>
    </xf>
    <xf numFmtId="0" fontId="1" fillId="0" borderId="8" xfId="0" applyFont="1" applyBorder="1" applyAlignment="1">
      <alignment vertical="center" wrapText="1"/>
    </xf>
    <xf numFmtId="0" fontId="15" fillId="0" borderId="17" xfId="0" applyFont="1" applyBorder="1"/>
    <xf numFmtId="0" fontId="15" fillId="0" borderId="2" xfId="0" applyFont="1" applyBorder="1"/>
    <xf numFmtId="0" fontId="5" fillId="0" borderId="0" xfId="0" applyFont="1" applyAlignment="1">
      <alignment horizontal="left"/>
    </xf>
    <xf numFmtId="0" fontId="7" fillId="0" borderId="0" xfId="0" applyFont="1" applyAlignment="1">
      <alignment horizontal="right"/>
    </xf>
    <xf numFmtId="0" fontId="9" fillId="0" borderId="63" xfId="0" applyFont="1" applyBorder="1" applyAlignment="1">
      <alignment horizontal="center" vertical="center" wrapText="1"/>
    </xf>
    <xf numFmtId="0" fontId="8" fillId="0" borderId="63" xfId="0" applyFont="1" applyBorder="1" applyAlignment="1">
      <alignment horizontal="center" vertical="center" wrapText="1"/>
    </xf>
    <xf numFmtId="4" fontId="7" fillId="0" borderId="62" xfId="0" applyNumberFormat="1" applyFont="1" applyBorder="1" applyAlignment="1">
      <alignment horizontal="center" vertical="center" wrapText="1"/>
    </xf>
    <xf numFmtId="4" fontId="7" fillId="0" borderId="17" xfId="0" applyNumberFormat="1" applyFont="1" applyBorder="1" applyAlignment="1">
      <alignment horizontal="center" vertical="center" wrapText="1"/>
    </xf>
    <xf numFmtId="4" fontId="7" fillId="0" borderId="64" xfId="0" applyNumberFormat="1" applyFont="1" applyBorder="1" applyAlignment="1">
      <alignment horizontal="center" vertical="center" wrapText="1"/>
    </xf>
    <xf numFmtId="4" fontId="7" fillId="0" borderId="65" xfId="0" applyNumberFormat="1" applyFont="1" applyBorder="1" applyAlignment="1">
      <alignment horizontal="center" vertical="center" wrapText="1"/>
    </xf>
    <xf numFmtId="4" fontId="7" fillId="0" borderId="66" xfId="0" applyNumberFormat="1" applyFont="1" applyBorder="1" applyAlignment="1">
      <alignment horizontal="center" vertical="center" wrapText="1"/>
    </xf>
    <xf numFmtId="4" fontId="7" fillId="0" borderId="10" xfId="0" applyNumberFormat="1" applyFont="1" applyBorder="1" applyAlignment="1">
      <alignment horizontal="center" vertical="center" wrapText="1"/>
    </xf>
    <xf numFmtId="4" fontId="7" fillId="0" borderId="67" xfId="0" applyNumberFormat="1" applyFont="1" applyBorder="1" applyAlignment="1">
      <alignment horizontal="center" vertical="center" wrapText="1"/>
    </xf>
    <xf numFmtId="4" fontId="7" fillId="0" borderId="68" xfId="0" applyNumberFormat="1" applyFont="1" applyBorder="1" applyAlignment="1">
      <alignment horizontal="center" vertical="center" wrapText="1"/>
    </xf>
    <xf numFmtId="0" fontId="1" fillId="0" borderId="69" xfId="0" applyFont="1" applyBorder="1"/>
    <xf numFmtId="0" fontId="16" fillId="0" borderId="69" xfId="0" applyFont="1" applyBorder="1"/>
    <xf numFmtId="4" fontId="6" fillId="0" borderId="62" xfId="0" applyNumberFormat="1" applyFont="1" applyBorder="1" applyAlignment="1">
      <alignment vertical="center"/>
    </xf>
    <xf numFmtId="4" fontId="0" fillId="0" borderId="17" xfId="0" applyNumberFormat="1" applyBorder="1" applyAlignment="1">
      <alignment vertical="center" shrinkToFit="1"/>
    </xf>
    <xf numFmtId="4" fontId="7" fillId="0" borderId="70" xfId="0" applyNumberFormat="1" applyFont="1" applyBorder="1" applyAlignment="1">
      <alignment horizontal="center" vertical="center" wrapText="1"/>
    </xf>
    <xf numFmtId="4" fontId="7" fillId="0" borderId="15" xfId="0" applyNumberFormat="1" applyFont="1" applyBorder="1" applyAlignment="1">
      <alignment horizontal="center" vertical="center" wrapText="1"/>
    </xf>
    <xf numFmtId="0" fontId="1" fillId="0" borderId="68" xfId="0" applyFont="1" applyBorder="1"/>
    <xf numFmtId="0" fontId="8" fillId="0" borderId="69" xfId="0" applyFont="1" applyBorder="1"/>
    <xf numFmtId="0" fontId="8" fillId="0" borderId="69" xfId="0" applyFont="1" applyBorder="1" applyAlignment="1">
      <alignment vertical="center" wrapText="1"/>
    </xf>
    <xf numFmtId="4" fontId="8" fillId="7" borderId="2" xfId="0" applyNumberFormat="1" applyFont="1" applyFill="1" applyBorder="1" applyAlignment="1">
      <alignment shrinkToFit="1"/>
    </xf>
    <xf numFmtId="4" fontId="8" fillId="7" borderId="17" xfId="0" applyNumberFormat="1" applyFont="1" applyFill="1" applyBorder="1" applyAlignment="1">
      <alignment shrinkToFit="1"/>
    </xf>
    <xf numFmtId="4" fontId="7" fillId="0" borderId="15" xfId="0" applyNumberFormat="1" applyFont="1" applyBorder="1" applyAlignment="1">
      <alignment shrinkToFit="1"/>
    </xf>
    <xf numFmtId="4" fontId="7" fillId="0" borderId="23" xfId="0" applyNumberFormat="1" applyFont="1" applyBorder="1" applyAlignment="1">
      <alignment shrinkToFit="1"/>
    </xf>
    <xf numFmtId="4" fontId="6" fillId="0" borderId="68" xfId="0" applyNumberFormat="1" applyFont="1" applyBorder="1"/>
    <xf numFmtId="0" fontId="6" fillId="0" borderId="68" xfId="0" applyFont="1" applyBorder="1"/>
    <xf numFmtId="0" fontId="6" fillId="0" borderId="69" xfId="0" applyFont="1" applyBorder="1"/>
    <xf numFmtId="4" fontId="8" fillId="7" borderId="62" xfId="0" applyNumberFormat="1" applyFont="1" applyFill="1" applyBorder="1"/>
    <xf numFmtId="4" fontId="8" fillId="7" borderId="2" xfId="0" applyNumberFormat="1" applyFont="1" applyFill="1" applyBorder="1"/>
    <xf numFmtId="4" fontId="8" fillId="7" borderId="17" xfId="0" applyNumberFormat="1" applyFont="1" applyFill="1" applyBorder="1"/>
    <xf numFmtId="4" fontId="7" fillId="0" borderId="62" xfId="0" applyNumberFormat="1" applyFont="1" applyBorder="1"/>
    <xf numFmtId="4" fontId="7" fillId="0" borderId="15" xfId="0" applyNumberFormat="1" applyFont="1" applyBorder="1"/>
    <xf numFmtId="0" fontId="6" fillId="4" borderId="69" xfId="0" applyFont="1" applyFill="1" applyBorder="1"/>
    <xf numFmtId="4" fontId="7" fillId="0" borderId="17" xfId="0" applyNumberFormat="1" applyFont="1" applyBorder="1"/>
    <xf numFmtId="4" fontId="8" fillId="7" borderId="3" xfId="0" applyNumberFormat="1" applyFont="1" applyFill="1" applyBorder="1"/>
    <xf numFmtId="4" fontId="7" fillId="0" borderId="71" xfId="0" applyNumberFormat="1" applyFont="1" applyBorder="1"/>
    <xf numFmtId="0" fontId="16" fillId="4" borderId="69" xfId="0" applyFont="1" applyFill="1" applyBorder="1"/>
    <xf numFmtId="4" fontId="16" fillId="7" borderId="62" xfId="0" applyNumberFormat="1" applyFont="1" applyFill="1" applyBorder="1" applyAlignment="1">
      <alignment vertical="center" shrinkToFit="1"/>
    </xf>
    <xf numFmtId="4" fontId="16" fillId="7" borderId="2" xfId="0" applyNumberFormat="1" applyFont="1" applyFill="1" applyBorder="1" applyAlignment="1">
      <alignment vertical="center" shrinkToFit="1"/>
    </xf>
    <xf numFmtId="4" fontId="16" fillId="7" borderId="17" xfId="0" applyNumberFormat="1" applyFont="1" applyFill="1" applyBorder="1" applyAlignment="1">
      <alignment vertical="center" shrinkToFit="1"/>
    </xf>
    <xf numFmtId="4" fontId="8" fillId="0" borderId="62" xfId="0" applyNumberFormat="1" applyFont="1" applyBorder="1" applyAlignment="1">
      <alignment vertical="center" shrinkToFit="1"/>
    </xf>
    <xf numFmtId="4" fontId="8" fillId="0" borderId="15" xfId="0" applyNumberFormat="1" applyFont="1" applyBorder="1" applyAlignment="1">
      <alignment vertical="center" shrinkToFit="1"/>
    </xf>
    <xf numFmtId="4" fontId="8" fillId="7" borderId="62" xfId="0" applyNumberFormat="1" applyFont="1" applyFill="1" applyBorder="1" applyAlignment="1">
      <alignment shrinkToFit="1"/>
    </xf>
    <xf numFmtId="4" fontId="8" fillId="7" borderId="72" xfId="0" applyNumberFormat="1" applyFont="1" applyFill="1" applyBorder="1" applyAlignment="1">
      <alignment shrinkToFit="1"/>
    </xf>
    <xf numFmtId="4" fontId="7" fillId="0" borderId="62" xfId="0" applyNumberFormat="1" applyFont="1" applyBorder="1" applyAlignment="1">
      <alignment shrinkToFit="1"/>
    </xf>
    <xf numFmtId="4" fontId="7" fillId="0" borderId="17" xfId="0" applyNumberFormat="1" applyFont="1" applyBorder="1" applyAlignment="1">
      <alignment shrinkToFit="1"/>
    </xf>
    <xf numFmtId="0" fontId="22" fillId="4" borderId="69" xfId="0" applyFont="1" applyFill="1" applyBorder="1"/>
    <xf numFmtId="0" fontId="15" fillId="0" borderId="69" xfId="0" applyFont="1" applyBorder="1"/>
    <xf numFmtId="4" fontId="16" fillId="7" borderId="62" xfId="0" applyNumberFormat="1" applyFont="1" applyFill="1" applyBorder="1" applyAlignment="1">
      <alignment shrinkToFit="1"/>
    </xf>
    <xf numFmtId="4" fontId="16" fillId="7" borderId="2" xfId="0" applyNumberFormat="1" applyFont="1" applyFill="1" applyBorder="1" applyAlignment="1">
      <alignment shrinkToFit="1"/>
    </xf>
    <xf numFmtId="4" fontId="16" fillId="7" borderId="17" xfId="0" applyNumberFormat="1" applyFont="1" applyFill="1" applyBorder="1" applyAlignment="1">
      <alignment shrinkToFit="1"/>
    </xf>
    <xf numFmtId="4" fontId="16" fillId="7" borderId="73" xfId="0" applyNumberFormat="1" applyFont="1" applyFill="1" applyBorder="1" applyAlignment="1">
      <alignment shrinkToFit="1"/>
    </xf>
    <xf numFmtId="4" fontId="16" fillId="0" borderId="2" xfId="0" applyNumberFormat="1" applyFont="1" applyBorder="1" applyAlignment="1">
      <alignment shrinkToFit="1"/>
    </xf>
    <xf numFmtId="4" fontId="16" fillId="0" borderId="17" xfId="0" applyNumberFormat="1" applyFont="1" applyBorder="1" applyAlignment="1">
      <alignment shrinkToFit="1"/>
    </xf>
    <xf numFmtId="0" fontId="1" fillId="4" borderId="69" xfId="0" applyFont="1" applyFill="1" applyBorder="1"/>
    <xf numFmtId="4" fontId="41" fillId="7" borderId="62" xfId="0" applyNumberFormat="1" applyFont="1" applyFill="1" applyBorder="1" applyAlignment="1">
      <alignment vertical="center"/>
    </xf>
    <xf numFmtId="4" fontId="41" fillId="7" borderId="2" xfId="0" applyNumberFormat="1" applyFont="1" applyFill="1" applyBorder="1"/>
    <xf numFmtId="4" fontId="41" fillId="7" borderId="2" xfId="0" applyNumberFormat="1" applyFont="1" applyFill="1" applyBorder="1" applyAlignment="1">
      <alignment vertical="center"/>
    </xf>
    <xf numFmtId="4" fontId="41" fillId="7" borderId="67" xfId="0" applyNumberFormat="1" applyFont="1" applyFill="1" applyBorder="1" applyAlignment="1">
      <alignment vertical="center"/>
    </xf>
    <xf numFmtId="4" fontId="41" fillId="7" borderId="73" xfId="0" applyNumberFormat="1" applyFont="1" applyFill="1" applyBorder="1" applyAlignment="1">
      <alignment vertical="center"/>
    </xf>
    <xf numFmtId="0" fontId="10" fillId="0" borderId="69" xfId="0" applyFont="1" applyBorder="1"/>
    <xf numFmtId="4" fontId="41" fillId="7" borderId="74" xfId="0" applyNumberFormat="1" applyFont="1" applyFill="1" applyBorder="1" applyAlignment="1">
      <alignment vertical="center"/>
    </xf>
    <xf numFmtId="4" fontId="41" fillId="7" borderId="75" xfId="0" applyNumberFormat="1" applyFont="1" applyFill="1" applyBorder="1" applyAlignment="1">
      <alignment vertical="center"/>
    </xf>
    <xf numFmtId="4" fontId="41" fillId="7" borderId="68" xfId="0" applyNumberFormat="1" applyFont="1" applyFill="1" applyBorder="1" applyAlignment="1">
      <alignment vertical="center"/>
    </xf>
    <xf numFmtId="4" fontId="41" fillId="7" borderId="15" xfId="0" applyNumberFormat="1" applyFont="1" applyFill="1" applyBorder="1" applyAlignment="1">
      <alignment vertical="center"/>
    </xf>
    <xf numFmtId="4" fontId="41" fillId="7" borderId="76" xfId="0" applyNumberFormat="1" applyFont="1" applyFill="1" applyBorder="1" applyAlignment="1">
      <alignment vertical="center"/>
    </xf>
    <xf numFmtId="0" fontId="19" fillId="4" borderId="69" xfId="0" applyFont="1" applyFill="1" applyBorder="1"/>
    <xf numFmtId="4" fontId="8" fillId="7" borderId="74" xfId="0" applyNumberFormat="1" applyFont="1" applyFill="1" applyBorder="1"/>
    <xf numFmtId="4" fontId="8" fillId="7" borderId="76" xfId="0" applyNumberFormat="1" applyFont="1" applyFill="1" applyBorder="1"/>
    <xf numFmtId="4" fontId="8" fillId="7" borderId="77" xfId="0" applyNumberFormat="1" applyFont="1" applyFill="1" applyBorder="1"/>
    <xf numFmtId="4" fontId="8" fillId="7" borderId="78" xfId="0" applyNumberFormat="1" applyFont="1" applyFill="1" applyBorder="1"/>
    <xf numFmtId="4" fontId="8" fillId="7" borderId="63" xfId="0" applyNumberFormat="1" applyFont="1" applyFill="1" applyBorder="1"/>
    <xf numFmtId="4" fontId="8" fillId="7" borderId="68" xfId="0" applyNumberFormat="1" applyFont="1" applyFill="1" applyBorder="1"/>
    <xf numFmtId="4" fontId="8" fillId="0" borderId="62" xfId="0" applyNumberFormat="1" applyFont="1" applyBorder="1"/>
    <xf numFmtId="4" fontId="8" fillId="0" borderId="67" xfId="0" applyNumberFormat="1" applyFont="1" applyBorder="1"/>
    <xf numFmtId="0" fontId="6" fillId="4" borderId="69" xfId="0" applyFont="1" applyFill="1" applyBorder="1" applyAlignment="1">
      <alignment vertical="center"/>
    </xf>
    <xf numFmtId="0" fontId="16" fillId="0" borderId="69" xfId="0" applyFont="1" applyBorder="1" applyAlignment="1">
      <alignment vertical="center"/>
    </xf>
    <xf numFmtId="4" fontId="8" fillId="7" borderId="79" xfId="0" applyNumberFormat="1" applyFont="1" applyFill="1" applyBorder="1" applyAlignment="1">
      <alignment vertical="center"/>
    </xf>
    <xf numFmtId="4" fontId="8" fillId="7" borderId="2" xfId="0" applyNumberFormat="1" applyFont="1" applyFill="1" applyBorder="1" applyAlignment="1">
      <alignment vertical="center"/>
    </xf>
    <xf numFmtId="4" fontId="8" fillId="7" borderId="11" xfId="0" applyNumberFormat="1" applyFont="1" applyFill="1" applyBorder="1" applyAlignment="1">
      <alignment vertical="center"/>
    </xf>
    <xf numFmtId="4" fontId="8" fillId="7" borderId="17" xfId="0" applyNumberFormat="1" applyFont="1" applyFill="1" applyBorder="1" applyAlignment="1">
      <alignment vertical="center"/>
    </xf>
    <xf numFmtId="4" fontId="8" fillId="7" borderId="70" xfId="0" applyNumberFormat="1" applyFont="1" applyFill="1" applyBorder="1" applyAlignment="1">
      <alignment vertical="center"/>
    </xf>
    <xf numFmtId="4" fontId="8" fillId="0" borderId="2" xfId="0" applyNumberFormat="1" applyFont="1" applyBorder="1" applyAlignment="1">
      <alignment vertical="center"/>
    </xf>
    <xf numFmtId="4" fontId="8" fillId="0" borderId="15" xfId="0" applyNumberFormat="1" applyFont="1" applyBorder="1" applyAlignment="1">
      <alignment vertical="center"/>
    </xf>
    <xf numFmtId="0" fontId="7" fillId="0" borderId="69" xfId="0" applyFont="1" applyBorder="1"/>
    <xf numFmtId="4" fontId="8" fillId="7" borderId="62" xfId="0" applyNumberFormat="1" applyFont="1" applyFill="1" applyBorder="1" applyAlignment="1">
      <alignment vertical="center"/>
    </xf>
    <xf numFmtId="4" fontId="8" fillId="0" borderId="73" xfId="0" applyNumberFormat="1" applyFont="1" applyBorder="1" applyAlignment="1">
      <alignment vertical="center"/>
    </xf>
    <xf numFmtId="4" fontId="8" fillId="0" borderId="68" xfId="0" applyNumberFormat="1" applyFont="1" applyBorder="1"/>
    <xf numFmtId="0" fontId="7" fillId="4" borderId="69" xfId="0" applyFont="1" applyFill="1" applyBorder="1" applyAlignment="1">
      <alignment vertical="center"/>
    </xf>
    <xf numFmtId="0" fontId="16" fillId="0" borderId="80" xfId="0" applyFont="1" applyBorder="1" applyAlignment="1">
      <alignment vertical="center"/>
    </xf>
    <xf numFmtId="0" fontId="7" fillId="4" borderId="69" xfId="0" applyFont="1" applyFill="1" applyBorder="1"/>
    <xf numFmtId="4" fontId="8" fillId="0" borderId="78" xfId="0" applyNumberFormat="1" applyFont="1" applyBorder="1"/>
    <xf numFmtId="4" fontId="8" fillId="7" borderId="73" xfId="0" applyNumberFormat="1" applyFont="1" applyFill="1" applyBorder="1"/>
    <xf numFmtId="0" fontId="42" fillId="0" borderId="0" xfId="0" applyFont="1" applyAlignment="1">
      <alignment horizontal="right"/>
    </xf>
    <xf numFmtId="0" fontId="6" fillId="0" borderId="68" xfId="0" applyFont="1" applyBorder="1" applyAlignment="1">
      <alignment vertical="center"/>
    </xf>
    <xf numFmtId="0" fontId="16" fillId="0" borderId="68" xfId="0" applyFont="1" applyBorder="1" applyAlignment="1">
      <alignment wrapText="1"/>
    </xf>
    <xf numFmtId="4" fontId="8" fillId="7" borderId="71" xfId="0" applyNumberFormat="1" applyFont="1" applyFill="1" applyBorder="1"/>
    <xf numFmtId="4" fontId="8" fillId="0" borderId="71" xfId="0" applyNumberFormat="1" applyFont="1" applyBorder="1"/>
    <xf numFmtId="0" fontId="42" fillId="0" borderId="68" xfId="0" applyFont="1" applyBorder="1" applyAlignment="1">
      <alignment horizontal="right"/>
    </xf>
    <xf numFmtId="4" fontId="8" fillId="7" borderId="74" xfId="0" applyNumberFormat="1" applyFont="1" applyFill="1" applyBorder="1" applyAlignment="1">
      <alignment vertical="center"/>
    </xf>
    <xf numFmtId="4" fontId="8" fillId="7" borderId="10" xfId="0" applyNumberFormat="1" applyFont="1" applyFill="1" applyBorder="1" applyAlignment="1">
      <alignment vertical="center"/>
    </xf>
    <xf numFmtId="4" fontId="8" fillId="7" borderId="67" xfId="0" applyNumberFormat="1" applyFont="1" applyFill="1" applyBorder="1" applyAlignment="1">
      <alignment vertical="center"/>
    </xf>
    <xf numFmtId="4" fontId="8" fillId="7" borderId="76" xfId="0" applyNumberFormat="1" applyFont="1" applyFill="1" applyBorder="1" applyAlignment="1">
      <alignment vertical="center"/>
    </xf>
    <xf numFmtId="4" fontId="8" fillId="7" borderId="81" xfId="0" applyNumberFormat="1" applyFont="1" applyFill="1" applyBorder="1"/>
    <xf numFmtId="4" fontId="8" fillId="7" borderId="82" xfId="0" applyNumberFormat="1" applyFont="1" applyFill="1" applyBorder="1"/>
    <xf numFmtId="4" fontId="8" fillId="7" borderId="83" xfId="0" applyNumberFormat="1" applyFont="1" applyFill="1" applyBorder="1"/>
    <xf numFmtId="4" fontId="16" fillId="0" borderId="74" xfId="0" applyNumberFormat="1" applyFont="1" applyBorder="1"/>
    <xf numFmtId="4" fontId="16" fillId="0" borderId="67" xfId="0" applyNumberFormat="1" applyFont="1" applyBorder="1"/>
    <xf numFmtId="4" fontId="8" fillId="7" borderId="79" xfId="0" applyNumberFormat="1" applyFont="1" applyFill="1" applyBorder="1" applyAlignment="1">
      <alignment shrinkToFit="1"/>
    </xf>
    <xf numFmtId="4" fontId="8" fillId="7" borderId="11" xfId="0" applyNumberFormat="1" applyFont="1" applyFill="1" applyBorder="1" applyAlignment="1">
      <alignment shrinkToFit="1"/>
    </xf>
    <xf numFmtId="4" fontId="8" fillId="7" borderId="15" xfId="0" applyNumberFormat="1" applyFont="1" applyFill="1" applyBorder="1" applyAlignment="1">
      <alignment shrinkToFit="1"/>
    </xf>
    <xf numFmtId="4" fontId="8" fillId="7" borderId="70" xfId="0" applyNumberFormat="1" applyFont="1" applyFill="1" applyBorder="1" applyAlignment="1">
      <alignment shrinkToFit="1"/>
    </xf>
    <xf numFmtId="4" fontId="8" fillId="0" borderId="11" xfId="0" applyNumberFormat="1" applyFont="1" applyBorder="1" applyAlignment="1">
      <alignment shrinkToFit="1"/>
    </xf>
    <xf numFmtId="4" fontId="8" fillId="0" borderId="15" xfId="0" applyNumberFormat="1" applyFont="1" applyBorder="1" applyAlignment="1">
      <alignment shrinkToFit="1"/>
    </xf>
    <xf numFmtId="4" fontId="8" fillId="7" borderId="73" xfId="0" applyNumberFormat="1" applyFont="1" applyFill="1" applyBorder="1" applyAlignment="1">
      <alignment shrinkToFit="1"/>
    </xf>
    <xf numFmtId="4" fontId="8" fillId="0" borderId="2" xfId="0" applyNumberFormat="1" applyFont="1" applyBorder="1" applyAlignment="1">
      <alignment shrinkToFit="1"/>
    </xf>
    <xf numFmtId="4" fontId="8" fillId="0" borderId="17" xfId="0" applyNumberFormat="1" applyFont="1" applyBorder="1" applyAlignment="1">
      <alignment shrinkToFit="1"/>
    </xf>
    <xf numFmtId="0" fontId="6" fillId="0" borderId="80" xfId="0" applyFont="1" applyBorder="1" applyAlignment="1">
      <alignment vertical="center"/>
    </xf>
    <xf numFmtId="4" fontId="8" fillId="7" borderId="73" xfId="0" applyNumberFormat="1" applyFont="1" applyFill="1" applyBorder="1" applyAlignment="1">
      <alignment vertical="center"/>
    </xf>
    <xf numFmtId="4" fontId="8" fillId="0" borderId="17" xfId="0" applyNumberFormat="1" applyFont="1" applyBorder="1" applyAlignment="1">
      <alignment vertical="center"/>
    </xf>
    <xf numFmtId="4" fontId="8" fillId="0" borderId="67" xfId="0" applyNumberFormat="1" applyFont="1" applyBorder="1" applyAlignment="1">
      <alignment vertical="center"/>
    </xf>
    <xf numFmtId="0" fontId="8" fillId="0" borderId="69" xfId="0" applyFont="1" applyBorder="1" applyAlignment="1">
      <alignment horizontal="center" vertical="center"/>
    </xf>
    <xf numFmtId="0" fontId="0" fillId="0" borderId="68" xfId="0" applyBorder="1"/>
    <xf numFmtId="0" fontId="5" fillId="0" borderId="68" xfId="0" applyFont="1" applyBorder="1" applyAlignment="1">
      <alignment vertical="center"/>
    </xf>
    <xf numFmtId="4" fontId="16" fillId="0" borderId="17" xfId="0" applyNumberFormat="1" applyFont="1" applyBorder="1"/>
    <xf numFmtId="0" fontId="7" fillId="0" borderId="68" xfId="0" applyFont="1" applyBorder="1"/>
    <xf numFmtId="0" fontId="15" fillId="0" borderId="72" xfId="0" applyFont="1" applyBorder="1"/>
    <xf numFmtId="4" fontId="16" fillId="7" borderId="62" xfId="0" applyNumberFormat="1" applyFont="1" applyFill="1" applyBorder="1"/>
    <xf numFmtId="4" fontId="16" fillId="7" borderId="2" xfId="0" applyNumberFormat="1" applyFont="1" applyFill="1" applyBorder="1"/>
    <xf numFmtId="4" fontId="16" fillId="7" borderId="17" xfId="0" applyNumberFormat="1" applyFont="1" applyFill="1" applyBorder="1"/>
    <xf numFmtId="4" fontId="16" fillId="7" borderId="84" xfId="0" applyNumberFormat="1" applyFont="1" applyFill="1" applyBorder="1"/>
    <xf numFmtId="4" fontId="16" fillId="0" borderId="85" xfId="0" applyNumberFormat="1" applyFont="1" applyBorder="1"/>
    <xf numFmtId="4" fontId="16" fillId="0" borderId="86" xfId="0" applyNumberFormat="1" applyFont="1" applyBorder="1"/>
    <xf numFmtId="0" fontId="7" fillId="0" borderId="0" xfId="0" applyFont="1" applyAlignment="1">
      <alignment horizontal="center"/>
    </xf>
    <xf numFmtId="0" fontId="8" fillId="0" borderId="87" xfId="0" applyFont="1" applyBorder="1" applyAlignment="1">
      <alignment horizontal="center" vertical="center" wrapText="1"/>
    </xf>
    <xf numFmtId="0" fontId="7" fillId="0" borderId="68" xfId="0" applyFont="1" applyBorder="1" applyAlignment="1">
      <alignment horizontal="center" vertical="center" wrapText="1"/>
    </xf>
    <xf numFmtId="0" fontId="16" fillId="0" borderId="88" xfId="0" applyFont="1" applyBorder="1"/>
    <xf numFmtId="4" fontId="6" fillId="0" borderId="67" xfId="0" applyNumberFormat="1" applyFont="1" applyBorder="1" applyAlignment="1">
      <alignment vertical="center" shrinkToFit="1"/>
    </xf>
    <xf numFmtId="4" fontId="0" fillId="0" borderId="68" xfId="0" applyNumberFormat="1" applyBorder="1" applyAlignment="1">
      <alignment horizontal="center" vertical="center" wrapText="1"/>
    </xf>
    <xf numFmtId="0" fontId="1" fillId="0" borderId="68" xfId="0" applyFont="1" applyBorder="1" applyAlignment="1">
      <alignment horizontal="center" vertical="center"/>
    </xf>
    <xf numFmtId="0" fontId="7" fillId="0" borderId="88" xfId="0" applyFont="1" applyBorder="1" applyAlignment="1">
      <alignment vertical="center" wrapText="1"/>
    </xf>
    <xf numFmtId="4" fontId="8" fillId="0" borderId="89" xfId="0" applyNumberFormat="1" applyFont="1" applyBorder="1" applyAlignment="1">
      <alignment shrinkToFit="1"/>
    </xf>
    <xf numFmtId="4" fontId="8" fillId="0" borderId="68" xfId="0" applyNumberFormat="1" applyFont="1" applyBorder="1" applyAlignment="1">
      <alignment shrinkToFit="1"/>
    </xf>
    <xf numFmtId="0" fontId="6" fillId="0" borderId="90" xfId="0" applyFont="1" applyBorder="1" applyAlignment="1">
      <alignment horizontal="right" vertical="center"/>
    </xf>
    <xf numFmtId="0" fontId="6" fillId="0" borderId="91" xfId="0" applyFont="1" applyBorder="1" applyAlignment="1">
      <alignment vertical="center"/>
    </xf>
    <xf numFmtId="4" fontId="6" fillId="0" borderId="92" xfId="0" applyNumberFormat="1" applyFont="1" applyBorder="1" applyAlignment="1">
      <alignment vertical="center" shrinkToFit="1"/>
    </xf>
    <xf numFmtId="4" fontId="6" fillId="0" borderId="93" xfId="0" applyNumberFormat="1" applyFont="1" applyBorder="1" applyAlignment="1">
      <alignment vertical="center" shrinkToFit="1"/>
    </xf>
    <xf numFmtId="4" fontId="6" fillId="0" borderId="0" xfId="0" applyNumberFormat="1" applyFont="1" applyAlignment="1">
      <alignment vertical="center" shrinkToFit="1"/>
    </xf>
    <xf numFmtId="4" fontId="6" fillId="0" borderId="94" xfId="0" applyNumberFormat="1" applyFont="1" applyBorder="1"/>
    <xf numFmtId="4" fontId="6" fillId="0" borderId="95" xfId="0" applyNumberFormat="1" applyFont="1" applyBorder="1"/>
    <xf numFmtId="4" fontId="6" fillId="0" borderId="93" xfId="0" applyNumberFormat="1" applyFont="1" applyBorder="1"/>
    <xf numFmtId="0" fontId="6" fillId="0" borderId="96" xfId="0" applyFont="1" applyBorder="1" applyAlignment="1">
      <alignment horizontal="right" vertical="center"/>
    </xf>
    <xf numFmtId="0" fontId="6" fillId="0" borderId="97" xfId="0" applyFont="1" applyBorder="1" applyAlignment="1">
      <alignment vertical="center"/>
    </xf>
    <xf numFmtId="4" fontId="6" fillId="0" borderId="90" xfId="0" applyNumberFormat="1" applyFont="1" applyBorder="1" applyAlignment="1">
      <alignment vertical="center" shrinkToFit="1"/>
    </xf>
    <xf numFmtId="4" fontId="6" fillId="0" borderId="98" xfId="0" applyNumberFormat="1" applyFont="1" applyBorder="1" applyAlignment="1">
      <alignment vertical="center" shrinkToFit="1"/>
    </xf>
    <xf numFmtId="4" fontId="6" fillId="0" borderId="99" xfId="0" applyNumberFormat="1" applyFont="1" applyBorder="1" applyAlignment="1">
      <alignment horizontal="right" vertical="center" shrinkToFit="1"/>
    </xf>
    <xf numFmtId="4" fontId="6" fillId="0" borderId="99" xfId="0" applyNumberFormat="1" applyFont="1" applyBorder="1"/>
    <xf numFmtId="4" fontId="6" fillId="0" borderId="98" xfId="0" applyNumberFormat="1" applyFont="1" applyBorder="1"/>
    <xf numFmtId="4" fontId="6" fillId="0" borderId="100" xfId="0" applyNumberFormat="1" applyFont="1" applyBorder="1" applyAlignment="1">
      <alignment vertical="center" shrinkToFit="1"/>
    </xf>
    <xf numFmtId="4" fontId="6" fillId="0" borderId="99" xfId="0" applyNumberFormat="1" applyFont="1" applyBorder="1" applyAlignment="1">
      <alignment vertical="center" shrinkToFit="1"/>
    </xf>
    <xf numFmtId="0" fontId="6" fillId="0" borderId="97" xfId="0" applyFont="1" applyBorder="1" applyAlignment="1">
      <alignment vertical="center" wrapText="1"/>
    </xf>
    <xf numFmtId="4" fontId="6" fillId="0" borderId="96" xfId="0" applyNumberFormat="1" applyFont="1" applyBorder="1" applyAlignment="1">
      <alignment vertical="center"/>
    </xf>
    <xf numFmtId="4" fontId="6" fillId="0" borderId="98" xfId="0" applyNumberFormat="1" applyFont="1" applyBorder="1" applyAlignment="1">
      <alignment vertical="center"/>
    </xf>
    <xf numFmtId="4" fontId="6" fillId="0" borderId="99" xfId="0" applyNumberFormat="1" applyFont="1" applyBorder="1" applyAlignment="1">
      <alignment vertical="center"/>
    </xf>
    <xf numFmtId="4" fontId="6" fillId="0" borderId="14" xfId="0" applyNumberFormat="1" applyFont="1" applyBorder="1" applyAlignment="1">
      <alignment vertical="center" shrinkToFit="1"/>
    </xf>
    <xf numFmtId="4" fontId="6" fillId="0" borderId="101" xfId="0" applyNumberFormat="1" applyFont="1" applyBorder="1"/>
    <xf numFmtId="4" fontId="6" fillId="0" borderId="90" xfId="0" applyNumberFormat="1" applyFont="1" applyBorder="1" applyAlignment="1">
      <alignment vertical="center"/>
    </xf>
    <xf numFmtId="4" fontId="6" fillId="7" borderId="13" xfId="0" applyNumberFormat="1" applyFont="1" applyFill="1" applyBorder="1" applyAlignment="1">
      <alignment vertical="center"/>
    </xf>
    <xf numFmtId="4" fontId="0" fillId="0" borderId="99" xfId="0" applyNumberFormat="1" applyBorder="1"/>
    <xf numFmtId="4" fontId="6" fillId="7" borderId="96" xfId="0" applyNumberFormat="1" applyFont="1" applyFill="1" applyBorder="1" applyAlignment="1">
      <alignment vertical="center"/>
    </xf>
    <xf numFmtId="4" fontId="6" fillId="0" borderId="96" xfId="0" applyNumberFormat="1" applyFont="1" applyBorder="1" applyAlignment="1">
      <alignment vertical="center" shrinkToFit="1"/>
    </xf>
    <xf numFmtId="0" fontId="21" fillId="0" borderId="96" xfId="0" applyFont="1" applyBorder="1" applyAlignment="1">
      <alignment horizontal="right" vertical="center"/>
    </xf>
    <xf numFmtId="0" fontId="1" fillId="0" borderId="97" xfId="0" applyFont="1" applyBorder="1" applyAlignment="1">
      <alignment vertical="center"/>
    </xf>
    <xf numFmtId="4" fontId="0" fillId="0" borderId="90" xfId="0" applyNumberFormat="1" applyBorder="1" applyAlignment="1">
      <alignment vertical="center"/>
    </xf>
    <xf numFmtId="4" fontId="0" fillId="7" borderId="13" xfId="0" applyNumberFormat="1" applyFill="1" applyBorder="1" applyAlignment="1">
      <alignment vertical="center"/>
    </xf>
    <xf numFmtId="4" fontId="1" fillId="0" borderId="98" xfId="0" applyNumberFormat="1" applyFont="1" applyBorder="1"/>
    <xf numFmtId="0" fontId="1" fillId="0" borderId="96" xfId="0" applyFont="1" applyBorder="1" applyAlignment="1">
      <alignment horizontal="right" vertical="center"/>
    </xf>
    <xf numFmtId="4" fontId="1" fillId="0" borderId="101" xfId="0" applyNumberFormat="1" applyFont="1" applyBorder="1"/>
    <xf numFmtId="4" fontId="1" fillId="0" borderId="102" xfId="0" applyNumberFormat="1" applyFont="1" applyBorder="1"/>
    <xf numFmtId="0" fontId="6" fillId="0" borderId="96" xfId="0" applyFont="1" applyBorder="1" applyAlignment="1">
      <alignment horizontal="right" vertical="center" wrapText="1"/>
    </xf>
    <xf numFmtId="4" fontId="6" fillId="7" borderId="14" xfId="0" applyNumberFormat="1" applyFont="1" applyFill="1" applyBorder="1" applyAlignment="1">
      <alignment vertical="center"/>
    </xf>
    <xf numFmtId="4" fontId="6" fillId="7" borderId="90" xfId="0" applyNumberFormat="1" applyFont="1" applyFill="1" applyBorder="1" applyAlignment="1">
      <alignment vertical="center"/>
    </xf>
    <xf numFmtId="4" fontId="0" fillId="0" borderId="103" xfId="0" applyNumberFormat="1" applyBorder="1"/>
    <xf numFmtId="0" fontId="0" fillId="0" borderId="96" xfId="0" applyBorder="1" applyAlignment="1">
      <alignment horizontal="right" vertical="center"/>
    </xf>
    <xf numFmtId="0" fontId="1" fillId="0" borderId="97" xfId="0" applyFont="1" applyBorder="1" applyAlignment="1">
      <alignment vertical="center" wrapText="1"/>
    </xf>
    <xf numFmtId="4" fontId="0" fillId="0" borderId="96" xfId="0" applyNumberFormat="1" applyBorder="1" applyAlignment="1">
      <alignment vertical="center"/>
    </xf>
    <xf numFmtId="4" fontId="0" fillId="4" borderId="99" xfId="0" applyNumberFormat="1" applyFill="1" applyBorder="1"/>
    <xf numFmtId="4" fontId="1" fillId="4" borderId="98" xfId="0" applyNumberFormat="1" applyFont="1" applyFill="1" applyBorder="1"/>
    <xf numFmtId="4" fontId="6" fillId="0" borderId="103" xfId="0" applyNumberFormat="1" applyFont="1" applyBorder="1" applyAlignment="1">
      <alignment horizontal="right" vertical="center"/>
    </xf>
    <xf numFmtId="4" fontId="6" fillId="0" borderId="100" xfId="0" applyNumberFormat="1" applyFont="1" applyBorder="1" applyAlignment="1">
      <alignment horizontal="right" vertical="center"/>
    </xf>
    <xf numFmtId="4" fontId="6" fillId="0" borderId="97" xfId="0" applyNumberFormat="1" applyFont="1" applyBorder="1" applyAlignment="1">
      <alignment vertical="center"/>
    </xf>
    <xf numFmtId="0" fontId="6" fillId="0" borderId="105" xfId="0" applyFont="1" applyBorder="1" applyAlignment="1">
      <alignment horizontal="right" vertical="center"/>
    </xf>
    <xf numFmtId="0" fontId="6" fillId="0" borderId="106" xfId="0" applyFont="1" applyBorder="1" applyAlignment="1">
      <alignment vertical="center"/>
    </xf>
    <xf numFmtId="4" fontId="6" fillId="0" borderId="107" xfId="0" applyNumberFormat="1" applyFont="1" applyBorder="1" applyAlignment="1">
      <alignment vertical="center"/>
    </xf>
    <xf numFmtId="4" fontId="6" fillId="0" borderId="15" xfId="0" applyNumberFormat="1" applyFont="1" applyBorder="1"/>
    <xf numFmtId="4" fontId="6" fillId="0" borderId="108" xfId="0" applyNumberFormat="1" applyFont="1" applyBorder="1"/>
    <xf numFmtId="4" fontId="0" fillId="0" borderId="108" xfId="0" applyNumberFormat="1" applyBorder="1" applyAlignment="1">
      <alignment horizontal="right" vertical="center" shrinkToFit="1"/>
    </xf>
    <xf numFmtId="4" fontId="6" fillId="0" borderId="107" xfId="0" applyNumberFormat="1" applyFont="1" applyBorder="1"/>
    <xf numFmtId="0" fontId="7" fillId="0" borderId="88" xfId="0" applyFont="1" applyBorder="1"/>
    <xf numFmtId="0" fontId="6" fillId="0" borderId="90" xfId="0" applyFont="1" applyBorder="1" applyAlignment="1">
      <alignment vertical="center"/>
    </xf>
    <xf numFmtId="4" fontId="6" fillId="0" borderId="109" xfId="0" applyNumberFormat="1" applyFont="1" applyBorder="1" applyAlignment="1">
      <alignment vertical="center"/>
    </xf>
    <xf numFmtId="0" fontId="0" fillId="0" borderId="91" xfId="0" applyBorder="1" applyAlignment="1">
      <alignment vertical="center"/>
    </xf>
    <xf numFmtId="4" fontId="0" fillId="7" borderId="90" xfId="0" applyNumberFormat="1" applyFill="1" applyBorder="1" applyAlignment="1">
      <alignment vertical="center"/>
    </xf>
    <xf numFmtId="4" fontId="0" fillId="7" borderId="91" xfId="0" applyNumberFormat="1" applyFill="1" applyBorder="1" applyAlignment="1">
      <alignment vertical="center"/>
    </xf>
    <xf numFmtId="0" fontId="6" fillId="0" borderId="99" xfId="0" applyFont="1" applyBorder="1"/>
    <xf numFmtId="0" fontId="6" fillId="0" borderId="98" xfId="0" applyFont="1" applyBorder="1"/>
    <xf numFmtId="0" fontId="6" fillId="0" borderId="96" xfId="0" applyFont="1" applyBorder="1" applyAlignment="1">
      <alignment vertical="center"/>
    </xf>
    <xf numFmtId="4" fontId="0" fillId="7" borderId="96" xfId="0" applyNumberFormat="1" applyFill="1" applyBorder="1" applyAlignment="1">
      <alignment vertical="center"/>
    </xf>
    <xf numFmtId="4" fontId="0" fillId="7" borderId="97" xfId="0" applyNumberFormat="1" applyFill="1" applyBorder="1" applyAlignment="1">
      <alignment vertical="center"/>
    </xf>
    <xf numFmtId="0" fontId="1" fillId="0" borderId="99" xfId="0" applyFont="1" applyBorder="1"/>
    <xf numFmtId="0" fontId="1" fillId="0" borderId="98" xfId="0" applyFont="1" applyBorder="1"/>
    <xf numFmtId="0" fontId="1" fillId="0" borderId="96" xfId="0" applyFont="1" applyBorder="1" applyAlignment="1">
      <alignment vertical="center"/>
    </xf>
    <xf numFmtId="0" fontId="1" fillId="8" borderId="0" xfId="0" applyFont="1" applyFill="1"/>
    <xf numFmtId="0" fontId="1" fillId="7" borderId="97" xfId="0" applyFont="1" applyFill="1" applyBorder="1" applyAlignment="1">
      <alignment vertical="center"/>
    </xf>
    <xf numFmtId="4" fontId="0" fillId="7" borderId="101" xfId="0" applyNumberFormat="1" applyFill="1" applyBorder="1" applyAlignment="1">
      <alignment vertical="center"/>
    </xf>
    <xf numFmtId="4" fontId="0" fillId="7" borderId="110" xfId="0" applyNumberFormat="1" applyFill="1" applyBorder="1" applyAlignment="1">
      <alignment vertical="center"/>
    </xf>
    <xf numFmtId="0" fontId="6" fillId="8" borderId="0" xfId="0" applyFont="1" applyFill="1"/>
    <xf numFmtId="0" fontId="6" fillId="7" borderId="97" xfId="0" applyFont="1" applyFill="1" applyBorder="1" applyAlignment="1">
      <alignment vertical="center" wrapText="1"/>
    </xf>
    <xf numFmtId="4" fontId="6" fillId="7" borderId="97" xfId="0" applyNumberFormat="1" applyFont="1" applyFill="1" applyBorder="1" applyAlignment="1">
      <alignment vertical="center"/>
    </xf>
    <xf numFmtId="0" fontId="43" fillId="7" borderId="97" xfId="0" applyFont="1" applyFill="1" applyBorder="1" applyAlignment="1">
      <alignment vertical="center" wrapText="1"/>
    </xf>
    <xf numFmtId="4" fontId="34" fillId="7" borderId="96" xfId="0" applyNumberFormat="1" applyFont="1" applyFill="1" applyBorder="1" applyAlignment="1">
      <alignment vertical="center"/>
    </xf>
    <xf numFmtId="4" fontId="37" fillId="7" borderId="96" xfId="0" applyNumberFormat="1" applyFont="1" applyFill="1" applyBorder="1" applyAlignment="1">
      <alignment vertical="center"/>
    </xf>
    <xf numFmtId="0" fontId="6" fillId="7" borderId="97" xfId="0" applyFont="1" applyFill="1" applyBorder="1" applyAlignment="1">
      <alignment vertical="center"/>
    </xf>
    <xf numFmtId="0" fontId="1" fillId="7" borderId="97" xfId="0" applyFont="1" applyFill="1" applyBorder="1" applyAlignment="1">
      <alignment vertical="center" wrapText="1"/>
    </xf>
    <xf numFmtId="0" fontId="0" fillId="7" borderId="97" xfId="0" applyFill="1" applyBorder="1" applyAlignment="1">
      <alignment vertical="center" wrapText="1"/>
    </xf>
    <xf numFmtId="0" fontId="1" fillId="7" borderId="96" xfId="0" applyFont="1" applyFill="1" applyBorder="1" applyAlignment="1">
      <alignment vertical="center"/>
    </xf>
    <xf numFmtId="0" fontId="6" fillId="7" borderId="96" xfId="0" applyFont="1" applyFill="1" applyBorder="1" applyAlignment="1">
      <alignment vertical="center"/>
    </xf>
    <xf numFmtId="0" fontId="21" fillId="7" borderId="96" xfId="0" applyFont="1" applyFill="1" applyBorder="1" applyAlignment="1">
      <alignment vertical="center"/>
    </xf>
    <xf numFmtId="4" fontId="1" fillId="7" borderId="90" xfId="0" applyNumberFormat="1" applyFont="1" applyFill="1" applyBorder="1" applyAlignment="1">
      <alignment vertical="center"/>
    </xf>
    <xf numFmtId="4" fontId="1" fillId="7" borderId="96" xfId="0" applyNumberFormat="1" applyFont="1" applyFill="1" applyBorder="1" applyAlignment="1">
      <alignment vertical="center"/>
    </xf>
    <xf numFmtId="4" fontId="1" fillId="7" borderId="97" xfId="0" applyNumberFormat="1" applyFont="1" applyFill="1" applyBorder="1" applyAlignment="1">
      <alignment vertical="center"/>
    </xf>
    <xf numFmtId="0" fontId="0" fillId="7" borderId="97" xfId="0" applyFill="1" applyBorder="1" applyAlignment="1">
      <alignment vertical="center"/>
    </xf>
    <xf numFmtId="4" fontId="0" fillId="7" borderId="96" xfId="0" applyNumberFormat="1" applyFill="1" applyBorder="1" applyAlignment="1">
      <alignment horizontal="right" vertical="center"/>
    </xf>
    <xf numFmtId="4" fontId="1" fillId="7" borderId="96" xfId="0" applyNumberFormat="1" applyFont="1" applyFill="1" applyBorder="1" applyAlignment="1">
      <alignment shrinkToFit="1"/>
    </xf>
    <xf numFmtId="4" fontId="1" fillId="7" borderId="97" xfId="0" applyNumberFormat="1" applyFont="1" applyFill="1" applyBorder="1" applyAlignment="1">
      <alignment shrinkToFit="1"/>
    </xf>
    <xf numFmtId="4" fontId="1" fillId="7" borderId="19" xfId="0" applyNumberFormat="1" applyFont="1" applyFill="1" applyBorder="1" applyAlignment="1">
      <alignment shrinkToFit="1"/>
    </xf>
    <xf numFmtId="4" fontId="6" fillId="7" borderId="96" xfId="0" applyNumberFormat="1" applyFont="1" applyFill="1" applyBorder="1" applyAlignment="1">
      <alignment shrinkToFit="1"/>
    </xf>
    <xf numFmtId="4" fontId="6" fillId="7" borderId="97" xfId="0" applyNumberFormat="1" applyFont="1" applyFill="1" applyBorder="1" applyAlignment="1">
      <alignment shrinkToFit="1"/>
    </xf>
    <xf numFmtId="4" fontId="43" fillId="7" borderId="90" xfId="0" applyNumberFormat="1" applyFont="1" applyFill="1" applyBorder="1" applyAlignment="1">
      <alignment horizontal="center" vertical="center"/>
    </xf>
    <xf numFmtId="0" fontId="21" fillId="7" borderId="96" xfId="0" applyFont="1" applyFill="1" applyBorder="1" applyAlignment="1">
      <alignment horizontal="right" vertical="center"/>
    </xf>
    <xf numFmtId="4" fontId="0" fillId="7" borderId="97" xfId="0" applyNumberFormat="1" applyFill="1" applyBorder="1" applyAlignment="1">
      <alignment horizontal="right" vertical="center"/>
    </xf>
    <xf numFmtId="0" fontId="1" fillId="7" borderId="96" xfId="0" applyFont="1" applyFill="1" applyBorder="1" applyAlignment="1">
      <alignment horizontal="right"/>
    </xf>
    <xf numFmtId="0" fontId="1" fillId="7" borderId="97" xfId="0" applyFont="1" applyFill="1" applyBorder="1" applyAlignment="1">
      <alignment wrapText="1"/>
    </xf>
    <xf numFmtId="0" fontId="1" fillId="0" borderId="99" xfId="0" applyFont="1" applyBorder="1" applyAlignment="1">
      <alignment vertical="center"/>
    </xf>
    <xf numFmtId="0" fontId="1" fillId="0" borderId="98" xfId="0" applyFont="1" applyBorder="1" applyAlignment="1">
      <alignment vertical="center"/>
    </xf>
    <xf numFmtId="4" fontId="0" fillId="7" borderId="96" xfId="0" applyNumberFormat="1" applyFill="1" applyBorder="1" applyAlignment="1">
      <alignment shrinkToFit="1"/>
    </xf>
    <xf numFmtId="4" fontId="0" fillId="7" borderId="97" xfId="0" applyNumberFormat="1" applyFill="1" applyBorder="1" applyAlignment="1">
      <alignment shrinkToFit="1"/>
    </xf>
    <xf numFmtId="0" fontId="0" fillId="7" borderId="96" xfId="0" applyFill="1" applyBorder="1" applyAlignment="1">
      <alignment horizontal="right" vertical="center"/>
    </xf>
    <xf numFmtId="4" fontId="6" fillId="7" borderId="97" xfId="0" applyNumberFormat="1" applyFont="1" applyFill="1" applyBorder="1" applyAlignment="1">
      <alignment vertical="center" shrinkToFit="1"/>
    </xf>
    <xf numFmtId="4" fontId="0" fillId="0" borderId="99" xfId="0" applyNumberFormat="1" applyBorder="1" applyAlignment="1">
      <alignment vertical="center"/>
    </xf>
    <xf numFmtId="0" fontId="0" fillId="0" borderId="98" xfId="0" applyBorder="1"/>
    <xf numFmtId="4" fontId="1" fillId="7" borderId="96" xfId="0" applyNumberFormat="1" applyFont="1" applyFill="1" applyBorder="1" applyAlignment="1">
      <alignment vertical="center" shrinkToFit="1"/>
    </xf>
    <xf numFmtId="4" fontId="1" fillId="7" borderId="97" xfId="0" applyNumberFormat="1" applyFont="1" applyFill="1" applyBorder="1" applyAlignment="1">
      <alignment vertical="center" shrinkToFit="1"/>
    </xf>
    <xf numFmtId="0" fontId="1" fillId="7" borderId="111" xfId="0" applyFont="1" applyFill="1" applyBorder="1" applyAlignment="1">
      <alignment vertical="center"/>
    </xf>
    <xf numFmtId="0" fontId="1" fillId="7" borderId="112" xfId="0" applyFont="1" applyFill="1" applyBorder="1" applyAlignment="1">
      <alignment vertical="center" wrapText="1"/>
    </xf>
    <xf numFmtId="4" fontId="0" fillId="7" borderId="111" xfId="0" applyNumberFormat="1" applyFill="1" applyBorder="1" applyAlignment="1">
      <alignment vertical="center"/>
    </xf>
    <xf numFmtId="4" fontId="1" fillId="7" borderId="111" xfId="0" applyNumberFormat="1" applyFont="1" applyFill="1" applyBorder="1" applyAlignment="1">
      <alignment shrinkToFit="1"/>
    </xf>
    <xf numFmtId="4" fontId="1" fillId="7" borderId="112" xfId="0" applyNumberFormat="1" applyFont="1" applyFill="1" applyBorder="1" applyAlignment="1">
      <alignment shrinkToFit="1"/>
    </xf>
    <xf numFmtId="0" fontId="1" fillId="7" borderId="113" xfId="0" applyFont="1" applyFill="1" applyBorder="1" applyAlignment="1">
      <alignment vertical="center"/>
    </xf>
    <xf numFmtId="0" fontId="1" fillId="7" borderId="114" xfId="0" applyFont="1" applyFill="1" applyBorder="1" applyAlignment="1">
      <alignment vertical="center"/>
    </xf>
    <xf numFmtId="4" fontId="1" fillId="7" borderId="101" xfId="0" applyNumberFormat="1" applyFont="1" applyFill="1" applyBorder="1" applyAlignment="1">
      <alignment vertical="center"/>
    </xf>
    <xf numFmtId="4" fontId="1" fillId="7" borderId="113" xfId="0" applyNumberFormat="1" applyFont="1" applyFill="1" applyBorder="1" applyAlignment="1">
      <alignment vertical="center"/>
    </xf>
    <xf numFmtId="4" fontId="1" fillId="7" borderId="113" xfId="0" applyNumberFormat="1" applyFont="1" applyFill="1" applyBorder="1" applyAlignment="1">
      <alignment shrinkToFit="1"/>
    </xf>
    <xf numFmtId="4" fontId="1" fillId="7" borderId="114" xfId="0" applyNumberFormat="1" applyFont="1" applyFill="1" applyBorder="1" applyAlignment="1">
      <alignment shrinkToFit="1"/>
    </xf>
    <xf numFmtId="4" fontId="1" fillId="7" borderId="111" xfId="0" applyNumberFormat="1" applyFont="1" applyFill="1" applyBorder="1" applyAlignment="1">
      <alignment vertical="center"/>
    </xf>
    <xf numFmtId="0" fontId="0" fillId="7" borderId="113" xfId="0" applyFill="1" applyBorder="1" applyAlignment="1">
      <alignment horizontal="right" vertical="center"/>
    </xf>
    <xf numFmtId="4" fontId="1" fillId="7" borderId="98" xfId="0" applyNumberFormat="1" applyFont="1" applyFill="1" applyBorder="1" applyAlignment="1">
      <alignment vertical="center"/>
    </xf>
    <xf numFmtId="0" fontId="6" fillId="7" borderId="113" xfId="0" applyFont="1" applyFill="1" applyBorder="1"/>
    <xf numFmtId="4" fontId="0" fillId="7" borderId="107" xfId="0" applyNumberFormat="1" applyFill="1" applyBorder="1" applyAlignment="1">
      <alignment vertical="center"/>
    </xf>
    <xf numFmtId="4" fontId="6" fillId="7" borderId="115" xfId="0" applyNumberFormat="1" applyFont="1" applyFill="1" applyBorder="1"/>
    <xf numFmtId="4" fontId="1" fillId="7" borderId="115" xfId="0" applyNumberFormat="1" applyFont="1" applyFill="1" applyBorder="1" applyAlignment="1">
      <alignment shrinkToFit="1"/>
    </xf>
    <xf numFmtId="4" fontId="1" fillId="7" borderId="116" xfId="0" applyNumberFormat="1" applyFont="1" applyFill="1" applyBorder="1" applyAlignment="1">
      <alignment shrinkToFit="1"/>
    </xf>
    <xf numFmtId="0" fontId="1" fillId="0" borderId="104" xfId="0" applyFont="1" applyBorder="1"/>
    <xf numFmtId="0" fontId="1" fillId="0" borderId="102" xfId="0" applyFont="1" applyBorder="1"/>
    <xf numFmtId="0" fontId="6" fillId="7" borderId="69" xfId="0" applyFont="1" applyFill="1" applyBorder="1"/>
    <xf numFmtId="0" fontId="7" fillId="7" borderId="68" xfId="0" applyFont="1" applyFill="1" applyBorder="1"/>
    <xf numFmtId="4" fontId="8" fillId="7" borderId="101" xfId="0" applyNumberFormat="1" applyFont="1" applyFill="1" applyBorder="1"/>
    <xf numFmtId="0" fontId="6" fillId="7" borderId="90" xfId="0" applyFont="1" applyFill="1" applyBorder="1" applyAlignment="1">
      <alignment vertical="center"/>
    </xf>
    <xf numFmtId="0" fontId="6" fillId="7" borderId="91" xfId="0" applyFont="1" applyFill="1" applyBorder="1" applyAlignment="1">
      <alignment vertical="center" wrapText="1"/>
    </xf>
    <xf numFmtId="4" fontId="6" fillId="7" borderId="109" xfId="0" applyNumberFormat="1" applyFont="1" applyFill="1" applyBorder="1" applyAlignment="1">
      <alignment vertical="center"/>
    </xf>
    <xf numFmtId="4" fontId="6" fillId="7" borderId="117" xfId="0" applyNumberFormat="1" applyFont="1" applyFill="1" applyBorder="1" applyAlignment="1">
      <alignment vertical="center"/>
    </xf>
    <xf numFmtId="0" fontId="6" fillId="0" borderId="103" xfId="0" applyFont="1" applyBorder="1"/>
    <xf numFmtId="0" fontId="6" fillId="0" borderId="100" xfId="0" applyFont="1" applyBorder="1"/>
    <xf numFmtId="4" fontId="6" fillId="7" borderId="46" xfId="0" applyNumberFormat="1" applyFont="1" applyFill="1" applyBorder="1" applyAlignment="1">
      <alignment vertical="center"/>
    </xf>
    <xf numFmtId="4" fontId="0" fillId="7" borderId="19" xfId="0" applyNumberFormat="1" applyFill="1" applyBorder="1" applyAlignment="1">
      <alignment vertical="center"/>
    </xf>
    <xf numFmtId="4" fontId="0" fillId="7" borderId="46" xfId="0" applyNumberFormat="1" applyFill="1" applyBorder="1" applyAlignment="1">
      <alignment vertical="center"/>
    </xf>
    <xf numFmtId="4" fontId="1" fillId="7" borderId="19" xfId="0" applyNumberFormat="1" applyFont="1" applyFill="1" applyBorder="1" applyAlignment="1">
      <alignment vertical="center"/>
    </xf>
    <xf numFmtId="0" fontId="6" fillId="7" borderId="113" xfId="0" applyFont="1" applyFill="1" applyBorder="1" applyAlignment="1">
      <alignment vertical="center"/>
    </xf>
    <xf numFmtId="4" fontId="0" fillId="7" borderId="111" xfId="0" applyNumberFormat="1" applyFill="1" applyBorder="1"/>
    <xf numFmtId="4" fontId="0" fillId="7" borderId="98" xfId="0" applyNumberFormat="1" applyFill="1" applyBorder="1" applyAlignment="1">
      <alignment vertical="center"/>
    </xf>
    <xf numFmtId="4" fontId="0" fillId="7" borderId="44" xfId="0" applyNumberFormat="1" applyFill="1" applyBorder="1" applyAlignment="1">
      <alignment vertical="center"/>
    </xf>
    <xf numFmtId="4" fontId="0" fillId="7" borderId="113" xfId="0" applyNumberFormat="1" applyFill="1" applyBorder="1" applyAlignment="1">
      <alignment vertical="center"/>
    </xf>
    <xf numFmtId="0" fontId="36" fillId="7" borderId="98" xfId="0" applyFont="1" applyFill="1" applyBorder="1" applyAlignment="1">
      <alignment vertical="center"/>
    </xf>
    <xf numFmtId="4" fontId="5" fillId="7" borderId="100" xfId="0" applyNumberFormat="1" applyFont="1" applyFill="1" applyBorder="1" applyAlignment="1">
      <alignment vertical="center"/>
    </xf>
    <xf numFmtId="0" fontId="5" fillId="7" borderId="118" xfId="0" applyFont="1" applyFill="1" applyBorder="1"/>
    <xf numFmtId="4" fontId="5" fillId="7" borderId="98" xfId="0" applyNumberFormat="1" applyFont="1" applyFill="1" applyBorder="1" applyAlignment="1">
      <alignment vertical="center"/>
    </xf>
    <xf numFmtId="0" fontId="5" fillId="7" borderId="102" xfId="0" applyFont="1" applyFill="1" applyBorder="1"/>
    <xf numFmtId="0" fontId="5" fillId="7" borderId="98" xfId="0" applyFont="1" applyFill="1" applyBorder="1"/>
    <xf numFmtId="4" fontId="0" fillId="7" borderId="113" xfId="0" applyNumberFormat="1" applyFill="1" applyBorder="1"/>
    <xf numFmtId="0" fontId="6" fillId="7" borderId="111" xfId="0" applyFont="1" applyFill="1" applyBorder="1" applyAlignment="1">
      <alignment vertical="center"/>
    </xf>
    <xf numFmtId="0" fontId="6" fillId="7" borderId="100" xfId="0" applyFont="1" applyFill="1" applyBorder="1" applyAlignment="1">
      <alignment vertical="center"/>
    </xf>
    <xf numFmtId="4" fontId="5" fillId="7" borderId="101" xfId="0" applyNumberFormat="1" applyFont="1" applyFill="1" applyBorder="1" applyAlignment="1">
      <alignment vertical="center"/>
    </xf>
    <xf numFmtId="0" fontId="6" fillId="7" borderId="101" xfId="0" applyFont="1" applyFill="1" applyBorder="1" applyAlignment="1">
      <alignment vertical="center"/>
    </xf>
    <xf numFmtId="4" fontId="5" fillId="7" borderId="119" xfId="0" applyNumberFormat="1" applyFont="1" applyFill="1" applyBorder="1" applyAlignment="1">
      <alignment vertical="center"/>
    </xf>
    <xf numFmtId="4" fontId="6" fillId="7" borderId="107" xfId="0" applyNumberFormat="1" applyFont="1" applyFill="1" applyBorder="1" applyAlignment="1">
      <alignment vertical="center"/>
    </xf>
    <xf numFmtId="4" fontId="0" fillId="7" borderId="120" xfId="0" applyNumberFormat="1" applyFill="1" applyBorder="1" applyAlignment="1">
      <alignment vertical="center"/>
    </xf>
    <xf numFmtId="0" fontId="6" fillId="0" borderId="108" xfId="0" applyFont="1" applyBorder="1"/>
    <xf numFmtId="0" fontId="6" fillId="0" borderId="107" xfId="0" applyFont="1" applyBorder="1"/>
    <xf numFmtId="0" fontId="7" fillId="7" borderId="121" xfId="0" applyFont="1" applyFill="1" applyBorder="1"/>
    <xf numFmtId="0" fontId="6" fillId="7" borderId="90" xfId="0" applyFont="1" applyFill="1" applyBorder="1"/>
    <xf numFmtId="0" fontId="6" fillId="7" borderId="122" xfId="0" applyFont="1" applyFill="1" applyBorder="1"/>
    <xf numFmtId="4" fontId="6" fillId="7" borderId="109" xfId="0" applyNumberFormat="1" applyFont="1" applyFill="1" applyBorder="1"/>
    <xf numFmtId="0" fontId="6" fillId="7" borderId="90" xfId="0" applyFont="1" applyFill="1" applyBorder="1" applyAlignment="1">
      <alignment horizontal="right"/>
    </xf>
    <xf numFmtId="0" fontId="0" fillId="7" borderId="91" xfId="0" applyFill="1" applyBorder="1"/>
    <xf numFmtId="4" fontId="0" fillId="7" borderId="90" xfId="0" applyNumberFormat="1" applyFill="1" applyBorder="1"/>
    <xf numFmtId="4" fontId="0" fillId="7" borderId="123" xfId="0" applyNumberFormat="1" applyFill="1" applyBorder="1"/>
    <xf numFmtId="0" fontId="6" fillId="7" borderId="90" xfId="0" applyFont="1" applyFill="1" applyBorder="1" applyAlignment="1">
      <alignment horizontal="right" vertical="center"/>
    </xf>
    <xf numFmtId="4" fontId="6" fillId="7" borderId="123" xfId="0" applyNumberFormat="1" applyFont="1" applyFill="1" applyBorder="1" applyAlignment="1">
      <alignment vertical="center"/>
    </xf>
    <xf numFmtId="0" fontId="6" fillId="7" borderId="113" xfId="0" applyFont="1" applyFill="1" applyBorder="1" applyAlignment="1">
      <alignment horizontal="right" vertical="center"/>
    </xf>
    <xf numFmtId="0" fontId="25" fillId="7" borderId="111" xfId="0" applyFont="1" applyFill="1" applyBorder="1"/>
    <xf numFmtId="0" fontId="25" fillId="7" borderId="0" xfId="0" applyFont="1" applyFill="1"/>
    <xf numFmtId="0" fontId="6" fillId="7" borderId="111" xfId="0" applyFont="1" applyFill="1" applyBorder="1" applyAlignment="1">
      <alignment horizontal="right" vertical="center"/>
    </xf>
    <xf numFmtId="0" fontId="0" fillId="7" borderId="111" xfId="0" applyFill="1" applyBorder="1" applyAlignment="1">
      <alignment vertical="center"/>
    </xf>
    <xf numFmtId="0" fontId="6" fillId="7" borderId="101" xfId="0" applyFont="1" applyFill="1" applyBorder="1" applyAlignment="1">
      <alignment horizontal="right" vertical="center"/>
    </xf>
    <xf numFmtId="0" fontId="0" fillId="7" borderId="91" xfId="0" applyFill="1" applyBorder="1" applyAlignment="1">
      <alignment vertical="center"/>
    </xf>
    <xf numFmtId="4" fontId="0" fillId="7" borderId="124" xfId="0" applyNumberFormat="1" applyFill="1" applyBorder="1" applyAlignment="1">
      <alignment vertical="center"/>
    </xf>
    <xf numFmtId="4" fontId="1" fillId="7" borderId="124" xfId="0" applyNumberFormat="1" applyFont="1" applyFill="1" applyBorder="1" applyAlignment="1">
      <alignment vertical="center"/>
    </xf>
    <xf numFmtId="4" fontId="0" fillId="7" borderId="125" xfId="0" applyNumberFormat="1" applyFill="1" applyBorder="1" applyAlignment="1">
      <alignment vertical="center"/>
    </xf>
    <xf numFmtId="4" fontId="0" fillId="7" borderId="126" xfId="0" applyNumberFormat="1" applyFill="1" applyBorder="1" applyAlignment="1">
      <alignment vertical="center"/>
    </xf>
    <xf numFmtId="4" fontId="0" fillId="7" borderId="123" xfId="0" applyNumberFormat="1" applyFill="1" applyBorder="1" applyAlignment="1">
      <alignment vertical="center"/>
    </xf>
    <xf numFmtId="4" fontId="0" fillId="7" borderId="90" xfId="0" applyNumberFormat="1" applyFill="1" applyBorder="1" applyAlignment="1">
      <alignment horizontal="right" vertical="center"/>
    </xf>
    <xf numFmtId="0" fontId="0" fillId="7" borderId="114" xfId="0" applyFill="1" applyBorder="1" applyAlignment="1">
      <alignment vertical="center"/>
    </xf>
    <xf numFmtId="0" fontId="6" fillId="7" borderId="96" xfId="0" applyFont="1" applyFill="1" applyBorder="1" applyAlignment="1">
      <alignment horizontal="right" vertical="center"/>
    </xf>
    <xf numFmtId="0" fontId="6" fillId="0" borderId="127" xfId="0" applyFont="1" applyBorder="1"/>
    <xf numFmtId="0" fontId="6" fillId="0" borderId="101" xfId="0" applyFont="1" applyBorder="1"/>
    <xf numFmtId="0" fontId="0" fillId="7" borderId="96" xfId="0" applyFill="1" applyBorder="1" applyAlignment="1">
      <alignment vertical="center"/>
    </xf>
    <xf numFmtId="0" fontId="5" fillId="7" borderId="97" xfId="0" applyFont="1" applyFill="1" applyBorder="1" applyAlignment="1">
      <alignment vertical="center"/>
    </xf>
    <xf numFmtId="0" fontId="0" fillId="0" borderId="99" xfId="0" applyBorder="1"/>
    <xf numFmtId="0" fontId="0" fillId="7" borderId="98" xfId="0" applyFill="1" applyBorder="1" applyAlignment="1">
      <alignment vertical="center"/>
    </xf>
    <xf numFmtId="4" fontId="6" fillId="7" borderId="96" xfId="4" applyNumberFormat="1" applyFont="1" applyFill="1" applyBorder="1" applyAlignment="1" applyProtection="1">
      <alignment vertical="center"/>
    </xf>
    <xf numFmtId="4" fontId="6" fillId="7" borderId="19" xfId="4" applyNumberFormat="1" applyFont="1" applyFill="1" applyBorder="1" applyAlignment="1" applyProtection="1">
      <alignment vertical="center"/>
    </xf>
    <xf numFmtId="4" fontId="1" fillId="7" borderId="125" xfId="0" applyNumberFormat="1" applyFont="1" applyFill="1" applyBorder="1" applyAlignment="1">
      <alignment vertical="center"/>
    </xf>
    <xf numFmtId="0" fontId="1" fillId="7" borderId="128" xfId="0" applyFont="1" applyFill="1" applyBorder="1" applyAlignment="1">
      <alignment vertical="center" wrapText="1"/>
    </xf>
    <xf numFmtId="4" fontId="0" fillId="7" borderId="102" xfId="0" applyNumberFormat="1" applyFill="1" applyBorder="1" applyAlignment="1">
      <alignment vertical="center"/>
    </xf>
    <xf numFmtId="4" fontId="0" fillId="7" borderId="104" xfId="0" applyNumberFormat="1" applyFill="1" applyBorder="1"/>
    <xf numFmtId="0" fontId="6" fillId="7" borderId="98" xfId="0" applyFont="1" applyFill="1" applyBorder="1" applyAlignment="1">
      <alignment vertical="center"/>
    </xf>
    <xf numFmtId="0" fontId="1" fillId="7" borderId="129" xfId="0" applyFont="1" applyFill="1" applyBorder="1" applyAlignment="1">
      <alignment vertical="center"/>
    </xf>
    <xf numFmtId="0" fontId="6" fillId="7" borderId="80" xfId="0" applyFont="1" applyFill="1" applyBorder="1" applyAlignment="1">
      <alignment vertical="center"/>
    </xf>
    <xf numFmtId="0" fontId="1" fillId="7" borderId="130" xfId="0" applyFont="1" applyFill="1" applyBorder="1" applyAlignment="1">
      <alignment vertical="center"/>
    </xf>
    <xf numFmtId="4" fontId="0" fillId="7" borderId="108" xfId="0" applyNumberFormat="1" applyFill="1" applyBorder="1" applyAlignment="1">
      <alignment vertical="center"/>
    </xf>
    <xf numFmtId="0" fontId="16" fillId="7" borderId="69" xfId="0" applyFont="1" applyFill="1" applyBorder="1"/>
    <xf numFmtId="0" fontId="16" fillId="7" borderId="131" xfId="0" applyFont="1" applyFill="1" applyBorder="1"/>
    <xf numFmtId="4" fontId="16" fillId="7" borderId="68" xfId="0" applyNumberFormat="1" applyFont="1" applyFill="1" applyBorder="1" applyAlignment="1">
      <alignment vertical="center" shrinkToFit="1"/>
    </xf>
    <xf numFmtId="0" fontId="6" fillId="7" borderId="101" xfId="0" applyFont="1" applyFill="1" applyBorder="1"/>
    <xf numFmtId="0" fontId="7" fillId="7" borderId="110" xfId="0" applyFont="1" applyFill="1" applyBorder="1"/>
    <xf numFmtId="4" fontId="0" fillId="7" borderId="80" xfId="0" applyNumberFormat="1" applyFill="1" applyBorder="1" applyAlignment="1">
      <alignment vertical="center"/>
    </xf>
    <xf numFmtId="0" fontId="6" fillId="7" borderId="11" xfId="0" applyFont="1" applyFill="1" applyBorder="1"/>
    <xf numFmtId="4" fontId="1" fillId="7" borderId="11" xfId="0" applyNumberFormat="1" applyFont="1" applyFill="1" applyBorder="1" applyAlignment="1">
      <alignment vertical="center"/>
    </xf>
    <xf numFmtId="4" fontId="1" fillId="7" borderId="15" xfId="0" applyNumberFormat="1" applyFont="1" applyFill="1" applyBorder="1" applyAlignment="1">
      <alignment vertical="center"/>
    </xf>
    <xf numFmtId="0" fontId="6" fillId="0" borderId="71" xfId="0" applyFont="1" applyBorder="1"/>
    <xf numFmtId="0" fontId="7" fillId="7" borderId="88" xfId="0" applyFont="1" applyFill="1" applyBorder="1"/>
    <xf numFmtId="0" fontId="6" fillId="7" borderId="132" xfId="0" applyFont="1" applyFill="1" applyBorder="1" applyAlignment="1">
      <alignment horizontal="left" vertical="center" wrapText="1"/>
    </xf>
    <xf numFmtId="4" fontId="6" fillId="7" borderId="133" xfId="0" applyNumberFormat="1" applyFont="1" applyFill="1" applyBorder="1" applyAlignment="1">
      <alignment vertical="center"/>
    </xf>
    <xf numFmtId="0" fontId="6" fillId="7" borderId="91" xfId="0" applyFont="1" applyFill="1" applyBorder="1" applyAlignment="1">
      <alignment horizontal="left" vertical="center" wrapText="1"/>
    </xf>
    <xf numFmtId="4" fontId="6" fillId="7" borderId="4" xfId="0" applyNumberFormat="1" applyFont="1" applyFill="1" applyBorder="1" applyAlignment="1">
      <alignment vertical="center"/>
    </xf>
    <xf numFmtId="4" fontId="6" fillId="7" borderId="134" xfId="0" applyNumberFormat="1" applyFont="1" applyFill="1" applyBorder="1" applyAlignment="1">
      <alignment vertical="center"/>
    </xf>
    <xf numFmtId="4" fontId="6" fillId="7" borderId="7" xfId="0" applyNumberFormat="1" applyFont="1" applyFill="1" applyBorder="1" applyAlignment="1">
      <alignment vertical="center"/>
    </xf>
    <xf numFmtId="4" fontId="6" fillId="7" borderId="20" xfId="0" applyNumberFormat="1" applyFont="1" applyFill="1" applyBorder="1" applyAlignment="1">
      <alignment vertical="center"/>
    </xf>
    <xf numFmtId="0" fontId="0" fillId="7" borderId="111" xfId="0" applyFill="1" applyBorder="1" applyAlignment="1">
      <alignment vertical="center" wrapText="1"/>
    </xf>
    <xf numFmtId="4" fontId="0" fillId="7" borderId="134" xfId="0" applyNumberFormat="1" applyFill="1" applyBorder="1" applyAlignment="1">
      <alignment vertical="center"/>
    </xf>
    <xf numFmtId="4" fontId="0" fillId="7" borderId="7" xfId="0" applyNumberFormat="1" applyFill="1" applyBorder="1" applyAlignment="1">
      <alignment vertical="center"/>
    </xf>
    <xf numFmtId="0" fontId="23" fillId="0" borderId="99" xfId="0" applyFont="1" applyBorder="1"/>
    <xf numFmtId="0" fontId="23" fillId="0" borderId="98" xfId="0" applyFont="1" applyBorder="1"/>
    <xf numFmtId="0" fontId="1" fillId="7" borderId="101" xfId="0" applyFont="1" applyFill="1" applyBorder="1" applyAlignment="1">
      <alignment vertical="center"/>
    </xf>
    <xf numFmtId="0" fontId="1" fillId="7" borderId="110" xfId="0" applyFont="1" applyFill="1" applyBorder="1" applyAlignment="1">
      <alignment vertical="center"/>
    </xf>
    <xf numFmtId="4" fontId="0" fillId="7" borderId="115" xfId="0" applyNumberFormat="1" applyFill="1" applyBorder="1" applyAlignment="1">
      <alignment vertical="center"/>
    </xf>
    <xf numFmtId="165" fontId="1" fillId="7" borderId="9" xfId="0" applyNumberFormat="1" applyFont="1" applyFill="1" applyBorder="1" applyAlignment="1">
      <alignment vertical="center"/>
    </xf>
    <xf numFmtId="4" fontId="0" fillId="7" borderId="8" xfId="0" applyNumberFormat="1" applyFill="1" applyBorder="1" applyAlignment="1">
      <alignment vertical="center"/>
    </xf>
    <xf numFmtId="4" fontId="0" fillId="7" borderId="16" xfId="0" applyNumberFormat="1" applyFill="1" applyBorder="1" applyAlignment="1">
      <alignment vertical="center"/>
    </xf>
    <xf numFmtId="0" fontId="1" fillId="0" borderId="108" xfId="0" applyFont="1" applyBorder="1"/>
    <xf numFmtId="0" fontId="1" fillId="0" borderId="107" xfId="0" applyFont="1" applyBorder="1"/>
    <xf numFmtId="0" fontId="22" fillId="7" borderId="69" xfId="0" applyFont="1" applyFill="1" applyBorder="1"/>
    <xf numFmtId="0" fontId="15" fillId="7" borderId="88" xfId="0" applyFont="1" applyFill="1" applyBorder="1"/>
    <xf numFmtId="4" fontId="16" fillId="7" borderId="80" xfId="0" applyNumberFormat="1" applyFont="1" applyFill="1" applyBorder="1" applyAlignment="1">
      <alignment shrinkToFit="1"/>
    </xf>
    <xf numFmtId="4" fontId="16" fillId="7" borderId="68" xfId="0" applyNumberFormat="1" applyFont="1" applyFill="1" applyBorder="1" applyAlignment="1">
      <alignment shrinkToFit="1"/>
    </xf>
    <xf numFmtId="0" fontId="1" fillId="7" borderId="69" xfId="0" applyFont="1" applyFill="1" applyBorder="1"/>
    <xf numFmtId="0" fontId="16" fillId="7" borderId="88" xfId="0" applyFont="1" applyFill="1" applyBorder="1"/>
    <xf numFmtId="4" fontId="0" fillId="7" borderId="69" xfId="0" applyNumberFormat="1" applyFill="1" applyBorder="1" applyAlignment="1">
      <alignment vertical="center"/>
    </xf>
    <xf numFmtId="0" fontId="16" fillId="7" borderId="11" xfId="0" applyFont="1" applyFill="1" applyBorder="1"/>
    <xf numFmtId="4" fontId="0" fillId="7" borderId="2" xfId="0" applyNumberFormat="1" applyFill="1" applyBorder="1" applyAlignment="1">
      <alignment vertical="center"/>
    </xf>
    <xf numFmtId="4" fontId="0" fillId="7" borderId="17" xfId="0" applyNumberFormat="1" applyFill="1" applyBorder="1" applyAlignment="1">
      <alignment vertical="center"/>
    </xf>
    <xf numFmtId="0" fontId="19" fillId="7" borderId="69" xfId="0" applyFont="1" applyFill="1" applyBorder="1"/>
    <xf numFmtId="4" fontId="8" fillId="7" borderId="69" xfId="0" applyNumberFormat="1" applyFont="1" applyFill="1" applyBorder="1"/>
    <xf numFmtId="0" fontId="7" fillId="7" borderId="69" xfId="0" applyFont="1" applyFill="1" applyBorder="1" applyAlignment="1">
      <alignment vertical="center"/>
    </xf>
    <xf numFmtId="0" fontId="7" fillId="7" borderId="88" xfId="0" applyFont="1" applyFill="1" applyBorder="1" applyAlignment="1">
      <alignment vertical="center"/>
    </xf>
    <xf numFmtId="4" fontId="7" fillId="7" borderId="69" xfId="0" applyNumberFormat="1" applyFont="1" applyFill="1" applyBorder="1" applyAlignment="1">
      <alignment vertical="center"/>
    </xf>
    <xf numFmtId="4" fontId="7" fillId="7" borderId="2" xfId="0" applyNumberFormat="1" applyFont="1" applyFill="1" applyBorder="1" applyAlignment="1">
      <alignment vertical="center"/>
    </xf>
    <xf numFmtId="0" fontId="6" fillId="7" borderId="135" xfId="0" applyFont="1" applyFill="1" applyBorder="1" applyAlignment="1">
      <alignment vertical="center"/>
    </xf>
    <xf numFmtId="0" fontId="6" fillId="7" borderId="132" xfId="0" applyFont="1" applyFill="1" applyBorder="1" applyAlignment="1">
      <alignment vertical="center"/>
    </xf>
    <xf numFmtId="4" fontId="6" fillId="7" borderId="92" xfId="0" applyNumberFormat="1" applyFont="1" applyFill="1" applyBorder="1" applyAlignment="1">
      <alignment vertical="center"/>
    </xf>
    <xf numFmtId="0" fontId="1" fillId="0" borderId="103" xfId="0" applyFont="1" applyBorder="1"/>
    <xf numFmtId="0" fontId="1" fillId="0" borderId="93" xfId="0" applyFont="1" applyBorder="1"/>
    <xf numFmtId="0" fontId="24" fillId="7" borderId="96" xfId="0" applyFont="1" applyFill="1" applyBorder="1" applyAlignment="1">
      <alignment vertical="center"/>
    </xf>
    <xf numFmtId="4" fontId="0" fillId="7" borderId="6" xfId="0" applyNumberFormat="1" applyFill="1" applyBorder="1" applyAlignment="1">
      <alignment vertical="center"/>
    </xf>
    <xf numFmtId="4" fontId="0" fillId="7" borderId="6" xfId="0" applyNumberFormat="1" applyFill="1" applyBorder="1" applyAlignment="1">
      <alignment horizontal="right" vertical="center"/>
    </xf>
    <xf numFmtId="4" fontId="0" fillId="7" borderId="4" xfId="0" applyNumberFormat="1" applyFill="1" applyBorder="1" applyAlignment="1">
      <alignment vertical="center"/>
    </xf>
    <xf numFmtId="4" fontId="0" fillId="7" borderId="14" xfId="0" applyNumberFormat="1" applyFill="1" applyBorder="1" applyAlignment="1">
      <alignment vertical="center"/>
    </xf>
    <xf numFmtId="4" fontId="6" fillId="7" borderId="6" xfId="0" applyNumberFormat="1" applyFont="1" applyFill="1" applyBorder="1" applyAlignment="1">
      <alignment vertical="center"/>
    </xf>
    <xf numFmtId="0" fontId="6" fillId="7" borderId="91" xfId="0" applyFont="1" applyFill="1" applyBorder="1" applyAlignment="1">
      <alignment vertical="center"/>
    </xf>
    <xf numFmtId="4" fontId="6" fillId="7" borderId="111" xfId="0" applyNumberFormat="1" applyFont="1" applyFill="1" applyBorder="1" applyAlignment="1">
      <alignment vertical="center"/>
    </xf>
    <xf numFmtId="4" fontId="6" fillId="7" borderId="9" xfId="0" applyNumberFormat="1" applyFont="1" applyFill="1" applyBorder="1" applyAlignment="1">
      <alignment vertical="center"/>
    </xf>
    <xf numFmtId="4" fontId="0" fillId="7" borderId="7" xfId="0" applyNumberFormat="1" applyFill="1" applyBorder="1" applyAlignment="1">
      <alignment horizontal="right" vertical="center"/>
    </xf>
    <xf numFmtId="4" fontId="0" fillId="7" borderId="20" xfId="0" applyNumberFormat="1" applyFill="1" applyBorder="1" applyAlignment="1">
      <alignment vertical="center"/>
    </xf>
    <xf numFmtId="0" fontId="1" fillId="0" borderId="136" xfId="0" applyFont="1" applyBorder="1"/>
    <xf numFmtId="0" fontId="1" fillId="0" borderId="119" xfId="0" applyFont="1" applyBorder="1"/>
    <xf numFmtId="0" fontId="7" fillId="7" borderId="69" xfId="0" applyFont="1" applyFill="1" applyBorder="1"/>
    <xf numFmtId="4" fontId="7" fillId="7" borderId="63" xfId="0" applyNumberFormat="1" applyFont="1" applyFill="1" applyBorder="1" applyAlignment="1">
      <alignment vertical="center"/>
    </xf>
    <xf numFmtId="4" fontId="7" fillId="7" borderId="137" xfId="0" applyNumberFormat="1" applyFont="1" applyFill="1" applyBorder="1" applyAlignment="1">
      <alignment vertical="center"/>
    </xf>
    <xf numFmtId="4" fontId="7" fillId="7" borderId="138" xfId="0" applyNumberFormat="1" applyFont="1" applyFill="1" applyBorder="1" applyAlignment="1">
      <alignment vertical="center"/>
    </xf>
    <xf numFmtId="4" fontId="6" fillId="7" borderId="135" xfId="0" applyNumberFormat="1" applyFont="1" applyFill="1" applyBorder="1" applyAlignment="1">
      <alignment vertical="center"/>
    </xf>
    <xf numFmtId="4" fontId="6" fillId="7" borderId="139" xfId="0" applyNumberFormat="1" applyFont="1" applyFill="1" applyBorder="1" applyAlignment="1">
      <alignment vertical="center"/>
    </xf>
    <xf numFmtId="0" fontId="6" fillId="0" borderId="140" xfId="0" applyFont="1" applyBorder="1"/>
    <xf numFmtId="0" fontId="6" fillId="0" borderId="93" xfId="0" applyFont="1" applyBorder="1"/>
    <xf numFmtId="0" fontId="0" fillId="0" borderId="141" xfId="0" applyBorder="1"/>
    <xf numFmtId="0" fontId="1" fillId="7" borderId="91" xfId="0" applyFont="1" applyFill="1" applyBorder="1" applyAlignment="1">
      <alignment vertical="center"/>
    </xf>
    <xf numFmtId="4" fontId="1" fillId="7" borderId="126" xfId="0" applyNumberFormat="1" applyFont="1" applyFill="1" applyBorder="1" applyAlignment="1">
      <alignment vertical="center"/>
    </xf>
    <xf numFmtId="0" fontId="6" fillId="0" borderId="141" xfId="0" applyFont="1" applyBorder="1"/>
    <xf numFmtId="0" fontId="1" fillId="7" borderId="91" xfId="0" applyFont="1" applyFill="1" applyBorder="1" applyAlignment="1">
      <alignment vertical="center" wrapText="1"/>
    </xf>
    <xf numFmtId="4" fontId="0" fillId="7" borderId="99" xfId="0" applyNumberFormat="1" applyFill="1" applyBorder="1" applyAlignment="1">
      <alignment vertical="center"/>
    </xf>
    <xf numFmtId="4" fontId="1" fillId="7" borderId="99" xfId="0" applyNumberFormat="1" applyFont="1" applyFill="1" applyBorder="1" applyAlignment="1">
      <alignment vertical="center"/>
    </xf>
    <xf numFmtId="0" fontId="24" fillId="7" borderId="113" xfId="0" applyFont="1" applyFill="1" applyBorder="1" applyAlignment="1">
      <alignment vertical="center"/>
    </xf>
    <xf numFmtId="0" fontId="1" fillId="0" borderId="141" xfId="0" applyFont="1" applyBorder="1"/>
    <xf numFmtId="0" fontId="44" fillId="7" borderId="113" xfId="0" applyFont="1" applyFill="1" applyBorder="1" applyAlignment="1">
      <alignment vertical="center"/>
    </xf>
    <xf numFmtId="4" fontId="6" fillId="7" borderId="126" xfId="0" applyNumberFormat="1" applyFont="1" applyFill="1" applyBorder="1" applyAlignment="1">
      <alignment vertical="center"/>
    </xf>
    <xf numFmtId="0" fontId="24" fillId="7" borderId="90" xfId="0" applyFont="1" applyFill="1" applyBorder="1" applyAlignment="1">
      <alignment vertical="center"/>
    </xf>
    <xf numFmtId="0" fontId="1" fillId="7" borderId="131" xfId="0" applyFont="1" applyFill="1" applyBorder="1" applyAlignment="1">
      <alignment vertical="center"/>
    </xf>
    <xf numFmtId="0" fontId="1" fillId="0" borderId="142" xfId="0" applyFont="1" applyBorder="1"/>
    <xf numFmtId="4" fontId="7" fillId="7" borderId="69" xfId="0" applyNumberFormat="1" applyFont="1" applyFill="1" applyBorder="1"/>
    <xf numFmtId="4" fontId="7" fillId="7" borderId="71" xfId="0" applyNumberFormat="1" applyFont="1" applyFill="1" applyBorder="1"/>
    <xf numFmtId="4" fontId="7" fillId="7" borderId="68" xfId="0" applyNumberFormat="1" applyFont="1" applyFill="1" applyBorder="1"/>
    <xf numFmtId="0" fontId="1" fillId="0" borderId="71" xfId="0" applyFont="1" applyBorder="1"/>
    <xf numFmtId="4" fontId="6" fillId="7" borderId="127" xfId="0" applyNumberFormat="1" applyFont="1" applyFill="1" applyBorder="1" applyAlignment="1">
      <alignment vertical="center"/>
    </xf>
    <xf numFmtId="4" fontId="6" fillId="7" borderId="143" xfId="0" applyNumberFormat="1" applyFont="1" applyFill="1" applyBorder="1" applyAlignment="1">
      <alignment vertical="center"/>
    </xf>
    <xf numFmtId="0" fontId="1" fillId="0" borderId="95" xfId="0" applyFont="1" applyBorder="1"/>
    <xf numFmtId="0" fontId="24" fillId="7" borderId="111" xfId="0" applyFont="1" applyFill="1" applyBorder="1" applyAlignment="1">
      <alignment vertical="center"/>
    </xf>
    <xf numFmtId="0" fontId="24" fillId="7" borderId="101" xfId="0" applyFont="1" applyFill="1" applyBorder="1" applyAlignment="1">
      <alignment vertical="center"/>
    </xf>
    <xf numFmtId="4" fontId="1" fillId="7" borderId="123" xfId="0" applyNumberFormat="1" applyFont="1" applyFill="1" applyBorder="1" applyAlignment="1">
      <alignment vertical="center"/>
    </xf>
    <xf numFmtId="0" fontId="1" fillId="7" borderId="106" xfId="0" applyFont="1" applyFill="1" applyBorder="1" applyAlignment="1">
      <alignment vertical="center"/>
    </xf>
    <xf numFmtId="4" fontId="7" fillId="7" borderId="72" xfId="0" applyNumberFormat="1" applyFont="1" applyFill="1" applyBorder="1"/>
    <xf numFmtId="4" fontId="7" fillId="7" borderId="86" xfId="0" applyNumberFormat="1" applyFont="1" applyFill="1" applyBorder="1"/>
    <xf numFmtId="4" fontId="7" fillId="7" borderId="144" xfId="0" applyNumberFormat="1" applyFont="1" applyFill="1" applyBorder="1"/>
    <xf numFmtId="4" fontId="7" fillId="7" borderId="85" xfId="0" applyNumberFormat="1" applyFont="1" applyFill="1" applyBorder="1"/>
    <xf numFmtId="0" fontId="0" fillId="7" borderId="91" xfId="0" applyFill="1" applyBorder="1" applyAlignment="1">
      <alignment horizontal="left" vertical="center"/>
    </xf>
    <xf numFmtId="0" fontId="0" fillId="7" borderId="97" xfId="0" applyFill="1" applyBorder="1" applyAlignment="1">
      <alignment horizontal="left" vertical="center"/>
    </xf>
    <xf numFmtId="4" fontId="6" fillId="7" borderId="126" xfId="5" applyNumberFormat="1" applyFont="1" applyFill="1" applyBorder="1" applyAlignment="1" applyProtection="1">
      <alignment vertical="center"/>
    </xf>
    <xf numFmtId="4" fontId="0" fillId="7" borderId="126" xfId="5" applyNumberFormat="1" applyFont="1" applyFill="1" applyBorder="1" applyAlignment="1" applyProtection="1">
      <alignment vertical="center"/>
    </xf>
    <xf numFmtId="4" fontId="0" fillId="7" borderId="96" xfId="5" applyNumberFormat="1" applyFont="1" applyFill="1" applyBorder="1" applyAlignment="1" applyProtection="1">
      <alignment vertical="center"/>
    </xf>
    <xf numFmtId="9" fontId="1" fillId="0" borderId="99" xfId="0" applyNumberFormat="1" applyFont="1" applyBorder="1"/>
    <xf numFmtId="4" fontId="0" fillId="7" borderId="126" xfId="0" applyNumberFormat="1" applyFill="1" applyBorder="1" applyAlignment="1">
      <alignment shrinkToFit="1"/>
    </xf>
    <xf numFmtId="0" fontId="21" fillId="7" borderId="97" xfId="0" applyFont="1" applyFill="1" applyBorder="1" applyAlignment="1">
      <alignment vertical="center"/>
    </xf>
    <xf numFmtId="0" fontId="44" fillId="7" borderId="96" xfId="0" applyFont="1" applyFill="1" applyBorder="1" applyAlignment="1">
      <alignment vertical="center"/>
    </xf>
    <xf numFmtId="4" fontId="0" fillId="7" borderId="126" xfId="0" applyNumberFormat="1" applyFill="1" applyBorder="1" applyAlignment="1">
      <alignment vertical="center" shrinkToFit="1"/>
    </xf>
    <xf numFmtId="4" fontId="0" fillId="7" borderId="96" xfId="0" applyNumberFormat="1" applyFill="1" applyBorder="1" applyAlignment="1">
      <alignment vertical="center" shrinkToFit="1"/>
    </xf>
    <xf numFmtId="0" fontId="24" fillId="0" borderId="96" xfId="0" applyFont="1" applyBorder="1" applyAlignment="1">
      <alignment vertical="center"/>
    </xf>
    <xf numFmtId="0" fontId="0" fillId="0" borderId="97" xfId="0" applyBorder="1" applyAlignment="1">
      <alignment horizontal="left" vertical="center"/>
    </xf>
    <xf numFmtId="4" fontId="0" fillId="0" borderId="126" xfId="0" applyNumberFormat="1" applyBorder="1" applyAlignment="1">
      <alignment vertical="center"/>
    </xf>
    <xf numFmtId="4" fontId="0" fillId="0" borderId="126" xfId="0" applyNumberFormat="1" applyBorder="1" applyAlignment="1">
      <alignment vertical="center" shrinkToFit="1"/>
    </xf>
    <xf numFmtId="4" fontId="0" fillId="0" borderId="96" xfId="0" applyNumberFormat="1" applyBorder="1" applyAlignment="1">
      <alignment vertical="center" shrinkToFit="1"/>
    </xf>
    <xf numFmtId="4" fontId="6" fillId="0" borderId="126" xfId="0" applyNumberFormat="1" applyFont="1" applyBorder="1" applyAlignment="1">
      <alignment vertical="center"/>
    </xf>
    <xf numFmtId="0" fontId="0" fillId="0" borderId="96" xfId="0" applyBorder="1" applyAlignment="1">
      <alignment vertical="center"/>
    </xf>
    <xf numFmtId="0" fontId="0" fillId="0" borderId="97" xfId="0" applyBorder="1" applyAlignment="1">
      <alignment vertical="center"/>
    </xf>
    <xf numFmtId="0" fontId="1" fillId="0" borderId="91" xfId="0" applyFont="1" applyBorder="1" applyAlignment="1">
      <alignment vertical="center"/>
    </xf>
    <xf numFmtId="0" fontId="24" fillId="0" borderId="90" xfId="0" applyFont="1" applyBorder="1" applyAlignment="1">
      <alignment vertical="center"/>
    </xf>
    <xf numFmtId="0" fontId="24" fillId="0" borderId="113" xfId="0" applyFont="1" applyBorder="1" applyAlignment="1">
      <alignment vertical="center"/>
    </xf>
    <xf numFmtId="0" fontId="1" fillId="0" borderId="110" xfId="0" applyFont="1" applyBorder="1" applyAlignment="1">
      <alignment vertical="center"/>
    </xf>
    <xf numFmtId="4" fontId="0" fillId="0" borderId="101" xfId="0" applyNumberFormat="1" applyBorder="1" applyAlignment="1">
      <alignment vertical="center"/>
    </xf>
    <xf numFmtId="4" fontId="0" fillId="0" borderId="125" xfId="0" applyNumberFormat="1" applyBorder="1" applyAlignment="1">
      <alignment vertical="center"/>
    </xf>
    <xf numFmtId="4" fontId="0" fillId="0" borderId="113" xfId="0" applyNumberFormat="1" applyBorder="1" applyAlignment="1">
      <alignment vertical="center"/>
    </xf>
    <xf numFmtId="0" fontId="24" fillId="0" borderId="111" xfId="0" applyFont="1" applyBorder="1" applyAlignment="1">
      <alignment vertical="center"/>
    </xf>
    <xf numFmtId="0" fontId="1" fillId="0" borderId="111" xfId="0" applyFont="1" applyBorder="1" applyAlignment="1">
      <alignment vertical="center"/>
    </xf>
    <xf numFmtId="4" fontId="0" fillId="0" borderId="111" xfId="0" applyNumberFormat="1" applyBorder="1" applyAlignment="1">
      <alignment vertical="center"/>
    </xf>
    <xf numFmtId="0" fontId="24" fillId="0" borderId="119" xfId="0" applyFont="1" applyBorder="1" applyAlignment="1">
      <alignment vertical="center"/>
    </xf>
    <xf numFmtId="0" fontId="1" fillId="0" borderId="119" xfId="0" applyFont="1" applyBorder="1" applyAlignment="1">
      <alignment vertical="center"/>
    </xf>
    <xf numFmtId="4" fontId="0" fillId="0" borderId="119" xfId="0" applyNumberFormat="1" applyBorder="1" applyAlignment="1">
      <alignment vertical="center"/>
    </xf>
    <xf numFmtId="4" fontId="0" fillId="0" borderId="127" xfId="0" applyNumberFormat="1" applyBorder="1" applyAlignment="1">
      <alignment vertical="center"/>
    </xf>
    <xf numFmtId="0" fontId="19" fillId="0" borderId="63" xfId="0" applyFont="1" applyBorder="1"/>
    <xf numFmtId="0" fontId="16" fillId="0" borderId="87" xfId="0" applyFont="1" applyBorder="1"/>
    <xf numFmtId="4" fontId="8" fillId="0" borderId="89" xfId="0" applyNumberFormat="1" applyFont="1" applyBorder="1"/>
    <xf numFmtId="0" fontId="6" fillId="0" borderId="72" xfId="0" applyFont="1" applyBorder="1" applyAlignment="1">
      <alignment vertical="center"/>
    </xf>
    <xf numFmtId="0" fontId="7" fillId="0" borderId="145" xfId="0" applyFont="1" applyBorder="1" applyAlignment="1">
      <alignment vertical="center"/>
    </xf>
    <xf numFmtId="4" fontId="7" fillId="0" borderId="68" xfId="0" applyNumberFormat="1" applyFont="1" applyBorder="1" applyAlignment="1">
      <alignment vertical="center"/>
    </xf>
    <xf numFmtId="0" fontId="24" fillId="0" borderId="146" xfId="0" applyFont="1" applyBorder="1" applyAlignment="1">
      <alignment vertical="center"/>
    </xf>
    <xf numFmtId="0" fontId="1" fillId="0" borderId="147" xfId="0" applyFont="1" applyBorder="1" applyAlignment="1">
      <alignment vertical="center"/>
    </xf>
    <xf numFmtId="4" fontId="0" fillId="0" borderId="146" xfId="0" applyNumberFormat="1" applyBorder="1" applyAlignment="1">
      <alignment vertical="center"/>
    </xf>
    <xf numFmtId="0" fontId="24" fillId="0" borderId="148" xfId="0" applyFont="1" applyBorder="1" applyAlignment="1">
      <alignment vertical="center"/>
    </xf>
    <xf numFmtId="0" fontId="1" fillId="0" borderId="149" xfId="0" applyFont="1" applyBorder="1" applyAlignment="1">
      <alignment vertical="center"/>
    </xf>
    <xf numFmtId="4" fontId="0" fillId="0" borderId="148" xfId="0" applyNumberFormat="1" applyBorder="1" applyAlignment="1">
      <alignment vertical="center"/>
    </xf>
    <xf numFmtId="0" fontId="7" fillId="0" borderId="77" xfId="0" applyFont="1" applyBorder="1"/>
    <xf numFmtId="4" fontId="7" fillId="0" borderId="150" xfId="0" applyNumberFormat="1" applyFont="1" applyBorder="1" applyAlignment="1">
      <alignment vertical="center"/>
    </xf>
    <xf numFmtId="0" fontId="1" fillId="0" borderId="100" xfId="0" applyFont="1" applyBorder="1"/>
    <xf numFmtId="0" fontId="0" fillId="0" borderId="147" xfId="0" applyBorder="1" applyAlignment="1">
      <alignment vertical="center"/>
    </xf>
    <xf numFmtId="0" fontId="24" fillId="0" borderId="101" xfId="0" applyFont="1" applyBorder="1" applyAlignment="1">
      <alignment vertical="center"/>
    </xf>
    <xf numFmtId="0" fontId="1" fillId="0" borderId="151" xfId="0" applyFont="1" applyBorder="1" applyAlignment="1">
      <alignment vertical="center"/>
    </xf>
    <xf numFmtId="4" fontId="0" fillId="0" borderId="152" xfId="0" applyNumberFormat="1" applyBorder="1" applyAlignment="1">
      <alignment vertical="center"/>
    </xf>
    <xf numFmtId="4" fontId="0" fillId="0" borderId="153" xfId="0" applyNumberFormat="1" applyBorder="1" applyAlignment="1">
      <alignment vertical="center"/>
    </xf>
    <xf numFmtId="4" fontId="0" fillId="0" borderId="154" xfId="0" applyNumberFormat="1" applyBorder="1" applyAlignment="1">
      <alignment vertical="center"/>
    </xf>
    <xf numFmtId="4" fontId="0" fillId="0" borderId="155" xfId="0" applyNumberFormat="1" applyBorder="1" applyAlignment="1">
      <alignment vertical="center"/>
    </xf>
    <xf numFmtId="4" fontId="0" fillId="0" borderId="156" xfId="0" applyNumberFormat="1" applyBorder="1" applyAlignment="1">
      <alignment vertical="center"/>
    </xf>
    <xf numFmtId="4" fontId="0" fillId="0" borderId="157" xfId="0" applyNumberFormat="1" applyBorder="1" applyAlignment="1">
      <alignment vertical="center"/>
    </xf>
    <xf numFmtId="0" fontId="0" fillId="0" borderId="149" xfId="0" applyBorder="1" applyAlignment="1">
      <alignment vertical="center"/>
    </xf>
    <xf numFmtId="0" fontId="0" fillId="0" borderId="102" xfId="0" applyBorder="1" applyAlignment="1">
      <alignment vertical="center"/>
    </xf>
    <xf numFmtId="4" fontId="0" fillId="0" borderId="102" xfId="0" applyNumberFormat="1" applyBorder="1" applyAlignment="1">
      <alignment vertical="center"/>
    </xf>
    <xf numFmtId="4" fontId="0" fillId="0" borderId="98" xfId="0" applyNumberFormat="1" applyBorder="1" applyAlignment="1">
      <alignment vertical="center"/>
    </xf>
    <xf numFmtId="0" fontId="0" fillId="0" borderId="119" xfId="0" applyBorder="1" applyAlignment="1">
      <alignment vertical="center"/>
    </xf>
    <xf numFmtId="0" fontId="7" fillId="0" borderId="87" xfId="0" applyFont="1" applyBorder="1"/>
    <xf numFmtId="4" fontId="7" fillId="0" borderId="68" xfId="0" applyNumberFormat="1" applyFont="1" applyBorder="1"/>
    <xf numFmtId="4" fontId="7" fillId="0" borderId="150" xfId="0" applyNumberFormat="1" applyFont="1" applyBorder="1"/>
    <xf numFmtId="0" fontId="6" fillId="0" borderId="135" xfId="0" applyFont="1" applyBorder="1" applyAlignment="1">
      <alignment vertical="center"/>
    </xf>
    <xf numFmtId="0" fontId="6" fillId="0" borderId="132" xfId="0" applyFont="1" applyBorder="1" applyAlignment="1">
      <alignment vertical="center"/>
    </xf>
    <xf numFmtId="4" fontId="6" fillId="0" borderId="46" xfId="0" applyNumberFormat="1" applyFont="1" applyBorder="1" applyAlignment="1">
      <alignment vertical="center"/>
    </xf>
    <xf numFmtId="0" fontId="24" fillId="0" borderId="158" xfId="0" applyFont="1" applyBorder="1" applyAlignment="1">
      <alignment vertical="center"/>
    </xf>
    <xf numFmtId="0" fontId="0" fillId="0" borderId="159" xfId="0" applyBorder="1" applyAlignment="1">
      <alignment vertical="center"/>
    </xf>
    <xf numFmtId="4" fontId="0" fillId="0" borderId="158" xfId="0" applyNumberFormat="1" applyBorder="1" applyAlignment="1">
      <alignment vertical="center"/>
    </xf>
    <xf numFmtId="4" fontId="0" fillId="0" borderId="160" xfId="0" applyNumberFormat="1" applyBorder="1" applyAlignment="1">
      <alignment vertical="center"/>
    </xf>
    <xf numFmtId="0" fontId="0" fillId="7" borderId="159" xfId="0" applyFill="1" applyBorder="1" applyAlignment="1">
      <alignment vertical="center"/>
    </xf>
    <xf numFmtId="4" fontId="0" fillId="7" borderId="158" xfId="0" applyNumberFormat="1" applyFill="1" applyBorder="1" applyAlignment="1">
      <alignment vertical="center"/>
    </xf>
    <xf numFmtId="4" fontId="0" fillId="7" borderId="160" xfId="0" applyNumberFormat="1" applyFill="1" applyBorder="1" applyAlignment="1">
      <alignment vertical="center"/>
    </xf>
    <xf numFmtId="0" fontId="6" fillId="7" borderId="158" xfId="0" applyFont="1" applyFill="1" applyBorder="1" applyAlignment="1">
      <alignment vertical="center"/>
    </xf>
    <xf numFmtId="4" fontId="6" fillId="7" borderId="161" xfId="0" applyNumberFormat="1" applyFont="1" applyFill="1" applyBorder="1" applyAlignment="1">
      <alignment vertical="center"/>
    </xf>
    <xf numFmtId="4" fontId="6" fillId="7" borderId="158" xfId="0" applyNumberFormat="1" applyFont="1" applyFill="1" applyBorder="1" applyAlignment="1">
      <alignment vertical="center"/>
    </xf>
    <xf numFmtId="0" fontId="24" fillId="7" borderId="158" xfId="0" applyFont="1" applyFill="1" applyBorder="1" applyAlignment="1">
      <alignment vertical="center"/>
    </xf>
    <xf numFmtId="0" fontId="1" fillId="7" borderId="159" xfId="0" applyFont="1" applyFill="1" applyBorder="1" applyAlignment="1">
      <alignment vertical="center"/>
    </xf>
    <xf numFmtId="0" fontId="1" fillId="7" borderId="151" xfId="0" applyFont="1" applyFill="1" applyBorder="1" applyAlignment="1">
      <alignment vertical="center"/>
    </xf>
    <xf numFmtId="4" fontId="0" fillId="7" borderId="152" xfId="0" applyNumberFormat="1" applyFill="1" applyBorder="1" applyAlignment="1">
      <alignment vertical="center"/>
    </xf>
    <xf numFmtId="4" fontId="0" fillId="7" borderId="153" xfId="0" applyNumberFormat="1" applyFill="1" applyBorder="1" applyAlignment="1">
      <alignment vertical="center"/>
    </xf>
    <xf numFmtId="0" fontId="1" fillId="0" borderId="159" xfId="0" applyFont="1" applyBorder="1" applyAlignment="1">
      <alignment vertical="center"/>
    </xf>
    <xf numFmtId="4" fontId="0" fillId="7" borderId="161" xfId="0" applyNumberFormat="1" applyFill="1" applyBorder="1" applyAlignment="1">
      <alignment vertical="center"/>
    </xf>
    <xf numFmtId="4" fontId="0" fillId="7" borderId="127" xfId="0" applyNumberFormat="1" applyFill="1" applyBorder="1" applyAlignment="1">
      <alignment vertical="center"/>
    </xf>
    <xf numFmtId="0" fontId="6" fillId="7" borderId="151" xfId="0" applyFont="1" applyFill="1" applyBorder="1" applyAlignment="1">
      <alignment vertical="center"/>
    </xf>
    <xf numFmtId="0" fontId="6" fillId="7" borderId="159" xfId="0" applyFont="1" applyFill="1" applyBorder="1" applyAlignment="1">
      <alignment vertical="center"/>
    </xf>
    <xf numFmtId="4" fontId="6" fillId="7" borderId="160" xfId="0" applyNumberFormat="1" applyFont="1" applyFill="1" applyBorder="1" applyAlignment="1">
      <alignment vertical="center"/>
    </xf>
    <xf numFmtId="4" fontId="0" fillId="7" borderId="162" xfId="0" applyNumberFormat="1" applyFill="1" applyBorder="1" applyAlignment="1">
      <alignment vertical="center"/>
    </xf>
    <xf numFmtId="0" fontId="7" fillId="7" borderId="63" xfId="0" applyFont="1" applyFill="1" applyBorder="1"/>
    <xf numFmtId="0" fontId="7" fillId="7" borderId="87" xfId="0" applyFont="1" applyFill="1" applyBorder="1"/>
    <xf numFmtId="4" fontId="7" fillId="7" borderId="68" xfId="0" applyNumberFormat="1" applyFont="1" applyFill="1" applyBorder="1" applyAlignment="1">
      <alignment vertical="center"/>
    </xf>
    <xf numFmtId="4" fontId="7" fillId="7" borderId="163" xfId="0" applyNumberFormat="1" applyFont="1" applyFill="1" applyBorder="1" applyAlignment="1">
      <alignment vertical="center"/>
    </xf>
    <xf numFmtId="0" fontId="0" fillId="0" borderId="147" xfId="0" applyBorder="1" applyAlignment="1">
      <alignment vertical="center" wrapText="1"/>
    </xf>
    <xf numFmtId="0" fontId="0" fillId="0" borderId="98" xfId="0" applyBorder="1" applyAlignment="1">
      <alignment vertical="center"/>
    </xf>
    <xf numFmtId="0" fontId="0" fillId="0" borderId="130" xfId="0" applyBorder="1" applyAlignment="1">
      <alignment vertical="center"/>
    </xf>
    <xf numFmtId="0" fontId="24" fillId="0" borderId="68" xfId="0" applyFont="1" applyBorder="1" applyAlignment="1">
      <alignment vertical="center"/>
    </xf>
    <xf numFmtId="0" fontId="7" fillId="0" borderId="77" xfId="0" applyFont="1" applyBorder="1" applyAlignment="1">
      <alignment horizontal="left" vertical="center"/>
    </xf>
    <xf numFmtId="4" fontId="6" fillId="0" borderId="123" xfId="0" applyNumberFormat="1" applyFont="1" applyBorder="1" applyAlignment="1">
      <alignment vertical="center"/>
    </xf>
    <xf numFmtId="0" fontId="24" fillId="7" borderId="146" xfId="0" applyFont="1" applyFill="1" applyBorder="1" applyAlignment="1">
      <alignment vertical="center"/>
    </xf>
    <xf numFmtId="0" fontId="1" fillId="7" borderId="147" xfId="0" applyFont="1" applyFill="1" applyBorder="1" applyAlignment="1">
      <alignment vertical="center"/>
    </xf>
    <xf numFmtId="4" fontId="0" fillId="7" borderId="146" xfId="0" applyNumberFormat="1" applyFill="1" applyBorder="1" applyAlignment="1">
      <alignment vertical="center"/>
    </xf>
    <xf numFmtId="4" fontId="0" fillId="7" borderId="164" xfId="0" applyNumberFormat="1" applyFill="1" applyBorder="1" applyAlignment="1">
      <alignment vertical="center"/>
    </xf>
    <xf numFmtId="0" fontId="24" fillId="7" borderId="165" xfId="0" applyFont="1" applyFill="1" applyBorder="1" applyAlignment="1">
      <alignment vertical="center"/>
    </xf>
    <xf numFmtId="0" fontId="24" fillId="7" borderId="68" xfId="0" applyFont="1" applyFill="1" applyBorder="1" applyAlignment="1">
      <alignment vertical="center"/>
    </xf>
    <xf numFmtId="0" fontId="7" fillId="7" borderId="77" xfId="0" applyFont="1" applyFill="1" applyBorder="1" applyAlignment="1">
      <alignment horizontal="left" vertical="center"/>
    </xf>
    <xf numFmtId="4" fontId="7" fillId="7" borderId="150" xfId="0" applyNumberFormat="1" applyFont="1" applyFill="1" applyBorder="1" applyAlignment="1">
      <alignment vertical="center"/>
    </xf>
    <xf numFmtId="4" fontId="0" fillId="7" borderId="147" xfId="0" applyNumberFormat="1" applyFill="1" applyBorder="1" applyAlignment="1">
      <alignment vertical="center"/>
    </xf>
    <xf numFmtId="4" fontId="0" fillId="0" borderId="165" xfId="0" applyNumberFormat="1" applyBorder="1" applyAlignment="1">
      <alignment vertical="center"/>
    </xf>
    <xf numFmtId="4" fontId="0" fillId="0" borderId="166" xfId="0" applyNumberFormat="1" applyBorder="1" applyAlignment="1">
      <alignment vertical="center"/>
    </xf>
    <xf numFmtId="4" fontId="0" fillId="0" borderId="167" xfId="0" applyNumberFormat="1" applyBorder="1" applyAlignment="1">
      <alignment vertical="center"/>
    </xf>
    <xf numFmtId="4" fontId="0" fillId="0" borderId="164" xfId="0" applyNumberFormat="1" applyBorder="1" applyAlignment="1">
      <alignment vertical="center"/>
    </xf>
    <xf numFmtId="4" fontId="0" fillId="0" borderId="147" xfId="0" applyNumberFormat="1" applyBorder="1" applyAlignment="1">
      <alignment vertical="center"/>
    </xf>
    <xf numFmtId="4" fontId="0" fillId="0" borderId="168" xfId="0" applyNumberFormat="1" applyBorder="1" applyAlignment="1">
      <alignment vertical="center"/>
    </xf>
    <xf numFmtId="4" fontId="0" fillId="0" borderId="149" xfId="0" applyNumberFormat="1" applyBorder="1" applyAlignment="1">
      <alignment vertical="center"/>
    </xf>
    <xf numFmtId="0" fontId="1" fillId="0" borderId="153" xfId="0" applyFont="1" applyBorder="1"/>
    <xf numFmtId="0" fontId="7" fillId="0" borderId="77" xfId="0" applyFont="1" applyBorder="1" applyAlignment="1">
      <alignment vertical="center"/>
    </xf>
    <xf numFmtId="4" fontId="7" fillId="0" borderId="71" xfId="0" applyNumberFormat="1" applyFont="1" applyBorder="1" applyAlignment="1">
      <alignment vertical="center"/>
    </xf>
    <xf numFmtId="0" fontId="1" fillId="0" borderId="169" xfId="0" applyFont="1" applyBorder="1"/>
    <xf numFmtId="0" fontId="6" fillId="0" borderId="93" xfId="0" applyFont="1" applyBorder="1" applyAlignment="1">
      <alignment vertical="center"/>
    </xf>
    <xf numFmtId="4" fontId="6" fillId="0" borderId="93" xfId="0" applyNumberFormat="1" applyFont="1" applyBorder="1" applyAlignment="1">
      <alignment vertical="center"/>
    </xf>
    <xf numFmtId="4" fontId="6" fillId="0" borderId="95" xfId="0" applyNumberFormat="1" applyFont="1" applyBorder="1" applyAlignment="1">
      <alignment vertical="center"/>
    </xf>
    <xf numFmtId="4" fontId="6" fillId="0" borderId="89" xfId="0" applyNumberFormat="1" applyFont="1" applyBorder="1" applyAlignment="1">
      <alignment vertical="center"/>
    </xf>
    <xf numFmtId="0" fontId="1" fillId="0" borderId="100" xfId="0" applyFont="1" applyBorder="1" applyAlignment="1">
      <alignment vertical="center"/>
    </xf>
    <xf numFmtId="0" fontId="24" fillId="0" borderId="124" xfId="0" applyFont="1" applyBorder="1" applyAlignment="1">
      <alignment vertical="center"/>
    </xf>
    <xf numFmtId="4" fontId="0" fillId="0" borderId="104" xfId="0" applyNumberFormat="1" applyBorder="1" applyAlignment="1">
      <alignment vertical="center"/>
    </xf>
    <xf numFmtId="0" fontId="6" fillId="0" borderId="111" xfId="0" applyFont="1" applyBorder="1" applyAlignment="1">
      <alignment vertical="center"/>
    </xf>
    <xf numFmtId="4" fontId="6" fillId="0" borderId="101" xfId="0" applyNumberFormat="1" applyFont="1" applyBorder="1" applyAlignment="1">
      <alignment vertical="center"/>
    </xf>
    <xf numFmtId="0" fontId="1" fillId="0" borderId="160" xfId="0" applyFont="1" applyBorder="1"/>
    <xf numFmtId="0" fontId="6" fillId="0" borderId="101" xfId="0" applyFont="1" applyBorder="1" applyAlignment="1">
      <alignment vertical="center"/>
    </xf>
    <xf numFmtId="0" fontId="6" fillId="0" borderId="124" xfId="0" applyFont="1" applyBorder="1" applyAlignment="1">
      <alignment vertical="center"/>
    </xf>
    <xf numFmtId="4" fontId="6" fillId="0" borderId="124" xfId="0" applyNumberFormat="1" applyFont="1" applyBorder="1" applyAlignment="1">
      <alignment vertical="center"/>
    </xf>
    <xf numFmtId="0" fontId="24" fillId="0" borderId="98" xfId="0" applyFont="1" applyBorder="1" applyAlignment="1">
      <alignment vertical="center"/>
    </xf>
    <xf numFmtId="0" fontId="6" fillId="0" borderId="101" xfId="0" applyFont="1" applyBorder="1" applyAlignment="1">
      <alignment horizontal="right" vertical="center"/>
    </xf>
    <xf numFmtId="0" fontId="6" fillId="0" borderId="102" xfId="0" applyFont="1" applyBorder="1" applyAlignment="1">
      <alignment vertical="center"/>
    </xf>
    <xf numFmtId="4" fontId="6" fillId="0" borderId="102" xfId="0" applyNumberFormat="1" applyFont="1" applyBorder="1" applyAlignment="1">
      <alignment vertical="center"/>
    </xf>
    <xf numFmtId="0" fontId="24" fillId="0" borderId="102" xfId="0" applyFont="1" applyBorder="1" applyAlignment="1">
      <alignment vertical="center"/>
    </xf>
    <xf numFmtId="0" fontId="6" fillId="0" borderId="98" xfId="0" applyFont="1" applyBorder="1" applyAlignment="1">
      <alignment horizontal="right" vertical="center"/>
    </xf>
    <xf numFmtId="0" fontId="6" fillId="0" borderId="110" xfId="0" applyFont="1" applyBorder="1" applyAlignment="1">
      <alignment vertical="center"/>
    </xf>
    <xf numFmtId="4" fontId="6" fillId="0" borderId="103" xfId="0" applyNumberFormat="1" applyFont="1" applyBorder="1" applyAlignment="1">
      <alignment vertical="center"/>
    </xf>
    <xf numFmtId="4" fontId="0" fillId="0" borderId="107" xfId="0" applyNumberFormat="1" applyBorder="1" applyAlignment="1">
      <alignment vertical="center"/>
    </xf>
    <xf numFmtId="0" fontId="6" fillId="0" borderId="170" xfId="0" applyFont="1" applyBorder="1"/>
    <xf numFmtId="0" fontId="6" fillId="0" borderId="171" xfId="0" applyFont="1" applyBorder="1"/>
    <xf numFmtId="4" fontId="6" fillId="0" borderId="170" xfId="0" applyNumberFormat="1" applyFont="1" applyBorder="1"/>
    <xf numFmtId="4" fontId="6" fillId="0" borderId="169" xfId="0" applyNumberFormat="1" applyFont="1" applyBorder="1"/>
    <xf numFmtId="4" fontId="6" fillId="0" borderId="172" xfId="0" applyNumberFormat="1" applyFont="1" applyBorder="1"/>
    <xf numFmtId="0" fontId="0" fillId="0" borderId="159" xfId="0" applyBorder="1"/>
    <xf numFmtId="4" fontId="0" fillId="0" borderId="158" xfId="0" applyNumberFormat="1" applyBorder="1"/>
    <xf numFmtId="4" fontId="0" fillId="0" borderId="161" xfId="0" applyNumberFormat="1" applyBorder="1"/>
    <xf numFmtId="4" fontId="0" fillId="0" borderId="159" xfId="0" applyNumberFormat="1" applyBorder="1"/>
    <xf numFmtId="0" fontId="0" fillId="0" borderId="158" xfId="0" applyBorder="1"/>
    <xf numFmtId="0" fontId="6" fillId="0" borderId="173" xfId="0" applyFont="1" applyBorder="1" applyAlignment="1">
      <alignment vertical="center"/>
    </xf>
    <xf numFmtId="4" fontId="6" fillId="0" borderId="174" xfId="0" applyNumberFormat="1" applyFont="1" applyBorder="1"/>
    <xf numFmtId="4" fontId="0" fillId="0" borderId="175" xfId="0" applyNumberFormat="1" applyBorder="1" applyAlignment="1">
      <alignment vertical="center"/>
    </xf>
    <xf numFmtId="4" fontId="0" fillId="0" borderId="151" xfId="0" applyNumberFormat="1" applyBorder="1" applyAlignment="1">
      <alignment vertical="center"/>
    </xf>
    <xf numFmtId="4" fontId="0" fillId="0" borderId="161" xfId="0" applyNumberFormat="1" applyBorder="1" applyAlignment="1">
      <alignment vertical="center"/>
    </xf>
    <xf numFmtId="4" fontId="0" fillId="0" borderId="159" xfId="0" applyNumberFormat="1" applyBorder="1" applyAlignment="1">
      <alignment vertical="center"/>
    </xf>
    <xf numFmtId="4" fontId="0" fillId="0" borderId="110" xfId="0" applyNumberFormat="1" applyBorder="1" applyAlignment="1">
      <alignment vertical="center"/>
    </xf>
    <xf numFmtId="0" fontId="24" fillId="0" borderId="152" xfId="0" applyFont="1" applyBorder="1" applyAlignment="1">
      <alignment vertical="center"/>
    </xf>
    <xf numFmtId="0" fontId="1" fillId="0" borderId="158" xfId="0" applyFont="1" applyBorder="1" applyAlignment="1">
      <alignment vertical="center"/>
    </xf>
    <xf numFmtId="0" fontId="1" fillId="0" borderId="151" xfId="0" applyFont="1" applyBorder="1" applyAlignment="1">
      <alignment vertical="center" wrapText="1"/>
    </xf>
    <xf numFmtId="0" fontId="6" fillId="0" borderId="173" xfId="0" applyFont="1" applyBorder="1" applyAlignment="1">
      <alignment horizontal="right" vertical="center"/>
    </xf>
    <xf numFmtId="0" fontId="6" fillId="0" borderId="176" xfId="0" applyFont="1" applyBorder="1" applyAlignment="1">
      <alignment vertical="center"/>
    </xf>
    <xf numFmtId="4" fontId="6" fillId="0" borderId="173" xfId="0" applyNumberFormat="1" applyFont="1" applyBorder="1" applyAlignment="1">
      <alignment vertical="center"/>
    </xf>
    <xf numFmtId="4" fontId="6" fillId="0" borderId="177" xfId="0" applyNumberFormat="1" applyFont="1" applyBorder="1" applyAlignment="1">
      <alignment vertical="center"/>
    </xf>
    <xf numFmtId="4" fontId="6" fillId="0" borderId="178" xfId="0" applyNumberFormat="1" applyFont="1" applyBorder="1" applyAlignment="1">
      <alignment vertical="center"/>
    </xf>
    <xf numFmtId="0" fontId="24" fillId="0" borderId="179" xfId="0" applyFont="1" applyBorder="1" applyAlignment="1">
      <alignment vertical="center"/>
    </xf>
    <xf numFmtId="0" fontId="1" fillId="0" borderId="179" xfId="0" applyFont="1" applyBorder="1" applyAlignment="1">
      <alignment vertical="center"/>
    </xf>
    <xf numFmtId="4" fontId="0" fillId="0" borderId="179" xfId="0" applyNumberFormat="1" applyBorder="1" applyAlignment="1">
      <alignment vertical="center"/>
    </xf>
    <xf numFmtId="0" fontId="24" fillId="0" borderId="170" xfId="0" applyFont="1" applyBorder="1" applyAlignment="1">
      <alignment horizontal="left" vertical="center"/>
    </xf>
    <xf numFmtId="0" fontId="1" fillId="0" borderId="171" xfId="0" applyFont="1" applyBorder="1" applyAlignment="1">
      <alignment vertical="center"/>
    </xf>
    <xf numFmtId="4" fontId="0" fillId="0" borderId="180" xfId="0" applyNumberFormat="1" applyBorder="1" applyAlignment="1">
      <alignment vertical="center"/>
    </xf>
    <xf numFmtId="4" fontId="0" fillId="0" borderId="170" xfId="0" applyNumberFormat="1" applyBorder="1" applyAlignment="1">
      <alignment vertical="center"/>
    </xf>
    <xf numFmtId="0" fontId="6" fillId="0" borderId="155" xfId="0" applyFont="1" applyBorder="1" applyAlignment="1">
      <alignment vertical="center"/>
    </xf>
    <xf numFmtId="4" fontId="0" fillId="0" borderId="174" xfId="0" applyNumberFormat="1" applyBorder="1" applyAlignment="1">
      <alignment vertical="center"/>
    </xf>
    <xf numFmtId="4" fontId="0" fillId="0" borderId="171" xfId="0" applyNumberFormat="1" applyBorder="1" applyAlignment="1">
      <alignment vertical="center"/>
    </xf>
    <xf numFmtId="4" fontId="0" fillId="0" borderId="162" xfId="0" applyNumberFormat="1" applyBorder="1" applyAlignment="1">
      <alignment vertical="center"/>
    </xf>
    <xf numFmtId="0" fontId="7" fillId="0" borderId="63" xfId="0" applyFont="1" applyBorder="1"/>
    <xf numFmtId="0" fontId="6" fillId="0" borderId="122" xfId="0" applyFont="1" applyBorder="1" applyAlignment="1">
      <alignment vertical="center"/>
    </xf>
    <xf numFmtId="4" fontId="7" fillId="0" borderId="69" xfId="0" applyNumberFormat="1" applyFont="1" applyBorder="1" applyAlignment="1">
      <alignment vertical="center"/>
    </xf>
    <xf numFmtId="4" fontId="7" fillId="0" borderId="181" xfId="0" applyNumberFormat="1" applyFont="1" applyBorder="1" applyAlignment="1">
      <alignment vertical="center"/>
    </xf>
    <xf numFmtId="0" fontId="24" fillId="0" borderId="92" xfId="0" applyFont="1" applyBorder="1" applyAlignment="1" applyProtection="1">
      <alignment vertical="center"/>
      <protection locked="0"/>
    </xf>
    <xf numFmtId="0" fontId="0" fillId="0" borderId="100" xfId="0" applyBorder="1" applyAlignment="1" applyProtection="1">
      <alignment vertical="center"/>
      <protection locked="0"/>
    </xf>
    <xf numFmtId="4" fontId="0" fillId="0" borderId="92" xfId="0" applyNumberFormat="1" applyBorder="1" applyAlignment="1">
      <alignment vertical="center"/>
    </xf>
    <xf numFmtId="0" fontId="24" fillId="0" borderId="155" xfId="0" applyFont="1" applyBorder="1" applyAlignment="1" applyProtection="1">
      <alignment vertical="center"/>
      <protection locked="0"/>
    </xf>
    <xf numFmtId="0" fontId="0" fillId="0" borderId="182" xfId="0" applyBorder="1" applyAlignment="1" applyProtection="1">
      <alignment vertical="center"/>
      <protection locked="0"/>
    </xf>
    <xf numFmtId="0" fontId="16" fillId="0" borderId="77" xfId="0" applyFont="1" applyBorder="1" applyAlignment="1">
      <alignment vertical="center"/>
    </xf>
    <xf numFmtId="4" fontId="8" fillId="0" borderId="68" xfId="0" applyNumberFormat="1" applyFont="1" applyBorder="1" applyAlignment="1">
      <alignment vertical="center"/>
    </xf>
    <xf numFmtId="4" fontId="8" fillId="0" borderId="71" xfId="0" applyNumberFormat="1" applyFont="1" applyBorder="1" applyAlignment="1">
      <alignment vertical="center"/>
    </xf>
    <xf numFmtId="0" fontId="21" fillId="0" borderId="90" xfId="0" applyFont="1" applyBorder="1" applyAlignment="1">
      <alignment horizontal="right" vertical="center"/>
    </xf>
    <xf numFmtId="0" fontId="6" fillId="0" borderId="91" xfId="0" applyFont="1" applyBorder="1" applyAlignment="1">
      <alignment vertical="center" wrapText="1"/>
    </xf>
    <xf numFmtId="4" fontId="6" fillId="0" borderId="101" xfId="0" applyNumberFormat="1" applyFont="1" applyBorder="1" applyAlignment="1">
      <alignment vertical="center" wrapText="1"/>
    </xf>
    <xf numFmtId="4" fontId="6" fillId="0" borderId="127" xfId="0" applyNumberFormat="1" applyFont="1" applyBorder="1" applyAlignment="1">
      <alignment horizontal="right" vertical="center"/>
    </xf>
    <xf numFmtId="4" fontId="6" fillId="0" borderId="101" xfId="0" applyNumberFormat="1" applyFont="1" applyBorder="1" applyAlignment="1">
      <alignment horizontal="right" vertical="center"/>
    </xf>
    <xf numFmtId="0" fontId="7" fillId="0" borderId="80" xfId="0" applyFont="1" applyBorder="1"/>
    <xf numFmtId="0" fontId="7" fillId="0" borderId="110" xfId="0" applyFont="1" applyBorder="1"/>
    <xf numFmtId="0" fontId="6" fillId="0" borderId="113" xfId="0" applyFont="1" applyBorder="1"/>
    <xf numFmtId="0" fontId="7" fillId="0" borderId="104" xfId="0" applyFont="1" applyBorder="1"/>
    <xf numFmtId="0" fontId="7" fillId="0" borderId="102" xfId="0" applyFont="1" applyBorder="1"/>
    <xf numFmtId="4" fontId="8" fillId="0" borderId="69" xfId="0" applyNumberFormat="1" applyFont="1" applyBorder="1" applyAlignment="1">
      <alignment vertical="center"/>
    </xf>
    <xf numFmtId="4" fontId="8" fillId="0" borderId="72" xfId="0" applyNumberFormat="1" applyFont="1" applyBorder="1" applyAlignment="1">
      <alignment vertical="center"/>
    </xf>
    <xf numFmtId="4" fontId="8" fillId="0" borderId="144" xfId="0" applyNumberFormat="1" applyFont="1" applyBorder="1" applyAlignment="1">
      <alignment vertical="center"/>
    </xf>
    <xf numFmtId="0" fontId="6" fillId="0" borderId="105" xfId="0" applyFont="1" applyBorder="1"/>
    <xf numFmtId="0" fontId="6" fillId="0" borderId="116" xfId="0" applyFont="1" applyBorder="1" applyAlignment="1">
      <alignment vertical="center" wrapText="1"/>
    </xf>
    <xf numFmtId="4" fontId="6" fillId="0" borderId="23" xfId="0" applyNumberFormat="1" applyFont="1" applyBorder="1"/>
    <xf numFmtId="0" fontId="6" fillId="0" borderId="104" xfId="0" applyFont="1" applyBorder="1"/>
    <xf numFmtId="0" fontId="6" fillId="0" borderId="102" xfId="0" applyFont="1" applyBorder="1"/>
    <xf numFmtId="0" fontId="7" fillId="0" borderId="69" xfId="0" applyFont="1" applyBorder="1" applyAlignment="1">
      <alignment vertical="center"/>
    </xf>
    <xf numFmtId="0" fontId="16" fillId="0" borderId="131" xfId="0" applyFont="1" applyBorder="1" applyAlignment="1">
      <alignment vertical="center"/>
    </xf>
    <xf numFmtId="4" fontId="8" fillId="0" borderId="183" xfId="0" applyNumberFormat="1" applyFont="1" applyBorder="1" applyAlignment="1">
      <alignment vertical="center"/>
    </xf>
    <xf numFmtId="0" fontId="6" fillId="0" borderId="96" xfId="0" applyFont="1" applyBorder="1"/>
    <xf numFmtId="0" fontId="1" fillId="0" borderId="97" xfId="0" applyFont="1" applyBorder="1"/>
    <xf numFmtId="4" fontId="0" fillId="0" borderId="96" xfId="0" applyNumberFormat="1" applyBorder="1"/>
    <xf numFmtId="0" fontId="1" fillId="0" borderId="112" xfId="0" applyFont="1" applyBorder="1"/>
    <xf numFmtId="4" fontId="0" fillId="0" borderId="111" xfId="0" applyNumberFormat="1" applyBorder="1"/>
    <xf numFmtId="4" fontId="0" fillId="0" borderId="184" xfId="0" applyNumberFormat="1" applyBorder="1" applyAlignment="1">
      <alignment vertical="center"/>
    </xf>
    <xf numFmtId="4" fontId="0" fillId="0" borderId="101" xfId="0" applyNumberFormat="1" applyBorder="1"/>
    <xf numFmtId="4" fontId="8" fillId="0" borderId="3" xfId="0" applyNumberFormat="1" applyFont="1" applyBorder="1"/>
    <xf numFmtId="0" fontId="6" fillId="0" borderId="114" xfId="0" applyFont="1" applyBorder="1" applyAlignment="1">
      <alignment vertical="center"/>
    </xf>
    <xf numFmtId="0" fontId="7" fillId="0" borderId="63" xfId="0" applyFont="1" applyBorder="1" applyAlignment="1">
      <alignment vertical="center"/>
    </xf>
    <xf numFmtId="0" fontId="16" fillId="0" borderId="68" xfId="0" applyFont="1" applyBorder="1"/>
    <xf numFmtId="4" fontId="8" fillId="0" borderId="69" xfId="0" applyNumberFormat="1" applyFont="1" applyBorder="1"/>
    <xf numFmtId="0" fontId="6" fillId="0" borderId="98" xfId="0" applyFont="1" applyBorder="1" applyAlignment="1">
      <alignment vertical="center"/>
    </xf>
    <xf numFmtId="4" fontId="6" fillId="0" borderId="113" xfId="0" applyNumberFormat="1" applyFont="1" applyBorder="1" applyAlignment="1">
      <alignment vertical="center"/>
    </xf>
    <xf numFmtId="0" fontId="6" fillId="0" borderId="107" xfId="0" applyFont="1" applyBorder="1" applyAlignment="1">
      <alignment vertical="center"/>
    </xf>
    <xf numFmtId="0" fontId="6" fillId="0" borderId="119" xfId="0" applyFont="1" applyBorder="1" applyAlignment="1">
      <alignment vertical="center"/>
    </xf>
    <xf numFmtId="4" fontId="6" fillId="0" borderId="127" xfId="0" applyNumberFormat="1" applyFont="1" applyBorder="1" applyAlignment="1">
      <alignment vertical="center"/>
    </xf>
    <xf numFmtId="4" fontId="6" fillId="0" borderId="0" xfId="0" applyNumberFormat="1" applyFont="1" applyAlignment="1">
      <alignment vertical="center"/>
    </xf>
    <xf numFmtId="0" fontId="16" fillId="0" borderId="77" xfId="0" applyFont="1" applyBorder="1" applyAlignment="1">
      <alignment wrapText="1"/>
    </xf>
    <xf numFmtId="4" fontId="45" fillId="0" borderId="68" xfId="0" applyNumberFormat="1" applyFont="1" applyBorder="1"/>
    <xf numFmtId="0" fontId="0" fillId="0" borderId="71" xfId="0" applyBorder="1"/>
    <xf numFmtId="0" fontId="7" fillId="0" borderId="77" xfId="0" applyFont="1" applyBorder="1" applyAlignment="1">
      <alignment wrapText="1"/>
    </xf>
    <xf numFmtId="0" fontId="6" fillId="0" borderId="100" xfId="0" applyFont="1" applyBorder="1" applyAlignment="1">
      <alignment vertical="center"/>
    </xf>
    <xf numFmtId="0" fontId="6" fillId="0" borderId="185" xfId="0" applyFont="1" applyBorder="1" applyAlignment="1">
      <alignment vertical="center" wrapText="1"/>
    </xf>
    <xf numFmtId="4" fontId="6" fillId="0" borderId="186" xfId="0" applyNumberFormat="1" applyFont="1" applyBorder="1" applyAlignment="1">
      <alignment vertical="center"/>
    </xf>
    <xf numFmtId="0" fontId="0" fillId="0" borderId="103" xfId="0" applyBorder="1"/>
    <xf numFmtId="0" fontId="0" fillId="0" borderId="100" xfId="0" applyBorder="1"/>
    <xf numFmtId="0" fontId="5" fillId="0" borderId="129" xfId="0" applyFont="1" applyBorder="1" applyAlignment="1">
      <alignment vertical="center" wrapText="1"/>
    </xf>
    <xf numFmtId="4" fontId="5" fillId="0" borderId="98" xfId="0" applyNumberFormat="1" applyFont="1" applyBorder="1" applyAlignment="1">
      <alignment vertical="center"/>
    </xf>
    <xf numFmtId="4" fontId="5" fillId="0" borderId="187" xfId="0" applyNumberFormat="1" applyFont="1" applyBorder="1" applyAlignment="1">
      <alignment vertical="center"/>
    </xf>
    <xf numFmtId="0" fontId="1" fillId="0" borderId="129" xfId="0" applyFont="1" applyBorder="1" applyAlignment="1">
      <alignment vertical="center" wrapText="1"/>
    </xf>
    <xf numFmtId="4" fontId="6" fillId="0" borderId="187" xfId="0" applyNumberFormat="1" applyFont="1" applyBorder="1" applyAlignment="1">
      <alignment vertical="center"/>
    </xf>
    <xf numFmtId="4" fontId="5" fillId="0" borderId="100" xfId="0" applyNumberFormat="1" applyFont="1" applyBorder="1" applyAlignment="1">
      <alignment vertical="center"/>
    </xf>
    <xf numFmtId="0" fontId="32" fillId="0" borderId="129" xfId="0" applyFont="1" applyBorder="1" applyAlignment="1">
      <alignment vertical="center" wrapText="1"/>
    </xf>
    <xf numFmtId="4" fontId="34" fillId="0" borderId="98" xfId="0" applyNumberFormat="1" applyFont="1" applyBorder="1" applyAlignment="1">
      <alignment vertical="center"/>
    </xf>
    <xf numFmtId="4" fontId="34" fillId="0" borderId="187" xfId="0" applyNumberFormat="1" applyFont="1" applyBorder="1" applyAlignment="1">
      <alignment vertical="center"/>
    </xf>
    <xf numFmtId="4" fontId="34" fillId="0" borderId="102" xfId="0" applyNumberFormat="1" applyFont="1" applyBorder="1" applyAlignment="1">
      <alignment vertical="center"/>
    </xf>
    <xf numFmtId="4" fontId="34" fillId="0" borderId="188" xfId="0" applyNumberFormat="1" applyFont="1" applyBorder="1" applyAlignment="1">
      <alignment vertical="center"/>
    </xf>
    <xf numFmtId="0" fontId="6" fillId="0" borderId="129" xfId="0" applyFont="1" applyBorder="1" applyAlignment="1">
      <alignment vertical="center" wrapText="1"/>
    </xf>
    <xf numFmtId="4" fontId="5" fillId="0" borderId="98" xfId="0" applyNumberFormat="1" applyFont="1" applyBorder="1" applyAlignment="1">
      <alignment vertical="center" wrapText="1"/>
    </xf>
    <xf numFmtId="4" fontId="5" fillId="0" borderId="187" xfId="0" applyNumberFormat="1" applyFont="1" applyBorder="1"/>
    <xf numFmtId="4" fontId="5" fillId="0" borderId="102" xfId="0" applyNumberFormat="1" applyFont="1" applyBorder="1" applyAlignment="1">
      <alignment vertical="center"/>
    </xf>
    <xf numFmtId="4" fontId="5" fillId="0" borderId="188" xfId="0" applyNumberFormat="1" applyFont="1" applyBorder="1" applyAlignment="1">
      <alignment vertical="center"/>
    </xf>
    <xf numFmtId="4" fontId="5" fillId="0" borderId="101" xfId="0" applyNumberFormat="1" applyFont="1" applyBorder="1" applyAlignment="1">
      <alignment vertical="center"/>
    </xf>
    <xf numFmtId="4" fontId="5" fillId="0" borderId="189" xfId="0" applyNumberFormat="1" applyFont="1" applyBorder="1" applyAlignment="1">
      <alignment vertical="center"/>
    </xf>
    <xf numFmtId="4" fontId="34" fillId="0" borderId="100" xfId="0" applyNumberFormat="1" applyFont="1" applyBorder="1" applyAlignment="1">
      <alignment vertical="center"/>
    </xf>
    <xf numFmtId="4" fontId="34" fillId="0" borderId="189" xfId="0" applyNumberFormat="1" applyFont="1" applyBorder="1" applyAlignment="1">
      <alignment vertical="center"/>
    </xf>
    <xf numFmtId="0" fontId="6" fillId="0" borderId="110" xfId="0" applyFont="1" applyBorder="1" applyAlignment="1">
      <alignment vertical="center" wrapText="1"/>
    </xf>
    <xf numFmtId="4" fontId="34" fillId="0" borderId="101" xfId="0" applyNumberFormat="1" applyFont="1" applyBorder="1" applyAlignment="1">
      <alignment vertical="center"/>
    </xf>
    <xf numFmtId="4" fontId="34" fillId="0" borderId="0" xfId="0" applyNumberFormat="1" applyFont="1" applyAlignment="1">
      <alignment vertical="center"/>
    </xf>
    <xf numFmtId="0" fontId="0" fillId="0" borderId="104" xfId="0" applyBorder="1"/>
    <xf numFmtId="0" fontId="0" fillId="0" borderId="102" xfId="0" applyBorder="1"/>
    <xf numFmtId="4" fontId="46" fillId="0" borderId="68" xfId="0" applyNumberFormat="1" applyFont="1" applyBorder="1"/>
    <xf numFmtId="4" fontId="46" fillId="0" borderId="71" xfId="0" applyNumberFormat="1" applyFont="1" applyBorder="1"/>
    <xf numFmtId="4" fontId="46" fillId="0" borderId="150" xfId="0" applyNumberFormat="1" applyFont="1" applyBorder="1"/>
    <xf numFmtId="49" fontId="6" fillId="0" borderId="100" xfId="0" applyNumberFormat="1" applyFont="1" applyBorder="1" applyAlignment="1">
      <alignment horizontal="right" vertical="center"/>
    </xf>
    <xf numFmtId="2" fontId="6" fillId="0" borderId="185" xfId="0" applyNumberFormat="1" applyFont="1" applyBorder="1" applyAlignment="1">
      <alignment vertical="center" wrapText="1"/>
    </xf>
    <xf numFmtId="4" fontId="34" fillId="0" borderId="103" xfId="0" applyNumberFormat="1" applyFont="1" applyBorder="1" applyAlignment="1">
      <alignment vertical="center"/>
    </xf>
    <xf numFmtId="49" fontId="1" fillId="0" borderId="98" xfId="0" applyNumberFormat="1" applyFont="1" applyBorder="1" applyAlignment="1">
      <alignment horizontal="right" vertical="center"/>
    </xf>
    <xf numFmtId="2" fontId="1" fillId="0" borderId="129" xfId="0" applyNumberFormat="1" applyFont="1" applyBorder="1" applyAlignment="1">
      <alignment vertical="center" wrapText="1"/>
    </xf>
    <xf numFmtId="4" fontId="5" fillId="0" borderId="99" xfId="0" applyNumberFormat="1" applyFont="1" applyBorder="1" applyAlignment="1">
      <alignment vertical="center"/>
    </xf>
    <xf numFmtId="49" fontId="6" fillId="0" borderId="98" xfId="0" applyNumberFormat="1" applyFont="1" applyBorder="1" applyAlignment="1">
      <alignment horizontal="right" vertical="center"/>
    </xf>
    <xf numFmtId="2" fontId="6" fillId="0" borderId="129" xfId="0" applyNumberFormat="1" applyFont="1" applyBorder="1" applyAlignment="1">
      <alignment vertical="center" wrapText="1"/>
    </xf>
    <xf numFmtId="4" fontId="34" fillId="0" borderId="99" xfId="0" applyNumberFormat="1" applyFont="1" applyBorder="1" applyAlignment="1">
      <alignment vertical="center"/>
    </xf>
    <xf numFmtId="4" fontId="5" fillId="0" borderId="103" xfId="0" applyNumberFormat="1" applyFont="1" applyBorder="1" applyAlignment="1">
      <alignment vertical="center"/>
    </xf>
    <xf numFmtId="2" fontId="21" fillId="0" borderId="129" xfId="0" applyNumberFormat="1" applyFont="1" applyBorder="1" applyAlignment="1">
      <alignment vertical="center" wrapText="1"/>
    </xf>
    <xf numFmtId="4" fontId="5" fillId="0" borderId="104" xfId="0" applyNumberFormat="1" applyFont="1" applyBorder="1" applyAlignment="1">
      <alignment vertical="center"/>
    </xf>
    <xf numFmtId="49" fontId="1" fillId="0" borderId="101" xfId="0" applyNumberFormat="1" applyFont="1" applyBorder="1" applyAlignment="1">
      <alignment horizontal="right" vertical="center"/>
    </xf>
    <xf numFmtId="2" fontId="1" fillId="0" borderId="110" xfId="0" applyNumberFormat="1" applyFont="1" applyBorder="1" applyAlignment="1">
      <alignment vertical="center" wrapText="1"/>
    </xf>
    <xf numFmtId="4" fontId="5" fillId="0" borderId="119" xfId="0" applyNumberFormat="1" applyFont="1" applyBorder="1" applyAlignment="1">
      <alignment vertical="center"/>
    </xf>
    <xf numFmtId="4" fontId="5" fillId="0" borderId="127" xfId="0" applyNumberFormat="1" applyFont="1" applyBorder="1" applyAlignment="1">
      <alignment vertical="center"/>
    </xf>
    <xf numFmtId="4" fontId="46" fillId="0" borderId="68" xfId="0" applyNumberFormat="1" applyFont="1" applyBorder="1" applyAlignment="1">
      <alignment vertical="center" shrinkToFit="1"/>
    </xf>
    <xf numFmtId="4" fontId="46" fillId="0" borderId="71" xfId="0" applyNumberFormat="1" applyFont="1" applyBorder="1" applyAlignment="1">
      <alignment vertical="center" shrinkToFit="1"/>
    </xf>
    <xf numFmtId="4" fontId="34" fillId="0" borderId="100" xfId="0" applyNumberFormat="1" applyFont="1" applyBorder="1" applyAlignment="1">
      <alignment vertical="center" shrinkToFit="1"/>
    </xf>
    <xf numFmtId="4" fontId="34" fillId="0" borderId="103" xfId="0" applyNumberFormat="1" applyFont="1" applyBorder="1" applyAlignment="1">
      <alignment vertical="center" shrinkToFit="1"/>
    </xf>
    <xf numFmtId="0" fontId="1" fillId="0" borderId="190" xfId="0" applyFont="1" applyBorder="1" applyAlignment="1">
      <alignment vertical="center" wrapText="1"/>
    </xf>
    <xf numFmtId="4" fontId="47" fillId="0" borderId="191" xfId="0" applyNumberFormat="1" applyFont="1" applyBorder="1" applyAlignment="1">
      <alignment vertical="center"/>
    </xf>
    <xf numFmtId="4" fontId="5" fillId="0" borderId="191" xfId="0" applyNumberFormat="1" applyFont="1" applyBorder="1" applyAlignment="1">
      <alignment vertical="center"/>
    </xf>
    <xf numFmtId="4" fontId="5" fillId="0" borderId="115" xfId="0" applyNumberFormat="1" applyFont="1" applyBorder="1" applyAlignment="1">
      <alignment vertical="center"/>
    </xf>
    <xf numFmtId="4" fontId="48" fillId="0" borderId="63" xfId="0" applyNumberFormat="1" applyFont="1" applyBorder="1" applyAlignment="1">
      <alignment vertical="center"/>
    </xf>
    <xf numFmtId="4" fontId="48" fillId="0" borderId="78" xfId="0" applyNumberFormat="1" applyFont="1" applyBorder="1" applyAlignment="1">
      <alignment vertical="center"/>
    </xf>
    <xf numFmtId="4" fontId="48" fillId="0" borderId="15" xfId="0" applyNumberFormat="1" applyFont="1" applyBorder="1" applyAlignment="1">
      <alignment vertical="center"/>
    </xf>
    <xf numFmtId="4" fontId="48" fillId="0" borderId="68" xfId="0" applyNumberFormat="1" applyFont="1" applyBorder="1" applyAlignment="1">
      <alignment vertical="center"/>
    </xf>
    <xf numFmtId="4" fontId="34" fillId="0" borderId="123" xfId="0" applyNumberFormat="1" applyFont="1" applyBorder="1" applyAlignment="1">
      <alignment vertical="center"/>
    </xf>
    <xf numFmtId="4" fontId="34" fillId="0" borderId="14" xfId="0" applyNumberFormat="1" applyFont="1" applyBorder="1" applyAlignment="1">
      <alignment vertical="center"/>
    </xf>
    <xf numFmtId="4" fontId="5" fillId="0" borderId="90" xfId="0" applyNumberFormat="1" applyFont="1" applyBorder="1" applyAlignment="1">
      <alignment horizontal="right" vertical="center" wrapText="1"/>
    </xf>
    <xf numFmtId="4" fontId="5" fillId="0" borderId="13" xfId="1" applyNumberFormat="1" applyFont="1" applyBorder="1" applyAlignment="1" applyProtection="1">
      <alignment vertical="center"/>
    </xf>
    <xf numFmtId="4" fontId="5" fillId="0" borderId="13" xfId="0" applyNumberFormat="1" applyFont="1" applyBorder="1" applyAlignment="1">
      <alignment vertical="center"/>
    </xf>
    <xf numFmtId="4" fontId="5" fillId="0" borderId="96" xfId="0" applyNumberFormat="1" applyFont="1" applyBorder="1" applyAlignment="1">
      <alignment vertical="center"/>
    </xf>
    <xf numFmtId="49" fontId="0" fillId="0" borderId="98" xfId="0" applyNumberFormat="1" applyBorder="1" applyAlignment="1">
      <alignment horizontal="right" vertical="center" wrapText="1"/>
    </xf>
    <xf numFmtId="0" fontId="1" fillId="0" borderId="131" xfId="0" applyFont="1" applyBorder="1" applyAlignment="1">
      <alignment vertical="center" wrapText="1"/>
    </xf>
    <xf numFmtId="4" fontId="5" fillId="0" borderId="107" xfId="0" applyNumberFormat="1" applyFont="1" applyBorder="1" applyAlignment="1">
      <alignment vertical="center"/>
    </xf>
    <xf numFmtId="4" fontId="28" fillId="0" borderId="23" xfId="0" applyNumberFormat="1" applyFont="1" applyBorder="1" applyAlignment="1">
      <alignment horizontal="right"/>
    </xf>
    <xf numFmtId="4" fontId="5" fillId="0" borderId="20" xfId="0" applyNumberFormat="1" applyFont="1" applyBorder="1" applyAlignment="1">
      <alignment vertical="center"/>
    </xf>
    <xf numFmtId="4" fontId="5" fillId="0" borderId="113" xfId="0" applyNumberFormat="1" applyFont="1" applyBorder="1" applyAlignment="1">
      <alignment vertical="center"/>
    </xf>
    <xf numFmtId="4" fontId="48" fillId="0" borderId="68" xfId="0" applyNumberFormat="1" applyFont="1" applyBorder="1"/>
    <xf numFmtId="4" fontId="48" fillId="0" borderId="150" xfId="0" applyNumberFormat="1" applyFont="1" applyBorder="1"/>
    <xf numFmtId="4" fontId="48" fillId="0" borderId="71" xfId="0" applyNumberFormat="1" applyFont="1" applyBorder="1"/>
    <xf numFmtId="4" fontId="1" fillId="0" borderId="71" xfId="0" applyNumberFormat="1" applyFont="1" applyBorder="1"/>
    <xf numFmtId="4" fontId="34" fillId="0" borderId="139" xfId="0" applyNumberFormat="1" applyFont="1" applyBorder="1" applyAlignment="1">
      <alignment vertical="center"/>
    </xf>
    <xf numFmtId="4" fontId="34" fillId="0" borderId="90" xfId="0" applyNumberFormat="1" applyFont="1" applyBorder="1" applyAlignment="1">
      <alignment vertical="center"/>
    </xf>
    <xf numFmtId="4" fontId="1" fillId="0" borderId="103" xfId="0" applyNumberFormat="1" applyFont="1" applyBorder="1"/>
    <xf numFmtId="4" fontId="1" fillId="0" borderId="99" xfId="0" applyNumberFormat="1" applyFont="1" applyBorder="1"/>
    <xf numFmtId="4" fontId="34" fillId="0" borderId="13" xfId="0" applyNumberFormat="1" applyFont="1" applyBorder="1" applyAlignment="1">
      <alignment vertical="center"/>
    </xf>
    <xf numFmtId="4" fontId="34" fillId="0" borderId="96" xfId="0" applyNumberFormat="1" applyFont="1" applyBorder="1" applyAlignment="1">
      <alignment vertical="center"/>
    </xf>
    <xf numFmtId="0" fontId="7" fillId="0" borderId="98" xfId="0" applyFont="1" applyBorder="1"/>
    <xf numFmtId="4" fontId="34" fillId="0" borderId="126" xfId="0" applyNumberFormat="1" applyFont="1" applyBorder="1" applyAlignment="1">
      <alignment vertical="center"/>
    </xf>
    <xf numFmtId="0" fontId="21" fillId="0" borderId="97" xfId="0" applyFont="1" applyBorder="1" applyAlignment="1">
      <alignment vertical="center" wrapText="1"/>
    </xf>
    <xf numFmtId="4" fontId="5" fillId="0" borderId="123" xfId="0" applyNumberFormat="1" applyFont="1" applyBorder="1" applyAlignment="1">
      <alignment vertical="center"/>
    </xf>
    <xf numFmtId="0" fontId="33" fillId="0" borderId="97" xfId="0" applyFont="1" applyBorder="1" applyAlignment="1">
      <alignment vertical="center" wrapText="1"/>
    </xf>
    <xf numFmtId="4" fontId="0" fillId="0" borderId="123" xfId="0" applyNumberFormat="1" applyBorder="1" applyAlignment="1">
      <alignment vertical="center"/>
    </xf>
    <xf numFmtId="4" fontId="6" fillId="0" borderId="13" xfId="0" applyNumberFormat="1" applyFont="1" applyBorder="1" applyAlignment="1">
      <alignment vertical="center" shrinkToFit="1"/>
    </xf>
    <xf numFmtId="0" fontId="6" fillId="0" borderId="114" xfId="0" applyFont="1" applyBorder="1"/>
    <xf numFmtId="4" fontId="0" fillId="0" borderId="108" xfId="0" applyNumberFormat="1" applyBorder="1" applyAlignment="1">
      <alignment vertical="center"/>
    </xf>
    <xf numFmtId="4" fontId="6" fillId="0" borderId="20" xfId="0" applyNumberFormat="1" applyFont="1" applyBorder="1"/>
    <xf numFmtId="4" fontId="1" fillId="0" borderId="104" xfId="0" applyNumberFormat="1" applyFont="1" applyBorder="1"/>
    <xf numFmtId="0" fontId="16" fillId="0" borderId="77" xfId="0" applyFont="1" applyBorder="1"/>
    <xf numFmtId="4" fontId="8" fillId="0" borderId="80" xfId="0" applyNumberFormat="1" applyFont="1" applyBorder="1" applyAlignment="1">
      <alignment shrinkToFit="1"/>
    </xf>
    <xf numFmtId="4" fontId="8" fillId="0" borderId="71" xfId="0" applyNumberFormat="1" applyFont="1" applyBorder="1" applyAlignment="1">
      <alignment shrinkToFit="1"/>
    </xf>
    <xf numFmtId="0" fontId="6" fillId="0" borderId="192" xfId="0" applyFont="1" applyBorder="1"/>
    <xf numFmtId="0" fontId="6" fillId="0" borderId="185" xfId="0" applyFont="1" applyBorder="1"/>
    <xf numFmtId="4" fontId="6" fillId="7" borderId="193" xfId="0" applyNumberFormat="1" applyFont="1" applyFill="1" applyBorder="1"/>
    <xf numFmtId="4" fontId="6" fillId="7" borderId="100" xfId="0" applyNumberFormat="1" applyFont="1" applyFill="1" applyBorder="1" applyAlignment="1">
      <alignment vertical="center"/>
    </xf>
    <xf numFmtId="4" fontId="6" fillId="7" borderId="194" xfId="0" applyNumberFormat="1" applyFont="1" applyFill="1" applyBorder="1" applyAlignment="1">
      <alignment vertical="center"/>
    </xf>
    <xf numFmtId="4" fontId="6" fillId="7" borderId="91" xfId="0" applyNumberFormat="1" applyFont="1" applyFill="1" applyBorder="1" applyAlignment="1">
      <alignment vertical="center"/>
    </xf>
    <xf numFmtId="0" fontId="21" fillId="0" borderId="91" xfId="0" applyFont="1" applyBorder="1" applyAlignment="1">
      <alignment vertical="center" wrapText="1"/>
    </xf>
    <xf numFmtId="4" fontId="0" fillId="7" borderId="14" xfId="0" applyNumberFormat="1" applyFill="1" applyBorder="1" applyAlignment="1">
      <alignment vertical="center" shrinkToFit="1"/>
    </xf>
    <xf numFmtId="4" fontId="0" fillId="7" borderId="90" xfId="0" applyNumberFormat="1" applyFill="1" applyBorder="1" applyAlignment="1">
      <alignment vertical="center" shrinkToFit="1"/>
    </xf>
    <xf numFmtId="4" fontId="0" fillId="7" borderId="91" xfId="0" applyNumberFormat="1" applyFill="1" applyBorder="1" applyAlignment="1">
      <alignment vertical="center" shrinkToFit="1"/>
    </xf>
    <xf numFmtId="0" fontId="7" fillId="0" borderId="90" xfId="0" applyFont="1" applyBorder="1"/>
    <xf numFmtId="4" fontId="6" fillId="7" borderId="112" xfId="0" applyNumberFormat="1" applyFont="1" applyFill="1" applyBorder="1" applyAlignment="1">
      <alignment vertical="center"/>
    </xf>
    <xf numFmtId="4" fontId="6" fillId="7" borderId="101" xfId="0" applyNumberFormat="1" applyFont="1" applyFill="1" applyBorder="1" applyAlignment="1">
      <alignment vertical="center"/>
    </xf>
    <xf numFmtId="4" fontId="6" fillId="7" borderId="23" xfId="0" applyNumberFormat="1" applyFont="1" applyFill="1" applyBorder="1" applyAlignment="1">
      <alignment vertical="center"/>
    </xf>
    <xf numFmtId="4" fontId="6" fillId="7" borderId="0" xfId="0" applyNumberFormat="1" applyFont="1" applyFill="1" applyAlignment="1">
      <alignment vertical="center"/>
    </xf>
    <xf numFmtId="4" fontId="8" fillId="0" borderId="69" xfId="0" applyNumberFormat="1" applyFont="1" applyBorder="1" applyAlignment="1">
      <alignment shrinkToFit="1"/>
    </xf>
    <xf numFmtId="4" fontId="7" fillId="0" borderId="69" xfId="0" applyNumberFormat="1" applyFont="1" applyBorder="1" applyAlignment="1">
      <alignment shrinkToFit="1"/>
    </xf>
    <xf numFmtId="4" fontId="7" fillId="0" borderId="195" xfId="0" applyNumberFormat="1" applyFont="1" applyBorder="1" applyAlignment="1">
      <alignment shrinkToFit="1"/>
    </xf>
    <xf numFmtId="4" fontId="6" fillId="0" borderId="196" xfId="0" applyNumberFormat="1" applyFont="1" applyBorder="1" applyAlignment="1">
      <alignment vertical="center"/>
    </xf>
    <xf numFmtId="4" fontId="6" fillId="0" borderId="197" xfId="0" applyNumberFormat="1" applyFont="1" applyBorder="1" applyAlignment="1">
      <alignment vertical="center"/>
    </xf>
    <xf numFmtId="0" fontId="7" fillId="0" borderId="99" xfId="0" applyFont="1" applyBorder="1"/>
    <xf numFmtId="4" fontId="0" fillId="0" borderId="197" xfId="0" applyNumberFormat="1" applyBorder="1" applyAlignment="1">
      <alignment vertical="center"/>
    </xf>
    <xf numFmtId="166" fontId="6" fillId="0" borderId="99" xfId="0" applyNumberFormat="1" applyFont="1" applyBorder="1"/>
    <xf numFmtId="166" fontId="6" fillId="0" borderId="98" xfId="0" applyNumberFormat="1" applyFont="1" applyBorder="1"/>
    <xf numFmtId="4" fontId="6" fillId="0" borderId="198" xfId="0" applyNumberFormat="1" applyFont="1" applyBorder="1" applyAlignment="1">
      <alignment vertical="center"/>
    </xf>
    <xf numFmtId="4" fontId="7" fillId="0" borderId="69" xfId="0" applyNumberFormat="1" applyFont="1" applyBorder="1"/>
    <xf numFmtId="0" fontId="6" fillId="0" borderId="113" xfId="0" applyFont="1" applyBorder="1" applyAlignment="1">
      <alignment vertical="center"/>
    </xf>
    <xf numFmtId="0" fontId="1" fillId="0" borderId="114" xfId="0" applyFont="1" applyBorder="1" applyAlignment="1">
      <alignment vertical="center" wrapText="1"/>
    </xf>
    <xf numFmtId="4" fontId="8" fillId="0" borderId="83" xfId="0" applyNumberFormat="1" applyFont="1" applyBorder="1" applyAlignment="1">
      <alignment vertical="center"/>
    </xf>
    <xf numFmtId="4" fontId="6" fillId="0" borderId="90" xfId="0" applyNumberFormat="1" applyFont="1" applyBorder="1" applyAlignment="1">
      <alignment horizontal="right" vertical="center"/>
    </xf>
    <xf numFmtId="4" fontId="6" fillId="0" borderId="109" xfId="0" applyNumberFormat="1" applyFont="1" applyBorder="1" applyAlignment="1">
      <alignment horizontal="right" vertical="center"/>
    </xf>
    <xf numFmtId="4" fontId="6" fillId="0" borderId="93" xfId="0" applyNumberFormat="1" applyFont="1" applyBorder="1" applyAlignment="1">
      <alignment horizontal="right" vertical="center"/>
    </xf>
    <xf numFmtId="4" fontId="6" fillId="0" borderId="46" xfId="0" applyNumberFormat="1" applyFont="1" applyBorder="1" applyAlignment="1">
      <alignment horizontal="right" vertical="center"/>
    </xf>
    <xf numFmtId="0" fontId="21" fillId="0" borderId="112" xfId="0" applyFont="1" applyBorder="1" applyAlignment="1">
      <alignment vertical="center" wrapText="1"/>
    </xf>
    <xf numFmtId="4" fontId="0" fillId="0" borderId="197" xfId="0" applyNumberFormat="1" applyBorder="1"/>
    <xf numFmtId="4" fontId="0" fillId="0" borderId="19" xfId="0" applyNumberFormat="1" applyBorder="1"/>
    <xf numFmtId="0" fontId="1" fillId="0" borderId="131" xfId="0" applyFont="1" applyBorder="1" applyAlignment="1">
      <alignment vertical="center"/>
    </xf>
    <xf numFmtId="0" fontId="6" fillId="0" borderId="199" xfId="0" applyFont="1" applyBorder="1" applyAlignment="1">
      <alignment vertical="center"/>
    </xf>
    <xf numFmtId="0" fontId="6" fillId="0" borderId="200" xfId="0" applyFont="1" applyBorder="1" applyAlignment="1">
      <alignment vertical="center"/>
    </xf>
    <xf numFmtId="4" fontId="8" fillId="0" borderId="80" xfId="0" applyNumberFormat="1" applyFont="1" applyBorder="1" applyAlignment="1">
      <alignment vertical="center"/>
    </xf>
    <xf numFmtId="4" fontId="6" fillId="0" borderId="20" xfId="0" applyNumberFormat="1" applyFont="1" applyBorder="1" applyAlignment="1">
      <alignment vertical="center"/>
    </xf>
    <xf numFmtId="0" fontId="1" fillId="0" borderId="183" xfId="0" applyFont="1" applyBorder="1" applyAlignment="1">
      <alignment vertical="center"/>
    </xf>
    <xf numFmtId="0" fontId="7" fillId="0" borderId="201" xfId="0" applyFont="1" applyBorder="1"/>
    <xf numFmtId="4" fontId="7" fillId="0" borderId="183" xfId="0" applyNumberFormat="1" applyFont="1" applyBorder="1" applyAlignment="1">
      <alignment vertical="center"/>
    </xf>
    <xf numFmtId="4" fontId="7" fillId="0" borderId="67" xfId="0" applyNumberFormat="1" applyFont="1" applyBorder="1" applyAlignment="1">
      <alignment vertical="center"/>
    </xf>
    <xf numFmtId="4" fontId="7" fillId="0" borderId="89" xfId="0" applyNumberFormat="1" applyFont="1" applyBorder="1" applyAlignment="1">
      <alignment vertical="center"/>
    </xf>
    <xf numFmtId="0" fontId="11" fillId="0" borderId="71" xfId="0" applyFont="1" applyBorder="1"/>
    <xf numFmtId="0" fontId="21" fillId="0" borderId="93" xfId="0" applyFont="1" applyBorder="1" applyAlignment="1" applyProtection="1">
      <alignment horizontal="right" vertical="center"/>
      <protection locked="0"/>
    </xf>
    <xf numFmtId="0" fontId="0" fillId="0" borderId="202" xfId="0" applyBorder="1" applyAlignment="1" applyProtection="1">
      <alignment vertical="center"/>
      <protection locked="0"/>
    </xf>
    <xf numFmtId="0" fontId="11" fillId="0" borderId="103" xfId="0" applyFont="1" applyBorder="1"/>
    <xf numFmtId="0" fontId="21" fillId="0" borderId="107" xfId="0" applyFont="1" applyBorder="1" applyAlignment="1" applyProtection="1">
      <alignment horizontal="right" vertical="center"/>
      <protection locked="0"/>
    </xf>
    <xf numFmtId="0" fontId="0" fillId="0" borderId="130" xfId="0" applyBorder="1" applyAlignment="1" applyProtection="1">
      <alignment vertical="center"/>
      <protection locked="0"/>
    </xf>
    <xf numFmtId="4" fontId="6" fillId="0" borderId="108" xfId="0" applyNumberFormat="1" applyFont="1" applyBorder="1" applyAlignment="1">
      <alignment vertical="center"/>
    </xf>
    <xf numFmtId="0" fontId="11" fillId="0" borderId="104" xfId="0" applyFont="1" applyBorder="1"/>
    <xf numFmtId="0" fontId="6" fillId="0" borderId="130" xfId="0" applyFont="1" applyBorder="1" applyAlignment="1">
      <alignment vertical="center"/>
    </xf>
    <xf numFmtId="0" fontId="16" fillId="0" borderId="183" xfId="0" applyFont="1" applyBorder="1" applyAlignment="1">
      <alignment horizontal="center" vertical="center"/>
    </xf>
    <xf numFmtId="4" fontId="16" fillId="0" borderId="68" xfId="0" applyNumberFormat="1" applyFont="1" applyBorder="1" applyAlignment="1">
      <alignment vertical="center"/>
    </xf>
    <xf numFmtId="4" fontId="7" fillId="7" borderId="71" xfId="0" applyNumberFormat="1" applyFont="1" applyFill="1" applyBorder="1" applyAlignment="1">
      <alignment vertical="center"/>
    </xf>
    <xf numFmtId="0" fontId="11" fillId="0" borderId="68" xfId="0" applyFont="1" applyBorder="1"/>
    <xf numFmtId="0" fontId="6" fillId="0" borderId="89" xfId="0" applyFont="1" applyBorder="1" applyAlignment="1">
      <alignment horizontal="right" vertical="center"/>
    </xf>
    <xf numFmtId="49" fontId="6" fillId="0" borderId="132" xfId="0" applyNumberFormat="1" applyFont="1" applyBorder="1" applyAlignment="1">
      <alignment vertical="center" wrapText="1"/>
    </xf>
    <xf numFmtId="0" fontId="11" fillId="0" borderId="100" xfId="0" applyFont="1" applyBorder="1"/>
    <xf numFmtId="0" fontId="11" fillId="0" borderId="99" xfId="0" applyFont="1" applyBorder="1"/>
    <xf numFmtId="0" fontId="11" fillId="0" borderId="98" xfId="0" applyFont="1" applyBorder="1"/>
    <xf numFmtId="0" fontId="32" fillId="0" borderId="97" xfId="0" applyFont="1" applyBorder="1" applyAlignment="1">
      <alignment vertical="center" wrapText="1"/>
    </xf>
    <xf numFmtId="0" fontId="38" fillId="0" borderId="97" xfId="0" applyFont="1" applyBorder="1" applyAlignment="1">
      <alignment vertical="center"/>
    </xf>
    <xf numFmtId="4" fontId="38" fillId="0" borderId="96" xfId="0" applyNumberFormat="1" applyFont="1" applyBorder="1" applyAlignment="1">
      <alignment vertical="center"/>
    </xf>
    <xf numFmtId="4" fontId="38" fillId="0" borderId="126" xfId="0" applyNumberFormat="1" applyFont="1" applyBorder="1" applyAlignment="1">
      <alignment vertical="center"/>
    </xf>
    <xf numFmtId="49" fontId="0" fillId="0" borderId="97" xfId="0" applyNumberFormat="1" applyBorder="1" applyAlignment="1">
      <alignment vertical="center" wrapText="1"/>
    </xf>
    <xf numFmtId="49" fontId="0" fillId="7" borderId="97" xfId="0" applyNumberFormat="1" applyFill="1" applyBorder="1" applyAlignment="1">
      <alignment vertical="center" wrapText="1"/>
    </xf>
    <xf numFmtId="0" fontId="42" fillId="0" borderId="0" xfId="0" applyFont="1"/>
    <xf numFmtId="49" fontId="38" fillId="7" borderId="97" xfId="0" applyNumberFormat="1" applyFont="1" applyFill="1" applyBorder="1" applyAlignment="1">
      <alignment vertical="center" wrapText="1"/>
    </xf>
    <xf numFmtId="4" fontId="38" fillId="7" borderId="96" xfId="0" applyNumberFormat="1" applyFont="1" applyFill="1" applyBorder="1" applyAlignment="1">
      <alignment horizontal="right" vertical="center"/>
    </xf>
    <xf numFmtId="4" fontId="38" fillId="0" borderId="126" xfId="0" applyNumberFormat="1" applyFont="1" applyBorder="1" applyAlignment="1">
      <alignment horizontal="right" vertical="center"/>
    </xf>
    <xf numFmtId="4" fontId="38" fillId="0" borderId="96" xfId="0" applyNumberFormat="1" applyFont="1" applyBorder="1" applyAlignment="1">
      <alignment horizontal="right" vertical="center"/>
    </xf>
    <xf numFmtId="0" fontId="26" fillId="0" borderId="99" xfId="0" applyFont="1" applyBorder="1"/>
    <xf numFmtId="0" fontId="0" fillId="7" borderId="91" xfId="0" applyFill="1" applyBorder="1" applyAlignment="1">
      <alignment vertical="center" wrapText="1"/>
    </xf>
    <xf numFmtId="0" fontId="38" fillId="7" borderId="91" xfId="0" applyFont="1" applyFill="1" applyBorder="1" applyAlignment="1">
      <alignment vertical="center" wrapText="1"/>
    </xf>
    <xf numFmtId="4" fontId="38" fillId="7" borderId="96" xfId="0" applyNumberFormat="1" applyFont="1" applyFill="1" applyBorder="1" applyAlignment="1">
      <alignment vertical="center"/>
    </xf>
    <xf numFmtId="0" fontId="32" fillId="7" borderId="91" xfId="0" applyFont="1" applyFill="1" applyBorder="1" applyAlignment="1">
      <alignment vertical="center"/>
    </xf>
    <xf numFmtId="0" fontId="38" fillId="7" borderId="97" xfId="0" applyFont="1" applyFill="1" applyBorder="1" applyAlignment="1">
      <alignment vertical="center"/>
    </xf>
    <xf numFmtId="4" fontId="38" fillId="7" borderId="90" xfId="0" applyNumberFormat="1" applyFont="1" applyFill="1" applyBorder="1" applyAlignment="1">
      <alignment vertical="center"/>
    </xf>
    <xf numFmtId="4" fontId="38" fillId="0" borderId="123" xfId="0" applyNumberFormat="1" applyFont="1" applyBorder="1" applyAlignment="1">
      <alignment vertical="center"/>
    </xf>
    <xf numFmtId="4" fontId="38" fillId="0" borderId="90" xfId="0" applyNumberFormat="1" applyFont="1" applyBorder="1" applyAlignment="1">
      <alignment vertical="center"/>
    </xf>
    <xf numFmtId="49" fontId="0" fillId="7" borderId="91" xfId="0" applyNumberFormat="1" applyFill="1" applyBorder="1" applyAlignment="1">
      <alignment vertical="center"/>
    </xf>
    <xf numFmtId="0" fontId="0" fillId="0" borderId="113" xfId="0" applyBorder="1" applyAlignment="1">
      <alignment horizontal="right" vertical="center"/>
    </xf>
    <xf numFmtId="0" fontId="38" fillId="7" borderId="114" xfId="0" applyFont="1" applyFill="1" applyBorder="1" applyAlignment="1">
      <alignment vertical="center"/>
    </xf>
    <xf numFmtId="4" fontId="38" fillId="7" borderId="113" xfId="0" applyNumberFormat="1" applyFont="1" applyFill="1" applyBorder="1" applyAlignment="1">
      <alignment vertical="center"/>
    </xf>
    <xf numFmtId="4" fontId="38" fillId="0" borderId="125" xfId="0" applyNumberFormat="1" applyFont="1" applyBorder="1" applyAlignment="1">
      <alignment vertical="center"/>
    </xf>
    <xf numFmtId="4" fontId="38" fillId="0" borderId="113" xfId="0" applyNumberFormat="1" applyFont="1" applyBorder="1" applyAlignment="1">
      <alignment vertical="center"/>
    </xf>
    <xf numFmtId="0" fontId="0" fillId="0" borderId="124" xfId="0" applyBorder="1" applyAlignment="1">
      <alignment horizontal="right" vertical="center"/>
    </xf>
    <xf numFmtId="0" fontId="0" fillId="7" borderId="203" xfId="0" applyFill="1" applyBorder="1" applyAlignment="1">
      <alignment vertical="center"/>
    </xf>
    <xf numFmtId="4" fontId="0" fillId="7" borderId="204" xfId="0" applyNumberFormat="1" applyFill="1" applyBorder="1" applyAlignment="1">
      <alignment vertical="center"/>
    </xf>
    <xf numFmtId="4" fontId="0" fillId="0" borderId="205" xfId="0" applyNumberFormat="1" applyBorder="1" applyAlignment="1">
      <alignment vertical="center"/>
    </xf>
    <xf numFmtId="4" fontId="0" fillId="0" borderId="124" xfId="0" applyNumberFormat="1" applyBorder="1" applyAlignment="1">
      <alignment vertical="center"/>
    </xf>
    <xf numFmtId="0" fontId="0" fillId="0" borderId="111" xfId="0" applyBorder="1" applyAlignment="1">
      <alignment horizontal="right" vertical="center"/>
    </xf>
    <xf numFmtId="0" fontId="0" fillId="7" borderId="112" xfId="0" applyFill="1" applyBorder="1" applyAlignment="1">
      <alignment vertical="center"/>
    </xf>
    <xf numFmtId="4" fontId="0" fillId="7" borderId="206" xfId="0" applyNumberFormat="1" applyFill="1" applyBorder="1" applyAlignment="1">
      <alignment vertical="center"/>
    </xf>
    <xf numFmtId="4" fontId="0" fillId="0" borderId="207" xfId="0" applyNumberFormat="1" applyBorder="1" applyAlignment="1">
      <alignment vertical="center"/>
    </xf>
    <xf numFmtId="0" fontId="0" fillId="0" borderId="90" xfId="0" applyBorder="1" applyAlignment="1">
      <alignment horizontal="right" vertical="center"/>
    </xf>
    <xf numFmtId="4" fontId="38" fillId="0" borderId="97" xfId="0" applyNumberFormat="1" applyFont="1" applyBorder="1" applyAlignment="1">
      <alignment vertical="center"/>
    </xf>
    <xf numFmtId="4" fontId="0" fillId="0" borderId="97" xfId="0" applyNumberFormat="1" applyBorder="1" applyAlignment="1">
      <alignment vertical="center"/>
    </xf>
    <xf numFmtId="0" fontId="38" fillId="7" borderId="97" xfId="0" applyFont="1" applyFill="1" applyBorder="1" applyAlignment="1">
      <alignment vertical="center" wrapText="1"/>
    </xf>
    <xf numFmtId="4" fontId="38" fillId="7" borderId="96" xfId="0" applyNumberFormat="1" applyFont="1" applyFill="1" applyBorder="1"/>
    <xf numFmtId="4" fontId="38" fillId="0" borderId="126" xfId="0" applyNumberFormat="1" applyFont="1" applyBorder="1"/>
    <xf numFmtId="4" fontId="0" fillId="0" borderId="90" xfId="0" applyNumberFormat="1" applyBorder="1"/>
    <xf numFmtId="4" fontId="0" fillId="0" borderId="91" xfId="0" applyNumberFormat="1" applyBorder="1"/>
    <xf numFmtId="0" fontId="32" fillId="0" borderId="96" xfId="0" applyFont="1" applyBorder="1" applyAlignment="1">
      <alignment horizontal="right" vertical="center"/>
    </xf>
    <xf numFmtId="0" fontId="32" fillId="7" borderId="97" xfId="0" applyFont="1" applyFill="1" applyBorder="1" applyAlignment="1">
      <alignment vertical="center" wrapText="1"/>
    </xf>
    <xf numFmtId="4" fontId="32" fillId="7" borderId="90" xfId="0" applyNumberFormat="1" applyFont="1" applyFill="1" applyBorder="1"/>
    <xf numFmtId="4" fontId="32" fillId="0" borderId="123" xfId="0" applyNumberFormat="1" applyFont="1" applyBorder="1"/>
    <xf numFmtId="4" fontId="0" fillId="7" borderId="96" xfId="0" applyNumberFormat="1" applyFill="1" applyBorder="1"/>
    <xf numFmtId="4" fontId="0" fillId="0" borderId="126" xfId="0" applyNumberFormat="1" applyBorder="1"/>
    <xf numFmtId="4" fontId="0" fillId="0" borderId="123" xfId="0" applyNumberFormat="1" applyBorder="1"/>
    <xf numFmtId="0" fontId="32" fillId="7" borderId="97" xfId="0" applyFont="1" applyFill="1" applyBorder="1" applyAlignment="1">
      <alignment vertical="center"/>
    </xf>
    <xf numFmtId="4" fontId="32" fillId="7" borderId="96" xfId="0" applyNumberFormat="1" applyFont="1" applyFill="1" applyBorder="1" applyAlignment="1">
      <alignment vertical="center"/>
    </xf>
    <xf numFmtId="4" fontId="32" fillId="0" borderId="126" xfId="0" applyNumberFormat="1" applyFont="1" applyBorder="1" applyAlignment="1">
      <alignment vertical="center"/>
    </xf>
    <xf numFmtId="4" fontId="32" fillId="0" borderId="96" xfId="0" applyNumberFormat="1" applyFont="1" applyBorder="1" applyAlignment="1">
      <alignment vertical="center"/>
    </xf>
    <xf numFmtId="0" fontId="38" fillId="7" borderId="91" xfId="0" applyFont="1" applyFill="1" applyBorder="1" applyAlignment="1">
      <alignment vertical="center"/>
    </xf>
    <xf numFmtId="0" fontId="13" fillId="0" borderId="99" xfId="0" applyFont="1" applyBorder="1"/>
    <xf numFmtId="0" fontId="13" fillId="0" borderId="98" xfId="0" applyFont="1" applyBorder="1"/>
    <xf numFmtId="0" fontId="38" fillId="0" borderId="96" xfId="0" applyFont="1" applyBorder="1" applyAlignment="1">
      <alignment horizontal="right" vertical="center"/>
    </xf>
    <xf numFmtId="49" fontId="32" fillId="7" borderId="91" xfId="0" applyNumberFormat="1" applyFont="1" applyFill="1" applyBorder="1" applyAlignment="1">
      <alignment vertical="center" wrapText="1"/>
    </xf>
    <xf numFmtId="49" fontId="0" fillId="7" borderId="91" xfId="0" applyNumberFormat="1" applyFill="1" applyBorder="1" applyAlignment="1">
      <alignment vertical="center" wrapText="1"/>
    </xf>
    <xf numFmtId="4" fontId="0" fillId="0" borderId="126" xfId="0" applyNumberFormat="1" applyBorder="1" applyAlignment="1">
      <alignment horizontal="right" vertical="center"/>
    </xf>
    <xf numFmtId="4" fontId="0" fillId="0" borderId="96" xfId="0" applyNumberFormat="1" applyBorder="1" applyAlignment="1">
      <alignment horizontal="right" vertical="center"/>
    </xf>
    <xf numFmtId="49" fontId="32" fillId="7" borderId="97" xfId="0" applyNumberFormat="1" applyFont="1" applyFill="1" applyBorder="1" applyAlignment="1">
      <alignment vertical="center"/>
    </xf>
    <xf numFmtId="4" fontId="32" fillId="7" borderId="90" xfId="0" applyNumberFormat="1" applyFont="1" applyFill="1" applyBorder="1" applyAlignment="1">
      <alignment vertical="center"/>
    </xf>
    <xf numFmtId="4" fontId="32" fillId="0" borderId="123" xfId="0" applyNumberFormat="1" applyFont="1" applyBorder="1" applyAlignment="1">
      <alignment vertical="center"/>
    </xf>
    <xf numFmtId="4" fontId="32" fillId="0" borderId="90" xfId="0" applyNumberFormat="1" applyFont="1" applyBorder="1" applyAlignment="1">
      <alignment vertical="center"/>
    </xf>
    <xf numFmtId="0" fontId="0" fillId="7" borderId="97" xfId="9" applyFont="1" applyFill="1" applyBorder="1" applyAlignment="1">
      <alignment vertical="center" wrapText="1"/>
    </xf>
    <xf numFmtId="0" fontId="0" fillId="7" borderId="91" xfId="9" applyFont="1" applyFill="1" applyBorder="1" applyAlignment="1">
      <alignment vertical="center" wrapText="1"/>
    </xf>
    <xf numFmtId="0" fontId="38" fillId="7" borderId="97" xfId="9" applyFont="1" applyFill="1" applyBorder="1" applyAlignment="1">
      <alignment vertical="center" wrapText="1"/>
    </xf>
    <xf numFmtId="49" fontId="0" fillId="7" borderId="97" xfId="9" applyNumberFormat="1" applyFont="1" applyFill="1" applyBorder="1" applyAlignment="1">
      <alignment vertical="center" wrapText="1"/>
    </xf>
    <xf numFmtId="0" fontId="0" fillId="7" borderId="97" xfId="9" applyFont="1" applyFill="1" applyBorder="1" applyAlignment="1">
      <alignment vertical="center"/>
    </xf>
    <xf numFmtId="0" fontId="38" fillId="0" borderId="90" xfId="0" applyFont="1" applyBorder="1" applyAlignment="1">
      <alignment horizontal="right" vertical="center"/>
    </xf>
    <xf numFmtId="0" fontId="38" fillId="7" borderId="97" xfId="9" applyFont="1" applyFill="1" applyBorder="1" applyAlignment="1">
      <alignment vertical="center"/>
    </xf>
    <xf numFmtId="2" fontId="0" fillId="7" borderId="97" xfId="0" applyNumberFormat="1" applyFill="1" applyBorder="1" applyAlignment="1">
      <alignment vertical="center" wrapText="1"/>
    </xf>
    <xf numFmtId="0" fontId="0" fillId="7" borderId="97" xfId="10" applyFont="1" applyFill="1" applyBorder="1" applyAlignment="1">
      <alignment vertical="center" wrapText="1"/>
    </xf>
    <xf numFmtId="0" fontId="0" fillId="7" borderId="91" xfId="10" applyFont="1" applyFill="1" applyBorder="1" applyAlignment="1">
      <alignment vertical="center" wrapText="1"/>
    </xf>
    <xf numFmtId="49" fontId="6" fillId="0" borderId="91" xfId="9" applyNumberFormat="1" applyFont="1" applyBorder="1" applyAlignment="1">
      <alignment vertical="center" wrapText="1"/>
    </xf>
    <xf numFmtId="49" fontId="0" fillId="7" borderId="91" xfId="9" applyNumberFormat="1" applyFont="1" applyFill="1" applyBorder="1" applyAlignment="1">
      <alignment vertical="center" wrapText="1"/>
    </xf>
    <xf numFmtId="0" fontId="38" fillId="7" borderId="91" xfId="9" applyFont="1" applyFill="1" applyBorder="1" applyAlignment="1">
      <alignment vertical="center" wrapText="1"/>
    </xf>
    <xf numFmtId="0" fontId="6" fillId="7" borderId="91" xfId="9" applyFont="1" applyFill="1" applyBorder="1" applyAlignment="1">
      <alignment vertical="center" wrapText="1"/>
    </xf>
    <xf numFmtId="0" fontId="6" fillId="0" borderId="111" xfId="0" applyFont="1" applyBorder="1" applyAlignment="1">
      <alignment horizontal="right" vertical="center"/>
    </xf>
    <xf numFmtId="0" fontId="0" fillId="7" borderId="185" xfId="9" applyFont="1" applyFill="1" applyBorder="1" applyAlignment="1">
      <alignment vertical="center" wrapText="1"/>
    </xf>
    <xf numFmtId="0" fontId="6" fillId="0" borderId="124" xfId="0" applyFont="1" applyBorder="1" applyAlignment="1">
      <alignment horizontal="right" vertical="center"/>
    </xf>
    <xf numFmtId="0" fontId="0" fillId="7" borderId="203" xfId="9" applyFont="1" applyFill="1" applyBorder="1" applyAlignment="1">
      <alignment vertical="top" wrapText="1"/>
    </xf>
    <xf numFmtId="49" fontId="0" fillId="7" borderId="91" xfId="10" applyNumberFormat="1" applyFont="1" applyFill="1" applyBorder="1" applyAlignment="1">
      <alignment vertical="center" wrapText="1"/>
    </xf>
    <xf numFmtId="49" fontId="6" fillId="7" borderId="91" xfId="10" applyNumberFormat="1" applyFont="1" applyFill="1" applyBorder="1" applyAlignment="1">
      <alignment vertical="center" wrapText="1"/>
    </xf>
    <xf numFmtId="0" fontId="6" fillId="7" borderId="91" xfId="10" applyFont="1" applyFill="1" applyBorder="1" applyAlignment="1">
      <alignment vertical="center" wrapText="1"/>
    </xf>
    <xf numFmtId="0" fontId="0" fillId="0" borderId="113" xfId="0" applyBorder="1" applyAlignment="1">
      <alignment horizontal="right" vertical="center" wrapText="1"/>
    </xf>
    <xf numFmtId="4" fontId="0" fillId="7" borderId="96" xfId="0" applyNumberFormat="1" applyFill="1" applyBorder="1" applyAlignment="1">
      <alignment vertical="center" wrapText="1"/>
    </xf>
    <xf numFmtId="4" fontId="0" fillId="0" borderId="126" xfId="0" applyNumberFormat="1" applyBorder="1" applyAlignment="1">
      <alignment vertical="center" wrapText="1"/>
    </xf>
    <xf numFmtId="4" fontId="0" fillId="0" borderId="96" xfId="0" applyNumberFormat="1" applyBorder="1" applyAlignment="1">
      <alignment vertical="center" wrapText="1"/>
    </xf>
    <xf numFmtId="49" fontId="0" fillId="7" borderId="91" xfId="9" applyNumberFormat="1" applyFont="1" applyFill="1" applyBorder="1" applyAlignment="1">
      <alignment vertical="center"/>
    </xf>
    <xf numFmtId="0" fontId="0" fillId="7" borderId="110" xfId="0" applyFill="1" applyBorder="1" applyAlignment="1">
      <alignment vertical="center"/>
    </xf>
    <xf numFmtId="0" fontId="5" fillId="0" borderId="119" xfId="0" applyFont="1" applyBorder="1" applyAlignment="1">
      <alignment horizontal="right" vertical="center"/>
    </xf>
    <xf numFmtId="0" fontId="5" fillId="7" borderId="208" xfId="0" applyFont="1" applyFill="1" applyBorder="1" applyAlignment="1">
      <alignment vertical="center"/>
    </xf>
    <xf numFmtId="4" fontId="0" fillId="7" borderId="209" xfId="0" applyNumberFormat="1" applyFill="1" applyBorder="1" applyAlignment="1">
      <alignment vertical="center"/>
    </xf>
    <xf numFmtId="4" fontId="0" fillId="7" borderId="210" xfId="0" applyNumberFormat="1" applyFill="1" applyBorder="1" applyAlignment="1">
      <alignment vertical="center"/>
    </xf>
    <xf numFmtId="4" fontId="0" fillId="7" borderId="119" xfId="0" applyNumberFormat="1" applyFill="1" applyBorder="1" applyAlignment="1">
      <alignment vertical="center"/>
    </xf>
    <xf numFmtId="4" fontId="49" fillId="7" borderId="119" xfId="0" applyNumberFormat="1" applyFont="1" applyFill="1" applyBorder="1" applyAlignment="1">
      <alignment vertical="center"/>
    </xf>
    <xf numFmtId="0" fontId="13" fillId="0" borderId="104" xfId="0" applyFont="1" applyBorder="1"/>
    <xf numFmtId="0" fontId="13" fillId="0" borderId="102" xfId="0" applyFont="1" applyBorder="1"/>
    <xf numFmtId="0" fontId="5" fillId="0" borderId="71" xfId="0" applyFont="1" applyBorder="1" applyAlignment="1">
      <alignment vertical="center"/>
    </xf>
    <xf numFmtId="0" fontId="5" fillId="0" borderId="103" xfId="0" applyFont="1" applyBorder="1" applyAlignment="1">
      <alignment vertical="center"/>
    </xf>
    <xf numFmtId="0" fontId="5" fillId="0" borderId="100" xfId="0" applyFont="1" applyBorder="1" applyAlignment="1">
      <alignment vertical="center"/>
    </xf>
    <xf numFmtId="0" fontId="5" fillId="0" borderId="99" xfId="0" applyFont="1" applyBorder="1" applyAlignment="1">
      <alignment vertical="center"/>
    </xf>
    <xf numFmtId="0" fontId="5" fillId="0" borderId="98" xfId="0" applyFont="1" applyBorder="1" applyAlignment="1">
      <alignment vertical="center"/>
    </xf>
    <xf numFmtId="4" fontId="0" fillId="0" borderId="115" xfId="0" applyNumberFormat="1" applyBorder="1" applyAlignment="1">
      <alignment vertical="center"/>
    </xf>
    <xf numFmtId="0" fontId="5" fillId="0" borderId="104" xfId="0" applyFont="1" applyBorder="1" applyAlignment="1">
      <alignment vertical="center"/>
    </xf>
    <xf numFmtId="0" fontId="5" fillId="0" borderId="102" xfId="0" applyFont="1" applyBorder="1" applyAlignment="1">
      <alignment vertical="center"/>
    </xf>
    <xf numFmtId="0" fontId="1" fillId="0" borderId="69" xfId="0" applyFont="1" applyBorder="1" applyAlignment="1">
      <alignment vertical="center"/>
    </xf>
    <xf numFmtId="4" fontId="7" fillId="0" borderId="17" xfId="0" applyNumberFormat="1" applyFont="1" applyBorder="1" applyAlignment="1">
      <alignment vertical="center"/>
    </xf>
    <xf numFmtId="0" fontId="34" fillId="0" borderId="104" xfId="0" applyFont="1" applyBorder="1" applyAlignment="1">
      <alignment vertical="center"/>
    </xf>
    <xf numFmtId="0" fontId="34" fillId="0" borderId="102" xfId="0" applyFont="1" applyBorder="1" applyAlignment="1">
      <alignment vertical="center"/>
    </xf>
    <xf numFmtId="0" fontId="21" fillId="0" borderId="90" xfId="0" applyFont="1" applyBorder="1" applyAlignment="1">
      <alignment horizontal="right" vertical="center" wrapText="1"/>
    </xf>
    <xf numFmtId="0" fontId="0" fillId="0" borderId="97" xfId="0" applyBorder="1" applyAlignment="1">
      <alignment vertical="center" wrapText="1"/>
    </xf>
    <xf numFmtId="0" fontId="6" fillId="0" borderId="91" xfId="0" applyFont="1" applyBorder="1" applyAlignment="1">
      <alignment vertical="top" wrapText="1"/>
    </xf>
    <xf numFmtId="4" fontId="0" fillId="7" borderId="126" xfId="0" applyNumberFormat="1" applyFill="1" applyBorder="1"/>
    <xf numFmtId="0" fontId="21" fillId="0" borderId="97" xfId="0" applyFont="1" applyBorder="1" applyAlignment="1">
      <alignment vertical="center"/>
    </xf>
    <xf numFmtId="0" fontId="1" fillId="0" borderId="113" xfId="0" applyFont="1" applyBorder="1" applyAlignment="1">
      <alignment vertical="center"/>
    </xf>
    <xf numFmtId="0" fontId="1" fillId="0" borderId="114" xfId="0" applyFont="1" applyBorder="1" applyAlignment="1">
      <alignment vertical="center"/>
    </xf>
    <xf numFmtId="0" fontId="21" fillId="0" borderId="98" xfId="0" applyFont="1" applyBorder="1" applyAlignment="1">
      <alignment horizontal="right" vertical="center"/>
    </xf>
    <xf numFmtId="0" fontId="1" fillId="0" borderId="128" xfId="0" applyFont="1" applyBorder="1" applyAlignment="1">
      <alignment vertical="center" wrapText="1"/>
    </xf>
    <xf numFmtId="4" fontId="0" fillId="0" borderId="211" xfId="0" applyNumberFormat="1" applyBorder="1" applyAlignment="1">
      <alignment vertical="center"/>
    </xf>
    <xf numFmtId="4" fontId="0" fillId="0" borderId="212" xfId="0" applyNumberFormat="1" applyBorder="1" applyAlignment="1">
      <alignment vertical="center"/>
    </xf>
    <xf numFmtId="0" fontId="1" fillId="0" borderId="101" xfId="0" applyFont="1" applyBorder="1" applyAlignment="1">
      <alignment vertical="center"/>
    </xf>
    <xf numFmtId="0" fontId="22" fillId="0" borderId="128" xfId="0" applyFont="1" applyBorder="1" applyAlignment="1">
      <alignment vertical="center" wrapText="1"/>
    </xf>
    <xf numFmtId="0" fontId="6" fillId="0" borderId="136" xfId="0" applyFont="1" applyBorder="1"/>
    <xf numFmtId="0" fontId="6" fillId="0" borderId="119" xfId="0" applyFont="1" applyBorder="1"/>
    <xf numFmtId="0" fontId="22" fillId="0" borderId="68" xfId="0" applyFont="1" applyBorder="1" applyAlignment="1">
      <alignment vertical="center" wrapText="1"/>
    </xf>
    <xf numFmtId="4" fontId="16" fillId="0" borderId="107" xfId="0" applyNumberFormat="1" applyFont="1" applyBorder="1"/>
    <xf numFmtId="4" fontId="16" fillId="0" borderId="213" xfId="0" applyNumberFormat="1" applyFont="1" applyBorder="1"/>
    <xf numFmtId="0" fontId="22" fillId="0" borderId="0" xfId="0" applyFont="1" applyAlignment="1">
      <alignment vertical="center" wrapText="1"/>
    </xf>
    <xf numFmtId="0" fontId="15" fillId="0" borderId="0" xfId="0" applyFont="1"/>
    <xf numFmtId="0" fontId="50" fillId="0" borderId="0" xfId="11" applyFont="1" applyAlignment="1">
      <alignment vertical="center"/>
    </xf>
    <xf numFmtId="0" fontId="51" fillId="0" borderId="0" xfId="11" applyFont="1" applyAlignment="1">
      <alignment vertical="center"/>
    </xf>
    <xf numFmtId="0" fontId="50" fillId="0" borderId="0" xfId="11" applyFont="1" applyAlignment="1">
      <alignment horizontal="center" vertical="center"/>
    </xf>
    <xf numFmtId="0" fontId="51" fillId="0" borderId="0" xfId="11" applyFont="1" applyAlignment="1">
      <alignment horizontal="justify" vertical="justify"/>
    </xf>
    <xf numFmtId="0" fontId="52" fillId="0" borderId="0" xfId="11" applyFont="1" applyAlignment="1">
      <alignment horizontal="right" vertical="justify"/>
    </xf>
    <xf numFmtId="0" fontId="54" fillId="0" borderId="0" xfId="11" applyFont="1" applyAlignment="1">
      <alignment horizontal="center" vertical="center" wrapText="1"/>
    </xf>
    <xf numFmtId="3" fontId="54" fillId="0" borderId="0" xfId="11" applyNumberFormat="1" applyFont="1" applyAlignment="1">
      <alignment horizontal="center" vertical="center" wrapText="1"/>
    </xf>
    <xf numFmtId="0" fontId="55" fillId="0" borderId="0" xfId="11" applyFont="1" applyAlignment="1">
      <alignment vertical="center"/>
    </xf>
    <xf numFmtId="0" fontId="55" fillId="0" borderId="0" xfId="11" applyFont="1" applyAlignment="1">
      <alignment horizontal="center" vertical="center"/>
    </xf>
    <xf numFmtId="0" fontId="56" fillId="0" borderId="0" xfId="11" applyFont="1" applyAlignment="1">
      <alignment horizontal="right" vertical="justify"/>
    </xf>
    <xf numFmtId="3" fontId="50" fillId="0" borderId="0" xfId="11" applyNumberFormat="1" applyFont="1" applyAlignment="1">
      <alignment vertical="center"/>
    </xf>
    <xf numFmtId="49" fontId="56" fillId="9" borderId="223" xfId="11" applyNumberFormat="1" applyFont="1" applyFill="1" applyBorder="1" applyAlignment="1">
      <alignment horizontal="center" vertical="center"/>
    </xf>
    <xf numFmtId="0" fontId="58" fillId="0" borderId="226" xfId="11" applyFont="1" applyBorder="1" applyAlignment="1">
      <alignment horizontal="center" vertical="center"/>
    </xf>
    <xf numFmtId="0" fontId="58" fillId="0" borderId="227" xfId="11" applyFont="1" applyBorder="1" applyAlignment="1">
      <alignment horizontal="center" vertical="center" wrapText="1"/>
    </xf>
    <xf numFmtId="0" fontId="59" fillId="0" borderId="228" xfId="11" applyFont="1" applyBorder="1" applyAlignment="1">
      <alignment horizontal="left" vertical="center" wrapText="1"/>
    </xf>
    <xf numFmtId="3" fontId="59" fillId="0" borderId="228" xfId="11" applyNumberFormat="1" applyFont="1" applyBorder="1" applyAlignment="1">
      <alignment vertical="center"/>
    </xf>
    <xf numFmtId="3" fontId="59" fillId="0" borderId="228" xfId="11" applyNumberFormat="1" applyFont="1" applyBorder="1" applyAlignment="1">
      <alignment horizontal="right" vertical="center"/>
    </xf>
    <xf numFmtId="3" fontId="59" fillId="9" borderId="228" xfId="13" applyNumberFormat="1" applyFont="1" applyFill="1" applyBorder="1" applyAlignment="1">
      <alignment horizontal="right" vertical="center"/>
    </xf>
    <xf numFmtId="0" fontId="59" fillId="0" borderId="229" xfId="13" applyFont="1" applyBorder="1" applyAlignment="1">
      <alignment horizontal="justify" vertical="center" wrapText="1"/>
    </xf>
    <xf numFmtId="0" fontId="54" fillId="0" borderId="0" xfId="11" applyFont="1" applyAlignment="1">
      <alignment vertical="center"/>
    </xf>
    <xf numFmtId="3" fontId="56" fillId="9" borderId="231" xfId="11" applyNumberFormat="1" applyFont="1" applyFill="1" applyBorder="1" applyAlignment="1">
      <alignment vertical="center"/>
    </xf>
    <xf numFmtId="3" fontId="56" fillId="9" borderId="232" xfId="11" applyNumberFormat="1" applyFont="1" applyFill="1" applyBorder="1" applyAlignment="1">
      <alignment horizontal="justify" vertical="center"/>
    </xf>
    <xf numFmtId="0" fontId="50" fillId="0" borderId="0" xfId="12" applyFont="1" applyAlignment="1">
      <alignment vertical="center"/>
    </xf>
    <xf numFmtId="0" fontId="51" fillId="0" borderId="0" xfId="12" applyFont="1" applyAlignment="1">
      <alignment vertical="center"/>
    </xf>
    <xf numFmtId="0" fontId="50" fillId="0" borderId="0" xfId="12" applyFont="1" applyAlignment="1">
      <alignment horizontal="center" vertical="center"/>
    </xf>
    <xf numFmtId="0" fontId="51" fillId="0" borderId="0" xfId="12" applyFont="1" applyAlignment="1">
      <alignment horizontal="justify" vertical="justify"/>
    </xf>
    <xf numFmtId="0" fontId="52" fillId="0" borderId="0" xfId="12" applyFont="1" applyAlignment="1">
      <alignment horizontal="center" vertical="justify"/>
    </xf>
    <xf numFmtId="0" fontId="54" fillId="0" borderId="0" xfId="12" applyFont="1" applyAlignment="1">
      <alignment horizontal="center" vertical="center" wrapText="1"/>
    </xf>
    <xf numFmtId="3" fontId="54" fillId="0" borderId="0" xfId="12" applyNumberFormat="1" applyFont="1" applyAlignment="1">
      <alignment horizontal="center" vertical="center" wrapText="1"/>
    </xf>
    <xf numFmtId="0" fontId="55" fillId="0" borderId="0" xfId="12" applyFont="1" applyAlignment="1">
      <alignment vertical="center"/>
    </xf>
    <xf numFmtId="0" fontId="55" fillId="0" borderId="0" xfId="12" applyFont="1" applyAlignment="1">
      <alignment horizontal="center" vertical="center"/>
    </xf>
    <xf numFmtId="0" fontId="56" fillId="0" borderId="0" xfId="12" applyFont="1" applyAlignment="1">
      <alignment horizontal="right" vertical="justify"/>
    </xf>
    <xf numFmtId="3" fontId="50" fillId="0" borderId="0" xfId="12" applyNumberFormat="1" applyFont="1" applyAlignment="1">
      <alignment vertical="center"/>
    </xf>
    <xf numFmtId="49" fontId="56" fillId="9" borderId="223" xfId="12" applyNumberFormat="1" applyFont="1" applyFill="1" applyBorder="1" applyAlignment="1">
      <alignment horizontal="center" vertical="center"/>
    </xf>
    <xf numFmtId="0" fontId="58" fillId="0" borderId="226" xfId="12" applyFont="1" applyBorder="1" applyAlignment="1">
      <alignment horizontal="center" vertical="center"/>
    </xf>
    <xf numFmtId="0" fontId="58" fillId="0" borderId="227" xfId="12" applyFont="1" applyBorder="1" applyAlignment="1">
      <alignment horizontal="center" vertical="center" wrapText="1"/>
    </xf>
    <xf numFmtId="0" fontId="59" fillId="0" borderId="228" xfId="12" applyFont="1" applyBorder="1" applyAlignment="1">
      <alignment horizontal="left" vertical="center" wrapText="1"/>
    </xf>
    <xf numFmtId="3" fontId="59" fillId="0" borderId="228" xfId="12" applyNumberFormat="1" applyFont="1" applyBorder="1" applyAlignment="1">
      <alignment vertical="center"/>
    </xf>
    <xf numFmtId="3" fontId="59" fillId="0" borderId="228" xfId="12" applyNumberFormat="1" applyFont="1" applyBorder="1" applyAlignment="1">
      <alignment horizontal="right" vertical="center"/>
    </xf>
    <xf numFmtId="0" fontId="58" fillId="0" borderId="228" xfId="12" applyFont="1" applyBorder="1" applyAlignment="1">
      <alignment horizontal="center" vertical="center" wrapText="1"/>
    </xf>
    <xf numFmtId="0" fontId="59" fillId="0" borderId="227" xfId="0" applyFont="1" applyBorder="1" applyAlignment="1">
      <alignment vertical="center" wrapText="1"/>
    </xf>
    <xf numFmtId="0" fontId="59" fillId="0" borderId="153" xfId="0" applyFont="1" applyBorder="1" applyAlignment="1">
      <alignment vertical="center" wrapText="1"/>
    </xf>
    <xf numFmtId="49" fontId="59" fillId="0" borderId="153" xfId="7" applyNumberFormat="1" applyFont="1" applyBorder="1" applyAlignment="1">
      <alignment vertical="center" wrapText="1"/>
    </xf>
    <xf numFmtId="0" fontId="59" fillId="0" borderId="160" xfId="0" applyFont="1" applyBorder="1" applyAlignment="1">
      <alignment vertical="center" wrapText="1"/>
    </xf>
    <xf numFmtId="0" fontId="59" fillId="0" borderId="234" xfId="0" applyFont="1" applyBorder="1" applyAlignment="1">
      <alignment vertical="center"/>
    </xf>
    <xf numFmtId="0" fontId="58" fillId="0" borderId="174" xfId="12" applyFont="1" applyBorder="1" applyAlignment="1">
      <alignment horizontal="center" vertical="center"/>
    </xf>
    <xf numFmtId="0" fontId="58" fillId="0" borderId="169" xfId="12" applyFont="1" applyBorder="1" applyAlignment="1">
      <alignment horizontal="center" vertical="center" wrapText="1"/>
    </xf>
    <xf numFmtId="3" fontId="56" fillId="9" borderId="231" xfId="12" applyNumberFormat="1" applyFont="1" applyFill="1" applyBorder="1" applyAlignment="1">
      <alignment vertical="center"/>
    </xf>
    <xf numFmtId="3" fontId="56" fillId="9" borderId="232" xfId="12" applyNumberFormat="1" applyFont="1" applyFill="1" applyBorder="1" applyAlignment="1">
      <alignment horizontal="justify" vertical="center"/>
    </xf>
    <xf numFmtId="0" fontId="34" fillId="0" borderId="0" xfId="0" applyFont="1" applyAlignment="1">
      <alignment horizontal="center"/>
    </xf>
    <xf numFmtId="4" fontId="7" fillId="0" borderId="89" xfId="0" applyNumberFormat="1" applyFont="1" applyBorder="1" applyAlignment="1">
      <alignment horizontal="center" vertical="center" wrapText="1"/>
    </xf>
    <xf numFmtId="4" fontId="7" fillId="10" borderId="68" xfId="0" applyNumberFormat="1" applyFont="1" applyFill="1" applyBorder="1" applyAlignment="1">
      <alignment horizontal="center" vertical="center" wrapText="1"/>
    </xf>
    <xf numFmtId="0" fontId="1" fillId="0" borderId="92" xfId="0" applyFont="1" applyBorder="1"/>
    <xf numFmtId="0" fontId="16" fillId="0" borderId="92" xfId="0" applyFont="1" applyBorder="1"/>
    <xf numFmtId="4" fontId="7" fillId="0" borderId="235" xfId="0" applyNumberFormat="1" applyFont="1" applyBorder="1" applyAlignment="1">
      <alignment horizontal="center" vertical="center" wrapText="1"/>
    </xf>
    <xf numFmtId="0" fontId="8" fillId="0" borderId="93" xfId="0" applyFont="1" applyBorder="1" applyAlignment="1">
      <alignment horizontal="center"/>
    </xf>
    <xf numFmtId="0" fontId="1" fillId="0" borderId="89" xfId="0" applyFont="1" applyBorder="1"/>
    <xf numFmtId="0" fontId="8" fillId="0" borderId="98" xfId="0" applyFont="1" applyBorder="1"/>
    <xf numFmtId="0" fontId="8" fillId="0" borderId="98" xfId="0" applyFont="1" applyBorder="1" applyAlignment="1">
      <alignment vertical="center" wrapText="1"/>
    </xf>
    <xf numFmtId="4" fontId="8" fillId="0" borderId="236" xfId="0" applyNumberFormat="1" applyFont="1" applyBorder="1" applyAlignment="1">
      <alignment shrinkToFit="1"/>
    </xf>
    <xf numFmtId="4" fontId="8" fillId="0" borderId="98" xfId="0" applyNumberFormat="1" applyFont="1" applyBorder="1" applyAlignment="1">
      <alignment shrinkToFit="1"/>
    </xf>
    <xf numFmtId="4" fontId="8" fillId="0" borderId="236" xfId="0" applyNumberFormat="1" applyFont="1" applyBorder="1"/>
    <xf numFmtId="0" fontId="6" fillId="4" borderId="98" xfId="0" applyFont="1" applyFill="1" applyBorder="1"/>
    <xf numFmtId="4" fontId="8" fillId="0" borderId="98" xfId="0" applyNumberFormat="1" applyFont="1" applyBorder="1"/>
    <xf numFmtId="0" fontId="16" fillId="4" borderId="98" xfId="0" applyFont="1" applyFill="1" applyBorder="1"/>
    <xf numFmtId="0" fontId="16" fillId="0" borderId="98" xfId="0" applyFont="1" applyBorder="1"/>
    <xf numFmtId="4" fontId="16" fillId="0" borderId="236" xfId="0" applyNumberFormat="1" applyFont="1" applyBorder="1" applyAlignment="1">
      <alignment vertical="center" shrinkToFit="1"/>
    </xf>
    <xf numFmtId="0" fontId="6" fillId="4" borderId="209" xfId="0" applyFont="1" applyFill="1" applyBorder="1"/>
    <xf numFmtId="0" fontId="8" fillId="0" borderId="209" xfId="0" applyFont="1" applyBorder="1"/>
    <xf numFmtId="4" fontId="8" fillId="0" borderId="237" xfId="0" applyNumberFormat="1" applyFont="1" applyBorder="1" applyAlignment="1">
      <alignment shrinkToFit="1"/>
    </xf>
    <xf numFmtId="4" fontId="15" fillId="0" borderId="238" xfId="0" applyNumberFormat="1" applyFont="1" applyBorder="1" applyAlignment="1">
      <alignment shrinkToFit="1"/>
    </xf>
    <xf numFmtId="4" fontId="16" fillId="0" borderId="238" xfId="0" applyNumberFormat="1" applyFont="1" applyBorder="1" applyAlignment="1">
      <alignment shrinkToFit="1"/>
    </xf>
    <xf numFmtId="0" fontId="1" fillId="4" borderId="92" xfId="0" applyFont="1" applyFill="1" applyBorder="1"/>
    <xf numFmtId="0" fontId="6" fillId="0" borderId="239" xfId="0" applyFont="1" applyBorder="1"/>
    <xf numFmtId="4" fontId="41" fillId="0" borderId="5" xfId="0" applyNumberFormat="1" applyFont="1" applyBorder="1"/>
    <xf numFmtId="0" fontId="6" fillId="0" borderId="235" xfId="0" applyFont="1" applyBorder="1"/>
    <xf numFmtId="0" fontId="6" fillId="0" borderId="92" xfId="0" applyFont="1" applyBorder="1"/>
    <xf numFmtId="0" fontId="6" fillId="0" borderId="89" xfId="0" applyFont="1" applyBorder="1"/>
    <xf numFmtId="0" fontId="12" fillId="0" borderId="0" xfId="0" applyFont="1"/>
    <xf numFmtId="0" fontId="13" fillId="4" borderId="98" xfId="0" applyFont="1" applyFill="1" applyBorder="1"/>
    <xf numFmtId="4" fontId="60" fillId="7" borderId="240" xfId="0" applyNumberFormat="1" applyFont="1" applyFill="1" applyBorder="1" applyAlignment="1">
      <alignment vertical="center"/>
    </xf>
    <xf numFmtId="0" fontId="12" fillId="0" borderId="101" xfId="0" applyFont="1" applyBorder="1"/>
    <xf numFmtId="4" fontId="60" fillId="7" borderId="198" xfId="0" applyNumberFormat="1" applyFont="1" applyFill="1" applyBorder="1" applyAlignment="1">
      <alignment vertical="center"/>
    </xf>
    <xf numFmtId="4" fontId="60" fillId="0" borderId="211" xfId="0" applyNumberFormat="1" applyFont="1" applyBorder="1" applyAlignment="1">
      <alignment vertical="center"/>
    </xf>
    <xf numFmtId="4" fontId="13" fillId="0" borderId="0" xfId="0" applyNumberFormat="1" applyFont="1"/>
    <xf numFmtId="4" fontId="13" fillId="0" borderId="101" xfId="0" applyNumberFormat="1" applyFont="1" applyBorder="1"/>
    <xf numFmtId="0" fontId="10" fillId="4" borderId="98" xfId="0" applyFont="1" applyFill="1" applyBorder="1"/>
    <xf numFmtId="0" fontId="8" fillId="4" borderId="98" xfId="0" applyFont="1" applyFill="1" applyBorder="1" applyAlignment="1">
      <alignment vertical="center"/>
    </xf>
    <xf numFmtId="0" fontId="8" fillId="0" borderId="98" xfId="0" applyFont="1" applyBorder="1" applyAlignment="1">
      <alignment vertical="center"/>
    </xf>
    <xf numFmtId="4" fontId="8" fillId="0" borderId="236" xfId="0" applyNumberFormat="1" applyFont="1" applyBorder="1" applyAlignment="1">
      <alignment vertical="center"/>
    </xf>
    <xf numFmtId="4" fontId="8" fillId="0" borderId="0" xfId="0" applyNumberFormat="1" applyFont="1"/>
    <xf numFmtId="0" fontId="8" fillId="0" borderId="0" xfId="0" applyFont="1"/>
    <xf numFmtId="0" fontId="8" fillId="4" borderId="98" xfId="0" applyFont="1" applyFill="1" applyBorder="1"/>
    <xf numFmtId="0" fontId="61" fillId="0" borderId="0" xfId="0" applyFont="1" applyAlignment="1">
      <alignment horizontal="right"/>
    </xf>
    <xf numFmtId="0" fontId="8" fillId="0" borderId="98" xfId="0" applyFont="1" applyBorder="1" applyAlignment="1">
      <alignment wrapText="1"/>
    </xf>
    <xf numFmtId="0" fontId="8" fillId="0" borderId="98" xfId="0" applyFont="1" applyBorder="1" applyAlignment="1">
      <alignment horizontal="center" vertical="center"/>
    </xf>
    <xf numFmtId="0" fontId="41" fillId="0" borderId="0" xfId="0" applyFont="1" applyAlignment="1">
      <alignment vertical="center"/>
    </xf>
    <xf numFmtId="4" fontId="8" fillId="0" borderId="237" xfId="0" applyNumberFormat="1" applyFont="1" applyBorder="1"/>
    <xf numFmtId="4" fontId="8" fillId="0" borderId="241" xfId="0" applyNumberFormat="1" applyFont="1" applyBorder="1"/>
    <xf numFmtId="4" fontId="15" fillId="0" borderId="242" xfId="0" applyNumberFormat="1" applyFont="1" applyBorder="1"/>
    <xf numFmtId="4" fontId="15" fillId="0" borderId="144" xfId="0" applyNumberFormat="1" applyFont="1" applyBorder="1"/>
    <xf numFmtId="4" fontId="15" fillId="0" borderId="68" xfId="0" applyNumberFormat="1" applyFont="1" applyBorder="1"/>
    <xf numFmtId="4" fontId="16" fillId="0" borderId="144" xfId="0" applyNumberFormat="1" applyFont="1" applyBorder="1"/>
    <xf numFmtId="4" fontId="16" fillId="0" borderId="68" xfId="0" applyNumberFormat="1" applyFont="1" applyBorder="1"/>
    <xf numFmtId="4" fontId="7" fillId="7" borderId="68" xfId="0" applyNumberFormat="1" applyFont="1" applyFill="1" applyBorder="1" applyAlignment="1">
      <alignment horizontal="center" vertical="center" wrapText="1"/>
    </xf>
    <xf numFmtId="4" fontId="7" fillId="7" borderId="101" xfId="0" applyNumberFormat="1" applyFont="1" applyFill="1" applyBorder="1" applyAlignment="1">
      <alignment horizontal="center" vertical="center" wrapText="1"/>
    </xf>
    <xf numFmtId="0" fontId="1" fillId="0" borderId="101" xfId="0" applyFont="1" applyBorder="1" applyAlignment="1">
      <alignment horizontal="center" vertical="center"/>
    </xf>
    <xf numFmtId="0" fontId="1" fillId="0" borderId="0" xfId="0" applyFont="1" applyAlignment="1">
      <alignment horizontal="center" vertical="center" wrapText="1"/>
    </xf>
    <xf numFmtId="0" fontId="1" fillId="0" borderId="107" xfId="0" applyFont="1" applyBorder="1" applyAlignment="1">
      <alignment horizontal="center" vertical="center"/>
    </xf>
    <xf numFmtId="4" fontId="8" fillId="7" borderId="89" xfId="0" applyNumberFormat="1" applyFont="1" applyFill="1" applyBorder="1" applyAlignment="1">
      <alignment shrinkToFit="1"/>
    </xf>
    <xf numFmtId="4" fontId="8" fillId="7" borderId="68" xfId="0" applyNumberFormat="1" applyFont="1" applyFill="1" applyBorder="1" applyAlignment="1">
      <alignment shrinkToFit="1"/>
    </xf>
    <xf numFmtId="4" fontId="6" fillId="7" borderId="92" xfId="0" applyNumberFormat="1" applyFont="1" applyFill="1" applyBorder="1" applyAlignment="1">
      <alignment vertical="center" shrinkToFit="1"/>
    </xf>
    <xf numFmtId="4" fontId="6" fillId="7" borderId="93" xfId="0" applyNumberFormat="1" applyFont="1" applyFill="1" applyBorder="1" applyAlignment="1">
      <alignment vertical="center" shrinkToFit="1"/>
    </xf>
    <xf numFmtId="4" fontId="6" fillId="7" borderId="95" xfId="0" applyNumberFormat="1" applyFont="1" applyFill="1" applyBorder="1" applyAlignment="1">
      <alignment vertical="center" shrinkToFit="1"/>
    </xf>
    <xf numFmtId="4" fontId="6" fillId="7" borderId="233" xfId="0" applyNumberFormat="1" applyFont="1" applyFill="1" applyBorder="1"/>
    <xf numFmtId="4" fontId="6" fillId="7" borderId="95" xfId="0" applyNumberFormat="1" applyFont="1" applyFill="1" applyBorder="1"/>
    <xf numFmtId="4" fontId="6" fillId="7" borderId="93" xfId="0" applyNumberFormat="1" applyFont="1" applyFill="1" applyBorder="1"/>
    <xf numFmtId="4" fontId="6" fillId="7" borderId="90" xfId="0" applyNumberFormat="1" applyFont="1" applyFill="1" applyBorder="1" applyAlignment="1">
      <alignment vertical="center" shrinkToFit="1"/>
    </xf>
    <xf numFmtId="4" fontId="6" fillId="7" borderId="98" xfId="0" applyNumberFormat="1" applyFont="1" applyFill="1" applyBorder="1" applyAlignment="1">
      <alignment vertical="center" shrinkToFit="1"/>
    </xf>
    <xf numFmtId="4" fontId="6" fillId="7" borderId="99" xfId="0" applyNumberFormat="1" applyFont="1" applyFill="1" applyBorder="1" applyAlignment="1">
      <alignment vertical="center" shrinkToFit="1"/>
    </xf>
    <xf numFmtId="4" fontId="6" fillId="7" borderId="187" xfId="0" applyNumberFormat="1" applyFont="1" applyFill="1" applyBorder="1" applyAlignment="1">
      <alignment horizontal="right" vertical="center" shrinkToFit="1"/>
    </xf>
    <xf numFmtId="4" fontId="6" fillId="7" borderId="99" xfId="0" applyNumberFormat="1" applyFont="1" applyFill="1" applyBorder="1"/>
    <xf numFmtId="4" fontId="6" fillId="7" borderId="98" xfId="0" applyNumberFormat="1" applyFont="1" applyFill="1" applyBorder="1"/>
    <xf numFmtId="4" fontId="6" fillId="7" borderId="100" xfId="0" applyNumberFormat="1" applyFont="1" applyFill="1" applyBorder="1" applyAlignment="1">
      <alignment vertical="center" shrinkToFit="1"/>
    </xf>
    <xf numFmtId="4" fontId="6" fillId="7" borderId="187" xfId="0" applyNumberFormat="1" applyFont="1" applyFill="1" applyBorder="1" applyAlignment="1">
      <alignment vertical="center" shrinkToFit="1"/>
    </xf>
    <xf numFmtId="4" fontId="6" fillId="7" borderId="129" xfId="0" applyNumberFormat="1" applyFont="1" applyFill="1" applyBorder="1" applyAlignment="1">
      <alignment vertical="center"/>
    </xf>
    <xf numFmtId="4" fontId="6" fillId="7" borderId="99" xfId="0" applyNumberFormat="1" applyFont="1" applyFill="1" applyBorder="1" applyAlignment="1">
      <alignment vertical="center"/>
    </xf>
    <xf numFmtId="4" fontId="6" fillId="7" borderId="98" xfId="0" applyNumberFormat="1" applyFont="1" applyFill="1" applyBorder="1" applyAlignment="1">
      <alignment vertical="center"/>
    </xf>
    <xf numFmtId="4" fontId="6" fillId="7" borderId="4" xfId="0" applyNumberFormat="1" applyFont="1" applyFill="1" applyBorder="1" applyAlignment="1">
      <alignment vertical="center" shrinkToFit="1"/>
    </xf>
    <xf numFmtId="4" fontId="6" fillId="7" borderId="14" xfId="0" applyNumberFormat="1" applyFont="1" applyFill="1" applyBorder="1" applyAlignment="1">
      <alignment vertical="center" shrinkToFit="1"/>
    </xf>
    <xf numFmtId="4" fontId="6" fillId="7" borderId="101" xfId="0" applyNumberFormat="1" applyFont="1" applyFill="1" applyBorder="1"/>
    <xf numFmtId="4" fontId="6" fillId="7" borderId="187" xfId="0" applyNumberFormat="1" applyFont="1" applyFill="1" applyBorder="1"/>
    <xf numFmtId="4" fontId="0" fillId="7" borderId="99" xfId="0" applyNumberFormat="1" applyFill="1" applyBorder="1"/>
    <xf numFmtId="4" fontId="6" fillId="7" borderId="19" xfId="0" applyNumberFormat="1" applyFont="1" applyFill="1" applyBorder="1" applyAlignment="1">
      <alignment vertical="center"/>
    </xf>
    <xf numFmtId="4" fontId="6" fillId="7" borderId="96" xfId="0" applyNumberFormat="1" applyFont="1" applyFill="1" applyBorder="1" applyAlignment="1">
      <alignment vertical="center" shrinkToFit="1"/>
    </xf>
    <xf numFmtId="4" fontId="6" fillId="7" borderId="126" xfId="0" applyNumberFormat="1" applyFont="1" applyFill="1" applyBorder="1" applyAlignment="1">
      <alignment vertical="center" shrinkToFit="1"/>
    </xf>
    <xf numFmtId="4" fontId="0" fillId="7" borderId="187" xfId="0" applyNumberFormat="1" applyFill="1" applyBorder="1"/>
    <xf numFmtId="4" fontId="1" fillId="7" borderId="98" xfId="0" applyNumberFormat="1" applyFont="1" applyFill="1" applyBorder="1"/>
    <xf numFmtId="4" fontId="1" fillId="7" borderId="101" xfId="0" applyNumberFormat="1" applyFont="1" applyFill="1" applyBorder="1"/>
    <xf numFmtId="4" fontId="1" fillId="7" borderId="102" xfId="0" applyNumberFormat="1" applyFont="1" applyFill="1" applyBorder="1"/>
    <xf numFmtId="4" fontId="6" fillId="7" borderId="187" xfId="0" applyNumberFormat="1" applyFont="1" applyFill="1" applyBorder="1" applyAlignment="1">
      <alignment vertical="center"/>
    </xf>
    <xf numFmtId="4" fontId="6" fillId="7" borderId="21" xfId="0" applyNumberFormat="1" applyFont="1" applyFill="1" applyBorder="1" applyAlignment="1">
      <alignment vertical="center"/>
    </xf>
    <xf numFmtId="4" fontId="0" fillId="7" borderId="103" xfId="0" applyNumberFormat="1" applyFill="1" applyBorder="1"/>
    <xf numFmtId="4" fontId="6" fillId="7" borderId="243" xfId="0" applyNumberFormat="1" applyFont="1" applyFill="1" applyBorder="1"/>
    <xf numFmtId="4" fontId="6" fillId="7" borderId="111" xfId="0" applyNumberFormat="1" applyFont="1" applyFill="1" applyBorder="1"/>
    <xf numFmtId="4" fontId="6" fillId="7" borderId="129" xfId="0" applyNumberFormat="1" applyFont="1" applyFill="1" applyBorder="1"/>
    <xf numFmtId="4" fontId="6" fillId="7" borderId="100" xfId="0" applyNumberFormat="1" applyFont="1" applyFill="1" applyBorder="1"/>
    <xf numFmtId="4" fontId="6" fillId="7" borderId="185" xfId="0" applyNumberFormat="1" applyFont="1" applyFill="1" applyBorder="1"/>
    <xf numFmtId="4" fontId="6" fillId="7" borderId="0" xfId="0" applyNumberFormat="1" applyFont="1" applyFill="1"/>
    <xf numFmtId="0" fontId="6" fillId="7" borderId="0" xfId="0" applyFont="1" applyFill="1"/>
    <xf numFmtId="0" fontId="6" fillId="7" borderId="107" xfId="0" applyFont="1" applyFill="1" applyBorder="1"/>
    <xf numFmtId="4" fontId="8" fillId="7" borderId="10" xfId="0" applyNumberFormat="1" applyFont="1" applyFill="1" applyBorder="1"/>
    <xf numFmtId="4" fontId="8" fillId="7" borderId="9" xfId="0" applyNumberFormat="1" applyFont="1" applyFill="1" applyBorder="1"/>
    <xf numFmtId="0" fontId="6" fillId="0" borderId="123" xfId="0" applyFont="1" applyBorder="1" applyAlignment="1">
      <alignment vertical="center"/>
    </xf>
    <xf numFmtId="0" fontId="6" fillId="0" borderId="109" xfId="0" applyFont="1" applyBorder="1" applyAlignment="1">
      <alignment vertical="center"/>
    </xf>
    <xf numFmtId="4" fontId="6" fillId="0" borderId="122" xfId="0" applyNumberFormat="1" applyFont="1" applyBorder="1" applyAlignment="1">
      <alignment vertical="center"/>
    </xf>
    <xf numFmtId="4" fontId="6" fillId="7" borderId="122" xfId="0" applyNumberFormat="1" applyFont="1" applyFill="1" applyBorder="1" applyAlignment="1">
      <alignment vertical="center"/>
    </xf>
    <xf numFmtId="0" fontId="0" fillId="0" borderId="90" xfId="0" applyBorder="1" applyAlignment="1">
      <alignment vertical="center"/>
    </xf>
    <xf numFmtId="4" fontId="0" fillId="0" borderId="91" xfId="0" applyNumberFormat="1" applyBorder="1" applyAlignment="1">
      <alignment vertical="center"/>
    </xf>
    <xf numFmtId="4" fontId="0" fillId="7" borderId="98" xfId="0" applyNumberFormat="1" applyFill="1" applyBorder="1"/>
    <xf numFmtId="4" fontId="0" fillId="7" borderId="129" xfId="0" applyNumberFormat="1" applyFill="1" applyBorder="1"/>
    <xf numFmtId="0" fontId="6" fillId="0" borderId="126" xfId="0" applyFont="1" applyBorder="1" applyAlignment="1">
      <alignment vertical="center"/>
    </xf>
    <xf numFmtId="4" fontId="0" fillId="7" borderId="129" xfId="0" applyNumberFormat="1" applyFill="1" applyBorder="1" applyAlignment="1">
      <alignment vertical="center"/>
    </xf>
    <xf numFmtId="4" fontId="0" fillId="7" borderId="187" xfId="0" applyNumberFormat="1" applyFill="1" applyBorder="1" applyAlignment="1">
      <alignment vertical="center"/>
    </xf>
    <xf numFmtId="0" fontId="1" fillId="7" borderId="0" xfId="0" applyFont="1" applyFill="1"/>
    <xf numFmtId="4" fontId="1" fillId="0" borderId="126" xfId="0" applyNumberFormat="1" applyFont="1" applyBorder="1" applyAlignment="1">
      <alignment vertical="center"/>
    </xf>
    <xf numFmtId="4" fontId="1" fillId="0" borderId="96" xfId="0" applyNumberFormat="1" applyFont="1" applyBorder="1" applyAlignment="1">
      <alignment vertical="center"/>
    </xf>
    <xf numFmtId="4" fontId="1" fillId="7" borderId="129" xfId="0" applyNumberFormat="1" applyFont="1" applyFill="1" applyBorder="1"/>
    <xf numFmtId="4" fontId="1" fillId="7" borderId="0" xfId="0" applyNumberFormat="1" applyFont="1" applyFill="1"/>
    <xf numFmtId="0" fontId="1" fillId="0" borderId="126" xfId="0" applyFont="1" applyBorder="1" applyAlignment="1">
      <alignment vertical="center"/>
    </xf>
    <xf numFmtId="4" fontId="1" fillId="7" borderId="110" xfId="0" applyNumberFormat="1" applyFont="1" applyFill="1" applyBorder="1"/>
    <xf numFmtId="4" fontId="1" fillId="7" borderId="187" xfId="0" applyNumberFormat="1" applyFont="1" applyFill="1" applyBorder="1"/>
    <xf numFmtId="4" fontId="1" fillId="7" borderId="100" xfId="0" applyNumberFormat="1" applyFont="1" applyFill="1" applyBorder="1"/>
    <xf numFmtId="4" fontId="1" fillId="7" borderId="185" xfId="0" applyNumberFormat="1" applyFont="1" applyFill="1" applyBorder="1"/>
    <xf numFmtId="0" fontId="6" fillId="7" borderId="126" xfId="0" applyFont="1" applyFill="1" applyBorder="1" applyAlignment="1">
      <alignment vertical="center"/>
    </xf>
    <xf numFmtId="0" fontId="6" fillId="7" borderId="96" xfId="0" applyFont="1" applyFill="1" applyBorder="1" applyAlignment="1">
      <alignment vertical="center" wrapText="1"/>
    </xf>
    <xf numFmtId="4" fontId="6" fillId="7" borderId="203" xfId="0" applyNumberFormat="1" applyFont="1" applyFill="1" applyBorder="1" applyAlignment="1">
      <alignment vertical="center"/>
    </xf>
    <xf numFmtId="4" fontId="6" fillId="7" borderId="244" xfId="0" applyNumberFormat="1" applyFont="1" applyFill="1" applyBorder="1" applyAlignment="1">
      <alignment vertical="center"/>
    </xf>
    <xf numFmtId="4" fontId="6" fillId="7" borderId="124" xfId="0" applyNumberFormat="1" applyFont="1" applyFill="1" applyBorder="1" applyAlignment="1">
      <alignment vertical="center"/>
    </xf>
    <xf numFmtId="4" fontId="34" fillId="7" borderId="97" xfId="0" applyNumberFormat="1" applyFont="1" applyFill="1" applyBorder="1"/>
    <xf numFmtId="4" fontId="34" fillId="7" borderId="96" xfId="0" applyNumberFormat="1" applyFont="1" applyFill="1" applyBorder="1"/>
    <xf numFmtId="4" fontId="34" fillId="7" borderId="126" xfId="0" applyNumberFormat="1" applyFont="1" applyFill="1" applyBorder="1"/>
    <xf numFmtId="4" fontId="6" fillId="7" borderId="110" xfId="0" applyNumberFormat="1" applyFont="1" applyFill="1" applyBorder="1"/>
    <xf numFmtId="0" fontId="1" fillId="7" borderId="126" xfId="0" applyFont="1" applyFill="1" applyBorder="1" applyAlignment="1">
      <alignment vertical="center"/>
    </xf>
    <xf numFmtId="4" fontId="0" fillId="7" borderId="203" xfId="0" applyNumberFormat="1" applyFill="1" applyBorder="1" applyAlignment="1">
      <alignment vertical="center"/>
    </xf>
    <xf numFmtId="4" fontId="0" fillId="7" borderId="244" xfId="0" applyNumberFormat="1" applyFill="1" applyBorder="1" applyAlignment="1">
      <alignment vertical="center"/>
    </xf>
    <xf numFmtId="4" fontId="0" fillId="7" borderId="0" xfId="0" applyNumberFormat="1" applyFill="1" applyAlignment="1">
      <alignment vertical="center"/>
    </xf>
    <xf numFmtId="4" fontId="1" fillId="7" borderId="19" xfId="0" applyNumberFormat="1" applyFont="1" applyFill="1" applyBorder="1"/>
    <xf numFmtId="4" fontId="1" fillId="7" borderId="96" xfId="0" applyNumberFormat="1" applyFont="1" applyFill="1" applyBorder="1"/>
    <xf numFmtId="4" fontId="1" fillId="7" borderId="184" xfId="0" applyNumberFormat="1" applyFont="1" applyFill="1" applyBorder="1"/>
    <xf numFmtId="4" fontId="1" fillId="7" borderId="111" xfId="0" applyNumberFormat="1" applyFont="1" applyFill="1" applyBorder="1"/>
    <xf numFmtId="0" fontId="1" fillId="7" borderId="96" xfId="0" applyFont="1" applyFill="1" applyBorder="1" applyAlignment="1">
      <alignment vertical="center" wrapText="1"/>
    </xf>
    <xf numFmtId="4" fontId="1" fillId="7" borderId="189" xfId="0" applyNumberFormat="1" applyFont="1" applyFill="1" applyBorder="1"/>
    <xf numFmtId="0" fontId="0" fillId="7" borderId="96" xfId="0" applyFill="1" applyBorder="1" applyAlignment="1">
      <alignment vertical="center" wrapText="1"/>
    </xf>
    <xf numFmtId="4" fontId="1" fillId="7" borderId="129" xfId="0" applyNumberFormat="1" applyFont="1" applyFill="1" applyBorder="1" applyAlignment="1">
      <alignment vertical="center"/>
    </xf>
    <xf numFmtId="4" fontId="1" fillId="7" borderId="184" xfId="0" applyNumberFormat="1" applyFont="1" applyFill="1" applyBorder="1" applyAlignment="1">
      <alignment vertical="center"/>
    </xf>
    <xf numFmtId="0" fontId="21" fillId="7" borderId="126" xfId="0" applyFont="1" applyFill="1" applyBorder="1" applyAlignment="1">
      <alignment vertical="center"/>
    </xf>
    <xf numFmtId="4" fontId="5" fillId="7" borderId="91" xfId="0" applyNumberFormat="1" applyFont="1" applyFill="1" applyBorder="1" applyAlignment="1">
      <alignment vertical="center"/>
    </xf>
    <xf numFmtId="4" fontId="5" fillId="7" borderId="96" xfId="0" applyNumberFormat="1" applyFont="1" applyFill="1" applyBorder="1" applyAlignment="1">
      <alignment vertical="center"/>
    </xf>
    <xf numFmtId="4" fontId="5" fillId="7" borderId="126" xfId="0" applyNumberFormat="1" applyFont="1" applyFill="1" applyBorder="1" applyAlignment="1">
      <alignment vertical="center"/>
    </xf>
    <xf numFmtId="4" fontId="5" fillId="7" borderId="97" xfId="0" applyNumberFormat="1" applyFont="1" applyFill="1" applyBorder="1"/>
    <xf numFmtId="4" fontId="1" fillId="7" borderId="91" xfId="0" applyNumberFormat="1" applyFont="1" applyFill="1" applyBorder="1" applyAlignment="1">
      <alignment vertical="center"/>
    </xf>
    <xf numFmtId="4" fontId="1" fillId="7" borderId="112" xfId="0" applyNumberFormat="1" applyFont="1" applyFill="1" applyBorder="1"/>
    <xf numFmtId="0" fontId="0" fillId="7" borderId="126" xfId="0" applyFill="1" applyBorder="1" applyAlignment="1">
      <alignment vertical="center"/>
    </xf>
    <xf numFmtId="4" fontId="0" fillId="7" borderId="112" xfId="0" applyNumberFormat="1" applyFill="1" applyBorder="1"/>
    <xf numFmtId="4" fontId="0" fillId="7" borderId="184" xfId="0" applyNumberFormat="1" applyFill="1" applyBorder="1"/>
    <xf numFmtId="0" fontId="0" fillId="7" borderId="0" xfId="0" applyFill="1"/>
    <xf numFmtId="0" fontId="25" fillId="0" borderId="100" xfId="0" applyFont="1" applyBorder="1" applyAlignment="1">
      <alignment vertical="center"/>
    </xf>
    <xf numFmtId="4" fontId="25" fillId="11" borderId="245" xfId="0" applyNumberFormat="1" applyFont="1" applyFill="1" applyBorder="1" applyAlignment="1">
      <alignment vertical="center"/>
    </xf>
    <xf numFmtId="4" fontId="25" fillId="11" borderId="246" xfId="0" applyNumberFormat="1" applyFont="1" applyFill="1" applyBorder="1" applyAlignment="1">
      <alignment vertical="center"/>
    </xf>
    <xf numFmtId="4" fontId="25" fillId="11" borderId="247" xfId="0" applyNumberFormat="1" applyFont="1" applyFill="1" applyBorder="1"/>
    <xf numFmtId="4" fontId="25" fillId="11" borderId="248" xfId="0" applyNumberFormat="1" applyFont="1" applyFill="1" applyBorder="1"/>
    <xf numFmtId="4" fontId="25" fillId="11" borderId="249" xfId="0" applyNumberFormat="1" applyFont="1" applyFill="1" applyBorder="1"/>
    <xf numFmtId="4" fontId="25" fillId="0" borderId="245" xfId="0" applyNumberFormat="1" applyFont="1" applyBorder="1" applyAlignment="1">
      <alignment vertical="center"/>
    </xf>
    <xf numFmtId="4" fontId="25" fillId="11" borderId="192" xfId="0" applyNumberFormat="1" applyFont="1" applyFill="1" applyBorder="1"/>
    <xf numFmtId="0" fontId="0" fillId="7" borderId="90" xfId="0" applyFill="1" applyBorder="1" applyAlignment="1">
      <alignment vertical="center"/>
    </xf>
    <xf numFmtId="4" fontId="6" fillId="7" borderId="99" xfId="0" applyNumberFormat="1" applyFont="1" applyFill="1" applyBorder="1" applyAlignment="1">
      <alignment shrinkToFit="1"/>
    </xf>
    <xf numFmtId="4" fontId="6" fillId="7" borderId="98" xfId="0" applyNumberFormat="1" applyFont="1" applyFill="1" applyBorder="1" applyAlignment="1">
      <alignment shrinkToFit="1"/>
    </xf>
    <xf numFmtId="0" fontId="21" fillId="7" borderId="126" xfId="0" applyFont="1" applyFill="1" applyBorder="1" applyAlignment="1">
      <alignment horizontal="right" vertical="center"/>
    </xf>
    <xf numFmtId="4" fontId="0" fillId="7" borderId="101" xfId="0" applyNumberFormat="1" applyFill="1" applyBorder="1"/>
    <xf numFmtId="4" fontId="0" fillId="7" borderId="110" xfId="0" applyNumberFormat="1" applyFill="1" applyBorder="1"/>
    <xf numFmtId="4" fontId="1" fillId="7" borderId="126" xfId="0" applyNumberFormat="1" applyFont="1" applyFill="1" applyBorder="1" applyAlignment="1">
      <alignment shrinkToFit="1"/>
    </xf>
    <xf numFmtId="4" fontId="6" fillId="7" borderId="184" xfId="0" applyNumberFormat="1" applyFont="1" applyFill="1" applyBorder="1"/>
    <xf numFmtId="0" fontId="1" fillId="7" borderId="126" xfId="0" applyFont="1" applyFill="1" applyBorder="1"/>
    <xf numFmtId="0" fontId="1" fillId="7" borderId="96" xfId="0" applyFont="1" applyFill="1" applyBorder="1" applyAlignment="1">
      <alignment wrapText="1"/>
    </xf>
    <xf numFmtId="0" fontId="1" fillId="7" borderId="0" xfId="0" applyFont="1" applyFill="1" applyAlignment="1">
      <alignment vertical="center"/>
    </xf>
    <xf numFmtId="4" fontId="0" fillId="7" borderId="185" xfId="0" applyNumberFormat="1" applyFill="1" applyBorder="1" applyAlignment="1">
      <alignment vertical="center"/>
    </xf>
    <xf numFmtId="4" fontId="1" fillId="7" borderId="187" xfId="0" applyNumberFormat="1" applyFont="1" applyFill="1" applyBorder="1" applyAlignment="1">
      <alignment vertical="center"/>
    </xf>
    <xf numFmtId="4" fontId="1" fillId="7" borderId="0" xfId="0" applyNumberFormat="1" applyFont="1" applyFill="1" applyAlignment="1">
      <alignment vertical="center"/>
    </xf>
    <xf numFmtId="4" fontId="1" fillId="7" borderId="189" xfId="0" applyNumberFormat="1" applyFont="1" applyFill="1" applyBorder="1" applyAlignment="1">
      <alignment vertical="center"/>
    </xf>
    <xf numFmtId="0" fontId="6" fillId="7" borderId="126" xfId="0" applyFont="1" applyFill="1" applyBorder="1" applyAlignment="1">
      <alignment horizontal="right" vertical="center"/>
    </xf>
    <xf numFmtId="4" fontId="6" fillId="7" borderId="110" xfId="0" applyNumberFormat="1" applyFont="1" applyFill="1" applyBorder="1" applyAlignment="1">
      <alignment vertical="center"/>
    </xf>
    <xf numFmtId="4" fontId="0" fillId="7" borderId="185" xfId="0" applyNumberFormat="1" applyFill="1" applyBorder="1"/>
    <xf numFmtId="4" fontId="1" fillId="7" borderId="244" xfId="0" applyNumberFormat="1" applyFont="1" applyFill="1" applyBorder="1" applyAlignment="1">
      <alignment vertical="center"/>
    </xf>
    <xf numFmtId="4" fontId="0" fillId="7" borderId="112" xfId="0" applyNumberFormat="1" applyFill="1" applyBorder="1" applyAlignment="1">
      <alignment vertical="center"/>
    </xf>
    <xf numFmtId="0" fontId="1" fillId="7" borderId="207" xfId="0" applyFont="1" applyFill="1" applyBorder="1" applyAlignment="1">
      <alignment vertical="center"/>
    </xf>
    <xf numFmtId="0" fontId="1" fillId="7" borderId="111" xfId="0" applyFont="1" applyFill="1" applyBorder="1" applyAlignment="1">
      <alignment vertical="center" wrapText="1"/>
    </xf>
    <xf numFmtId="4" fontId="0" fillId="7" borderId="100" xfId="0" applyNumberFormat="1" applyFill="1" applyBorder="1" applyAlignment="1">
      <alignment vertical="center"/>
    </xf>
    <xf numFmtId="4" fontId="1" fillId="7" borderId="100" xfId="0" applyNumberFormat="1" applyFont="1" applyFill="1" applyBorder="1" applyAlignment="1">
      <alignment vertical="center"/>
    </xf>
    <xf numFmtId="4" fontId="0" fillId="7" borderId="103" xfId="0" applyNumberFormat="1" applyFill="1" applyBorder="1" applyAlignment="1">
      <alignment vertical="center"/>
    </xf>
    <xf numFmtId="0" fontId="1" fillId="7" borderId="125" xfId="0" applyFont="1" applyFill="1" applyBorder="1" applyAlignment="1">
      <alignment vertical="center"/>
    </xf>
    <xf numFmtId="4" fontId="1" fillId="7" borderId="112" xfId="0" applyNumberFormat="1" applyFont="1" applyFill="1" applyBorder="1" applyAlignment="1">
      <alignment vertical="center"/>
    </xf>
    <xf numFmtId="0" fontId="6" fillId="7" borderId="125" xfId="0" applyFont="1" applyFill="1" applyBorder="1"/>
    <xf numFmtId="0" fontId="1" fillId="7" borderId="115" xfId="0" applyFont="1" applyFill="1" applyBorder="1" applyAlignment="1">
      <alignment vertical="center"/>
    </xf>
    <xf numFmtId="4" fontId="0" fillId="7" borderId="130" xfId="0" applyNumberFormat="1" applyFill="1" applyBorder="1" applyAlignment="1">
      <alignment vertical="center"/>
    </xf>
    <xf numFmtId="4" fontId="0" fillId="7" borderId="136" xfId="0" applyNumberFormat="1" applyFill="1" applyBorder="1" applyAlignment="1">
      <alignment vertical="center"/>
    </xf>
    <xf numFmtId="0" fontId="1" fillId="7" borderId="107" xfId="0" applyFont="1" applyFill="1" applyBorder="1"/>
    <xf numFmtId="4" fontId="1" fillId="7" borderId="130" xfId="0" applyNumberFormat="1" applyFont="1" applyFill="1" applyBorder="1"/>
    <xf numFmtId="4" fontId="1" fillId="7" borderId="250" xfId="0" applyNumberFormat="1" applyFont="1" applyFill="1" applyBorder="1"/>
    <xf numFmtId="4" fontId="1" fillId="7" borderId="107" xfId="0" applyNumberFormat="1" applyFont="1" applyFill="1" applyBorder="1"/>
    <xf numFmtId="4" fontId="6" fillId="7" borderId="207" xfId="0" applyNumberFormat="1" applyFont="1" applyFill="1" applyBorder="1"/>
    <xf numFmtId="4" fontId="1" fillId="7" borderId="103" xfId="0" applyNumberFormat="1" applyFont="1" applyFill="1" applyBorder="1"/>
    <xf numFmtId="4" fontId="1" fillId="7" borderId="99" xfId="0" applyNumberFormat="1" applyFont="1" applyFill="1" applyBorder="1"/>
    <xf numFmtId="4" fontId="6" fillId="7" borderId="205" xfId="0" applyNumberFormat="1" applyFont="1" applyFill="1" applyBorder="1" applyAlignment="1">
      <alignment vertical="center"/>
    </xf>
    <xf numFmtId="4" fontId="1" fillId="7" borderId="46" xfId="0" applyNumberFormat="1" applyFont="1" applyFill="1" applyBorder="1" applyAlignment="1">
      <alignment vertical="center"/>
    </xf>
    <xf numFmtId="0" fontId="5" fillId="7" borderId="111" xfId="0" applyFont="1" applyFill="1" applyBorder="1" applyAlignment="1">
      <alignment vertical="center"/>
    </xf>
    <xf numFmtId="4" fontId="0" fillId="7" borderId="100" xfId="0" applyNumberFormat="1" applyFill="1" applyBorder="1"/>
    <xf numFmtId="0" fontId="5" fillId="7" borderId="251" xfId="0" applyFont="1" applyFill="1" applyBorder="1"/>
    <xf numFmtId="4" fontId="6" fillId="7" borderId="107" xfId="0" applyNumberFormat="1" applyFont="1" applyFill="1" applyBorder="1"/>
    <xf numFmtId="4" fontId="1" fillId="7" borderId="127" xfId="0" applyNumberFormat="1" applyFont="1" applyFill="1" applyBorder="1"/>
    <xf numFmtId="4" fontId="0" fillId="7" borderId="111" xfId="0" applyNumberFormat="1" applyFill="1" applyBorder="1" applyAlignment="1">
      <alignment horizontal="right" vertical="center"/>
    </xf>
    <xf numFmtId="4" fontId="0" fillId="7" borderId="98" xfId="0" applyNumberFormat="1" applyFill="1" applyBorder="1" applyAlignment="1">
      <alignment horizontal="right" vertical="center"/>
    </xf>
    <xf numFmtId="4" fontId="0" fillId="7" borderId="124" xfId="0" applyNumberFormat="1" applyFill="1" applyBorder="1" applyAlignment="1">
      <alignment horizontal="right" vertical="center"/>
    </xf>
    <xf numFmtId="4" fontId="0" fillId="7" borderId="207" xfId="0" applyNumberFormat="1" applyFill="1" applyBorder="1"/>
    <xf numFmtId="4" fontId="6" fillId="7" borderId="112" xfId="0" applyNumberFormat="1" applyFont="1" applyFill="1" applyBorder="1"/>
    <xf numFmtId="4" fontId="0" fillId="0" borderId="100" xfId="0" applyNumberFormat="1" applyBorder="1" applyAlignment="1">
      <alignment vertical="center"/>
    </xf>
    <xf numFmtId="4" fontId="6" fillId="7" borderId="103" xfId="0" applyNumberFormat="1" applyFont="1" applyFill="1" applyBorder="1"/>
    <xf numFmtId="4" fontId="0" fillId="7" borderId="127" xfId="0" applyNumberFormat="1" applyFill="1" applyBorder="1"/>
    <xf numFmtId="4" fontId="0" fillId="7" borderId="0" xfId="0" applyNumberFormat="1" applyFill="1"/>
    <xf numFmtId="4" fontId="0" fillId="7" borderId="124" xfId="0" applyNumberFormat="1" applyFill="1" applyBorder="1"/>
    <xf numFmtId="4" fontId="6" fillId="7" borderId="130" xfId="0" applyNumberFormat="1" applyFont="1" applyFill="1" applyBorder="1"/>
    <xf numFmtId="4" fontId="6" fillId="7" borderId="93" xfId="0" applyNumberFormat="1" applyFont="1" applyFill="1" applyBorder="1" applyAlignment="1">
      <alignment vertical="center"/>
    </xf>
    <xf numFmtId="4" fontId="6" fillId="7" borderId="189" xfId="0" applyNumberFormat="1" applyFont="1" applyFill="1" applyBorder="1" applyAlignment="1">
      <alignment vertical="center"/>
    </xf>
    <xf numFmtId="0" fontId="22" fillId="7" borderId="0" xfId="0" applyFont="1" applyFill="1"/>
    <xf numFmtId="4" fontId="23" fillId="7" borderId="187" xfId="0" applyNumberFormat="1" applyFont="1" applyFill="1" applyBorder="1"/>
    <xf numFmtId="4" fontId="23" fillId="7" borderId="98" xfId="0" applyNumberFormat="1" applyFont="1" applyFill="1" applyBorder="1"/>
    <xf numFmtId="0" fontId="23" fillId="7" borderId="0" xfId="0" applyFont="1" applyFill="1"/>
    <xf numFmtId="4" fontId="0" fillId="7" borderId="252" xfId="0" applyNumberFormat="1" applyFill="1" applyBorder="1" applyAlignment="1">
      <alignment vertical="center"/>
    </xf>
    <xf numFmtId="0" fontId="19" fillId="7" borderId="0" xfId="0" applyFont="1" applyFill="1"/>
    <xf numFmtId="4" fontId="8" fillId="7" borderId="198" xfId="0" applyNumberFormat="1" applyFont="1" applyFill="1" applyBorder="1"/>
    <xf numFmtId="4" fontId="8" fillId="7" borderId="0" xfId="0" applyNumberFormat="1" applyFont="1" applyFill="1"/>
    <xf numFmtId="4" fontId="7" fillId="7" borderId="3" xfId="0" applyNumberFormat="1" applyFont="1" applyFill="1" applyBorder="1" applyAlignment="1">
      <alignment vertical="center"/>
    </xf>
    <xf numFmtId="4" fontId="7" fillId="7" borderId="0" xfId="0" applyNumberFormat="1" applyFont="1" applyFill="1" applyAlignment="1">
      <alignment vertical="center"/>
    </xf>
    <xf numFmtId="4" fontId="6" fillId="7" borderId="253" xfId="0" applyNumberFormat="1" applyFont="1" applyFill="1" applyBorder="1" applyAlignment="1">
      <alignment vertical="center"/>
    </xf>
    <xf numFmtId="4" fontId="5" fillId="7" borderId="90" xfId="0" applyNumberFormat="1" applyFont="1" applyFill="1" applyBorder="1" applyAlignment="1">
      <alignment vertical="center"/>
    </xf>
    <xf numFmtId="4" fontId="62" fillId="7" borderId="90" xfId="0" applyNumberFormat="1" applyFont="1" applyFill="1" applyBorder="1" applyAlignment="1">
      <alignment vertical="center"/>
    </xf>
    <xf numFmtId="4" fontId="62" fillId="7" borderId="133" xfId="0" applyNumberFormat="1" applyFont="1" applyFill="1" applyBorder="1" applyAlignment="1">
      <alignment vertical="center"/>
    </xf>
    <xf numFmtId="4" fontId="62" fillId="7" borderId="0" xfId="0" applyNumberFormat="1" applyFont="1" applyFill="1" applyAlignment="1">
      <alignment vertical="center"/>
    </xf>
    <xf numFmtId="4" fontId="0" fillId="7" borderId="133" xfId="0" applyNumberFormat="1" applyFill="1" applyBorder="1" applyAlignment="1">
      <alignment vertical="center"/>
    </xf>
    <xf numFmtId="4" fontId="5" fillId="7" borderId="14" xfId="0" applyNumberFormat="1" applyFont="1" applyFill="1" applyBorder="1" applyAlignment="1">
      <alignment vertical="center"/>
    </xf>
    <xf numFmtId="4" fontId="6" fillId="7" borderId="197" xfId="0" applyNumberFormat="1" applyFont="1" applyFill="1" applyBorder="1" applyAlignment="1">
      <alignment vertical="center"/>
    </xf>
    <xf numFmtId="165" fontId="0" fillId="7" borderId="90" xfId="0" applyNumberFormat="1" applyFill="1" applyBorder="1" applyAlignment="1">
      <alignment vertical="center"/>
    </xf>
    <xf numFmtId="165" fontId="0" fillId="7" borderId="133" xfId="0" applyNumberFormat="1" applyFill="1" applyBorder="1" applyAlignment="1">
      <alignment vertical="center"/>
    </xf>
    <xf numFmtId="165" fontId="0" fillId="7" borderId="0" xfId="0" applyNumberFormat="1" applyFill="1" applyAlignment="1">
      <alignment vertical="center"/>
    </xf>
    <xf numFmtId="4" fontId="0" fillId="7" borderId="254" xfId="0" applyNumberFormat="1" applyFill="1" applyBorder="1" applyAlignment="1">
      <alignment vertical="center"/>
    </xf>
    <xf numFmtId="4" fontId="0" fillId="7" borderId="255" xfId="0" applyNumberFormat="1" applyFill="1" applyBorder="1" applyAlignment="1">
      <alignment vertical="center"/>
    </xf>
    <xf numFmtId="4" fontId="6" fillId="7" borderId="254" xfId="0" applyNumberFormat="1" applyFont="1" applyFill="1" applyBorder="1" applyAlignment="1">
      <alignment vertical="center"/>
    </xf>
    <xf numFmtId="4" fontId="5" fillId="7" borderId="20" xfId="0" applyNumberFormat="1" applyFont="1" applyFill="1" applyBorder="1" applyAlignment="1">
      <alignment vertical="center"/>
    </xf>
    <xf numFmtId="4" fontId="0" fillId="7" borderId="198" xfId="0" applyNumberFormat="1" applyFill="1" applyBorder="1" applyAlignment="1">
      <alignment vertical="center"/>
    </xf>
    <xf numFmtId="4" fontId="0" fillId="7" borderId="197" xfId="0" applyNumberFormat="1" applyFill="1" applyBorder="1" applyAlignment="1">
      <alignment vertical="center"/>
    </xf>
    <xf numFmtId="0" fontId="1" fillId="7" borderId="97" xfId="0" applyFont="1" applyFill="1" applyBorder="1" applyAlignment="1">
      <alignment horizontal="left" vertical="center" wrapText="1"/>
    </xf>
    <xf numFmtId="4" fontId="1" fillId="7" borderId="133" xfId="0" applyNumberFormat="1" applyFont="1" applyFill="1" applyBorder="1" applyAlignment="1">
      <alignment vertical="center"/>
    </xf>
    <xf numFmtId="4" fontId="6" fillId="0" borderId="0" xfId="0" applyNumberFormat="1" applyFont="1"/>
    <xf numFmtId="0" fontId="0" fillId="7" borderId="114" xfId="0" applyFill="1" applyBorder="1" applyAlignment="1">
      <alignment horizontal="left" vertical="center" wrapText="1"/>
    </xf>
    <xf numFmtId="4" fontId="7" fillId="7" borderId="3" xfId="0" applyNumberFormat="1" applyFont="1" applyFill="1" applyBorder="1"/>
    <xf numFmtId="4" fontId="7" fillId="7" borderId="62" xfId="0" applyNumberFormat="1" applyFont="1" applyFill="1" applyBorder="1"/>
    <xf numFmtId="4" fontId="7" fillId="7" borderId="0" xfId="0" applyNumberFormat="1" applyFont="1" applyFill="1"/>
    <xf numFmtId="4" fontId="6" fillId="7" borderId="196" xfId="0" applyNumberFormat="1" applyFont="1" applyFill="1" applyBorder="1" applyAlignment="1">
      <alignment vertical="center"/>
    </xf>
    <xf numFmtId="0" fontId="63" fillId="7" borderId="97" xfId="0" applyFont="1" applyFill="1" applyBorder="1" applyAlignment="1">
      <alignment vertical="center"/>
    </xf>
    <xf numFmtId="4" fontId="0" fillId="7" borderId="256" xfId="0" applyNumberFormat="1" applyFill="1" applyBorder="1" applyAlignment="1">
      <alignment vertical="center"/>
    </xf>
    <xf numFmtId="4" fontId="5" fillId="7" borderId="123" xfId="0" applyNumberFormat="1" applyFont="1" applyFill="1" applyBorder="1" applyAlignment="1">
      <alignment vertical="center"/>
    </xf>
    <xf numFmtId="4" fontId="34" fillId="7" borderId="126" xfId="0" applyNumberFormat="1" applyFont="1" applyFill="1" applyBorder="1" applyAlignment="1">
      <alignment vertical="center"/>
    </xf>
    <xf numFmtId="4" fontId="5" fillId="7" borderId="111" xfId="0" applyNumberFormat="1" applyFont="1" applyFill="1" applyBorder="1" applyAlignment="1">
      <alignment vertical="center"/>
    </xf>
    <xf numFmtId="4" fontId="5" fillId="7" borderId="207" xfId="0" applyNumberFormat="1" applyFont="1" applyFill="1" applyBorder="1" applyAlignment="1">
      <alignment vertical="center"/>
    </xf>
    <xf numFmtId="167" fontId="1" fillId="0" borderId="0" xfId="0" applyNumberFormat="1" applyFont="1"/>
    <xf numFmtId="0" fontId="5" fillId="7" borderId="97" xfId="0" applyFont="1" applyFill="1" applyBorder="1" applyAlignment="1">
      <alignment horizontal="left" vertical="center"/>
    </xf>
    <xf numFmtId="0" fontId="0" fillId="7" borderId="97" xfId="0" applyFill="1" applyBorder="1" applyAlignment="1">
      <alignment horizontal="left" vertical="center" wrapText="1"/>
    </xf>
    <xf numFmtId="4" fontId="62" fillId="7" borderId="123" xfId="0" applyNumberFormat="1" applyFont="1" applyFill="1" applyBorder="1" applyAlignment="1">
      <alignment vertical="center"/>
    </xf>
    <xf numFmtId="0" fontId="0" fillId="7" borderId="111" xfId="0" applyFill="1" applyBorder="1" applyAlignment="1">
      <alignment horizontal="left" vertical="center"/>
    </xf>
    <xf numFmtId="4" fontId="0" fillId="7" borderId="111" xfId="0" applyNumberFormat="1" applyFill="1" applyBorder="1" applyAlignment="1">
      <alignment vertical="center" shrinkToFit="1"/>
    </xf>
    <xf numFmtId="4" fontId="0" fillId="0" borderId="98" xfId="0" applyNumberFormat="1" applyBorder="1"/>
    <xf numFmtId="4" fontId="0" fillId="7" borderId="123" xfId="0" applyNumberFormat="1" applyFill="1" applyBorder="1" applyAlignment="1">
      <alignment vertical="center" shrinkToFit="1"/>
    </xf>
    <xf numFmtId="4" fontId="1" fillId="0" borderId="0" xfId="0" applyNumberFormat="1" applyFont="1" applyAlignment="1">
      <alignment vertical="center"/>
    </xf>
    <xf numFmtId="4" fontId="62" fillId="0" borderId="101" xfId="0" applyNumberFormat="1" applyFont="1" applyBorder="1" applyAlignment="1">
      <alignment vertical="center"/>
    </xf>
    <xf numFmtId="4" fontId="62" fillId="0" borderId="127" xfId="0" applyNumberFormat="1" applyFont="1" applyBorder="1" applyAlignment="1">
      <alignment vertical="center"/>
    </xf>
    <xf numFmtId="4" fontId="62" fillId="0" borderId="0" xfId="0" applyNumberFormat="1" applyFont="1" applyAlignment="1">
      <alignment vertical="center"/>
    </xf>
    <xf numFmtId="0" fontId="6" fillId="0" borderId="187" xfId="0" applyFont="1" applyBorder="1" applyAlignment="1">
      <alignment vertical="center"/>
    </xf>
    <xf numFmtId="0" fontId="24" fillId="0" borderId="107" xfId="0" applyFont="1" applyBorder="1" applyAlignment="1">
      <alignment vertical="center"/>
    </xf>
    <xf numFmtId="0" fontId="1" fillId="0" borderId="130" xfId="0" applyFont="1" applyBorder="1" applyAlignment="1">
      <alignment vertical="center"/>
    </xf>
    <xf numFmtId="4" fontId="62" fillId="0" borderId="107" xfId="0" applyNumberFormat="1" applyFont="1" applyBorder="1" applyAlignment="1">
      <alignment vertical="center"/>
    </xf>
    <xf numFmtId="4" fontId="62" fillId="0" borderId="108" xfId="0" applyNumberFormat="1" applyFont="1" applyBorder="1" applyAlignment="1">
      <alignment vertical="center"/>
    </xf>
    <xf numFmtId="4" fontId="8" fillId="0" borderId="94" xfId="0" applyNumberFormat="1" applyFont="1" applyBorder="1"/>
    <xf numFmtId="0" fontId="24" fillId="0" borderId="165" xfId="0" applyFont="1" applyBorder="1" applyAlignment="1">
      <alignment vertical="center"/>
    </xf>
    <xf numFmtId="0" fontId="1" fillId="0" borderId="167" xfId="0" applyFont="1" applyBorder="1" applyAlignment="1">
      <alignment vertical="center"/>
    </xf>
    <xf numFmtId="4" fontId="1" fillId="0" borderId="146" xfId="0" applyNumberFormat="1" applyFont="1" applyBorder="1" applyAlignment="1">
      <alignment vertical="center"/>
    </xf>
    <xf numFmtId="4" fontId="1" fillId="0" borderId="34" xfId="0" applyNumberFormat="1" applyFont="1" applyBorder="1" applyAlignment="1">
      <alignment vertical="center"/>
    </xf>
    <xf numFmtId="4" fontId="6" fillId="0" borderId="117" xfId="0" applyNumberFormat="1" applyFont="1" applyBorder="1" applyAlignment="1">
      <alignment vertical="center"/>
    </xf>
    <xf numFmtId="0" fontId="24" fillId="0" borderId="164" xfId="0" applyFont="1" applyBorder="1" applyAlignment="1">
      <alignment vertical="center"/>
    </xf>
    <xf numFmtId="0" fontId="1" fillId="0" borderId="146" xfId="0" applyFont="1" applyBorder="1" applyAlignment="1">
      <alignment vertical="center"/>
    </xf>
    <xf numFmtId="4" fontId="0" fillId="0" borderId="187" xfId="0" applyNumberFormat="1" applyBorder="1"/>
    <xf numFmtId="4" fontId="1" fillId="0" borderId="187" xfId="0" applyNumberFormat="1" applyFont="1" applyBorder="1"/>
    <xf numFmtId="0" fontId="0" fillId="0" borderId="146" xfId="0" applyBorder="1" applyAlignment="1">
      <alignment vertical="center"/>
    </xf>
    <xf numFmtId="0" fontId="24" fillId="0" borderId="127" xfId="0" applyFont="1" applyBorder="1" applyAlignment="1">
      <alignment vertical="center"/>
    </xf>
    <xf numFmtId="0" fontId="24" fillId="0" borderId="168" xfId="0" applyFont="1" applyBorder="1" applyAlignment="1">
      <alignment vertical="center"/>
    </xf>
    <xf numFmtId="0" fontId="1" fillId="0" borderId="148" xfId="0" applyFont="1" applyBorder="1" applyAlignment="1">
      <alignment vertical="center"/>
    </xf>
    <xf numFmtId="0" fontId="24" fillId="0" borderId="227" xfId="0" applyFont="1" applyBorder="1" applyAlignment="1">
      <alignment vertical="center"/>
    </xf>
    <xf numFmtId="0" fontId="1" fillId="0" borderId="158" xfId="0" applyFont="1" applyBorder="1" applyAlignment="1">
      <alignment vertical="center" wrapText="1"/>
    </xf>
    <xf numFmtId="4" fontId="1" fillId="0" borderId="158" xfId="0" applyNumberFormat="1" applyFont="1" applyBorder="1" applyAlignment="1">
      <alignment vertical="center"/>
    </xf>
    <xf numFmtId="4" fontId="1" fillId="0" borderId="160" xfId="0" applyNumberFormat="1" applyFont="1" applyBorder="1" applyAlignment="1">
      <alignment vertical="center"/>
    </xf>
    <xf numFmtId="4" fontId="1" fillId="0" borderId="129" xfId="0" applyNumberFormat="1" applyFont="1" applyBorder="1"/>
    <xf numFmtId="4" fontId="6" fillId="0" borderId="129" xfId="0" applyNumberFormat="1" applyFont="1" applyBorder="1" applyAlignment="1">
      <alignment vertical="center"/>
    </xf>
    <xf numFmtId="0" fontId="6" fillId="0" borderId="227" xfId="0" applyFont="1" applyBorder="1" applyAlignment="1">
      <alignment vertical="center"/>
    </xf>
    <xf numFmtId="0" fontId="6" fillId="0" borderId="158" xfId="0" applyFont="1" applyBorder="1" applyAlignment="1">
      <alignment vertical="center"/>
    </xf>
    <xf numFmtId="4" fontId="6" fillId="0" borderId="158" xfId="0" applyNumberFormat="1" applyFont="1" applyBorder="1" applyAlignment="1">
      <alignment vertical="center"/>
    </xf>
    <xf numFmtId="4" fontId="6" fillId="0" borderId="160" xfId="0" applyNumberFormat="1" applyFont="1" applyBorder="1" applyAlignment="1">
      <alignment vertical="center"/>
    </xf>
    <xf numFmtId="4" fontId="0" fillId="0" borderId="189" xfId="0" applyNumberFormat="1" applyBorder="1"/>
    <xf numFmtId="4" fontId="0" fillId="0" borderId="100" xfId="0" applyNumberFormat="1" applyBorder="1"/>
    <xf numFmtId="0" fontId="24" fillId="0" borderId="257" xfId="0" applyFont="1" applyBorder="1" applyAlignment="1">
      <alignment vertical="center"/>
    </xf>
    <xf numFmtId="0" fontId="1" fillId="0" borderId="155" xfId="0" applyFont="1" applyBorder="1" applyAlignment="1">
      <alignment vertical="center"/>
    </xf>
    <xf numFmtId="0" fontId="1" fillId="0" borderId="146" xfId="0" applyFont="1" applyBorder="1" applyAlignment="1">
      <alignment vertical="center" wrapText="1"/>
    </xf>
    <xf numFmtId="4" fontId="0" fillId="0" borderId="258" xfId="0" applyNumberFormat="1" applyBorder="1" applyAlignment="1">
      <alignment vertical="center"/>
    </xf>
    <xf numFmtId="4" fontId="0" fillId="0" borderId="259" xfId="0" applyNumberFormat="1" applyBorder="1" applyAlignment="1">
      <alignment vertical="center"/>
    </xf>
    <xf numFmtId="0" fontId="0" fillId="0" borderId="165" xfId="0" applyBorder="1" applyAlignment="1">
      <alignment vertical="center"/>
    </xf>
    <xf numFmtId="0" fontId="1" fillId="0" borderId="170" xfId="0" applyFont="1" applyBorder="1" applyAlignment="1">
      <alignment vertical="center"/>
    </xf>
    <xf numFmtId="4" fontId="1" fillId="0" borderId="170" xfId="0" applyNumberFormat="1" applyFont="1" applyBorder="1" applyAlignment="1">
      <alignment vertical="center"/>
    </xf>
    <xf numFmtId="4" fontId="1" fillId="0" borderId="169" xfId="0" applyNumberFormat="1" applyFont="1" applyBorder="1" applyAlignment="1">
      <alignment vertical="center"/>
    </xf>
    <xf numFmtId="0" fontId="6" fillId="0" borderId="161" xfId="0" applyFont="1" applyBorder="1" applyAlignment="1">
      <alignment vertical="center"/>
    </xf>
    <xf numFmtId="0" fontId="0" fillId="0" borderId="158" xfId="0" applyBorder="1" applyAlignment="1">
      <alignment vertical="center"/>
    </xf>
    <xf numFmtId="4" fontId="1" fillId="0" borderId="188" xfId="0" applyNumberFormat="1" applyFont="1" applyBorder="1"/>
    <xf numFmtId="0" fontId="0" fillId="0" borderId="162" xfId="0" applyBorder="1" applyAlignment="1">
      <alignment vertical="center"/>
    </xf>
    <xf numFmtId="4" fontId="0" fillId="0" borderId="260" xfId="0" applyNumberFormat="1" applyBorder="1" applyAlignment="1">
      <alignment vertical="center"/>
    </xf>
    <xf numFmtId="0" fontId="7" fillId="0" borderId="195" xfId="0" applyFont="1" applyBorder="1"/>
    <xf numFmtId="4" fontId="7" fillId="0" borderId="77" xfId="0" applyNumberFormat="1" applyFont="1" applyBorder="1"/>
    <xf numFmtId="0" fontId="6" fillId="0" borderId="261" xfId="0" applyFont="1" applyBorder="1" applyAlignment="1">
      <alignment vertical="center"/>
    </xf>
    <xf numFmtId="0" fontId="1" fillId="0" borderId="164" xfId="0" applyFont="1" applyBorder="1" applyAlignment="1">
      <alignment vertical="center"/>
    </xf>
    <xf numFmtId="0" fontId="24" fillId="0" borderId="161" xfId="0" applyFont="1" applyBorder="1" applyAlignment="1">
      <alignment vertical="center"/>
    </xf>
    <xf numFmtId="0" fontId="1" fillId="7" borderId="161" xfId="0" applyFont="1" applyFill="1" applyBorder="1" applyAlignment="1">
      <alignment vertical="center"/>
    </xf>
    <xf numFmtId="4" fontId="0" fillId="7" borderId="159" xfId="0" applyNumberFormat="1" applyFill="1" applyBorder="1" applyAlignment="1">
      <alignment vertical="center"/>
    </xf>
    <xf numFmtId="4" fontId="0" fillId="7" borderId="229" xfId="0" applyNumberFormat="1" applyFill="1" applyBorder="1" applyAlignment="1">
      <alignment vertical="center"/>
    </xf>
    <xf numFmtId="0" fontId="1" fillId="0" borderId="168" xfId="0" applyFont="1" applyBorder="1" applyAlignment="1">
      <alignment vertical="center"/>
    </xf>
    <xf numFmtId="0" fontId="1" fillId="0" borderId="161" xfId="0" applyFont="1" applyBorder="1" applyAlignment="1">
      <alignment vertical="center"/>
    </xf>
    <xf numFmtId="0" fontId="6" fillId="7" borderId="161" xfId="0" applyFont="1" applyFill="1" applyBorder="1" applyAlignment="1">
      <alignment vertical="center"/>
    </xf>
    <xf numFmtId="0" fontId="0" fillId="7" borderId="161" xfId="0" applyFill="1" applyBorder="1" applyAlignment="1">
      <alignment vertical="center"/>
    </xf>
    <xf numFmtId="4" fontId="6" fillId="7" borderId="234" xfId="0" applyNumberFormat="1" applyFont="1" applyFill="1" applyBorder="1" applyAlignment="1">
      <alignment vertical="center"/>
    </xf>
    <xf numFmtId="4" fontId="6" fillId="7" borderId="228" xfId="0" applyNumberFormat="1" applyFont="1" applyFill="1" applyBorder="1" applyAlignment="1">
      <alignment vertical="center"/>
    </xf>
    <xf numFmtId="4" fontId="6" fillId="7" borderId="227" xfId="0" applyNumberFormat="1" applyFont="1" applyFill="1" applyBorder="1" applyAlignment="1">
      <alignment vertical="center"/>
    </xf>
    <xf numFmtId="0" fontId="24" fillId="7" borderId="161" xfId="0" applyFont="1" applyFill="1" applyBorder="1" applyAlignment="1">
      <alignment vertical="center"/>
    </xf>
    <xf numFmtId="0" fontId="24" fillId="0" borderId="161" xfId="0" applyFont="1" applyBorder="1" applyAlignment="1">
      <alignment horizontal="right" vertical="center"/>
    </xf>
    <xf numFmtId="0" fontId="1" fillId="7" borderId="175" xfId="0" applyFont="1" applyFill="1" applyBorder="1" applyAlignment="1">
      <alignment vertical="center"/>
    </xf>
    <xf numFmtId="4" fontId="1" fillId="7" borderId="158" xfId="0" applyNumberFormat="1" applyFont="1" applyFill="1" applyBorder="1" applyAlignment="1">
      <alignment vertical="center"/>
    </xf>
    <xf numFmtId="4" fontId="1" fillId="7" borderId="160" xfId="0" applyNumberFormat="1" applyFont="1" applyFill="1" applyBorder="1" applyAlignment="1">
      <alignment vertical="center"/>
    </xf>
    <xf numFmtId="4" fontId="1" fillId="7" borderId="161" xfId="0" applyNumberFormat="1" applyFont="1" applyFill="1" applyBorder="1" applyAlignment="1">
      <alignment vertical="center"/>
    </xf>
    <xf numFmtId="0" fontId="1" fillId="7" borderId="262" xfId="0" applyFont="1" applyFill="1" applyBorder="1" applyAlignment="1">
      <alignment vertical="center"/>
    </xf>
    <xf numFmtId="0" fontId="1" fillId="7" borderId="174" xfId="0" applyFont="1" applyFill="1" applyBorder="1" applyAlignment="1">
      <alignment vertical="center"/>
    </xf>
    <xf numFmtId="0" fontId="24" fillId="0" borderId="175" xfId="0" applyFont="1" applyBorder="1" applyAlignment="1">
      <alignment vertical="center"/>
    </xf>
    <xf numFmtId="0" fontId="1" fillId="7" borderId="127" xfId="0" applyFont="1" applyFill="1" applyBorder="1" applyAlignment="1">
      <alignment vertical="center"/>
    </xf>
    <xf numFmtId="4" fontId="0" fillId="7" borderId="151" xfId="0" applyNumberFormat="1" applyFill="1" applyBorder="1" applyAlignment="1">
      <alignment vertical="center"/>
    </xf>
    <xf numFmtId="4" fontId="0" fillId="7" borderId="175" xfId="0" applyNumberFormat="1" applyFill="1" applyBorder="1" applyAlignment="1">
      <alignment vertical="center"/>
    </xf>
    <xf numFmtId="4" fontId="6" fillId="7" borderId="159" xfId="0" applyNumberFormat="1" applyFont="1" applyFill="1" applyBorder="1" applyAlignment="1">
      <alignment vertical="center"/>
    </xf>
    <xf numFmtId="4" fontId="1" fillId="7" borderId="179" xfId="0" applyNumberFormat="1" applyFont="1" applyFill="1" applyBorder="1" applyAlignment="1">
      <alignment vertical="center"/>
    </xf>
    <xf numFmtId="4" fontId="1" fillId="7" borderId="159" xfId="0" applyNumberFormat="1" applyFont="1" applyFill="1" applyBorder="1" applyAlignment="1">
      <alignment vertical="center"/>
    </xf>
    <xf numFmtId="4" fontId="1" fillId="7" borderId="262" xfId="0" applyNumberFormat="1" applyFont="1" applyFill="1" applyBorder="1" applyAlignment="1">
      <alignment vertical="center"/>
    </xf>
    <xf numFmtId="4" fontId="1" fillId="0" borderId="100" xfId="0" applyNumberFormat="1" applyFont="1" applyBorder="1"/>
    <xf numFmtId="0" fontId="6" fillId="7" borderId="175" xfId="0" applyFont="1" applyFill="1" applyBorder="1" applyAlignment="1">
      <alignment vertical="center"/>
    </xf>
    <xf numFmtId="4" fontId="6" fillId="7" borderId="170" xfId="0" applyNumberFormat="1" applyFont="1" applyFill="1" applyBorder="1" applyAlignment="1">
      <alignment vertical="center"/>
    </xf>
    <xf numFmtId="4" fontId="6" fillId="7" borderId="174" xfId="0" applyNumberFormat="1" applyFont="1" applyFill="1" applyBorder="1" applyAlignment="1">
      <alignment vertical="center"/>
    </xf>
    <xf numFmtId="4" fontId="0" fillId="0" borderId="119" xfId="0" applyNumberFormat="1" applyBorder="1"/>
    <xf numFmtId="0" fontId="7" fillId="7" borderId="181" xfId="0" applyFont="1" applyFill="1" applyBorder="1"/>
    <xf numFmtId="4" fontId="7" fillId="7" borderId="77" xfId="0" applyNumberFormat="1" applyFont="1" applyFill="1" applyBorder="1" applyAlignment="1">
      <alignment vertical="center"/>
    </xf>
    <xf numFmtId="0" fontId="6" fillId="0" borderId="92" xfId="0" applyFont="1" applyBorder="1" applyAlignment="1">
      <alignment vertical="center"/>
    </xf>
    <xf numFmtId="4" fontId="6" fillId="0" borderId="151" xfId="0" applyNumberFormat="1" applyFont="1" applyBorder="1" applyAlignment="1">
      <alignment vertical="center"/>
    </xf>
    <xf numFmtId="0" fontId="0" fillId="0" borderId="100" xfId="0" applyBorder="1" applyAlignment="1">
      <alignment vertical="center"/>
    </xf>
    <xf numFmtId="4" fontId="6" fillId="0" borderId="110" xfId="0" applyNumberFormat="1" applyFont="1" applyBorder="1" applyAlignment="1">
      <alignment vertical="center"/>
    </xf>
    <xf numFmtId="0" fontId="0" fillId="0" borderId="101" xfId="0" applyBorder="1" applyAlignment="1">
      <alignment vertical="center" wrapText="1"/>
    </xf>
    <xf numFmtId="0" fontId="0" fillId="0" borderId="98" xfId="0" applyBorder="1" applyAlignment="1">
      <alignment vertical="center" wrapText="1"/>
    </xf>
    <xf numFmtId="0" fontId="0" fillId="0" borderId="101" xfId="0" applyBorder="1" applyAlignment="1">
      <alignment vertical="center"/>
    </xf>
    <xf numFmtId="0" fontId="0" fillId="0" borderId="170" xfId="0" applyBorder="1" applyAlignment="1">
      <alignment vertical="center"/>
    </xf>
    <xf numFmtId="0" fontId="6" fillId="7" borderId="129" xfId="0" applyFont="1" applyFill="1" applyBorder="1" applyAlignment="1">
      <alignment vertical="center"/>
    </xf>
    <xf numFmtId="4" fontId="0" fillId="7" borderId="179" xfId="0" applyNumberFormat="1" applyFill="1" applyBorder="1" applyAlignment="1">
      <alignment vertical="center"/>
    </xf>
    <xf numFmtId="4" fontId="1" fillId="0" borderId="164" xfId="0" applyNumberFormat="1" applyFont="1" applyBorder="1" applyAlignment="1">
      <alignment vertical="center"/>
    </xf>
    <xf numFmtId="0" fontId="6" fillId="0" borderId="172" xfId="0" applyFont="1" applyBorder="1" applyAlignment="1">
      <alignment vertical="center"/>
    </xf>
    <xf numFmtId="4" fontId="6" fillId="0" borderId="172" xfId="0" applyNumberFormat="1" applyFont="1" applyBorder="1" applyAlignment="1">
      <alignment vertical="center"/>
    </xf>
    <xf numFmtId="4" fontId="6" fillId="0" borderId="205" xfId="0" applyNumberFormat="1" applyFont="1" applyBorder="1" applyAlignment="1">
      <alignment vertical="center"/>
    </xf>
    <xf numFmtId="4" fontId="6" fillId="0" borderId="104" xfId="0" applyNumberFormat="1" applyFont="1" applyBorder="1" applyAlignment="1">
      <alignment vertical="center"/>
    </xf>
    <xf numFmtId="0" fontId="6" fillId="0" borderId="158" xfId="0" applyFont="1" applyBorder="1" applyAlignment="1">
      <alignment horizontal="right" vertical="center"/>
    </xf>
    <xf numFmtId="0" fontId="6" fillId="0" borderId="159" xfId="0" applyFont="1" applyBorder="1" applyAlignment="1">
      <alignment vertical="center"/>
    </xf>
    <xf numFmtId="0" fontId="1" fillId="0" borderId="107" xfId="0" applyFont="1" applyBorder="1" applyAlignment="1">
      <alignment vertical="center"/>
    </xf>
    <xf numFmtId="0" fontId="6" fillId="0" borderId="169" xfId="0" applyFont="1" applyBorder="1"/>
    <xf numFmtId="4" fontId="6" fillId="0" borderId="171" xfId="0" applyNumberFormat="1" applyFont="1" applyBorder="1"/>
    <xf numFmtId="0" fontId="0" fillId="0" borderId="160" xfId="0" applyBorder="1"/>
    <xf numFmtId="4" fontId="0" fillId="0" borderId="160" xfId="0" applyNumberFormat="1" applyBorder="1"/>
    <xf numFmtId="0" fontId="6" fillId="0" borderId="46" xfId="0" applyFont="1" applyBorder="1" applyAlignment="1">
      <alignment vertical="center"/>
    </xf>
    <xf numFmtId="0" fontId="0" fillId="0" borderId="160" xfId="0" applyBorder="1" applyAlignment="1">
      <alignment vertical="center"/>
    </xf>
    <xf numFmtId="0" fontId="0" fillId="0" borderId="0" xfId="0" applyAlignment="1">
      <alignment vertical="center" wrapText="1"/>
    </xf>
    <xf numFmtId="0" fontId="1" fillId="0" borderId="153" xfId="0" applyFont="1" applyBorder="1" applyAlignment="1">
      <alignment vertical="center" wrapText="1"/>
    </xf>
    <xf numFmtId="0" fontId="0" fillId="0" borderId="153" xfId="0" applyBorder="1" applyAlignment="1">
      <alignment vertical="center" wrapText="1"/>
    </xf>
    <xf numFmtId="44" fontId="0" fillId="0" borderId="153" xfId="7" applyNumberFormat="1" applyFont="1" applyBorder="1" applyAlignment="1">
      <alignment vertical="center"/>
    </xf>
    <xf numFmtId="0" fontId="0" fillId="0" borderId="153" xfId="0" applyBorder="1" applyAlignment="1">
      <alignment vertical="center"/>
    </xf>
    <xf numFmtId="0" fontId="1" fillId="0" borderId="160" xfId="0" applyFont="1" applyBorder="1" applyAlignment="1">
      <alignment vertical="center"/>
    </xf>
    <xf numFmtId="4" fontId="1" fillId="0" borderId="152" xfId="0" applyNumberFormat="1" applyFont="1" applyBorder="1" applyAlignment="1">
      <alignment vertical="center"/>
    </xf>
    <xf numFmtId="4" fontId="1" fillId="0" borderId="153" xfId="0" applyNumberFormat="1" applyFont="1" applyBorder="1" applyAlignment="1">
      <alignment vertical="center"/>
    </xf>
    <xf numFmtId="0" fontId="6" fillId="0" borderId="178" xfId="0" applyFont="1" applyBorder="1" applyAlignment="1">
      <alignment vertical="center"/>
    </xf>
    <xf numFmtId="4" fontId="6" fillId="0" borderId="176" xfId="0" applyNumberFormat="1" applyFont="1" applyBorder="1" applyAlignment="1">
      <alignment vertical="center"/>
    </xf>
    <xf numFmtId="0" fontId="0" fillId="0" borderId="38" xfId="0" applyBorder="1" applyAlignment="1">
      <alignment vertical="center"/>
    </xf>
    <xf numFmtId="0" fontId="0" fillId="0" borderId="169" xfId="0" applyBorder="1" applyAlignment="1">
      <alignment vertical="center"/>
    </xf>
    <xf numFmtId="0" fontId="24" fillId="0" borderId="228" xfId="0" applyFont="1" applyBorder="1" applyAlignment="1">
      <alignment vertical="center"/>
    </xf>
    <xf numFmtId="0" fontId="0" fillId="0" borderId="0" xfId="0" applyAlignment="1">
      <alignment vertical="center"/>
    </xf>
    <xf numFmtId="4" fontId="0" fillId="0" borderId="234" xfId="0" applyNumberFormat="1" applyBorder="1" applyAlignment="1">
      <alignment vertical="center"/>
    </xf>
    <xf numFmtId="4" fontId="0" fillId="0" borderId="228" xfId="0" applyNumberFormat="1" applyBorder="1" applyAlignment="1">
      <alignment vertical="center"/>
    </xf>
    <xf numFmtId="4" fontId="0" fillId="0" borderId="227" xfId="0" applyNumberFormat="1" applyBorder="1" applyAlignment="1">
      <alignment vertical="center"/>
    </xf>
    <xf numFmtId="4" fontId="1" fillId="0" borderId="127" xfId="0" applyNumberFormat="1" applyFont="1" applyBorder="1"/>
    <xf numFmtId="4" fontId="6" fillId="0" borderId="91" xfId="0" applyNumberFormat="1" applyFont="1" applyBorder="1" applyAlignment="1">
      <alignment vertical="center"/>
    </xf>
    <xf numFmtId="4" fontId="6" fillId="0" borderId="159" xfId="0" applyNumberFormat="1" applyFont="1" applyBorder="1" applyAlignment="1">
      <alignment vertical="center"/>
    </xf>
    <xf numFmtId="4" fontId="6" fillId="0" borderId="161" xfId="0" applyNumberFormat="1" applyFont="1" applyBorder="1" applyAlignment="1">
      <alignment vertical="center"/>
    </xf>
    <xf numFmtId="0" fontId="7" fillId="0" borderId="71" xfId="0" applyFont="1" applyBorder="1"/>
    <xf numFmtId="4" fontId="7" fillId="0" borderId="88" xfId="0" applyNumberFormat="1" applyFont="1" applyBorder="1" applyAlignment="1">
      <alignment vertical="center"/>
    </xf>
    <xf numFmtId="4" fontId="7" fillId="0" borderId="195" xfId="0" applyNumberFormat="1" applyFont="1" applyBorder="1" applyAlignment="1">
      <alignment vertical="center"/>
    </xf>
    <xf numFmtId="4" fontId="7" fillId="0" borderId="72" xfId="0" applyNumberFormat="1" applyFont="1" applyBorder="1" applyAlignment="1">
      <alignment vertical="center"/>
    </xf>
    <xf numFmtId="0" fontId="6" fillId="0" borderId="117" xfId="0" applyFont="1" applyBorder="1" applyAlignment="1">
      <alignment vertical="center"/>
    </xf>
    <xf numFmtId="0" fontId="1" fillId="0" borderId="34" xfId="0" applyFont="1" applyBorder="1" applyAlignment="1">
      <alignment vertical="center"/>
    </xf>
    <xf numFmtId="0" fontId="0" fillId="0" borderId="34" xfId="0" applyBorder="1" applyAlignment="1">
      <alignment vertical="center"/>
    </xf>
    <xf numFmtId="0" fontId="0" fillId="0" borderId="157" xfId="0" applyBorder="1" applyAlignment="1">
      <alignment vertical="center"/>
    </xf>
    <xf numFmtId="0" fontId="6" fillId="0" borderId="19" xfId="0" applyFont="1" applyBorder="1" applyAlignment="1">
      <alignment vertical="center"/>
    </xf>
    <xf numFmtId="0" fontId="6" fillId="0" borderId="170" xfId="0" applyFont="1" applyBorder="1" applyAlignment="1">
      <alignment vertical="center"/>
    </xf>
    <xf numFmtId="0" fontId="6" fillId="0" borderId="169" xfId="0" applyFont="1" applyBorder="1" applyAlignment="1">
      <alignment vertical="center"/>
    </xf>
    <xf numFmtId="4" fontId="6" fillId="0" borderId="170" xfId="0" applyNumberFormat="1" applyFont="1" applyBorder="1" applyAlignment="1">
      <alignment vertical="center"/>
    </xf>
    <xf numFmtId="4" fontId="6" fillId="0" borderId="171" xfId="0" applyNumberFormat="1" applyFont="1" applyBorder="1" applyAlignment="1">
      <alignment vertical="center"/>
    </xf>
    <xf numFmtId="4" fontId="6" fillId="0" borderId="174" xfId="0" applyNumberFormat="1" applyFont="1" applyBorder="1" applyAlignment="1">
      <alignment vertical="center"/>
    </xf>
    <xf numFmtId="0" fontId="24" fillId="0" borderId="155" xfId="0" applyFont="1" applyBorder="1" applyAlignment="1">
      <alignment vertical="center"/>
    </xf>
    <xf numFmtId="0" fontId="1" fillId="0" borderId="32" xfId="0" applyFont="1" applyBorder="1" applyAlignment="1">
      <alignment vertical="center"/>
    </xf>
    <xf numFmtId="4" fontId="0" fillId="0" borderId="182" xfId="0" applyNumberFormat="1" applyBorder="1" applyAlignment="1">
      <alignment vertical="center"/>
    </xf>
    <xf numFmtId="4" fontId="0" fillId="0" borderId="257" xfId="0" applyNumberFormat="1" applyBorder="1" applyAlignment="1">
      <alignment vertical="center"/>
    </xf>
    <xf numFmtId="4" fontId="6" fillId="0" borderId="234" xfId="0" applyNumberFormat="1" applyFont="1" applyBorder="1" applyAlignment="1">
      <alignment vertical="center"/>
    </xf>
    <xf numFmtId="4" fontId="6" fillId="0" borderId="228" xfId="0" applyNumberFormat="1" applyFont="1" applyBorder="1" applyAlignment="1">
      <alignment vertical="center"/>
    </xf>
    <xf numFmtId="4" fontId="6" fillId="0" borderId="227" xfId="0" applyNumberFormat="1" applyFont="1" applyBorder="1" applyAlignment="1">
      <alignment vertical="center"/>
    </xf>
    <xf numFmtId="4" fontId="7" fillId="0" borderId="107" xfId="0" applyNumberFormat="1" applyFont="1" applyBorder="1" applyAlignment="1">
      <alignment vertical="center"/>
    </xf>
    <xf numFmtId="4" fontId="7" fillId="0" borderId="131" xfId="0" applyNumberFormat="1" applyFont="1" applyBorder="1" applyAlignment="1">
      <alignment vertical="center"/>
    </xf>
    <xf numFmtId="4" fontId="7" fillId="0" borderId="80" xfId="0" applyNumberFormat="1" applyFont="1" applyBorder="1" applyAlignment="1">
      <alignment vertical="center"/>
    </xf>
    <xf numFmtId="4" fontId="7" fillId="0" borderId="263" xfId="0" applyNumberFormat="1" applyFont="1" applyBorder="1" applyAlignment="1">
      <alignment vertical="center"/>
    </xf>
    <xf numFmtId="0" fontId="24" fillId="0" borderId="170" xfId="0" applyFont="1" applyBorder="1" applyAlignment="1">
      <alignment vertical="center"/>
    </xf>
    <xf numFmtId="4" fontId="0" fillId="0" borderId="169" xfId="0" applyNumberFormat="1" applyBorder="1" applyAlignment="1">
      <alignment vertical="center"/>
    </xf>
    <xf numFmtId="0" fontId="9" fillId="0" borderId="90" xfId="0" applyFont="1" applyBorder="1" applyAlignment="1">
      <alignment horizontal="right" vertical="center"/>
    </xf>
    <xf numFmtId="0" fontId="7" fillId="0" borderId="101" xfId="0" applyFont="1" applyBorder="1"/>
    <xf numFmtId="4" fontId="8" fillId="0" borderId="195" xfId="0" applyNumberFormat="1" applyFont="1" applyBorder="1" applyAlignment="1">
      <alignment vertical="center"/>
    </xf>
    <xf numFmtId="4" fontId="34" fillId="7" borderId="93" xfId="6" applyNumberFormat="1" applyFont="1" applyFill="1" applyBorder="1" applyAlignment="1">
      <alignment vertical="center"/>
    </xf>
    <xf numFmtId="4" fontId="6" fillId="0" borderId="100" xfId="0" applyNumberFormat="1" applyFont="1" applyBorder="1" applyAlignment="1">
      <alignment vertical="center"/>
    </xf>
    <xf numFmtId="0" fontId="6" fillId="0" borderId="111" xfId="0" applyFont="1" applyBorder="1"/>
    <xf numFmtId="0" fontId="6" fillId="0" borderId="209" xfId="0" applyFont="1" applyBorder="1"/>
    <xf numFmtId="4" fontId="6" fillId="0" borderId="100" xfId="0" applyNumberFormat="1" applyFont="1" applyBorder="1"/>
    <xf numFmtId="0" fontId="6" fillId="0" borderId="99" xfId="0" applyFont="1" applyBorder="1" applyAlignment="1">
      <alignment vertical="center"/>
    </xf>
    <xf numFmtId="0" fontId="6" fillId="7" borderId="110" xfId="0" applyFont="1" applyFill="1" applyBorder="1" applyAlignment="1">
      <alignment vertical="center"/>
    </xf>
    <xf numFmtId="4" fontId="0" fillId="0" borderId="98" xfId="0" applyNumberFormat="1" applyBorder="1" applyAlignment="1">
      <alignment horizontal="right" vertical="center"/>
    </xf>
    <xf numFmtId="4" fontId="0" fillId="0" borderId="100" xfId="0" applyNumberFormat="1" applyBorder="1" applyAlignment="1">
      <alignment horizontal="right" vertical="center"/>
    </xf>
    <xf numFmtId="4" fontId="1" fillId="0" borderId="107" xfId="0" applyNumberFormat="1" applyFont="1" applyBorder="1"/>
    <xf numFmtId="4" fontId="48" fillId="0" borderId="89" xfId="0" applyNumberFormat="1" applyFont="1" applyBorder="1" applyAlignment="1">
      <alignment vertical="center"/>
    </xf>
    <xf numFmtId="0" fontId="1" fillId="0" borderId="150" xfId="0" applyFont="1" applyBorder="1"/>
    <xf numFmtId="4" fontId="34" fillId="0" borderId="109" xfId="0" applyNumberFormat="1" applyFont="1" applyBorder="1" applyAlignment="1">
      <alignment vertical="center"/>
    </xf>
    <xf numFmtId="4" fontId="0" fillId="0" borderId="90" xfId="0" applyNumberFormat="1" applyBorder="1" applyAlignment="1">
      <alignment horizontal="right" vertical="center" wrapText="1"/>
    </xf>
    <xf numFmtId="4" fontId="1" fillId="0" borderId="100" xfId="0" applyNumberFormat="1" applyFont="1" applyBorder="1" applyAlignment="1">
      <alignment vertical="center"/>
    </xf>
    <xf numFmtId="0" fontId="1" fillId="0" borderId="101" xfId="0" applyFont="1" applyBorder="1"/>
    <xf numFmtId="0" fontId="6" fillId="0" borderId="92" xfId="0" applyFont="1" applyBorder="1" applyAlignment="1">
      <alignment horizontal="right" vertical="center"/>
    </xf>
    <xf numFmtId="4" fontId="5" fillId="0" borderId="90" xfId="0" applyNumberFormat="1" applyFont="1" applyBorder="1" applyAlignment="1">
      <alignment vertical="center"/>
    </xf>
    <xf numFmtId="4" fontId="0" fillId="0" borderId="187" xfId="0" applyNumberFormat="1" applyBorder="1" applyAlignment="1">
      <alignment vertical="center"/>
    </xf>
    <xf numFmtId="4" fontId="5" fillId="0" borderId="0" xfId="0" applyNumberFormat="1" applyFont="1" applyAlignment="1">
      <alignment vertical="center"/>
    </xf>
    <xf numFmtId="0" fontId="6" fillId="0" borderId="106" xfId="0" applyFont="1" applyBorder="1"/>
    <xf numFmtId="0" fontId="6" fillId="0" borderId="150" xfId="0" applyFont="1" applyBorder="1" applyAlignment="1">
      <alignment vertical="center"/>
    </xf>
    <xf numFmtId="0" fontId="6" fillId="0" borderId="110" xfId="0" applyFont="1" applyBorder="1"/>
    <xf numFmtId="0" fontId="6" fillId="7" borderId="100" xfId="0" applyFont="1" applyFill="1" applyBorder="1"/>
    <xf numFmtId="0" fontId="21" fillId="7" borderId="91" xfId="0" applyFont="1" applyFill="1" applyBorder="1" applyAlignment="1">
      <alignment vertical="center" wrapText="1"/>
    </xf>
    <xf numFmtId="0" fontId="1" fillId="7" borderId="100" xfId="0" applyFont="1" applyFill="1" applyBorder="1" applyAlignment="1">
      <alignment vertical="center"/>
    </xf>
    <xf numFmtId="0" fontId="1" fillId="7" borderId="100" xfId="0" applyFont="1" applyFill="1" applyBorder="1"/>
    <xf numFmtId="0" fontId="7" fillId="7" borderId="90" xfId="0" applyFont="1" applyFill="1" applyBorder="1"/>
    <xf numFmtId="0" fontId="16" fillId="0" borderId="130" xfId="0" applyFont="1" applyBorder="1" applyAlignment="1">
      <alignment vertical="center"/>
    </xf>
    <xf numFmtId="4" fontId="8" fillId="0" borderId="107" xfId="0" applyNumberFormat="1" applyFont="1" applyBorder="1" applyAlignment="1">
      <alignment vertical="center"/>
    </xf>
    <xf numFmtId="0" fontId="1" fillId="0" borderId="236" xfId="0" applyFont="1" applyBorder="1"/>
    <xf numFmtId="0" fontId="1" fillId="0" borderId="72" xfId="0" applyFont="1" applyBorder="1" applyAlignment="1">
      <alignment vertical="center"/>
    </xf>
    <xf numFmtId="0" fontId="21" fillId="0" borderId="192" xfId="0" applyFont="1" applyBorder="1" applyAlignment="1" applyProtection="1">
      <alignment horizontal="right" vertical="center"/>
      <protection locked="0"/>
    </xf>
    <xf numFmtId="0" fontId="0" fillId="0" borderId="189" xfId="0" applyBorder="1" applyAlignment="1" applyProtection="1">
      <alignment vertical="center"/>
      <protection locked="0"/>
    </xf>
    <xf numFmtId="0" fontId="21" fillId="0" borderId="101" xfId="0" applyFont="1" applyBorder="1" applyAlignment="1" applyProtection="1">
      <alignment horizontal="right" vertical="center"/>
      <protection locked="0"/>
    </xf>
    <xf numFmtId="0" fontId="0" fillId="0" borderId="250" xfId="0" applyBorder="1" applyAlignment="1" applyProtection="1">
      <alignment vertical="center"/>
      <protection locked="0"/>
    </xf>
    <xf numFmtId="0" fontId="16" fillId="0" borderId="89" xfId="0" applyFont="1" applyBorder="1" applyAlignment="1">
      <alignment horizontal="center" vertical="center"/>
    </xf>
    <xf numFmtId="49" fontId="64" fillId="0" borderId="202" xfId="0" applyNumberFormat="1" applyFont="1" applyBorder="1" applyAlignment="1">
      <alignment vertical="center" wrapText="1"/>
    </xf>
    <xf numFmtId="4" fontId="64" fillId="0" borderId="100" xfId="0" applyNumberFormat="1" applyFont="1" applyBorder="1" applyAlignment="1">
      <alignment vertical="center"/>
    </xf>
    <xf numFmtId="4" fontId="64" fillId="7" borderId="93" xfId="0" applyNumberFormat="1" applyFont="1" applyFill="1" applyBorder="1" applyAlignment="1">
      <alignment vertical="center"/>
    </xf>
    <xf numFmtId="0" fontId="0" fillId="0" borderId="101" xfId="0" applyBorder="1"/>
    <xf numFmtId="0" fontId="64" fillId="0" borderId="129" xfId="0" applyFont="1" applyBorder="1" applyAlignment="1">
      <alignment vertical="center"/>
    </xf>
    <xf numFmtId="4" fontId="64" fillId="0" borderId="98" xfId="0" applyNumberFormat="1" applyFont="1" applyBorder="1" applyAlignment="1">
      <alignment vertical="center"/>
    </xf>
    <xf numFmtId="0" fontId="65" fillId="0" borderId="129" xfId="0" applyFont="1" applyBorder="1" applyAlignment="1">
      <alignment vertical="center" wrapText="1"/>
    </xf>
    <xf numFmtId="0" fontId="66" fillId="0" borderId="129" xfId="0" applyFont="1" applyBorder="1" applyAlignment="1">
      <alignment vertical="center"/>
    </xf>
    <xf numFmtId="4" fontId="66" fillId="0" borderId="98" xfId="0" applyNumberFormat="1" applyFont="1" applyBorder="1" applyAlignment="1">
      <alignment vertical="center"/>
    </xf>
    <xf numFmtId="49" fontId="0" fillId="12" borderId="129" xfId="0" applyNumberFormat="1" applyFill="1" applyBorder="1" applyAlignment="1">
      <alignment vertical="center" wrapText="1"/>
    </xf>
    <xf numFmtId="4" fontId="0" fillId="12" borderId="98" xfId="0" applyNumberFormat="1" applyFill="1" applyBorder="1" applyAlignment="1">
      <alignment vertical="center"/>
    </xf>
    <xf numFmtId="49" fontId="66" fillId="12" borderId="129" xfId="0" applyNumberFormat="1" applyFont="1" applyFill="1" applyBorder="1" applyAlignment="1">
      <alignment vertical="center" wrapText="1"/>
    </xf>
    <xf numFmtId="4" fontId="66" fillId="12" borderId="98" xfId="0" applyNumberFormat="1" applyFont="1" applyFill="1" applyBorder="1" applyAlignment="1">
      <alignment horizontal="right" vertical="center"/>
    </xf>
    <xf numFmtId="0" fontId="0" fillId="12" borderId="185" xfId="0" applyFill="1" applyBorder="1" applyAlignment="1">
      <alignment vertical="center" wrapText="1"/>
    </xf>
    <xf numFmtId="0" fontId="42" fillId="0" borderId="101" xfId="0" applyFont="1" applyBorder="1"/>
    <xf numFmtId="0" fontId="0" fillId="12" borderId="129" xfId="0" applyFill="1" applyBorder="1" applyAlignment="1">
      <alignment vertical="center" wrapText="1"/>
    </xf>
    <xf numFmtId="0" fontId="66" fillId="12" borderId="185" xfId="0" applyFont="1" applyFill="1" applyBorder="1" applyAlignment="1">
      <alignment vertical="center" wrapText="1"/>
    </xf>
    <xf numFmtId="4" fontId="66" fillId="12" borderId="98" xfId="0" applyNumberFormat="1" applyFont="1" applyFill="1" applyBorder="1" applyAlignment="1">
      <alignment vertical="center"/>
    </xf>
    <xf numFmtId="0" fontId="0" fillId="12" borderId="185" xfId="0" applyFill="1" applyBorder="1" applyAlignment="1">
      <alignment vertical="center"/>
    </xf>
    <xf numFmtId="0" fontId="65" fillId="12" borderId="185" xfId="0" applyFont="1" applyFill="1" applyBorder="1" applyAlignment="1">
      <alignment vertical="center"/>
    </xf>
    <xf numFmtId="4" fontId="64" fillId="12" borderId="98" xfId="0" applyNumberFormat="1" applyFont="1" applyFill="1" applyBorder="1" applyAlignment="1">
      <alignment vertical="center"/>
    </xf>
    <xf numFmtId="0" fontId="0" fillId="0" borderId="98" xfId="0" applyBorder="1" applyAlignment="1">
      <alignment horizontal="right" vertical="center"/>
    </xf>
    <xf numFmtId="0" fontId="66" fillId="12" borderId="129" xfId="0" applyFont="1" applyFill="1" applyBorder="1" applyAlignment="1">
      <alignment vertical="center"/>
    </xf>
    <xf numFmtId="0" fontId="0" fillId="12" borderId="129" xfId="0" applyFill="1" applyBorder="1" applyAlignment="1">
      <alignment vertical="center"/>
    </xf>
    <xf numFmtId="4" fontId="66" fillId="12" borderId="100" xfId="0" applyNumberFormat="1" applyFont="1" applyFill="1" applyBorder="1" applyAlignment="1">
      <alignment vertical="center"/>
    </xf>
    <xf numFmtId="49" fontId="0" fillId="12" borderId="185" xfId="0" applyNumberFormat="1" applyFill="1" applyBorder="1" applyAlignment="1">
      <alignment vertical="center"/>
    </xf>
    <xf numFmtId="0" fontId="0" fillId="0" borderId="102" xfId="0" applyBorder="1" applyAlignment="1">
      <alignment horizontal="right" vertical="center"/>
    </xf>
    <xf numFmtId="0" fontId="66" fillId="12" borderId="128" xfId="0" applyFont="1" applyFill="1" applyBorder="1" applyAlignment="1">
      <alignment vertical="center"/>
    </xf>
    <xf numFmtId="4" fontId="66" fillId="12" borderId="102" xfId="0" applyNumberFormat="1" applyFont="1" applyFill="1" applyBorder="1" applyAlignment="1">
      <alignment vertical="center"/>
    </xf>
    <xf numFmtId="4" fontId="0" fillId="12" borderId="264" xfId="0" applyNumberFormat="1" applyFill="1" applyBorder="1" applyAlignment="1">
      <alignment vertical="center"/>
    </xf>
    <xf numFmtId="0" fontId="64" fillId="12" borderId="129" xfId="0" applyFont="1" applyFill="1" applyBorder="1" applyAlignment="1">
      <alignment vertical="center"/>
    </xf>
    <xf numFmtId="0" fontId="66" fillId="12" borderId="129" xfId="0" applyFont="1" applyFill="1" applyBorder="1" applyAlignment="1">
      <alignment vertical="center" wrapText="1"/>
    </xf>
    <xf numFmtId="4" fontId="66" fillId="12" borderId="98" xfId="0" applyNumberFormat="1" applyFont="1" applyFill="1" applyBorder="1"/>
    <xf numFmtId="0" fontId="32" fillId="0" borderId="98" xfId="0" applyFont="1" applyBorder="1" applyAlignment="1">
      <alignment horizontal="right" vertical="center"/>
    </xf>
    <xf numFmtId="0" fontId="65" fillId="12" borderId="129" xfId="0" applyFont="1" applyFill="1" applyBorder="1" applyAlignment="1">
      <alignment vertical="center" wrapText="1"/>
    </xf>
    <xf numFmtId="4" fontId="65" fillId="12" borderId="100" xfId="0" applyNumberFormat="1" applyFont="1" applyFill="1" applyBorder="1"/>
    <xf numFmtId="4" fontId="0" fillId="12" borderId="98" xfId="0" applyNumberFormat="1" applyFill="1" applyBorder="1"/>
    <xf numFmtId="4" fontId="0" fillId="12" borderId="100" xfId="0" applyNumberFormat="1" applyFill="1" applyBorder="1"/>
    <xf numFmtId="0" fontId="65" fillId="12" borderId="129" xfId="0" applyFont="1" applyFill="1" applyBorder="1" applyAlignment="1">
      <alignment vertical="center"/>
    </xf>
    <xf numFmtId="4" fontId="65" fillId="12" borderId="98" xfId="0" applyNumberFormat="1" applyFont="1" applyFill="1" applyBorder="1" applyAlignment="1">
      <alignment vertical="center"/>
    </xf>
    <xf numFmtId="0" fontId="38" fillId="0" borderId="101" xfId="0" applyFont="1" applyBorder="1"/>
    <xf numFmtId="0" fontId="66" fillId="12" borderId="185" xfId="0" applyFont="1" applyFill="1" applyBorder="1" applyAlignment="1">
      <alignment vertical="center"/>
    </xf>
    <xf numFmtId="4" fontId="0" fillId="12" borderId="100" xfId="0" applyNumberFormat="1" applyFill="1" applyBorder="1" applyAlignment="1">
      <alignment vertical="center"/>
    </xf>
    <xf numFmtId="0" fontId="38" fillId="0" borderId="98" xfId="0" applyFont="1" applyBorder="1" applyAlignment="1">
      <alignment horizontal="right" vertical="center"/>
    </xf>
    <xf numFmtId="49" fontId="65" fillId="12" borderId="185" xfId="0" applyNumberFormat="1" applyFont="1" applyFill="1" applyBorder="1" applyAlignment="1">
      <alignment vertical="center" wrapText="1"/>
    </xf>
    <xf numFmtId="49" fontId="0" fillId="12" borderId="185" xfId="0" applyNumberFormat="1" applyFill="1" applyBorder="1" applyAlignment="1">
      <alignment vertical="center" wrapText="1"/>
    </xf>
    <xf numFmtId="4" fontId="0" fillId="12" borderId="98" xfId="0" applyNumberFormat="1" applyFill="1" applyBorder="1" applyAlignment="1">
      <alignment horizontal="right" vertical="center"/>
    </xf>
    <xf numFmtId="0" fontId="0" fillId="12" borderId="129" xfId="9" applyFont="1" applyFill="1" applyBorder="1" applyAlignment="1">
      <alignment vertical="center" wrapText="1"/>
    </xf>
    <xf numFmtId="0" fontId="0" fillId="12" borderId="185" xfId="9" applyFont="1" applyFill="1" applyBorder="1" applyAlignment="1">
      <alignment vertical="center" wrapText="1"/>
    </xf>
    <xf numFmtId="0" fontId="66" fillId="12" borderId="129" xfId="9" applyFont="1" applyFill="1" applyBorder="1" applyAlignment="1">
      <alignment vertical="center" wrapText="1"/>
    </xf>
    <xf numFmtId="49" fontId="0" fillId="12" borderId="129" xfId="9" applyNumberFormat="1" applyFont="1" applyFill="1" applyBorder="1" applyAlignment="1">
      <alignment vertical="center" wrapText="1"/>
    </xf>
    <xf numFmtId="0" fontId="0" fillId="12" borderId="129" xfId="9" applyFont="1" applyFill="1" applyBorder="1" applyAlignment="1">
      <alignment vertical="center"/>
    </xf>
    <xf numFmtId="0" fontId="6" fillId="12" borderId="129" xfId="0" applyFont="1" applyFill="1" applyBorder="1" applyAlignment="1">
      <alignment vertical="center" wrapText="1"/>
    </xf>
    <xf numFmtId="4" fontId="6" fillId="12" borderId="100" xfId="0" applyNumberFormat="1" applyFont="1" applyFill="1" applyBorder="1" applyAlignment="1">
      <alignment vertical="center"/>
    </xf>
    <xf numFmtId="0" fontId="38" fillId="0" borderId="100" xfId="0" applyFont="1" applyBorder="1" applyAlignment="1">
      <alignment horizontal="right" vertical="center"/>
    </xf>
    <xf numFmtId="0" fontId="38" fillId="12" borderId="129" xfId="9" applyFont="1" applyFill="1" applyBorder="1" applyAlignment="1">
      <alignment vertical="center"/>
    </xf>
    <xf numFmtId="4" fontId="38" fillId="12" borderId="100" xfId="0" applyNumberFormat="1" applyFont="1" applyFill="1" applyBorder="1" applyAlignment="1">
      <alignment vertical="center"/>
    </xf>
    <xf numFmtId="0" fontId="6" fillId="0" borderId="100" xfId="0" applyFont="1" applyBorder="1" applyAlignment="1">
      <alignment horizontal="right" vertical="center"/>
    </xf>
    <xf numFmtId="2" fontId="0" fillId="12" borderId="129" xfId="0" applyNumberFormat="1" applyFill="1" applyBorder="1" applyAlignment="1">
      <alignment vertical="center" wrapText="1"/>
    </xf>
    <xf numFmtId="0" fontId="66" fillId="12" borderId="129" xfId="9" applyFont="1" applyFill="1" applyBorder="1" applyAlignment="1">
      <alignment vertical="center"/>
    </xf>
    <xf numFmtId="0" fontId="0" fillId="0" borderId="129" xfId="0" applyBorder="1" applyAlignment="1">
      <alignment vertical="center"/>
    </xf>
    <xf numFmtId="0" fontId="0" fillId="12" borderId="129" xfId="10" applyFont="1" applyFill="1" applyBorder="1" applyAlignment="1">
      <alignment vertical="center" wrapText="1"/>
    </xf>
    <xf numFmtId="49" fontId="64" fillId="0" borderId="185" xfId="9" applyNumberFormat="1" applyFont="1" applyBorder="1" applyAlignment="1">
      <alignment vertical="center" wrapText="1"/>
    </xf>
    <xf numFmtId="49" fontId="0" fillId="12" borderId="185" xfId="9" applyNumberFormat="1" applyFont="1" applyFill="1" applyBorder="1" applyAlignment="1">
      <alignment vertical="center" wrapText="1"/>
    </xf>
    <xf numFmtId="0" fontId="66" fillId="12" borderId="185" xfId="9" applyFont="1" applyFill="1" applyBorder="1" applyAlignment="1">
      <alignment vertical="center" wrapText="1"/>
    </xf>
    <xf numFmtId="0" fontId="64" fillId="12" borderId="185" xfId="9" applyFont="1" applyFill="1" applyBorder="1" applyAlignment="1">
      <alignment vertical="center" wrapText="1"/>
    </xf>
    <xf numFmtId="4" fontId="64" fillId="12" borderId="100" xfId="0" applyNumberFormat="1" applyFont="1" applyFill="1" applyBorder="1" applyAlignment="1">
      <alignment vertical="center"/>
    </xf>
    <xf numFmtId="0" fontId="0" fillId="12" borderId="129" xfId="9" applyFont="1" applyFill="1" applyBorder="1" applyAlignment="1">
      <alignment vertical="top" wrapText="1"/>
    </xf>
    <xf numFmtId="49" fontId="0" fillId="12" borderId="185" xfId="10" applyNumberFormat="1" applyFont="1" applyFill="1" applyBorder="1" applyAlignment="1">
      <alignment vertical="center" wrapText="1"/>
    </xf>
    <xf numFmtId="49" fontId="64" fillId="12" borderId="185" xfId="10" applyNumberFormat="1" applyFont="1" applyFill="1" applyBorder="1" applyAlignment="1">
      <alignment vertical="center" wrapText="1"/>
    </xf>
    <xf numFmtId="0" fontId="64" fillId="12" borderId="185" xfId="10" applyFont="1" applyFill="1" applyBorder="1" applyAlignment="1">
      <alignment vertical="center" wrapText="1"/>
    </xf>
    <xf numFmtId="0" fontId="0" fillId="0" borderId="102" xfId="0" applyBorder="1" applyAlignment="1">
      <alignment horizontal="right" vertical="center" wrapText="1"/>
    </xf>
    <xf numFmtId="4" fontId="0" fillId="12" borderId="98" xfId="0" applyNumberFormat="1" applyFill="1" applyBorder="1" applyAlignment="1">
      <alignment vertical="center" wrapText="1"/>
    </xf>
    <xf numFmtId="49" fontId="0" fillId="12" borderId="185" xfId="9" applyNumberFormat="1" applyFont="1" applyFill="1" applyBorder="1" applyAlignment="1">
      <alignment vertical="center"/>
    </xf>
    <xf numFmtId="4" fontId="0" fillId="12" borderId="102" xfId="0" applyNumberFormat="1" applyFill="1" applyBorder="1" applyAlignment="1">
      <alignment vertical="center"/>
    </xf>
    <xf numFmtId="0" fontId="5" fillId="0" borderId="209" xfId="0" applyFont="1" applyBorder="1" applyAlignment="1">
      <alignment horizontal="right" vertical="center"/>
    </xf>
    <xf numFmtId="0" fontId="63" fillId="7" borderId="208" xfId="0" applyFont="1" applyFill="1" applyBorder="1" applyAlignment="1">
      <alignment vertical="center"/>
    </xf>
    <xf numFmtId="4" fontId="0" fillId="0" borderId="209" xfId="0" applyNumberFormat="1" applyBorder="1" applyAlignment="1">
      <alignment vertical="center"/>
    </xf>
    <xf numFmtId="0" fontId="66" fillId="0" borderId="119" xfId="0" applyFont="1" applyBorder="1"/>
    <xf numFmtId="0" fontId="66" fillId="7" borderId="107" xfId="0" applyFont="1" applyFill="1" applyBorder="1"/>
    <xf numFmtId="4" fontId="8" fillId="7" borderId="80" xfId="0" applyNumberFormat="1" applyFont="1" applyFill="1" applyBorder="1" applyAlignment="1">
      <alignment vertical="center"/>
    </xf>
    <xf numFmtId="4" fontId="5" fillId="0" borderId="111" xfId="0" applyNumberFormat="1" applyFont="1" applyBorder="1" applyAlignment="1">
      <alignment vertical="center"/>
    </xf>
    <xf numFmtId="0" fontId="34" fillId="0" borderId="101" xfId="0" applyFont="1" applyBorder="1" applyAlignment="1">
      <alignment vertical="center"/>
    </xf>
    <xf numFmtId="0" fontId="6" fillId="0" borderId="90" xfId="0" applyFont="1" applyBorder="1" applyAlignment="1">
      <alignment horizontal="right" vertical="center" wrapText="1"/>
    </xf>
    <xf numFmtId="4" fontId="6" fillId="0" borderId="187" xfId="0" applyNumberFormat="1" applyFont="1" applyBorder="1"/>
    <xf numFmtId="4" fontId="1" fillId="0" borderId="111" xfId="0" applyNumberFormat="1" applyFont="1" applyBorder="1"/>
    <xf numFmtId="4" fontId="0" fillId="0" borderId="127" xfId="0" applyNumberFormat="1" applyBorder="1"/>
    <xf numFmtId="4" fontId="16" fillId="0" borderId="107" xfId="0" applyNumberFormat="1" applyFont="1" applyBorder="1" applyAlignment="1">
      <alignment vertical="center"/>
    </xf>
    <xf numFmtId="0" fontId="8" fillId="0" borderId="215" xfId="0" applyFont="1" applyBorder="1" applyAlignment="1">
      <alignment horizontal="center" vertical="center" wrapText="1"/>
    </xf>
    <xf numFmtId="4" fontId="11" fillId="0" borderId="89" xfId="0" applyNumberFormat="1" applyFont="1" applyBorder="1" applyAlignment="1">
      <alignment horizontal="center" vertical="center" wrapText="1"/>
    </xf>
    <xf numFmtId="4" fontId="0" fillId="0" borderId="127" xfId="0" applyNumberFormat="1" applyBorder="1" applyAlignment="1">
      <alignment horizontal="center" vertical="center" wrapText="1"/>
    </xf>
    <xf numFmtId="0" fontId="1" fillId="0" borderId="235" xfId="0" applyFont="1" applyBorder="1"/>
    <xf numFmtId="0" fontId="8" fillId="0" borderId="236" xfId="0" applyFont="1" applyBorder="1"/>
    <xf numFmtId="4" fontId="0" fillId="0" borderId="236" xfId="0" applyNumberFormat="1" applyBorder="1" applyAlignment="1">
      <alignment shrinkToFit="1"/>
    </xf>
    <xf numFmtId="0" fontId="6" fillId="0" borderId="236" xfId="0" applyFont="1" applyBorder="1"/>
    <xf numFmtId="4" fontId="0" fillId="0" borderId="236" xfId="0" applyNumberFormat="1" applyBorder="1"/>
    <xf numFmtId="0" fontId="6" fillId="4" borderId="236" xfId="0" applyFont="1" applyFill="1" applyBorder="1"/>
    <xf numFmtId="0" fontId="16" fillId="4" borderId="236" xfId="0" applyFont="1" applyFill="1" applyBorder="1"/>
    <xf numFmtId="4" fontId="1" fillId="0" borderId="236" xfId="0" applyNumberFormat="1" applyFont="1" applyBorder="1" applyAlignment="1">
      <alignment vertical="center" shrinkToFit="1"/>
    </xf>
    <xf numFmtId="0" fontId="6" fillId="4" borderId="237" xfId="0" applyFont="1" applyFill="1" applyBorder="1"/>
    <xf numFmtId="4" fontId="1" fillId="0" borderId="237" xfId="0" applyNumberFormat="1" applyFont="1" applyBorder="1" applyAlignment="1">
      <alignment shrinkToFit="1"/>
    </xf>
    <xf numFmtId="0" fontId="22" fillId="4" borderId="238" xfId="0" applyFont="1" applyFill="1" applyBorder="1"/>
    <xf numFmtId="4" fontId="1" fillId="0" borderId="238" xfId="0" applyNumberFormat="1" applyFont="1" applyBorder="1" applyAlignment="1">
      <alignment shrinkToFit="1"/>
    </xf>
    <xf numFmtId="0" fontId="1" fillId="4" borderId="235" xfId="0" applyFont="1" applyFill="1" applyBorder="1"/>
    <xf numFmtId="0" fontId="1" fillId="0" borderId="201" xfId="0" applyFont="1" applyBorder="1"/>
    <xf numFmtId="0" fontId="6" fillId="0" borderId="183" xfId="0" applyFont="1" applyBorder="1"/>
    <xf numFmtId="0" fontId="13" fillId="4" borderId="236" xfId="0" applyFont="1" applyFill="1" applyBorder="1"/>
    <xf numFmtId="4" fontId="39" fillId="7" borderId="240" xfId="0" applyNumberFormat="1" applyFont="1" applyFill="1" applyBorder="1" applyAlignment="1">
      <alignment vertical="center"/>
    </xf>
    <xf numFmtId="4" fontId="8" fillId="7" borderId="265" xfId="0" applyNumberFormat="1" applyFont="1" applyFill="1" applyBorder="1" applyAlignment="1">
      <alignment shrinkToFit="1"/>
    </xf>
    <xf numFmtId="4" fontId="8" fillId="7" borderId="96" xfId="0" applyNumberFormat="1" applyFont="1" applyFill="1" applyBorder="1" applyAlignment="1">
      <alignment shrinkToFit="1"/>
    </xf>
    <xf numFmtId="4" fontId="38" fillId="0" borderId="0" xfId="0" applyNumberFormat="1" applyFont="1"/>
    <xf numFmtId="4" fontId="38" fillId="0" borderId="211" xfId="0" applyNumberFormat="1" applyFont="1" applyBorder="1"/>
    <xf numFmtId="0" fontId="10" fillId="4" borderId="236" xfId="0" applyFont="1" applyFill="1" applyBorder="1"/>
    <xf numFmtId="4" fontId="1" fillId="0" borderId="236" xfId="0" applyNumberFormat="1" applyFont="1" applyBorder="1"/>
    <xf numFmtId="4" fontId="8" fillId="0" borderId="266" xfId="0" applyNumberFormat="1" applyFont="1" applyBorder="1"/>
    <xf numFmtId="0" fontId="8" fillId="4" borderId="236" xfId="0" applyFont="1" applyFill="1" applyBorder="1" applyAlignment="1">
      <alignment vertical="center"/>
    </xf>
    <xf numFmtId="4" fontId="0" fillId="0" borderId="236" xfId="0" applyNumberFormat="1" applyBorder="1" applyAlignment="1">
      <alignment vertical="center"/>
    </xf>
    <xf numFmtId="0" fontId="8" fillId="4" borderId="236" xfId="0" applyFont="1" applyFill="1" applyBorder="1"/>
    <xf numFmtId="0" fontId="8" fillId="0" borderId="236" xfId="0" applyFont="1" applyBorder="1" applyAlignment="1">
      <alignment vertical="center"/>
    </xf>
    <xf numFmtId="4" fontId="25" fillId="0" borderId="0" xfId="0" applyNumberFormat="1" applyFont="1" applyAlignment="1">
      <alignment horizontal="right"/>
    </xf>
    <xf numFmtId="0" fontId="8" fillId="0" borderId="236" xfId="0" applyFont="1" applyBorder="1" applyAlignment="1">
      <alignment horizontal="center" vertical="center"/>
    </xf>
    <xf numFmtId="4" fontId="1" fillId="0" borderId="236" xfId="0" applyNumberFormat="1" applyFont="1" applyBorder="1" applyAlignment="1">
      <alignment vertical="center"/>
    </xf>
    <xf numFmtId="0" fontId="8" fillId="0" borderId="237" xfId="0" applyFont="1" applyBorder="1"/>
    <xf numFmtId="4" fontId="0" fillId="0" borderId="237" xfId="0" applyNumberFormat="1" applyBorder="1"/>
    <xf numFmtId="0" fontId="15" fillId="0" borderId="242" xfId="0" applyFont="1" applyBorder="1"/>
    <xf numFmtId="4" fontId="15" fillId="0" borderId="68" xfId="0" applyNumberFormat="1" applyFont="1" applyBorder="1" applyAlignment="1">
      <alignment shrinkToFit="1"/>
    </xf>
    <xf numFmtId="4" fontId="0" fillId="0" borderId="144" xfId="0" applyNumberFormat="1" applyBorder="1" applyAlignment="1">
      <alignment shrinkToFit="1"/>
    </xf>
    <xf numFmtId="4" fontId="15" fillId="0" borderId="72" xfId="0" applyNumberFormat="1" applyFont="1" applyBorder="1"/>
    <xf numFmtId="0" fontId="1" fillId="0" borderId="238" xfId="0" applyFont="1" applyBorder="1"/>
    <xf numFmtId="0" fontId="8" fillId="0" borderId="238" xfId="0" applyFont="1" applyBorder="1"/>
    <xf numFmtId="0" fontId="8" fillId="0" borderId="88" xfId="0" applyFont="1" applyBorder="1" applyAlignment="1">
      <alignment vertical="center" wrapText="1"/>
    </xf>
    <xf numFmtId="4" fontId="0" fillId="7" borderId="68" xfId="0" applyNumberFormat="1" applyFill="1" applyBorder="1" applyAlignment="1">
      <alignment shrinkToFit="1"/>
    </xf>
    <xf numFmtId="0" fontId="6" fillId="0" borderId="267" xfId="0" applyFont="1" applyBorder="1" applyAlignment="1">
      <alignment horizontal="right" vertical="center"/>
    </xf>
    <xf numFmtId="4" fontId="0" fillId="7" borderId="95" xfId="0" applyNumberFormat="1" applyFill="1" applyBorder="1" applyAlignment="1">
      <alignment vertical="center" shrinkToFit="1"/>
    </xf>
    <xf numFmtId="0" fontId="6" fillId="0" borderId="265" xfId="0" applyFont="1" applyBorder="1" applyAlignment="1">
      <alignment horizontal="right" vertical="center"/>
    </xf>
    <xf numFmtId="4" fontId="0" fillId="7" borderId="99" xfId="0" applyNumberFormat="1" applyFill="1" applyBorder="1" applyAlignment="1">
      <alignment vertical="center" shrinkToFit="1"/>
    </xf>
    <xf numFmtId="4" fontId="0" fillId="7" borderId="98" xfId="0" applyNumberFormat="1" applyFill="1" applyBorder="1" applyAlignment="1">
      <alignment vertical="center" shrinkToFit="1"/>
    </xf>
    <xf numFmtId="4" fontId="0" fillId="7" borderId="6" xfId="0" applyNumberFormat="1" applyFill="1" applyBorder="1" applyAlignment="1">
      <alignment vertical="center" shrinkToFit="1"/>
    </xf>
    <xf numFmtId="4" fontId="0" fillId="7" borderId="197" xfId="0" applyNumberFormat="1" applyFill="1" applyBorder="1" applyAlignment="1">
      <alignment vertical="center" shrinkToFit="1"/>
    </xf>
    <xf numFmtId="0" fontId="21" fillId="0" borderId="265" xfId="0" applyFont="1" applyBorder="1" applyAlignment="1">
      <alignment horizontal="right" vertical="center"/>
    </xf>
    <xf numFmtId="0" fontId="1" fillId="0" borderId="265" xfId="0" applyFont="1" applyBorder="1" applyAlignment="1">
      <alignment horizontal="right" vertical="center"/>
    </xf>
    <xf numFmtId="0" fontId="6" fillId="0" borderId="265" xfId="0" applyFont="1" applyBorder="1" applyAlignment="1">
      <alignment horizontal="right" vertical="center" wrapText="1"/>
    </xf>
    <xf numFmtId="4" fontId="6" fillId="7" borderId="240" xfId="0" applyNumberFormat="1" applyFont="1" applyFill="1" applyBorder="1" applyAlignment="1">
      <alignment vertical="center"/>
    </xf>
    <xf numFmtId="4" fontId="6" fillId="7" borderId="256" xfId="0" applyNumberFormat="1" applyFont="1" applyFill="1" applyBorder="1" applyAlignment="1">
      <alignment vertical="center"/>
    </xf>
    <xf numFmtId="0" fontId="0" fillId="0" borderId="265" xfId="0" applyBorder="1" applyAlignment="1">
      <alignment horizontal="right" vertical="center"/>
    </xf>
    <xf numFmtId="0" fontId="9" fillId="0" borderId="265" xfId="0" applyFont="1" applyBorder="1" applyAlignment="1">
      <alignment horizontal="right" vertical="center"/>
    </xf>
    <xf numFmtId="4" fontId="0" fillId="7" borderId="240" xfId="0" applyNumberFormat="1" applyFill="1" applyBorder="1"/>
    <xf numFmtId="4" fontId="0" fillId="7" borderId="47" xfId="0" applyNumberFormat="1" applyFill="1" applyBorder="1"/>
    <xf numFmtId="4" fontId="0" fillId="7" borderId="21" xfId="0" applyNumberFormat="1" applyFill="1" applyBorder="1" applyAlignment="1">
      <alignment vertical="center"/>
    </xf>
    <xf numFmtId="0" fontId="6" fillId="0" borderId="268" xfId="0" applyFont="1" applyBorder="1" applyAlignment="1">
      <alignment horizontal="right" vertical="center"/>
    </xf>
    <xf numFmtId="0" fontId="1" fillId="7" borderId="47" xfId="0" applyFont="1" applyFill="1" applyBorder="1"/>
    <xf numFmtId="0" fontId="6" fillId="0" borderId="238" xfId="0" applyFont="1" applyBorder="1"/>
    <xf numFmtId="0" fontId="8" fillId="0" borderId="201" xfId="0" applyFont="1" applyBorder="1"/>
    <xf numFmtId="4" fontId="0" fillId="7" borderId="85" xfId="0" applyNumberFormat="1" applyFill="1" applyBorder="1"/>
    <xf numFmtId="0" fontId="6" fillId="0" borderId="267" xfId="0" applyFont="1" applyBorder="1" applyAlignment="1">
      <alignment vertical="center"/>
    </xf>
    <xf numFmtId="4" fontId="0" fillId="7" borderId="109" xfId="0" applyNumberFormat="1" applyFill="1" applyBorder="1" applyAlignment="1">
      <alignment vertical="center"/>
    </xf>
    <xf numFmtId="0" fontId="6" fillId="0" borderId="265" xfId="0" applyFont="1" applyBorder="1" applyAlignment="1">
      <alignment vertical="center"/>
    </xf>
    <xf numFmtId="4" fontId="1" fillId="0" borderId="265" xfId="0" applyNumberFormat="1" applyFont="1" applyBorder="1" applyAlignment="1">
      <alignment vertical="center"/>
    </xf>
    <xf numFmtId="0" fontId="1" fillId="0" borderId="265" xfId="0" applyFont="1" applyBorder="1" applyAlignment="1">
      <alignment vertical="center"/>
    </xf>
    <xf numFmtId="4" fontId="1" fillId="0" borderId="185" xfId="0" applyNumberFormat="1" applyFont="1" applyBorder="1"/>
    <xf numFmtId="4" fontId="1" fillId="0" borderId="110" xfId="0" applyNumberFormat="1" applyFont="1" applyBorder="1"/>
    <xf numFmtId="0" fontId="6" fillId="0" borderId="96" xfId="0" applyFont="1" applyBorder="1" applyAlignment="1">
      <alignment vertical="center" wrapText="1"/>
    </xf>
    <xf numFmtId="4" fontId="6" fillId="0" borderId="203" xfId="0" applyNumberFormat="1" applyFont="1" applyBorder="1" applyAlignment="1">
      <alignment vertical="center"/>
    </xf>
    <xf numFmtId="4" fontId="6" fillId="0" borderId="110" xfId="0" applyNumberFormat="1" applyFont="1" applyBorder="1"/>
    <xf numFmtId="4" fontId="34" fillId="0" borderId="96" xfId="0" applyNumberFormat="1" applyFont="1" applyBorder="1"/>
    <xf numFmtId="4" fontId="5" fillId="0" borderId="96" xfId="0" applyNumberFormat="1" applyFont="1" applyBorder="1"/>
    <xf numFmtId="4" fontId="0" fillId="0" borderId="203" xfId="0" applyNumberFormat="1" applyBorder="1" applyAlignment="1">
      <alignment vertical="center"/>
    </xf>
    <xf numFmtId="0" fontId="1" fillId="0" borderId="96" xfId="0" applyFont="1" applyBorder="1" applyAlignment="1">
      <alignment vertical="center" wrapText="1"/>
    </xf>
    <xf numFmtId="0" fontId="0" fillId="0" borderId="96" xfId="0" applyBorder="1" applyAlignment="1">
      <alignment vertical="center" wrapText="1"/>
    </xf>
    <xf numFmtId="4" fontId="1" fillId="0" borderId="129" xfId="0" applyNumberFormat="1" applyFont="1" applyBorder="1" applyAlignment="1">
      <alignment vertical="center"/>
    </xf>
    <xf numFmtId="4" fontId="1" fillId="0" borderId="111" xfId="0" applyNumberFormat="1" applyFont="1" applyBorder="1" applyAlignment="1">
      <alignment vertical="center"/>
    </xf>
    <xf numFmtId="0" fontId="1" fillId="7" borderId="265" xfId="0" applyFont="1" applyFill="1" applyBorder="1" applyAlignment="1">
      <alignment vertical="center"/>
    </xf>
    <xf numFmtId="0" fontId="6" fillId="7" borderId="265" xfId="0" applyFont="1" applyFill="1" applyBorder="1" applyAlignment="1">
      <alignment vertical="center"/>
    </xf>
    <xf numFmtId="0" fontId="21" fillId="7" borderId="265" xfId="0" applyFont="1" applyFill="1" applyBorder="1" applyAlignment="1">
      <alignment vertical="center"/>
    </xf>
    <xf numFmtId="4" fontId="5" fillId="0" borderId="97" xfId="0" applyNumberFormat="1" applyFont="1" applyBorder="1"/>
    <xf numFmtId="4" fontId="1" fillId="0" borderId="112" xfId="0" applyNumberFormat="1" applyFont="1" applyBorder="1"/>
    <xf numFmtId="4" fontId="1" fillId="0" borderId="90" xfId="0" applyNumberFormat="1" applyFont="1" applyBorder="1" applyAlignment="1">
      <alignment vertical="center"/>
    </xf>
    <xf numFmtId="0" fontId="21" fillId="0" borderId="265" xfId="0" applyFont="1" applyBorder="1" applyAlignment="1">
      <alignment vertical="center"/>
    </xf>
    <xf numFmtId="0" fontId="0" fillId="0" borderId="265" xfId="0" applyBorder="1" applyAlignment="1">
      <alignment vertical="center"/>
    </xf>
    <xf numFmtId="4" fontId="0" fillId="0" borderId="112" xfId="0" applyNumberFormat="1" applyBorder="1"/>
    <xf numFmtId="4" fontId="0" fillId="0" borderId="185" xfId="0" applyNumberFormat="1" applyBorder="1"/>
    <xf numFmtId="0" fontId="0" fillId="0" borderId="111" xfId="0" applyBorder="1" applyAlignment="1">
      <alignment vertical="center"/>
    </xf>
    <xf numFmtId="4" fontId="0" fillId="0" borderId="129" xfId="0" applyNumberFormat="1" applyBorder="1"/>
    <xf numFmtId="4" fontId="25" fillId="0" borderId="98" xfId="0" applyNumberFormat="1" applyFont="1" applyBorder="1"/>
    <xf numFmtId="4" fontId="25" fillId="0" borderId="100" xfId="0" applyNumberFormat="1" applyFont="1" applyBorder="1"/>
    <xf numFmtId="4" fontId="6" fillId="0" borderId="185" xfId="0" applyNumberFormat="1" applyFont="1" applyBorder="1"/>
    <xf numFmtId="4" fontId="6" fillId="0" borderId="98" xfId="0" applyNumberFormat="1" applyFont="1" applyBorder="1" applyAlignment="1">
      <alignment shrinkToFit="1"/>
    </xf>
    <xf numFmtId="4" fontId="0" fillId="0" borderId="98" xfId="0" applyNumberFormat="1" applyBorder="1" applyAlignment="1">
      <alignment shrinkToFit="1"/>
    </xf>
    <xf numFmtId="4" fontId="0" fillId="0" borderId="110" xfId="0" applyNumberFormat="1" applyBorder="1"/>
    <xf numFmtId="4" fontId="1" fillId="0" borderId="96" xfId="0" applyNumberFormat="1" applyFont="1" applyBorder="1" applyAlignment="1">
      <alignment shrinkToFit="1"/>
    </xf>
    <xf numFmtId="4" fontId="0" fillId="0" borderId="96" xfId="0" applyNumberFormat="1" applyBorder="1" applyAlignment="1">
      <alignment shrinkToFit="1"/>
    </xf>
    <xf numFmtId="0" fontId="1" fillId="0" borderId="265" xfId="0" applyFont="1" applyBorder="1"/>
    <xf numFmtId="0" fontId="1" fillId="0" borderId="96" xfId="0" applyFont="1" applyBorder="1" applyAlignment="1">
      <alignment wrapText="1"/>
    </xf>
    <xf numFmtId="4" fontId="0" fillId="0" borderId="185" xfId="0" applyNumberFormat="1" applyBorder="1" applyAlignment="1">
      <alignment vertical="center"/>
    </xf>
    <xf numFmtId="4" fontId="0" fillId="0" borderId="129" xfId="0" applyNumberFormat="1" applyBorder="1" applyAlignment="1">
      <alignment vertical="center"/>
    </xf>
    <xf numFmtId="4" fontId="0" fillId="0" borderId="112" xfId="0" applyNumberFormat="1" applyBorder="1" applyAlignment="1">
      <alignment vertical="center"/>
    </xf>
    <xf numFmtId="0" fontId="1" fillId="0" borderId="255" xfId="0" applyFont="1" applyBorder="1" applyAlignment="1">
      <alignment vertical="center"/>
    </xf>
    <xf numFmtId="0" fontId="1" fillId="0" borderId="111" xfId="0" applyFont="1" applyBorder="1" applyAlignment="1">
      <alignment vertical="center" wrapText="1"/>
    </xf>
    <xf numFmtId="0" fontId="1" fillId="0" borderId="269" xfId="0" applyFont="1" applyBorder="1" applyAlignment="1">
      <alignment vertical="center"/>
    </xf>
    <xf numFmtId="0" fontId="6" fillId="0" borderId="269" xfId="0" applyFont="1" applyBorder="1"/>
    <xf numFmtId="0" fontId="1" fillId="0" borderId="115" xfId="0" applyFont="1" applyBorder="1" applyAlignment="1">
      <alignment vertical="center"/>
    </xf>
    <xf numFmtId="4" fontId="1" fillId="0" borderId="130" xfId="0" applyNumberFormat="1" applyFont="1" applyBorder="1"/>
    <xf numFmtId="0" fontId="1" fillId="0" borderId="130" xfId="0" applyFont="1" applyBorder="1"/>
    <xf numFmtId="0" fontId="8" fillId="0" borderId="68" xfId="0" applyFont="1" applyBorder="1"/>
    <xf numFmtId="4" fontId="8" fillId="0" borderId="101" xfId="0" applyNumberFormat="1" applyFont="1" applyBorder="1"/>
    <xf numFmtId="4" fontId="0" fillId="0" borderId="68" xfId="0" applyNumberFormat="1" applyBorder="1"/>
    <xf numFmtId="4" fontId="1" fillId="0" borderId="123" xfId="0" applyNumberFormat="1" applyFont="1" applyBorder="1" applyAlignment="1">
      <alignment vertical="center"/>
    </xf>
    <xf numFmtId="4" fontId="1" fillId="0" borderId="207" xfId="0" applyNumberFormat="1" applyFont="1" applyBorder="1"/>
    <xf numFmtId="0" fontId="6" fillId="0" borderId="269" xfId="0" applyFont="1" applyBorder="1" applyAlignment="1">
      <alignment vertical="center"/>
    </xf>
    <xf numFmtId="0" fontId="6" fillId="0" borderId="255" xfId="0" applyFont="1" applyBorder="1" applyAlignment="1">
      <alignment vertical="center"/>
    </xf>
    <xf numFmtId="0" fontId="6" fillId="0" borderId="270" xfId="0" applyFont="1" applyBorder="1" applyAlignment="1">
      <alignment vertical="center"/>
    </xf>
    <xf numFmtId="0" fontId="6" fillId="7" borderId="236" xfId="0" applyFont="1" applyFill="1" applyBorder="1" applyAlignment="1">
      <alignment vertical="center"/>
    </xf>
    <xf numFmtId="0" fontId="34" fillId="7" borderId="98" xfId="0" applyFont="1" applyFill="1" applyBorder="1"/>
    <xf numFmtId="0" fontId="6" fillId="7" borderId="271" xfId="0" applyFont="1" applyFill="1" applyBorder="1" applyAlignment="1">
      <alignment vertical="center"/>
    </xf>
    <xf numFmtId="0" fontId="5" fillId="7" borderId="119" xfId="0" applyFont="1" applyFill="1" applyBorder="1"/>
    <xf numFmtId="4" fontId="6" fillId="7" borderId="119" xfId="0" applyNumberFormat="1" applyFont="1" applyFill="1" applyBorder="1"/>
    <xf numFmtId="0" fontId="1" fillId="7" borderId="119" xfId="0" applyFont="1" applyFill="1" applyBorder="1"/>
    <xf numFmtId="0" fontId="6" fillId="7" borderId="66" xfId="0" applyFont="1" applyFill="1" applyBorder="1"/>
    <xf numFmtId="0" fontId="8" fillId="7" borderId="121" xfId="0" applyFont="1" applyFill="1" applyBorder="1"/>
    <xf numFmtId="4" fontId="0" fillId="7" borderId="68" xfId="0" applyNumberFormat="1" applyFill="1" applyBorder="1"/>
    <xf numFmtId="0" fontId="6" fillId="7" borderId="267" xfId="0" applyFont="1" applyFill="1" applyBorder="1"/>
    <xf numFmtId="4" fontId="0" fillId="7" borderId="109" xfId="0" applyNumberFormat="1" applyFill="1" applyBorder="1"/>
    <xf numFmtId="0" fontId="6" fillId="7" borderId="267" xfId="0" applyFont="1" applyFill="1" applyBorder="1" applyAlignment="1">
      <alignment horizontal="right"/>
    </xf>
    <xf numFmtId="0" fontId="6" fillId="7" borderId="267" xfId="0" applyFont="1" applyFill="1" applyBorder="1" applyAlignment="1">
      <alignment vertical="center"/>
    </xf>
    <xf numFmtId="4" fontId="1" fillId="7" borderId="124" xfId="0" applyNumberFormat="1" applyFont="1" applyFill="1" applyBorder="1"/>
    <xf numFmtId="0" fontId="6" fillId="7" borderId="269" xfId="0" applyFont="1" applyFill="1" applyBorder="1" applyAlignment="1">
      <alignment horizontal="right" vertical="center"/>
    </xf>
    <xf numFmtId="4" fontId="0" fillId="0" borderId="111" xfId="0" applyNumberFormat="1" applyBorder="1" applyAlignment="1">
      <alignment horizontal="right" vertical="center"/>
    </xf>
    <xf numFmtId="4" fontId="1" fillId="0" borderId="96" xfId="0" applyNumberFormat="1" applyFont="1" applyBorder="1"/>
    <xf numFmtId="0" fontId="6" fillId="0" borderId="269" xfId="0" applyFont="1" applyBorder="1" applyAlignment="1">
      <alignment horizontal="right" vertical="center"/>
    </xf>
    <xf numFmtId="0" fontId="0" fillId="0" borderId="114" xfId="0" applyBorder="1" applyAlignment="1">
      <alignment vertical="center"/>
    </xf>
    <xf numFmtId="4" fontId="0" fillId="0" borderId="207" xfId="0" applyNumberFormat="1" applyBorder="1"/>
    <xf numFmtId="0" fontId="6" fillId="0" borderId="236" xfId="0" applyFont="1" applyBorder="1" applyAlignment="1">
      <alignment vertical="center"/>
    </xf>
    <xf numFmtId="0" fontId="6" fillId="7" borderId="265" xfId="0" applyFont="1" applyFill="1" applyBorder="1" applyAlignment="1">
      <alignment horizontal="right" vertical="center"/>
    </xf>
    <xf numFmtId="0" fontId="0" fillId="7" borderId="265" xfId="0" applyFill="1" applyBorder="1" applyAlignment="1">
      <alignment horizontal="right" vertical="center"/>
    </xf>
    <xf numFmtId="0" fontId="0" fillId="7" borderId="265" xfId="0" applyFill="1" applyBorder="1" applyAlignment="1">
      <alignment vertical="center"/>
    </xf>
    <xf numFmtId="4" fontId="0" fillId="7" borderId="96" xfId="4" applyNumberFormat="1" applyFont="1" applyFill="1" applyBorder="1" applyAlignment="1" applyProtection="1">
      <alignment vertical="center"/>
    </xf>
    <xf numFmtId="0" fontId="6" fillId="7" borderId="270" xfId="0" applyFont="1" applyFill="1" applyBorder="1" applyAlignment="1">
      <alignment horizontal="right" vertical="center"/>
    </xf>
    <xf numFmtId="0" fontId="6" fillId="7" borderId="255" xfId="0" applyFont="1" applyFill="1" applyBorder="1" applyAlignment="1">
      <alignment horizontal="right" vertical="center"/>
    </xf>
    <xf numFmtId="0" fontId="6" fillId="7" borderId="272" xfId="0" applyFont="1" applyFill="1" applyBorder="1" applyAlignment="1">
      <alignment vertical="center"/>
    </xf>
    <xf numFmtId="0" fontId="6" fillId="7" borderId="269" xfId="0" applyFont="1" applyFill="1" applyBorder="1" applyAlignment="1">
      <alignment vertical="center"/>
    </xf>
    <xf numFmtId="0" fontId="6" fillId="7" borderId="273" xfId="0" applyFont="1" applyFill="1" applyBorder="1" applyAlignment="1">
      <alignment vertical="center"/>
    </xf>
    <xf numFmtId="0" fontId="16" fillId="7" borderId="238" xfId="0" applyFont="1" applyFill="1" applyBorder="1"/>
    <xf numFmtId="4" fontId="1" fillId="7" borderId="68" xfId="0" applyNumberFormat="1" applyFont="1" applyFill="1" applyBorder="1" applyAlignment="1">
      <alignment vertical="center" shrinkToFit="1"/>
    </xf>
    <xf numFmtId="0" fontId="6" fillId="7" borderId="270" xfId="0" applyFont="1" applyFill="1" applyBorder="1"/>
    <xf numFmtId="0" fontId="6" fillId="7" borderId="238" xfId="0" applyFont="1" applyFill="1" applyBorder="1"/>
    <xf numFmtId="0" fontId="8" fillId="7" borderId="88" xfId="0" applyFont="1" applyFill="1" applyBorder="1"/>
    <xf numFmtId="4" fontId="1" fillId="7" borderId="72" xfId="0" applyNumberFormat="1" applyFont="1" applyFill="1" applyBorder="1" applyAlignment="1">
      <alignment shrinkToFit="1"/>
    </xf>
    <xf numFmtId="4" fontId="0" fillId="7" borderId="93" xfId="0" applyNumberFormat="1" applyFill="1" applyBorder="1" applyAlignment="1">
      <alignment vertical="center"/>
    </xf>
    <xf numFmtId="0" fontId="0" fillId="7" borderId="255" xfId="0" applyFill="1" applyBorder="1" applyAlignment="1">
      <alignment vertical="center"/>
    </xf>
    <xf numFmtId="0" fontId="1" fillId="7" borderId="270" xfId="0" applyFont="1" applyFill="1" applyBorder="1" applyAlignment="1">
      <alignment vertical="center"/>
    </xf>
    <xf numFmtId="0" fontId="22" fillId="7" borderId="238" xfId="0" applyFont="1" applyFill="1" applyBorder="1"/>
    <xf numFmtId="4" fontId="15" fillId="7" borderId="80" xfId="0" applyNumberFormat="1" applyFont="1" applyFill="1" applyBorder="1" applyAlignment="1">
      <alignment shrinkToFit="1"/>
    </xf>
    <xf numFmtId="4" fontId="1" fillId="7" borderId="80" xfId="0" applyNumberFormat="1" applyFont="1" applyFill="1" applyBorder="1" applyAlignment="1">
      <alignment shrinkToFit="1"/>
    </xf>
    <xf numFmtId="4" fontId="15" fillId="7" borderId="68" xfId="0" applyNumberFormat="1" applyFont="1" applyFill="1" applyBorder="1" applyAlignment="1">
      <alignment shrinkToFit="1"/>
    </xf>
    <xf numFmtId="0" fontId="1" fillId="7" borderId="238" xfId="0" applyFont="1" applyFill="1" applyBorder="1"/>
    <xf numFmtId="0" fontId="19" fillId="7" borderId="238" xfId="0" applyFont="1" applyFill="1" applyBorder="1"/>
    <xf numFmtId="4" fontId="16" fillId="7" borderId="69" xfId="0" applyNumberFormat="1" applyFont="1" applyFill="1" applyBorder="1"/>
    <xf numFmtId="4" fontId="1" fillId="7" borderId="69" xfId="0" applyNumberFormat="1" applyFont="1" applyFill="1" applyBorder="1"/>
    <xf numFmtId="0" fontId="7" fillId="7" borderId="238" xfId="0" applyFont="1" applyFill="1" applyBorder="1" applyAlignment="1">
      <alignment vertical="center"/>
    </xf>
    <xf numFmtId="4" fontId="1" fillId="7" borderId="69" xfId="0" applyNumberFormat="1" applyFont="1" applyFill="1" applyBorder="1" applyAlignment="1">
      <alignment vertical="center"/>
    </xf>
    <xf numFmtId="4" fontId="7" fillId="7" borderId="68" xfId="0" applyNumberFormat="1" applyFont="1" applyFill="1" applyBorder="1" applyAlignment="1">
      <alignment shrinkToFit="1"/>
    </xf>
    <xf numFmtId="0" fontId="6" fillId="7" borderId="274" xfId="0" applyFont="1" applyFill="1" applyBorder="1" applyAlignment="1">
      <alignment vertical="center"/>
    </xf>
    <xf numFmtId="4" fontId="0" fillId="7" borderId="92" xfId="0" applyNumberFormat="1" applyFill="1" applyBorder="1" applyAlignment="1">
      <alignment vertical="center"/>
    </xf>
    <xf numFmtId="0" fontId="24" fillId="7" borderId="265" xfId="0" applyFont="1" applyFill="1" applyBorder="1" applyAlignment="1">
      <alignment vertical="center"/>
    </xf>
    <xf numFmtId="4" fontId="0" fillId="7" borderId="272" xfId="0" applyNumberFormat="1" applyFill="1" applyBorder="1" applyAlignment="1">
      <alignment vertical="center"/>
    </xf>
    <xf numFmtId="4" fontId="0" fillId="7" borderId="265" xfId="0" applyNumberFormat="1" applyFill="1" applyBorder="1" applyAlignment="1">
      <alignment vertical="center"/>
    </xf>
    <xf numFmtId="4" fontId="5" fillId="7" borderId="267" xfId="0" applyNumberFormat="1" applyFont="1" applyFill="1" applyBorder="1" applyAlignment="1">
      <alignment vertical="center"/>
    </xf>
    <xf numFmtId="0" fontId="24" fillId="7" borderId="255" xfId="0" applyFont="1" applyFill="1" applyBorder="1" applyAlignment="1">
      <alignment vertical="center"/>
    </xf>
    <xf numFmtId="0" fontId="24" fillId="0" borderId="270" xfId="0" applyFont="1" applyBorder="1" applyAlignment="1">
      <alignment vertical="center"/>
    </xf>
    <xf numFmtId="4" fontId="5" fillId="7" borderId="275" xfId="0" applyNumberFormat="1" applyFont="1" applyFill="1" applyBorder="1" applyAlignment="1">
      <alignment vertical="center"/>
    </xf>
    <xf numFmtId="0" fontId="7" fillId="7" borderId="238" xfId="0" applyFont="1" applyFill="1" applyBorder="1"/>
    <xf numFmtId="4" fontId="0" fillId="7" borderId="63" xfId="0" applyNumberFormat="1" applyFill="1" applyBorder="1" applyAlignment="1">
      <alignment vertical="center"/>
    </xf>
    <xf numFmtId="0" fontId="6" fillId="7" borderId="270" xfId="0" applyFont="1" applyFill="1" applyBorder="1" applyAlignment="1">
      <alignment vertical="center"/>
    </xf>
    <xf numFmtId="4" fontId="0" fillId="7" borderId="135" xfId="0" applyNumberFormat="1" applyFill="1" applyBorder="1" applyAlignment="1">
      <alignment vertical="center"/>
    </xf>
    <xf numFmtId="0" fontId="24" fillId="0" borderId="265" xfId="0" applyFont="1" applyBorder="1" applyAlignment="1">
      <alignment vertical="center"/>
    </xf>
    <xf numFmtId="4" fontId="1" fillId="0" borderId="99" xfId="0" applyNumberFormat="1" applyFont="1" applyBorder="1" applyAlignment="1">
      <alignment vertical="center"/>
    </xf>
    <xf numFmtId="4" fontId="1" fillId="0" borderId="98" xfId="0" applyNumberFormat="1" applyFont="1" applyBorder="1" applyAlignment="1">
      <alignment vertical="center"/>
    </xf>
    <xf numFmtId="0" fontId="1" fillId="0" borderId="97" xfId="0" applyFont="1" applyBorder="1" applyAlignment="1">
      <alignment horizontal="left" vertical="center" wrapText="1"/>
    </xf>
    <xf numFmtId="4" fontId="1" fillId="0" borderId="125" xfId="0" applyNumberFormat="1" applyFont="1" applyBorder="1" applyAlignment="1">
      <alignment vertical="center"/>
    </xf>
    <xf numFmtId="0" fontId="24" fillId="7" borderId="269" xfId="0" applyFont="1" applyFill="1" applyBorder="1" applyAlignment="1">
      <alignment vertical="center"/>
    </xf>
    <xf numFmtId="0" fontId="44" fillId="7" borderId="269" xfId="0" applyFont="1" applyFill="1" applyBorder="1" applyAlignment="1">
      <alignment vertical="center"/>
    </xf>
    <xf numFmtId="0" fontId="24" fillId="0" borderId="276" xfId="0" applyFont="1" applyBorder="1" applyAlignment="1">
      <alignment vertical="center"/>
    </xf>
    <xf numFmtId="0" fontId="24" fillId="7" borderId="267" xfId="0" applyFont="1" applyFill="1" applyBorder="1" applyAlignment="1">
      <alignment vertical="center"/>
    </xf>
    <xf numFmtId="0" fontId="0" fillId="7" borderId="124" xfId="0" applyFill="1" applyBorder="1" applyAlignment="1">
      <alignment vertical="center"/>
    </xf>
    <xf numFmtId="4" fontId="0" fillId="7" borderId="69" xfId="0" applyNumberFormat="1" applyFill="1" applyBorder="1"/>
    <xf numFmtId="0" fontId="24" fillId="7" borderId="270" xfId="0" applyFont="1" applyFill="1" applyBorder="1" applyAlignment="1">
      <alignment vertical="center"/>
    </xf>
    <xf numFmtId="4" fontId="0" fillId="7" borderId="72" xfId="0" applyNumberFormat="1" applyFill="1" applyBorder="1"/>
    <xf numFmtId="0" fontId="24" fillId="0" borderId="236" xfId="0" applyFont="1" applyBorder="1" applyAlignment="1">
      <alignment vertical="center"/>
    </xf>
    <xf numFmtId="0" fontId="24" fillId="0" borderId="267" xfId="0" applyFont="1" applyBorder="1" applyAlignment="1">
      <alignment vertical="center"/>
    </xf>
    <xf numFmtId="0" fontId="24" fillId="0" borderId="269" xfId="0" applyFont="1" applyBorder="1" applyAlignment="1">
      <alignment vertical="center"/>
    </xf>
    <xf numFmtId="0" fontId="24" fillId="0" borderId="255" xfId="0" applyFont="1" applyBorder="1" applyAlignment="1">
      <alignment vertical="center"/>
    </xf>
    <xf numFmtId="4" fontId="0" fillId="7" borderId="127" xfId="0" applyNumberFormat="1" applyFill="1" applyBorder="1" applyAlignment="1">
      <alignment vertical="center" shrinkToFit="1"/>
    </xf>
    <xf numFmtId="4" fontId="0" fillId="7" borderId="101" xfId="0" applyNumberFormat="1" applyFill="1" applyBorder="1" applyAlignment="1">
      <alignment vertical="center" shrinkToFit="1"/>
    </xf>
    <xf numFmtId="0" fontId="19" fillId="0" borderId="66" xfId="0" applyFont="1" applyBorder="1"/>
    <xf numFmtId="4" fontId="1" fillId="0" borderId="89" xfId="0" applyNumberFormat="1" applyFont="1" applyBorder="1"/>
    <xf numFmtId="0" fontId="6" fillId="0" borderId="242" xfId="0" applyFont="1" applyBorder="1" applyAlignment="1">
      <alignment vertical="center"/>
    </xf>
    <xf numFmtId="4" fontId="1" fillId="0" borderId="68" xfId="0" applyNumberFormat="1" applyFont="1" applyBorder="1" applyAlignment="1">
      <alignment vertical="center"/>
    </xf>
    <xf numFmtId="0" fontId="6" fillId="0" borderId="277" xfId="0" applyFont="1" applyBorder="1" applyAlignment="1">
      <alignment vertical="center"/>
    </xf>
    <xf numFmtId="0" fontId="6" fillId="0" borderId="202" xfId="0" applyFont="1" applyBorder="1" applyAlignment="1">
      <alignment vertical="center"/>
    </xf>
    <xf numFmtId="4" fontId="1" fillId="0" borderId="93" xfId="0" applyNumberFormat="1" applyFont="1" applyBorder="1" applyAlignment="1">
      <alignment vertical="center"/>
    </xf>
    <xf numFmtId="0" fontId="1" fillId="0" borderId="129" xfId="0" applyFont="1" applyBorder="1" applyAlignment="1">
      <alignment vertical="center"/>
    </xf>
    <xf numFmtId="0" fontId="6" fillId="0" borderId="129" xfId="0" applyFont="1" applyBorder="1" applyAlignment="1">
      <alignment vertical="center"/>
    </xf>
    <xf numFmtId="4" fontId="1" fillId="0" borderId="187" xfId="0" applyNumberFormat="1" applyFont="1" applyBorder="1" applyAlignment="1">
      <alignment vertical="center"/>
    </xf>
    <xf numFmtId="0" fontId="24" fillId="0" borderId="271" xfId="0" applyFont="1" applyBorder="1" applyAlignment="1">
      <alignment vertical="center"/>
    </xf>
    <xf numFmtId="0" fontId="1" fillId="0" borderId="190" xfId="0" applyFont="1" applyBorder="1" applyAlignment="1">
      <alignment vertical="center"/>
    </xf>
    <xf numFmtId="4" fontId="0" fillId="0" borderId="120" xfId="0" applyNumberFormat="1" applyBorder="1" applyAlignment="1">
      <alignment vertical="center"/>
    </xf>
    <xf numFmtId="0" fontId="7" fillId="0" borderId="278" xfId="0" applyFont="1" applyBorder="1"/>
    <xf numFmtId="0" fontId="1" fillId="0" borderId="98" xfId="0" applyFont="1" applyBorder="1" applyAlignment="1">
      <alignment vertical="center" wrapText="1"/>
    </xf>
    <xf numFmtId="0" fontId="7" fillId="0" borderId="238" xfId="0" applyFont="1" applyBorder="1"/>
    <xf numFmtId="4" fontId="1" fillId="0" borderId="77" xfId="0" applyNumberFormat="1" applyFont="1" applyBorder="1"/>
    <xf numFmtId="0" fontId="6" fillId="0" borderId="235" xfId="0" applyFont="1" applyBorder="1" applyAlignment="1">
      <alignment vertical="center"/>
    </xf>
    <xf numFmtId="0" fontId="1" fillId="7" borderId="98" xfId="0" applyFont="1" applyFill="1" applyBorder="1" applyAlignment="1">
      <alignment vertical="center"/>
    </xf>
    <xf numFmtId="0" fontId="24" fillId="7" borderId="236" xfId="0" applyFont="1" applyFill="1" applyBorder="1" applyAlignment="1">
      <alignment vertical="center"/>
    </xf>
    <xf numFmtId="0" fontId="24" fillId="0" borderId="236" xfId="0" applyFont="1" applyBorder="1" applyAlignment="1">
      <alignment horizontal="right" vertical="center"/>
    </xf>
    <xf numFmtId="0" fontId="7" fillId="7" borderId="66" xfId="0" applyFont="1" applyFill="1" applyBorder="1"/>
    <xf numFmtId="4" fontId="1" fillId="7" borderId="77" xfId="0" applyNumberFormat="1" applyFont="1" applyFill="1" applyBorder="1" applyAlignment="1">
      <alignment vertical="center"/>
    </xf>
    <xf numFmtId="0" fontId="6" fillId="0" borderId="279" xfId="0" applyFont="1" applyBorder="1" applyAlignment="1">
      <alignment vertical="center"/>
    </xf>
    <xf numFmtId="4" fontId="6" fillId="0" borderId="179" xfId="0" applyNumberFormat="1" applyFont="1" applyBorder="1" applyAlignment="1">
      <alignment vertical="center"/>
    </xf>
    <xf numFmtId="0" fontId="24" fillId="0" borderId="278" xfId="0" applyFont="1" applyBorder="1" applyAlignment="1">
      <alignment vertical="center"/>
    </xf>
    <xf numFmtId="4" fontId="0" fillId="0" borderId="68" xfId="0" applyNumberFormat="1" applyBorder="1" applyAlignment="1">
      <alignment vertical="center"/>
    </xf>
    <xf numFmtId="0" fontId="1" fillId="7" borderId="119" xfId="0" applyFont="1" applyFill="1" applyBorder="1" applyAlignment="1">
      <alignment vertical="center"/>
    </xf>
    <xf numFmtId="0" fontId="24" fillId="7" borderId="278" xfId="0" applyFont="1" applyFill="1" applyBorder="1" applyAlignment="1">
      <alignment vertical="center"/>
    </xf>
    <xf numFmtId="4" fontId="0" fillId="7" borderId="68" xfId="0" applyNumberFormat="1" applyFill="1" applyBorder="1" applyAlignment="1">
      <alignment vertical="center"/>
    </xf>
    <xf numFmtId="0" fontId="6" fillId="7" borderId="277" xfId="0" applyFont="1" applyFill="1" applyBorder="1" applyAlignment="1">
      <alignment vertical="center"/>
    </xf>
    <xf numFmtId="0" fontId="6" fillId="7" borderId="93" xfId="0" applyFont="1" applyFill="1" applyBorder="1" applyAlignment="1">
      <alignment vertical="center"/>
    </xf>
    <xf numFmtId="4" fontId="1" fillId="7" borderId="93" xfId="0" applyNumberFormat="1" applyFont="1" applyFill="1" applyBorder="1" applyAlignment="1">
      <alignment vertical="center"/>
    </xf>
    <xf numFmtId="0" fontId="6" fillId="0" borderId="236" xfId="0" applyFont="1" applyBorder="1" applyAlignment="1">
      <alignment horizontal="right" vertical="center"/>
    </xf>
    <xf numFmtId="4" fontId="1" fillId="0" borderId="68" xfId="0" applyNumberFormat="1" applyFont="1" applyBorder="1"/>
    <xf numFmtId="0" fontId="6" fillId="0" borderId="277" xfId="0" applyFont="1" applyBorder="1"/>
    <xf numFmtId="4" fontId="0" fillId="0" borderId="93" xfId="0" applyNumberFormat="1" applyBorder="1"/>
    <xf numFmtId="44" fontId="0" fillId="0" borderId="98" xfId="7" applyNumberFormat="1" applyFont="1" applyBorder="1" applyAlignment="1">
      <alignment vertical="center"/>
    </xf>
    <xf numFmtId="0" fontId="24" fillId="0" borderId="236" xfId="0" applyFont="1" applyBorder="1" applyAlignment="1">
      <alignment horizontal="left" vertical="center"/>
    </xf>
    <xf numFmtId="0" fontId="24" fillId="0" borderId="280" xfId="0" applyFont="1" applyBorder="1" applyAlignment="1">
      <alignment vertical="center"/>
    </xf>
    <xf numFmtId="0" fontId="1" fillId="0" borderId="180" xfId="0" applyFont="1" applyBorder="1" applyAlignment="1">
      <alignment vertical="center"/>
    </xf>
    <xf numFmtId="4" fontId="1" fillId="0" borderId="195" xfId="0" applyNumberFormat="1" applyFont="1" applyBorder="1" applyAlignment="1">
      <alignment vertical="center"/>
    </xf>
    <xf numFmtId="0" fontId="24" fillId="0" borderId="241" xfId="0" applyFont="1" applyBorder="1" applyAlignment="1">
      <alignment vertical="center"/>
    </xf>
    <xf numFmtId="4" fontId="7" fillId="0" borderId="63" xfId="0" applyNumberFormat="1" applyFont="1" applyBorder="1" applyAlignment="1">
      <alignment vertical="center"/>
    </xf>
    <xf numFmtId="4" fontId="1" fillId="0" borderId="181" xfId="0" applyNumberFormat="1" applyFont="1" applyBorder="1" applyAlignment="1">
      <alignment vertical="center"/>
    </xf>
    <xf numFmtId="0" fontId="24" fillId="0" borderId="235" xfId="0" applyFont="1" applyBorder="1" applyAlignment="1" applyProtection="1">
      <alignment vertical="center"/>
      <protection locked="0"/>
    </xf>
    <xf numFmtId="0" fontId="24" fillId="0" borderId="281" xfId="0" applyFont="1" applyBorder="1" applyAlignment="1">
      <alignment vertical="center"/>
    </xf>
    <xf numFmtId="0" fontId="6" fillId="0" borderId="278" xfId="0" applyFont="1" applyBorder="1" applyAlignment="1">
      <alignment vertical="center"/>
    </xf>
    <xf numFmtId="0" fontId="9" fillId="0" borderId="267" xfId="0" applyFont="1" applyBorder="1" applyAlignment="1">
      <alignment horizontal="right" vertical="center"/>
    </xf>
    <xf numFmtId="4" fontId="0" fillId="0" borderId="109" xfId="0" applyNumberFormat="1" applyBorder="1" applyAlignment="1">
      <alignment vertical="center"/>
    </xf>
    <xf numFmtId="0" fontId="7" fillId="0" borderId="273" xfId="0" applyFont="1" applyBorder="1"/>
    <xf numFmtId="0" fontId="1" fillId="0" borderId="80" xfId="0" applyFont="1" applyBorder="1"/>
    <xf numFmtId="4" fontId="16" fillId="0" borderId="69" xfId="0" applyNumberFormat="1" applyFont="1" applyBorder="1" applyAlignment="1">
      <alignment vertical="center"/>
    </xf>
    <xf numFmtId="4" fontId="0" fillId="0" borderId="69" xfId="0" applyNumberFormat="1" applyBorder="1" applyAlignment="1">
      <alignment vertical="center"/>
    </xf>
    <xf numFmtId="0" fontId="6" fillId="0" borderId="268" xfId="0" applyFont="1" applyBorder="1"/>
    <xf numFmtId="0" fontId="7" fillId="0" borderId="238" xfId="0" applyFont="1" applyBorder="1" applyAlignment="1">
      <alignment vertical="center"/>
    </xf>
    <xf numFmtId="4" fontId="16" fillId="0" borderId="183" xfId="0" applyNumberFormat="1" applyFont="1" applyBorder="1" applyAlignment="1">
      <alignment vertical="center"/>
    </xf>
    <xf numFmtId="0" fontId="6" fillId="0" borderId="265" xfId="0" applyFont="1" applyBorder="1"/>
    <xf numFmtId="0" fontId="6" fillId="0" borderId="255" xfId="0" applyFont="1" applyBorder="1"/>
    <xf numFmtId="0" fontId="6" fillId="0" borderId="237" xfId="0" applyFont="1" applyBorder="1"/>
    <xf numFmtId="4" fontId="1" fillId="0" borderId="93" xfId="0" applyNumberFormat="1" applyFont="1" applyBorder="1"/>
    <xf numFmtId="0" fontId="6" fillId="0" borderId="273" xfId="0" applyFont="1" applyBorder="1" applyAlignment="1">
      <alignment vertical="center"/>
    </xf>
    <xf numFmtId="0" fontId="1" fillId="0" borderId="209" xfId="0" applyFont="1" applyBorder="1"/>
    <xf numFmtId="4" fontId="0" fillId="0" borderId="69" xfId="0" applyNumberFormat="1" applyBorder="1"/>
    <xf numFmtId="0" fontId="6" fillId="7" borderId="255" xfId="0" applyFont="1" applyFill="1" applyBorder="1" applyAlignment="1">
      <alignment vertical="center"/>
    </xf>
    <xf numFmtId="0" fontId="6" fillId="0" borderId="266" xfId="0" applyFont="1" applyBorder="1" applyAlignment="1">
      <alignment vertical="center"/>
    </xf>
    <xf numFmtId="4" fontId="0" fillId="0" borderId="93" xfId="0" applyNumberFormat="1" applyBorder="1" applyAlignment="1">
      <alignment vertical="center"/>
    </xf>
    <xf numFmtId="0" fontId="1" fillId="0" borderId="236" xfId="0" applyFont="1" applyBorder="1" applyAlignment="1">
      <alignment vertical="center"/>
    </xf>
    <xf numFmtId="4" fontId="5" fillId="0" borderId="68" xfId="0" applyNumberFormat="1" applyFont="1" applyBorder="1"/>
    <xf numFmtId="49" fontId="6" fillId="0" borderId="266" xfId="0" applyNumberFormat="1" applyFont="1" applyBorder="1" applyAlignment="1">
      <alignment horizontal="right" vertical="center"/>
    </xf>
    <xf numFmtId="49" fontId="1" fillId="0" borderId="236" xfId="0" applyNumberFormat="1" applyFont="1" applyBorder="1" applyAlignment="1">
      <alignment horizontal="right" vertical="center"/>
    </xf>
    <xf numFmtId="49" fontId="6" fillId="0" borderId="236" xfId="0" applyNumberFormat="1" applyFont="1" applyBorder="1" applyAlignment="1">
      <alignment horizontal="right" vertical="center"/>
    </xf>
    <xf numFmtId="49" fontId="1" fillId="0" borderId="270" xfId="0" applyNumberFormat="1" applyFont="1" applyBorder="1" applyAlignment="1">
      <alignment horizontal="right" vertical="center"/>
    </xf>
    <xf numFmtId="0" fontId="0" fillId="0" borderId="119" xfId="0" applyBorder="1"/>
    <xf numFmtId="4" fontId="5" fillId="0" borderId="68" xfId="0" applyNumberFormat="1" applyFont="1" applyBorder="1" applyAlignment="1">
      <alignment vertical="center" shrinkToFit="1"/>
    </xf>
    <xf numFmtId="4" fontId="5" fillId="0" borderId="100" xfId="0" applyNumberFormat="1" applyFont="1" applyBorder="1" applyAlignment="1">
      <alignment vertical="center" shrinkToFit="1"/>
    </xf>
    <xf numFmtId="4" fontId="67" fillId="0" borderId="89" xfId="0" applyNumberFormat="1" applyFont="1" applyBorder="1" applyAlignment="1">
      <alignment vertical="center"/>
    </xf>
    <xf numFmtId="4" fontId="67" fillId="0" borderId="63" xfId="0" applyNumberFormat="1" applyFont="1" applyBorder="1" applyAlignment="1">
      <alignment vertical="center"/>
    </xf>
    <xf numFmtId="4" fontId="68" fillId="0" borderId="63" xfId="0" applyNumberFormat="1" applyFont="1" applyBorder="1" applyAlignment="1">
      <alignment vertical="center"/>
    </xf>
    <xf numFmtId="4" fontId="67" fillId="0" borderId="68" xfId="0" applyNumberFormat="1" applyFont="1" applyBorder="1"/>
    <xf numFmtId="0" fontId="6" fillId="0" borderId="235" xfId="0" applyFont="1" applyBorder="1" applyAlignment="1">
      <alignment horizontal="right" vertical="center"/>
    </xf>
    <xf numFmtId="4" fontId="5" fillId="0" borderId="93" xfId="0" applyNumberFormat="1" applyFont="1" applyBorder="1" applyAlignment="1">
      <alignment vertical="center"/>
    </xf>
    <xf numFmtId="0" fontId="6" fillId="0" borderId="272" xfId="0" applyFont="1" applyBorder="1" applyAlignment="1">
      <alignment vertical="center"/>
    </xf>
    <xf numFmtId="4" fontId="16" fillId="0" borderId="68" xfId="0" applyNumberFormat="1" applyFont="1" applyBorder="1" applyAlignment="1">
      <alignment shrinkToFit="1"/>
    </xf>
    <xf numFmtId="4" fontId="16" fillId="0" borderId="80" xfId="0" applyNumberFormat="1" applyFont="1" applyBorder="1" applyAlignment="1">
      <alignment shrinkToFit="1"/>
    </xf>
    <xf numFmtId="4" fontId="0" fillId="0" borderId="71" xfId="0" applyNumberFormat="1" applyBorder="1" applyAlignment="1">
      <alignment shrinkToFit="1"/>
    </xf>
    <xf numFmtId="0" fontId="6" fillId="0" borderId="270" xfId="0" applyFont="1" applyBorder="1"/>
    <xf numFmtId="0" fontId="7" fillId="0" borderId="267" xfId="0" applyFont="1" applyBorder="1"/>
    <xf numFmtId="4" fontId="1" fillId="0" borderId="209" xfId="0" applyNumberFormat="1" applyFont="1" applyBorder="1"/>
    <xf numFmtId="4" fontId="16" fillId="0" borderId="69" xfId="0" applyNumberFormat="1" applyFont="1" applyBorder="1" applyAlignment="1">
      <alignment shrinkToFit="1"/>
    </xf>
    <xf numFmtId="4" fontId="0" fillId="0" borderId="69" xfId="0" applyNumberFormat="1" applyBorder="1" applyAlignment="1">
      <alignment shrinkToFit="1"/>
    </xf>
    <xf numFmtId="0" fontId="6" fillId="0" borderId="282" xfId="0" applyFont="1" applyBorder="1" applyAlignment="1">
      <alignment vertical="center"/>
    </xf>
    <xf numFmtId="4" fontId="0" fillId="0" borderId="90" xfId="0" applyNumberFormat="1" applyBorder="1" applyAlignment="1">
      <alignment horizontal="right" vertical="center"/>
    </xf>
    <xf numFmtId="0" fontId="1" fillId="0" borderId="80" xfId="0" applyFont="1" applyBorder="1" applyAlignment="1">
      <alignment vertical="center"/>
    </xf>
    <xf numFmtId="0" fontId="1" fillId="0" borderId="263" xfId="0" applyFont="1" applyBorder="1" applyAlignment="1">
      <alignment vertical="center"/>
    </xf>
    <xf numFmtId="0" fontId="1" fillId="0" borderId="242" xfId="0" applyFont="1" applyBorder="1" applyAlignment="1">
      <alignment vertical="center"/>
    </xf>
    <xf numFmtId="4" fontId="0" fillId="0" borderId="183" xfId="0" applyNumberFormat="1" applyBorder="1" applyAlignment="1">
      <alignment vertical="center"/>
    </xf>
    <xf numFmtId="0" fontId="21" fillId="0" borderId="266" xfId="0" applyFont="1" applyBorder="1" applyAlignment="1" applyProtection="1">
      <alignment horizontal="right" vertical="center"/>
      <protection locked="0"/>
    </xf>
    <xf numFmtId="0" fontId="21" fillId="0" borderId="270" xfId="0" applyFont="1" applyBorder="1" applyAlignment="1" applyProtection="1">
      <alignment horizontal="right" vertical="center"/>
      <protection locked="0"/>
    </xf>
    <xf numFmtId="0" fontId="16" fillId="0" borderId="283" xfId="0" applyFont="1" applyBorder="1" applyAlignment="1">
      <alignment horizontal="center" vertical="center"/>
    </xf>
    <xf numFmtId="0" fontId="6" fillId="0" borderId="283" xfId="0" applyFont="1" applyBorder="1" applyAlignment="1">
      <alignment horizontal="right" vertical="center"/>
    </xf>
    <xf numFmtId="4" fontId="38" fillId="7" borderId="99" xfId="0" applyNumberFormat="1" applyFont="1" applyFill="1" applyBorder="1" applyAlignment="1">
      <alignment vertical="center" shrinkToFit="1"/>
    </xf>
    <xf numFmtId="4" fontId="38" fillId="7" borderId="98" xfId="0" applyNumberFormat="1" applyFont="1" applyFill="1" applyBorder="1" applyAlignment="1">
      <alignment vertical="center" shrinkToFit="1"/>
    </xf>
    <xf numFmtId="4" fontId="25" fillId="0" borderId="0" xfId="0" applyNumberFormat="1" applyFont="1"/>
    <xf numFmtId="0" fontId="0" fillId="0" borderId="236" xfId="0" applyBorder="1" applyAlignment="1">
      <alignment horizontal="right" vertical="center"/>
    </xf>
    <xf numFmtId="0" fontId="0" fillId="0" borderId="241" xfId="0" applyBorder="1" applyAlignment="1">
      <alignment horizontal="right" vertical="center"/>
    </xf>
    <xf numFmtId="0" fontId="32" fillId="0" borderId="236" xfId="0" applyFont="1" applyBorder="1" applyAlignment="1">
      <alignment horizontal="right" vertical="center"/>
    </xf>
    <xf numFmtId="4" fontId="66" fillId="12" borderId="100" xfId="0" applyNumberFormat="1" applyFont="1" applyFill="1" applyBorder="1"/>
    <xf numFmtId="4" fontId="32" fillId="7" borderId="99" xfId="0" applyNumberFormat="1" applyFont="1" applyFill="1" applyBorder="1" applyAlignment="1">
      <alignment vertical="center" shrinkToFit="1"/>
    </xf>
    <xf numFmtId="4" fontId="32" fillId="7" borderId="98" xfId="0" applyNumberFormat="1" applyFont="1" applyFill="1" applyBorder="1" applyAlignment="1">
      <alignment vertical="center" shrinkToFit="1"/>
    </xf>
    <xf numFmtId="0" fontId="38" fillId="0" borderId="236" xfId="0" applyFont="1" applyBorder="1" applyAlignment="1">
      <alignment horizontal="right" vertical="center"/>
    </xf>
    <xf numFmtId="4" fontId="1" fillId="12" borderId="100" xfId="0" applyNumberFormat="1" applyFont="1" applyFill="1" applyBorder="1" applyAlignment="1">
      <alignment vertical="center"/>
    </xf>
    <xf numFmtId="0" fontId="38" fillId="0" borderId="266" xfId="0" applyFont="1" applyBorder="1" applyAlignment="1">
      <alignment horizontal="right" vertical="center"/>
    </xf>
    <xf numFmtId="0" fontId="6" fillId="0" borderId="266" xfId="0" applyFont="1" applyBorder="1" applyAlignment="1">
      <alignment horizontal="right" vertical="center"/>
    </xf>
    <xf numFmtId="4" fontId="66" fillId="0" borderId="100" xfId="0" applyNumberFormat="1" applyFont="1" applyBorder="1" applyAlignment="1">
      <alignment vertical="center"/>
    </xf>
    <xf numFmtId="0" fontId="0" fillId="0" borderId="241" xfId="0" applyBorder="1" applyAlignment="1">
      <alignment horizontal="right" vertical="center" wrapText="1"/>
    </xf>
    <xf numFmtId="0" fontId="5" fillId="0" borderId="237" xfId="0" applyFont="1" applyBorder="1" applyAlignment="1">
      <alignment horizontal="right" vertical="center"/>
    </xf>
    <xf numFmtId="0" fontId="66" fillId="0" borderId="107" xfId="0" applyFont="1" applyBorder="1"/>
    <xf numFmtId="4" fontId="0" fillId="0" borderId="80" xfId="0" applyNumberFormat="1" applyBorder="1" applyAlignment="1">
      <alignment vertical="center"/>
    </xf>
    <xf numFmtId="0" fontId="5" fillId="0" borderId="110" xfId="0" applyFont="1" applyBorder="1" applyAlignment="1">
      <alignment vertical="center"/>
    </xf>
    <xf numFmtId="0" fontId="5" fillId="0" borderId="101" xfId="0" applyFont="1" applyBorder="1" applyAlignment="1">
      <alignment vertical="center"/>
    </xf>
    <xf numFmtId="0" fontId="7" fillId="0" borderId="66" xfId="0" applyFont="1" applyBorder="1"/>
    <xf numFmtId="4" fontId="6" fillId="0" borderId="111" xfId="0" applyNumberFormat="1" applyFont="1" applyBorder="1" applyAlignment="1">
      <alignment vertical="center"/>
    </xf>
    <xf numFmtId="0" fontId="21" fillId="0" borderId="236" xfId="0" applyFont="1" applyBorder="1" applyAlignment="1">
      <alignment horizontal="right" vertical="center"/>
    </xf>
    <xf numFmtId="0" fontId="1" fillId="0" borderId="270" xfId="0" applyFont="1" applyBorder="1" applyAlignment="1">
      <alignment vertical="center"/>
    </xf>
    <xf numFmtId="4" fontId="22" fillId="0" borderId="107" xfId="0" applyNumberFormat="1" applyFont="1" applyBorder="1" applyAlignment="1">
      <alignment vertical="center" shrinkToFit="1"/>
    </xf>
    <xf numFmtId="4" fontId="1" fillId="0" borderId="107" xfId="0" applyNumberFormat="1" applyFont="1" applyBorder="1" applyAlignment="1">
      <alignment vertical="center"/>
    </xf>
    <xf numFmtId="4" fontId="22" fillId="7" borderId="68" xfId="0" applyNumberFormat="1" applyFont="1" applyFill="1" applyBorder="1" applyAlignment="1">
      <alignment shrinkToFit="1"/>
    </xf>
    <xf numFmtId="4" fontId="11" fillId="0" borderId="127" xfId="0" applyNumberFormat="1" applyFont="1" applyBorder="1" applyAlignment="1">
      <alignment horizontal="center" vertical="center" wrapText="1"/>
    </xf>
    <xf numFmtId="0" fontId="1" fillId="0" borderId="284" xfId="0" applyFont="1" applyBorder="1"/>
    <xf numFmtId="4" fontId="38" fillId="0" borderId="236" xfId="0" applyNumberFormat="1" applyFont="1" applyBorder="1"/>
    <xf numFmtId="4" fontId="38" fillId="0" borderId="98" xfId="0" applyNumberFormat="1" applyFont="1" applyBorder="1"/>
    <xf numFmtId="4" fontId="8" fillId="0" borderId="119" xfId="0" applyNumberFormat="1" applyFont="1" applyBorder="1"/>
    <xf numFmtId="4" fontId="8" fillId="0" borderId="271" xfId="0" applyNumberFormat="1" applyFont="1" applyBorder="1"/>
    <xf numFmtId="0" fontId="6" fillId="0" borderId="250" xfId="0" applyFont="1" applyBorder="1"/>
    <xf numFmtId="0" fontId="1" fillId="0" borderId="233" xfId="0" applyFont="1" applyBorder="1"/>
    <xf numFmtId="0" fontId="1" fillId="0" borderId="63" xfId="0" applyFont="1" applyBorder="1"/>
    <xf numFmtId="0" fontId="16" fillId="7" borderId="87" xfId="0" applyFont="1" applyFill="1" applyBorder="1"/>
    <xf numFmtId="0" fontId="6" fillId="0" borderId="189" xfId="0" applyFont="1" applyBorder="1"/>
    <xf numFmtId="0" fontId="8" fillId="0" borderId="92" xfId="0" applyFont="1" applyBorder="1"/>
    <xf numFmtId="0" fontId="8" fillId="0" borderId="284" xfId="0" applyFont="1" applyBorder="1" applyAlignment="1">
      <alignment vertical="center" wrapText="1"/>
    </xf>
    <xf numFmtId="4" fontId="8" fillId="7" borderId="93" xfId="0" applyNumberFormat="1" applyFont="1" applyFill="1" applyBorder="1" applyAlignment="1">
      <alignment shrinkToFit="1"/>
    </xf>
    <xf numFmtId="4" fontId="0" fillId="7" borderId="93" xfId="0" applyNumberFormat="1" applyFill="1" applyBorder="1" applyAlignment="1">
      <alignment shrinkToFit="1"/>
    </xf>
    <xf numFmtId="0" fontId="6" fillId="0" borderId="188" xfId="0" applyFont="1" applyBorder="1"/>
    <xf numFmtId="0" fontId="6" fillId="0" borderId="203" xfId="0" applyFont="1" applyBorder="1" applyAlignment="1">
      <alignment vertical="center"/>
    </xf>
    <xf numFmtId="4" fontId="0" fillId="7" borderId="134" xfId="0" applyNumberFormat="1" applyFill="1" applyBorder="1"/>
    <xf numFmtId="0" fontId="21" fillId="0" borderId="126" xfId="0" applyFont="1" applyBorder="1" applyAlignment="1">
      <alignment vertical="center"/>
    </xf>
    <xf numFmtId="0" fontId="0" fillId="0" borderId="126" xfId="0" applyBorder="1" applyAlignment="1">
      <alignment vertical="center"/>
    </xf>
    <xf numFmtId="0" fontId="21" fillId="0" borderId="126" xfId="0" applyFont="1" applyBorder="1" applyAlignment="1">
      <alignment horizontal="right" vertical="center"/>
    </xf>
    <xf numFmtId="4" fontId="0" fillId="0" borderId="98" xfId="0" applyNumberFormat="1" applyBorder="1" applyAlignment="1">
      <alignment vertical="center" shrinkToFit="1"/>
    </xf>
    <xf numFmtId="4" fontId="0" fillId="0" borderId="240" xfId="0" applyNumberFormat="1" applyBorder="1" applyAlignment="1">
      <alignment vertical="center" shrinkToFit="1"/>
    </xf>
    <xf numFmtId="4" fontId="0" fillId="0" borderId="267" xfId="0" applyNumberFormat="1" applyBorder="1"/>
    <xf numFmtId="0" fontId="1" fillId="0" borderId="126" xfId="0" applyFont="1" applyBorder="1"/>
    <xf numFmtId="0" fontId="6" fillId="0" borderId="126" xfId="0" applyFont="1" applyBorder="1" applyAlignment="1">
      <alignment horizontal="right" vertical="center"/>
    </xf>
    <xf numFmtId="0" fontId="1" fillId="0" borderId="207" xfId="0" applyFont="1" applyBorder="1" applyAlignment="1">
      <alignment vertical="center"/>
    </xf>
    <xf numFmtId="0" fontId="1" fillId="0" borderId="125" xfId="0" applyFont="1" applyBorder="1" applyAlignment="1">
      <alignment vertical="center"/>
    </xf>
    <xf numFmtId="0" fontId="6" fillId="0" borderId="125" xfId="0" applyFont="1" applyBorder="1"/>
    <xf numFmtId="4" fontId="1" fillId="0" borderId="205" xfId="0" applyNumberFormat="1" applyFont="1" applyBorder="1" applyAlignment="1">
      <alignment vertical="center"/>
    </xf>
    <xf numFmtId="4" fontId="1" fillId="0" borderId="19" xfId="0" applyNumberFormat="1" applyFont="1" applyBorder="1" applyAlignment="1">
      <alignment vertical="center"/>
    </xf>
    <xf numFmtId="0" fontId="5" fillId="0" borderId="111" xfId="0" applyFont="1" applyBorder="1" applyAlignment="1">
      <alignment vertical="center"/>
    </xf>
    <xf numFmtId="0" fontId="5" fillId="0" borderId="98" xfId="0" applyFont="1" applyBorder="1"/>
    <xf numFmtId="0" fontId="6" fillId="0" borderId="113" xfId="0" applyFont="1" applyBorder="1" applyAlignment="1">
      <alignment horizontal="right" vertical="center"/>
    </xf>
    <xf numFmtId="4" fontId="14" fillId="7" borderId="80" xfId="0" applyNumberFormat="1" applyFont="1" applyFill="1" applyBorder="1" applyAlignment="1">
      <alignment shrinkToFit="1"/>
    </xf>
    <xf numFmtId="4" fontId="19" fillId="7" borderId="69" xfId="0" applyNumberFormat="1" applyFont="1" applyFill="1" applyBorder="1"/>
    <xf numFmtId="4" fontId="11" fillId="7" borderId="69" xfId="0" applyNumberFormat="1" applyFont="1" applyFill="1" applyBorder="1" applyAlignment="1">
      <alignment vertical="center"/>
    </xf>
    <xf numFmtId="0" fontId="1" fillId="0" borderId="91" xfId="0" applyFont="1" applyBorder="1" applyAlignment="1">
      <alignment vertical="center" wrapText="1"/>
    </xf>
    <xf numFmtId="0" fontId="24" fillId="0" borderId="156" xfId="0" applyFont="1" applyBorder="1" applyAlignment="1">
      <alignment vertical="center"/>
    </xf>
    <xf numFmtId="0" fontId="24" fillId="0" borderId="285" xfId="0" applyFont="1" applyBorder="1" applyAlignment="1">
      <alignment vertical="center"/>
    </xf>
    <xf numFmtId="0" fontId="6" fillId="0" borderId="285" xfId="0" applyFont="1" applyBorder="1" applyAlignment="1">
      <alignment vertical="center"/>
    </xf>
    <xf numFmtId="0" fontId="24" fillId="7" borderId="98" xfId="0" applyFont="1" applyFill="1" applyBorder="1" applyAlignment="1">
      <alignment vertical="center"/>
    </xf>
    <xf numFmtId="0" fontId="24" fillId="0" borderId="98" xfId="0" applyFont="1" applyBorder="1" applyAlignment="1">
      <alignment horizontal="right" vertical="center"/>
    </xf>
    <xf numFmtId="0" fontId="24" fillId="7" borderId="119" xfId="0" applyFont="1" applyFill="1" applyBorder="1" applyAlignment="1">
      <alignment vertical="center"/>
    </xf>
    <xf numFmtId="0" fontId="6" fillId="0" borderId="286" xfId="0" applyFont="1" applyBorder="1" applyAlignment="1">
      <alignment vertical="center"/>
    </xf>
    <xf numFmtId="0" fontId="24" fillId="0" borderId="98" xfId="0" applyFont="1" applyBorder="1" applyAlignment="1">
      <alignment horizontal="left" vertical="center"/>
    </xf>
    <xf numFmtId="0" fontId="24" fillId="0" borderId="180" xfId="0" applyFont="1" applyBorder="1" applyAlignment="1">
      <alignment vertical="center"/>
    </xf>
    <xf numFmtId="4" fontId="68" fillId="0" borderId="68" xfId="0" applyNumberFormat="1" applyFont="1" applyBorder="1"/>
    <xf numFmtId="4" fontId="0" fillId="0" borderId="72" xfId="0" applyNumberFormat="1" applyBorder="1" applyAlignment="1">
      <alignment vertical="center"/>
    </xf>
    <xf numFmtId="4" fontId="23" fillId="0" borderId="107" xfId="0" applyNumberFormat="1" applyFont="1" applyBorder="1" applyAlignment="1">
      <alignment vertical="center"/>
    </xf>
    <xf numFmtId="4" fontId="11" fillId="0" borderId="0" xfId="0" applyNumberFormat="1" applyFont="1"/>
    <xf numFmtId="0" fontId="1" fillId="0" borderId="0" xfId="0" applyFont="1" applyAlignment="1">
      <alignment horizontal="right"/>
    </xf>
    <xf numFmtId="4" fontId="7" fillId="0" borderId="189" xfId="0" applyNumberFormat="1" applyFont="1" applyBorder="1" applyAlignment="1">
      <alignment horizontal="right"/>
    </xf>
    <xf numFmtId="0" fontId="11" fillId="0" borderId="0" xfId="0" applyFont="1" applyAlignment="1">
      <alignment horizontal="center"/>
    </xf>
    <xf numFmtId="4" fontId="7" fillId="0" borderId="0" xfId="0" applyNumberFormat="1" applyFont="1" applyAlignment="1">
      <alignment horizontal="right"/>
    </xf>
    <xf numFmtId="4" fontId="7" fillId="13" borderId="0" xfId="0" applyNumberFormat="1" applyFont="1" applyFill="1" applyAlignment="1">
      <alignment horizontal="right"/>
    </xf>
    <xf numFmtId="4" fontId="1" fillId="13" borderId="0" xfId="0" applyNumberFormat="1" applyFont="1" applyFill="1"/>
    <xf numFmtId="0" fontId="11" fillId="13" borderId="0" xfId="0" applyFont="1" applyFill="1" applyAlignment="1">
      <alignment horizontal="center"/>
    </xf>
    <xf numFmtId="4" fontId="1" fillId="0" borderId="0" xfId="0" applyNumberFormat="1" applyFont="1" applyAlignment="1">
      <alignment horizontal="center"/>
    </xf>
    <xf numFmtId="0" fontId="1" fillId="0" borderId="0" xfId="0" applyFont="1" applyAlignment="1">
      <alignment horizontal="center"/>
    </xf>
    <xf numFmtId="4" fontId="11" fillId="0" borderId="189" xfId="0" applyNumberFormat="1" applyFont="1" applyBorder="1"/>
    <xf numFmtId="4" fontId="11" fillId="0" borderId="169" xfId="0" applyNumberFormat="1" applyFont="1" applyBorder="1"/>
    <xf numFmtId="4" fontId="69" fillId="0" borderId="0" xfId="0" applyNumberFormat="1" applyFont="1"/>
    <xf numFmtId="0" fontId="0" fillId="0" borderId="189" xfId="0" applyBorder="1"/>
    <xf numFmtId="4" fontId="1" fillId="0" borderId="189" xfId="0" applyNumberFormat="1" applyFont="1" applyBorder="1"/>
    <xf numFmtId="0" fontId="7" fillId="0" borderId="189" xfId="0" applyFont="1" applyBorder="1"/>
    <xf numFmtId="0" fontId="1" fillId="0" borderId="189" xfId="0" applyFont="1" applyBorder="1"/>
    <xf numFmtId="4" fontId="7" fillId="0" borderId="189" xfId="0" applyNumberFormat="1" applyFont="1" applyBorder="1"/>
    <xf numFmtId="4" fontId="6" fillId="0" borderId="189" xfId="0" applyNumberFormat="1" applyFont="1" applyBorder="1"/>
    <xf numFmtId="4" fontId="1" fillId="0" borderId="169" xfId="0" applyNumberFormat="1" applyFont="1" applyBorder="1"/>
    <xf numFmtId="0" fontId="24" fillId="0" borderId="0" xfId="0" applyFont="1"/>
    <xf numFmtId="4" fontId="7" fillId="0" borderId="0" xfId="0" applyNumberFormat="1" applyFont="1"/>
    <xf numFmtId="4" fontId="11" fillId="13" borderId="0" xfId="0" applyNumberFormat="1" applyFont="1" applyFill="1"/>
    <xf numFmtId="0" fontId="0" fillId="13" borderId="0" xfId="0" applyFill="1"/>
    <xf numFmtId="0" fontId="70" fillId="0" borderId="0" xfId="0" applyFont="1"/>
    <xf numFmtId="4" fontId="70" fillId="0" borderId="0" xfId="0" applyNumberFormat="1" applyFont="1"/>
    <xf numFmtId="4" fontId="70" fillId="0" borderId="169" xfId="0" applyNumberFormat="1" applyFont="1" applyBorder="1"/>
    <xf numFmtId="4" fontId="70" fillId="0" borderId="189" xfId="0" applyNumberFormat="1" applyFont="1" applyBorder="1"/>
    <xf numFmtId="0" fontId="70" fillId="0" borderId="189" xfId="0" applyFont="1" applyBorder="1"/>
    <xf numFmtId="4" fontId="71" fillId="0" borderId="189" xfId="0" applyNumberFormat="1" applyFont="1" applyBorder="1"/>
    <xf numFmtId="0" fontId="0" fillId="0" borderId="0" xfId="0" applyAlignment="1">
      <alignment horizontal="center"/>
    </xf>
    <xf numFmtId="4" fontId="1" fillId="0" borderId="98" xfId="0" applyNumberFormat="1" applyFont="1" applyBorder="1" applyAlignment="1">
      <alignment vertical="center" shrinkToFit="1"/>
    </xf>
    <xf numFmtId="4" fontId="1" fillId="0" borderId="119" xfId="0" applyNumberFormat="1" applyFont="1" applyBorder="1" applyAlignment="1">
      <alignment shrinkToFit="1"/>
    </xf>
    <xf numFmtId="4" fontId="1" fillId="0" borderId="68" xfId="0" applyNumberFormat="1" applyFont="1" applyBorder="1" applyAlignment="1">
      <alignment shrinkToFit="1"/>
    </xf>
    <xf numFmtId="4" fontId="60" fillId="0" borderId="240" xfId="0" applyNumberFormat="1" applyFont="1" applyBorder="1" applyAlignment="1">
      <alignment vertical="center"/>
    </xf>
    <xf numFmtId="4" fontId="39" fillId="7" borderId="98" xfId="0" applyNumberFormat="1" applyFont="1" applyFill="1" applyBorder="1" applyAlignment="1">
      <alignment vertical="center"/>
    </xf>
    <xf numFmtId="4" fontId="13" fillId="7" borderId="265" xfId="0" applyNumberFormat="1" applyFont="1" applyFill="1" applyBorder="1" applyAlignment="1">
      <alignment shrinkToFit="1"/>
    </xf>
    <xf numFmtId="4" fontId="13" fillId="7" borderId="96" xfId="0" applyNumberFormat="1" applyFont="1" applyFill="1" applyBorder="1" applyAlignment="1">
      <alignment shrinkToFit="1"/>
    </xf>
    <xf numFmtId="4" fontId="15" fillId="0" borderId="144" xfId="0" applyNumberFormat="1" applyFont="1" applyBorder="1" applyAlignment="1">
      <alignment shrinkToFit="1"/>
    </xf>
    <xf numFmtId="0" fontId="1" fillId="7" borderId="110" xfId="0" applyFont="1" applyFill="1" applyBorder="1"/>
    <xf numFmtId="4" fontId="5" fillId="0" borderId="98" xfId="0" applyNumberFormat="1" applyFont="1" applyBorder="1"/>
    <xf numFmtId="4" fontId="6" fillId="0" borderId="240" xfId="0" applyNumberFormat="1" applyFont="1" applyBorder="1" applyAlignment="1">
      <alignment vertical="center" shrinkToFit="1"/>
    </xf>
    <xf numFmtId="4" fontId="6" fillId="0" borderId="267" xfId="0" applyNumberFormat="1" applyFont="1" applyBorder="1"/>
    <xf numFmtId="4" fontId="1" fillId="0" borderId="103" xfId="0" applyNumberFormat="1" applyFont="1" applyBorder="1" applyAlignment="1">
      <alignment vertical="center"/>
    </xf>
    <xf numFmtId="0" fontId="1" fillId="0" borderId="46" xfId="0" applyFont="1" applyBorder="1" applyAlignment="1">
      <alignment vertical="center"/>
    </xf>
    <xf numFmtId="4" fontId="0" fillId="0" borderId="205" xfId="0" applyNumberFormat="1" applyBorder="1"/>
    <xf numFmtId="4" fontId="0" fillId="7" borderId="205" xfId="0" applyNumberFormat="1" applyFill="1" applyBorder="1" applyAlignment="1">
      <alignment vertical="center" shrinkToFit="1"/>
    </xf>
    <xf numFmtId="4" fontId="0" fillId="7" borderId="124" xfId="0" applyNumberFormat="1" applyFill="1" applyBorder="1" applyAlignment="1">
      <alignment vertical="center" shrinkToFit="1"/>
    </xf>
    <xf numFmtId="0" fontId="6" fillId="7" borderId="266" xfId="0" applyFont="1" applyFill="1" applyBorder="1" applyAlignment="1">
      <alignment vertical="center"/>
    </xf>
    <xf numFmtId="0" fontId="34" fillId="7" borderId="100" xfId="0" applyFont="1" applyFill="1" applyBorder="1"/>
    <xf numFmtId="4" fontId="6" fillId="7" borderId="103" xfId="0" applyNumberFormat="1" applyFont="1" applyFill="1" applyBorder="1" applyAlignment="1">
      <alignment vertical="center" shrinkToFit="1"/>
    </xf>
    <xf numFmtId="4" fontId="0" fillId="7" borderId="93" xfId="0" applyNumberFormat="1" applyFill="1" applyBorder="1"/>
    <xf numFmtId="4" fontId="0" fillId="7" borderId="98" xfId="4" applyNumberFormat="1" applyFont="1" applyFill="1" applyBorder="1" applyAlignment="1" applyProtection="1">
      <alignment vertical="center"/>
    </xf>
    <xf numFmtId="4" fontId="1" fillId="7" borderId="68" xfId="0" applyNumberFormat="1" applyFont="1" applyFill="1" applyBorder="1" applyAlignment="1">
      <alignment shrinkToFit="1"/>
    </xf>
    <xf numFmtId="4" fontId="1" fillId="7" borderId="107" xfId="0" applyNumberFormat="1" applyFont="1" applyFill="1" applyBorder="1" applyAlignment="1">
      <alignment shrinkToFit="1"/>
    </xf>
    <xf numFmtId="4" fontId="1" fillId="7" borderId="68" xfId="0" applyNumberFormat="1" applyFont="1" applyFill="1" applyBorder="1"/>
    <xf numFmtId="4" fontId="1" fillId="7" borderId="68" xfId="0" applyNumberFormat="1" applyFont="1" applyFill="1" applyBorder="1" applyAlignment="1">
      <alignment vertical="center"/>
    </xf>
    <xf numFmtId="4" fontId="25" fillId="0" borderId="96" xfId="0" applyNumberFormat="1" applyFont="1" applyBorder="1" applyAlignment="1">
      <alignment vertical="center"/>
    </xf>
    <xf numFmtId="4" fontId="0" fillId="7" borderId="98" xfId="0" applyNumberFormat="1" applyFill="1" applyBorder="1" applyAlignment="1">
      <alignment shrinkToFit="1"/>
    </xf>
    <xf numFmtId="4" fontId="6" fillId="7" borderId="205" xfId="0" applyNumberFormat="1" applyFont="1" applyFill="1" applyBorder="1" applyAlignment="1">
      <alignment vertical="center" shrinkToFit="1"/>
    </xf>
    <xf numFmtId="4" fontId="6" fillId="7" borderId="124" xfId="0" applyNumberFormat="1" applyFont="1" applyFill="1" applyBorder="1" applyAlignment="1">
      <alignment vertical="center" shrinkToFit="1"/>
    </xf>
    <xf numFmtId="4" fontId="0" fillId="7" borderId="207" xfId="0" applyNumberFormat="1" applyFill="1" applyBorder="1" applyAlignment="1">
      <alignment vertical="center" shrinkToFit="1"/>
    </xf>
    <xf numFmtId="0" fontId="24" fillId="0" borderId="272" xfId="0" applyFont="1" applyBorder="1" applyAlignment="1">
      <alignment vertical="center"/>
    </xf>
    <xf numFmtId="0" fontId="1" fillId="0" borderId="124" xfId="0" applyFont="1" applyBorder="1" applyAlignment="1">
      <alignment vertical="center"/>
    </xf>
    <xf numFmtId="0" fontId="24" fillId="0" borderId="275" xfId="0" applyFont="1" applyBorder="1" applyAlignment="1">
      <alignment vertical="center"/>
    </xf>
    <xf numFmtId="4" fontId="1" fillId="0" borderId="71" xfId="0" applyNumberFormat="1" applyFont="1" applyBorder="1" applyAlignment="1">
      <alignment vertical="center"/>
    </xf>
    <xf numFmtId="4" fontId="5" fillId="0" borderId="68" xfId="0" applyNumberFormat="1" applyFont="1" applyBorder="1" applyAlignment="1">
      <alignment vertical="center"/>
    </xf>
    <xf numFmtId="0" fontId="1" fillId="0" borderId="209" xfId="0" applyFont="1" applyBorder="1" applyAlignment="1">
      <alignment vertical="center"/>
    </xf>
    <xf numFmtId="4" fontId="16" fillId="0" borderId="72" xfId="0" applyNumberFormat="1" applyFont="1" applyBorder="1" applyAlignment="1">
      <alignment shrinkToFit="1"/>
    </xf>
    <xf numFmtId="4" fontId="16" fillId="7" borderId="72" xfId="0" applyNumberFormat="1" applyFont="1" applyFill="1" applyBorder="1" applyAlignment="1">
      <alignment shrinkToFit="1"/>
    </xf>
    <xf numFmtId="4" fontId="1" fillId="0" borderId="119" xfId="0" applyNumberFormat="1" applyFont="1" applyBorder="1"/>
    <xf numFmtId="4" fontId="0" fillId="0" borderId="68" xfId="0" applyNumberFormat="1" applyBorder="1" applyAlignment="1">
      <alignment shrinkToFit="1"/>
    </xf>
    <xf numFmtId="0" fontId="6" fillId="0" borderId="287" xfId="0" applyFont="1" applyBorder="1" applyAlignment="1">
      <alignment vertical="center"/>
    </xf>
    <xf numFmtId="4" fontId="0" fillId="0" borderId="109" xfId="0" applyNumberFormat="1" applyBorder="1" applyAlignment="1">
      <alignment horizontal="right" vertical="center"/>
    </xf>
    <xf numFmtId="4" fontId="6" fillId="7" borderId="139" xfId="0" applyNumberFormat="1" applyFont="1" applyFill="1" applyBorder="1" applyAlignment="1">
      <alignment vertical="center" shrinkToFit="1"/>
    </xf>
    <xf numFmtId="4" fontId="6" fillId="7" borderId="109" xfId="0" applyNumberFormat="1" applyFont="1" applyFill="1" applyBorder="1" applyAlignment="1">
      <alignment vertical="center" shrinkToFit="1"/>
    </xf>
    <xf numFmtId="4" fontId="0" fillId="0" borderId="89" xfId="0" applyNumberFormat="1" applyBorder="1" applyAlignment="1">
      <alignment vertical="center"/>
    </xf>
    <xf numFmtId="4" fontId="38" fillId="12" borderId="98" xfId="0" applyNumberFormat="1" applyFont="1" applyFill="1" applyBorder="1" applyAlignment="1">
      <alignment vertical="center"/>
    </xf>
    <xf numFmtId="4" fontId="0" fillId="7" borderId="113" xfId="0" applyNumberFormat="1" applyFill="1" applyBorder="1" applyAlignment="1">
      <alignment horizontal="right" vertical="center"/>
    </xf>
    <xf numFmtId="4" fontId="0" fillId="7" borderId="101" xfId="0" applyNumberFormat="1" applyFill="1" applyBorder="1" applyAlignment="1">
      <alignment horizontal="right" vertical="center"/>
    </xf>
    <xf numFmtId="4" fontId="0" fillId="7" borderId="90" xfId="0" applyNumberFormat="1" applyFill="1" applyBorder="1" applyAlignment="1">
      <alignment horizontal="right" vertical="center"/>
    </xf>
    <xf numFmtId="4" fontId="6" fillId="0" borderId="104" xfId="0" applyNumberFormat="1" applyFont="1" applyBorder="1" applyAlignment="1">
      <alignment horizontal="right" vertical="center"/>
    </xf>
    <xf numFmtId="4" fontId="6" fillId="0" borderId="103" xfId="0" applyNumberFormat="1" applyFont="1" applyBorder="1" applyAlignment="1">
      <alignment horizontal="right" vertical="center"/>
    </xf>
    <xf numFmtId="4" fontId="6" fillId="0" borderId="102" xfId="0" applyNumberFormat="1" applyFont="1" applyBorder="1" applyAlignment="1">
      <alignment horizontal="right" vertical="center"/>
    </xf>
    <xf numFmtId="4" fontId="6" fillId="0" borderId="100" xfId="0" applyNumberFormat="1" applyFont="1" applyBorder="1" applyAlignment="1">
      <alignment horizontal="right" vertical="center"/>
    </xf>
    <xf numFmtId="0" fontId="56" fillId="0" borderId="174" xfId="11" applyFont="1" applyBorder="1" applyAlignment="1">
      <alignment horizontal="left" vertical="center" wrapText="1"/>
    </xf>
    <xf numFmtId="0" fontId="56" fillId="0" borderId="169" xfId="11" applyFont="1" applyBorder="1" applyAlignment="1">
      <alignment horizontal="left" vertical="center" wrapText="1"/>
    </xf>
    <xf numFmtId="0" fontId="56" fillId="0" borderId="171" xfId="11" applyFont="1" applyBorder="1" applyAlignment="1">
      <alignment horizontal="left" vertical="center" wrapText="1"/>
    </xf>
    <xf numFmtId="0" fontId="56" fillId="9" borderId="71" xfId="11" applyFont="1" applyFill="1" applyBorder="1" applyAlignment="1">
      <alignment vertical="center"/>
    </xf>
    <xf numFmtId="0" fontId="59" fillId="9" borderId="150" xfId="11" applyFont="1" applyFill="1" applyBorder="1" applyAlignment="1">
      <alignment vertical="center"/>
    </xf>
    <xf numFmtId="0" fontId="59" fillId="9" borderId="230" xfId="11" applyFont="1" applyFill="1" applyBorder="1" applyAlignment="1">
      <alignment vertical="center"/>
    </xf>
    <xf numFmtId="0" fontId="56" fillId="0" borderId="127" xfId="11" applyFont="1" applyBorder="1" applyAlignment="1">
      <alignment horizontal="left" vertical="center" wrapText="1"/>
    </xf>
    <xf numFmtId="0" fontId="56" fillId="0" borderId="0" xfId="11" applyFont="1" applyAlignment="1">
      <alignment horizontal="left" vertical="center" wrapText="1"/>
    </xf>
    <xf numFmtId="0" fontId="56" fillId="0" borderId="110" xfId="11" applyFont="1" applyBorder="1" applyAlignment="1">
      <alignment horizontal="left" vertical="center" wrapText="1"/>
    </xf>
    <xf numFmtId="0" fontId="57" fillId="0" borderId="0" xfId="11" applyFont="1" applyAlignment="1">
      <alignment horizontal="left" vertical="center" wrapText="1"/>
    </xf>
    <xf numFmtId="0" fontId="57" fillId="0" borderId="110" xfId="11" applyFont="1" applyBorder="1" applyAlignment="1">
      <alignment horizontal="left" vertical="center" wrapText="1"/>
    </xf>
    <xf numFmtId="0" fontId="53" fillId="0" borderId="0" xfId="11" applyFont="1" applyAlignment="1">
      <alignment horizontal="center" vertical="center" wrapText="1"/>
    </xf>
    <xf numFmtId="3" fontId="56" fillId="9" borderId="214" xfId="11" applyNumberFormat="1" applyFont="1" applyFill="1" applyBorder="1" applyAlignment="1">
      <alignment horizontal="center" vertical="center" wrapText="1"/>
    </xf>
    <xf numFmtId="3" fontId="56" fillId="9" borderId="221" xfId="11" applyNumberFormat="1" applyFont="1" applyFill="1" applyBorder="1" applyAlignment="1">
      <alignment horizontal="center" vertical="center" wrapText="1"/>
    </xf>
    <xf numFmtId="0" fontId="57" fillId="9" borderId="215" xfId="11" applyFont="1" applyFill="1" applyBorder="1" applyAlignment="1">
      <alignment horizontal="center" vertical="center"/>
    </xf>
    <xf numFmtId="0" fontId="57" fillId="9" borderId="222" xfId="11" applyFont="1" applyFill="1" applyBorder="1" applyAlignment="1">
      <alignment horizontal="center" vertical="center"/>
    </xf>
    <xf numFmtId="0" fontId="56" fillId="9" borderId="216" xfId="11" applyFont="1" applyFill="1" applyBorder="1" applyAlignment="1">
      <alignment horizontal="center" vertical="center"/>
    </xf>
    <xf numFmtId="0" fontId="56" fillId="9" borderId="223" xfId="11" applyFont="1" applyFill="1" applyBorder="1" applyAlignment="1">
      <alignment horizontal="center" vertical="center"/>
    </xf>
    <xf numFmtId="3" fontId="56" fillId="9" borderId="217" xfId="11" applyNumberFormat="1" applyFont="1" applyFill="1" applyBorder="1" applyAlignment="1">
      <alignment horizontal="center" vertical="center" wrapText="1"/>
    </xf>
    <xf numFmtId="3" fontId="56" fillId="9" borderId="224" xfId="11" applyNumberFormat="1" applyFont="1" applyFill="1" applyBorder="1" applyAlignment="1">
      <alignment horizontal="center" vertical="center" wrapText="1"/>
    </xf>
    <xf numFmtId="3" fontId="56" fillId="9" borderId="218" xfId="11" applyNumberFormat="1" applyFont="1" applyFill="1" applyBorder="1" applyAlignment="1">
      <alignment horizontal="center" vertical="center" wrapText="1"/>
    </xf>
    <xf numFmtId="0" fontId="5" fillId="9" borderId="218" xfId="11" applyFont="1" applyFill="1" applyBorder="1" applyAlignment="1">
      <alignment horizontal="center" vertical="center" wrapText="1"/>
    </xf>
    <xf numFmtId="0" fontId="5" fillId="9" borderId="219" xfId="11" applyFont="1" applyFill="1" applyBorder="1" applyAlignment="1">
      <alignment horizontal="center" vertical="center" wrapText="1"/>
    </xf>
    <xf numFmtId="0" fontId="56" fillId="9" borderId="220" xfId="11" applyFont="1" applyFill="1" applyBorder="1" applyAlignment="1">
      <alignment horizontal="center" vertical="center"/>
    </xf>
    <xf numFmtId="0" fontId="56" fillId="9" borderId="225" xfId="11" applyFont="1" applyFill="1" applyBorder="1" applyAlignment="1">
      <alignment horizontal="center" vertical="center"/>
    </xf>
    <xf numFmtId="0" fontId="53" fillId="0" borderId="0" xfId="12" applyFont="1" applyAlignment="1">
      <alignment horizontal="center" vertical="center" wrapText="1"/>
    </xf>
    <xf numFmtId="3" fontId="56" fillId="9" borderId="214" xfId="12" applyNumberFormat="1" applyFont="1" applyFill="1" applyBorder="1" applyAlignment="1">
      <alignment horizontal="center" vertical="center" wrapText="1"/>
    </xf>
    <xf numFmtId="3" fontId="56" fillId="9" borderId="221" xfId="12" applyNumberFormat="1" applyFont="1" applyFill="1" applyBorder="1" applyAlignment="1">
      <alignment horizontal="center" vertical="center" wrapText="1"/>
    </xf>
    <xf numFmtId="0" fontId="57" fillId="9" borderId="215" xfId="12" applyFont="1" applyFill="1" applyBorder="1" applyAlignment="1">
      <alignment horizontal="center" vertical="center"/>
    </xf>
    <xf numFmtId="0" fontId="57" fillId="9" borderId="222" xfId="12" applyFont="1" applyFill="1" applyBorder="1" applyAlignment="1">
      <alignment horizontal="center" vertical="center"/>
    </xf>
    <xf numFmtId="0" fontId="56" fillId="9" borderId="216" xfId="12" applyFont="1" applyFill="1" applyBorder="1" applyAlignment="1">
      <alignment horizontal="center" vertical="center"/>
    </xf>
    <xf numFmtId="0" fontId="56" fillId="9" borderId="223" xfId="12" applyFont="1" applyFill="1" applyBorder="1" applyAlignment="1">
      <alignment horizontal="center" vertical="center"/>
    </xf>
    <xf numFmtId="3" fontId="56" fillId="9" borderId="217" xfId="12" applyNumberFormat="1" applyFont="1" applyFill="1" applyBorder="1" applyAlignment="1">
      <alignment horizontal="center" vertical="center" wrapText="1"/>
    </xf>
    <xf numFmtId="3" fontId="56" fillId="9" borderId="224" xfId="12" applyNumberFormat="1" applyFont="1" applyFill="1" applyBorder="1" applyAlignment="1">
      <alignment horizontal="center" vertical="center" wrapText="1"/>
    </xf>
    <xf numFmtId="3" fontId="56" fillId="9" borderId="218" xfId="12" applyNumberFormat="1" applyFont="1" applyFill="1" applyBorder="1" applyAlignment="1">
      <alignment horizontal="center" vertical="center" wrapText="1"/>
    </xf>
    <xf numFmtId="0" fontId="5" fillId="9" borderId="218" xfId="12" applyFont="1" applyFill="1" applyBorder="1" applyAlignment="1">
      <alignment horizontal="center" vertical="center" wrapText="1"/>
    </xf>
    <xf numFmtId="0" fontId="5" fillId="9" borderId="219" xfId="12" applyFont="1" applyFill="1" applyBorder="1" applyAlignment="1">
      <alignment horizontal="center" vertical="center" wrapText="1"/>
    </xf>
    <xf numFmtId="0" fontId="56" fillId="9" borderId="220" xfId="12" applyFont="1" applyFill="1" applyBorder="1" applyAlignment="1">
      <alignment horizontal="center" vertical="center"/>
    </xf>
    <xf numFmtId="0" fontId="56" fillId="9" borderId="225" xfId="12" applyFont="1" applyFill="1" applyBorder="1" applyAlignment="1">
      <alignment horizontal="center" vertical="center"/>
    </xf>
    <xf numFmtId="0" fontId="56" fillId="0" borderId="174" xfId="12" applyFont="1" applyBorder="1" applyAlignment="1">
      <alignment horizontal="left" vertical="center" wrapText="1"/>
    </xf>
    <xf numFmtId="0" fontId="56" fillId="0" borderId="169" xfId="12" applyFont="1" applyBorder="1" applyAlignment="1">
      <alignment horizontal="left" vertical="center" wrapText="1"/>
    </xf>
    <xf numFmtId="0" fontId="56" fillId="0" borderId="171" xfId="12" applyFont="1" applyBorder="1" applyAlignment="1">
      <alignment horizontal="left" vertical="center" wrapText="1"/>
    </xf>
    <xf numFmtId="0" fontId="56" fillId="9" borderId="71" xfId="12" applyFont="1" applyFill="1" applyBorder="1" applyAlignment="1">
      <alignment vertical="center"/>
    </xf>
    <xf numFmtId="0" fontId="59" fillId="9" borderId="150" xfId="12" applyFont="1" applyFill="1" applyBorder="1" applyAlignment="1">
      <alignment vertical="center"/>
    </xf>
    <xf numFmtId="0" fontId="59" fillId="9" borderId="230" xfId="12" applyFont="1" applyFill="1" applyBorder="1" applyAlignment="1">
      <alignment vertical="center"/>
    </xf>
    <xf numFmtId="0" fontId="56" fillId="0" borderId="94" xfId="12" applyFont="1" applyBorder="1" applyAlignment="1">
      <alignment horizontal="left" vertical="center" wrapText="1"/>
    </xf>
    <xf numFmtId="0" fontId="56" fillId="0" borderId="233" xfId="12" applyFont="1" applyBorder="1" applyAlignment="1">
      <alignment horizontal="left" vertical="center" wrapText="1"/>
    </xf>
    <xf numFmtId="0" fontId="56" fillId="0" borderId="121" xfId="12" applyFont="1" applyBorder="1" applyAlignment="1">
      <alignment horizontal="left" vertical="center" wrapText="1"/>
    </xf>
    <xf numFmtId="0" fontId="56" fillId="0" borderId="127" xfId="12" applyFont="1" applyBorder="1" applyAlignment="1">
      <alignment horizontal="left" vertical="center" wrapText="1"/>
    </xf>
    <xf numFmtId="0" fontId="56" fillId="0" borderId="0" xfId="12" applyFont="1" applyAlignment="1">
      <alignment horizontal="left" vertical="center" wrapText="1"/>
    </xf>
    <xf numFmtId="0" fontId="56" fillId="0" borderId="110" xfId="12" applyFont="1" applyBorder="1" applyAlignment="1">
      <alignment horizontal="left" vertical="center" wrapText="1"/>
    </xf>
    <xf numFmtId="0" fontId="57" fillId="0" borderId="0" xfId="12" applyFont="1" applyAlignment="1">
      <alignment horizontal="left" vertical="center" wrapText="1"/>
    </xf>
    <xf numFmtId="0" fontId="57" fillId="0" borderId="110" xfId="12" applyFont="1" applyBorder="1" applyAlignment="1">
      <alignment horizontal="left" vertical="center" wrapText="1"/>
    </xf>
    <xf numFmtId="0" fontId="56" fillId="0" borderId="161" xfId="12" applyFont="1" applyBorder="1" applyAlignment="1">
      <alignment horizontal="left" vertical="center" wrapText="1"/>
    </xf>
    <xf numFmtId="0" fontId="56" fillId="0" borderId="160" xfId="12" applyFont="1" applyBorder="1" applyAlignment="1">
      <alignment horizontal="left" vertical="center" wrapText="1"/>
    </xf>
    <xf numFmtId="0" fontId="56" fillId="0" borderId="159" xfId="12" applyFont="1" applyBorder="1" applyAlignment="1">
      <alignment horizontal="left" vertical="center" wrapText="1"/>
    </xf>
    <xf numFmtId="168" fontId="0" fillId="13" borderId="0" xfId="0" applyNumberFormat="1" applyFill="1" applyAlignment="1">
      <alignment horizontal="left"/>
    </xf>
    <xf numFmtId="168" fontId="0" fillId="0" borderId="0" xfId="0" applyNumberFormat="1" applyAlignment="1">
      <alignment horizontal="left"/>
    </xf>
  </cellXfs>
  <cellStyles count="14">
    <cellStyle name="Čárka" xfId="1" builtinId="3"/>
    <cellStyle name="Čárka 2" xfId="2"/>
    <cellStyle name="Čárka 2 2" xfId="3"/>
    <cellStyle name="Excel_BuiltIn_Poznámka 1" xfId="4"/>
    <cellStyle name="Excel_BuiltIn_Poznámka 2" xfId="5"/>
    <cellStyle name="Chybně" xfId="6" builtinId="27"/>
    <cellStyle name="Měna" xfId="7" builtinId="4"/>
    <cellStyle name="Měna 2" xfId="8"/>
    <cellStyle name="Normální" xfId="0" builtinId="0"/>
    <cellStyle name="normální 2" xfId="9"/>
    <cellStyle name="Normální 2 2 2" xfId="10"/>
    <cellStyle name="Normální 3" xfId="11"/>
    <cellStyle name="Normální 3 2" xfId="12"/>
    <cellStyle name="normální_List1" xfId="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20"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nlyoffice.com/jsaProject" Target="js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as\ku\Users\stankova2598\AppData\Local\Microsoft\Windows\INetCache\Content.Outlook\P53HJRV8\ORJ14_P&#345;ehled%20projekt&#367;%202014-2020_n&#225;vrh%202020_nov&#253;.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strakova/Nextcloud/VYSLEDKY_HOSPODARENI/VH_2025/Akce%20reprodukce%20majetku%20kraje"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ýdaje dle STAVU"/>
      <sheetName val="Výdaje podle odvětví"/>
      <sheetName val="Příjmy podle odvětví"/>
      <sheetName val="ZÁLOHOVÉ PROJEKTY"/>
      <sheetName val="rozhodnutí"/>
      <sheetName val="rekapitulace"/>
      <sheetName val="Projekty P.O."/>
      <sheetName val="Udržitelnost podle odvětví"/>
      <sheetName val="List1"/>
      <sheetName val="neinvestiční projekty"/>
      <sheetName val="usnesení"/>
    </sheetNames>
    <sheetDataSet>
      <sheetData sheetId="0" refreshError="1"/>
      <sheetData sheetId="1"/>
      <sheetData sheetId="2" refreshError="1"/>
      <sheetData sheetId="3"/>
      <sheetData sheetId="4">
        <row r="31">
          <cell r="N31">
            <v>25.54</v>
          </cell>
        </row>
      </sheetData>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kce reprodukce majetku kraje"/>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person displayName=" " id="{5EFB8264-EBB4-B424-E0EF-227252505665}"/>
  <person displayName="Jana Holíková" id="{7B03C851-1B72-4382-6A46-EB78AD160EC8}"/>
</personList>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celář">
      <a:majorFont>
        <a:latin typeface="Calibri Light"/>
        <a:ea typeface="Arial"/>
        <a:cs typeface="Arial"/>
      </a:majorFont>
      <a:minorFont>
        <a:latin typeface="Calibri"/>
        <a:ea typeface="Arial"/>
        <a:cs typeface="Arial"/>
      </a:minorFont>
    </a:fontScheme>
    <a:fmtScheme name="Kancelář">
      <a:fillStyleLst>
        <a:solidFill>
          <a:schemeClr val="phClr"/>
        </a:solidFill>
        <a:gradFill>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spPr>
      <a:bodyPr/>
      <a:lstStyle/>
    </a:lnDef>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H628" personId="{5EFB8264-EBB4-B424-E0EF-227252505665}" id="{00130011-0075-4A27-A755-002500EA0091}" done="0">
    <text xml:space="preserve">Jana Holíková:
0381 019 6171:
50xx  43.827.695
5424     247.607
5167     507.759,10
5173     122.275
5192-5     0
------------------------
cel     44.952.943,10
</text>
  </threadedComment>
  <threadedComment ref="D767" personId="{5EFB8264-EBB4-B424-E0EF-227252505665}" id="{007C00E2-0052-4A52-AD88-007300480008}" done="0">
    <text xml:space="preserve">Gabriela Vlčková:
+391 tis. dotace
</text>
  </threadedComment>
  <threadedComment ref="D812" personId="{5EFB8264-EBB4-B424-E0EF-227252505665}" id="{007C00F7-003F-4ADD-9C0E-0059007100A5}" done="0">
    <text xml:space="preserve">Gabriela Vlčková:
+10.450 mimoř. Př.
</text>
  </threadedComment>
</ThreadedComments>
</file>

<file path=xl/threadedComments/threadedComment2.xml><?xml version="1.0" encoding="utf-8"?>
<ThreadedComments xmlns="http://schemas.microsoft.com/office/spreadsheetml/2018/threadedcomments" xmlns:x="http://schemas.openxmlformats.org/spreadsheetml/2006/main">
  <threadedComment ref="D108" personId="{7B03C851-1B72-4382-6A46-EB78AD160EC8}" id="{007F00A4-002D-46ED-B9AF-001F00840006}" done="0">
    <text xml:space="preserve">24045/03 +50.700
</text>
  </threadedComment>
  <threadedComment ref="D114" personId="{7B03C851-1B72-4382-6A46-EB78AD160EC8}" id="{00460052-0082-413E-9E92-007100C90017}" done="0">
    <text xml:space="preserve">24045/03 +1.600.000
</text>
  </threadedComment>
  <threadedComment ref="D115" personId="{7B03C851-1B72-4382-6A46-EB78AD160EC8}" id="{00BC0099-0037-4117-9BC2-005500C500CB}" done="0">
    <text xml:space="preserve">24015/02 
+13.779,02 (0309)
+87.878,61 (0305)
+201.127,47 (0307)
</text>
  </threadedComment>
  <threadedComment ref="D116" personId="{7B03C851-1B72-4382-6A46-EB78AD160EC8}" id="{00370001-0092-4131-99D3-009B00F200A8}" done="0">
    <text xml:space="preserve">24015/02 +236.709,36
</text>
  </threadedComment>
  <threadedComment ref="D117" personId="{7B03C851-1B72-4382-6A46-EB78AD160EC8}" id="{00650082-00C3-464E-9B27-001F00210016}" done="0">
    <text xml:space="preserve">24015/02 +159.713,55
</text>
  </threadedComment>
  <threadedComment ref="D118" personId="{7B03C851-1B72-4382-6A46-EB78AD160EC8}" id="{00410011-00F6-4776-A694-00A400F3008C}" done="0">
    <text xml:space="preserve">24015/02 +391.374,39
</text>
  </threadedComment>
  <threadedComment ref="D119" personId="{7B03C851-1B72-4382-6A46-EB78AD160EC8}" id="{0045008F-00F7-499D-ADAA-005E006600BB}" done="0">
    <text xml:space="preserve">24026.03 +3.226.272,84
</text>
  </threadedComment>
  <threadedComment ref="D121" personId="{7B03C851-1B72-4382-6A46-EB78AD160EC8}" id="{00D20051-00CC-4BBC-8F5D-00CB002A00E9}" done="0">
    <text xml:space="preserve">24045/03 org 1180
+74.693,50  § 3111
+40.293      § 3113
</text>
  </threadedComment>
  <threadedComment ref="D122" personId="{7B03C851-1B72-4382-6A46-EB78AD160EC8}" id="{00C000A1-0058-4A33-8CCF-00D5007000ED}" done="0">
    <text xml:space="preserve">24045/03 +900.000
</text>
  </threadedComment>
  <threadedComment ref="D127" personId="{7B03C851-1B72-4382-6A46-EB78AD160EC8}" id="{00F60002-009C-403B-8ADC-008B0045004B}" done="0">
    <text xml:space="preserve">24014/02 
-50.000 (741)
+50.000 (528)
24023/02 
-50.000 (741)
+50.000 (416)
</text>
  </threadedComment>
  <threadedComment ref="D128" personId="{7B03C851-1B72-4382-6A46-EB78AD160EC8}" id="{004000E6-0057-4957-B216-00C800600003}" done="0">
    <text xml:space="preserve">24052/04 +112.397
24074/06 +186.860
</text>
  </threadedComment>
  <threadedComment ref="D134" personId="{7B03C851-1B72-4382-6A46-EB78AD160EC8}" id="{006B000F-00AC-487D-8630-005A00B10081}" done="0">
    <text xml:space="preserve">24045/03 +180.000
</text>
  </threadedComment>
  <threadedComment ref="D137" personId="{7B03C851-1B72-4382-6A46-EB78AD160EC8}" id="{00880010-0047-4A3D-BAA4-00A600E5001C}" done="0">
    <text xml:space="preserve">24005/01 +250.000
</text>
  </threadedComment>
  <threadedComment ref="D139" personId="{7B03C851-1B72-4382-6A46-EB78AD160EC8}" id="{003A00BD-004C-4137-A009-004A009B008C}" done="0">
    <text xml:space="preserve">24044/03 -3.000.000
</text>
  </threadedComment>
  <threadedComment ref="D140" personId="{7B03C851-1B72-4382-6A46-EB78AD160EC8}" id="{005F0045-00C1-49DD-B0B7-00DB008600AD}" done="0">
    <text xml:space="preserve">24044/03 +3.000.000
</text>
  </threadedComment>
  <threadedComment ref="D141" personId="{7B03C851-1B72-4382-6A46-EB78AD160EC8}" id="{0068005A-00AC-414B-9E67-009C009F0072}" done="0">
    <text xml:space="preserve">24045/03 +1.000
</text>
  </threadedComment>
  <threadedComment ref="D151" personId="{7B03C851-1B72-4382-6A46-EB78AD160EC8}" id="{00D50056-00C8-4148-9A47-00B800010091}" done="0">
    <text xml:space="preserve">24045/03 +250.000
</text>
  </threadedComment>
  <threadedComment ref="D154" personId="{7B03C851-1B72-4382-6A46-EB78AD160EC8}" id="{009A00D5-005A-4EED-BA0B-009C00A00063}" done="0">
    <text xml:space="preserve">24045/03 -250.000 chata Jič
</text>
  </threadedComment>
  <threadedComment ref="D159" personId="{7B03C851-1B72-4382-6A46-EB78AD160EC8}" id="{00E3001C-00E3-4F71-A6B1-009E00B000E0}" done="0">
    <text xml:space="preserve">24018/02 +625.431,35
</text>
  </threadedComment>
  <threadedComment ref="D164" personId="{7B03C851-1B72-4382-6A46-EB78AD160EC8}" id="{00F60036-002D-4165-A68B-00D200B90083}" done="0">
    <text xml:space="preserve">24065/05 -500.000 EP 
</text>
  </threadedComment>
  <threadedComment ref="D165" personId="{7B03C851-1B72-4382-6A46-EB78AD160EC8}" id="{0019004B-001A-40B6-94A3-00C400EE002E}" done="0">
    <text xml:space="preserve">24073/06 +16.164.266,27 
</text>
  </threadedComment>
  <threadedComment ref="D186" personId="{7B03C851-1B72-4382-6A46-EB78AD160EC8}" id="{00220042-0089-4D42-85F4-00B400E800BB}" done="0">
    <text xml:space="preserve">24005/01 -522.932
</text>
  </threadedComment>
  <threadedComment ref="D188" personId="{7B03C851-1B72-4382-6A46-EB78AD160EC8}" id="{0047008D-00FC-45C4-895F-00DF00E00039}" done="0">
    <text xml:space="preserve">24062/05-400.000
</text>
  </threadedComment>
  <threadedComment ref="D189" personId="{7B03C851-1B72-4382-6A46-EB78AD160EC8}" id="{00BA0010-004C-408C-BD75-0015005F00B5}" done="0">
    <text xml:space="preserve">24072/05 -1.002.336,01
</text>
  </threadedComment>
  <threadedComment ref="D196" personId="{7B03C851-1B72-4382-6A46-EB78AD160EC8}" id="{00A9000A-007C-40EE-BC75-003100D4003A}" done="0">
    <text xml:space="preserve">24018/02 +124.612,64
24050/04 +-124.612,64
</text>
  </threadedComment>
  <threadedComment ref="D197" personId="{7B03C851-1B72-4382-6A46-EB78AD160EC8}" id="{008000C8-0093-4047-8615-005100BE0064}" done="0">
    <text xml:space="preserve">24065/05 +724.000
</text>
  </threadedComment>
  <threadedComment ref="D203" personId="{7B03C851-1B72-4382-6A46-EB78AD160EC8}" id="{0059007F-00B7-4EA4-9816-002A00A80074}" done="0">
    <text xml:space="preserve">24018/02 +625.431,35
</text>
  </threadedComment>
  <threadedComment ref="D205" personId="{7B03C851-1B72-4382-6A46-EB78AD160EC8}" id="{001B005E-0083-42E0-93BE-007300940017}" done="0">
    <text xml:space="preserve">24066/05 
+   261.245,45 úz17084 1491
+4.441.172,63 úz17085 1495
</text>
  </threadedComment>
  <threadedComment ref="D206" personId="{7B03C851-1B72-4382-6A46-EB78AD160EC8}" id="{007000EF-0016-450B-88D1-000C008F0057}" done="0">
    <text xml:space="preserve">24072/05 
+   61.704,81 úz17085 1495
</text>
  </threadedComment>
  <threadedComment ref="D207" personId="{7B03C851-1B72-4382-6A46-EB78AD160EC8}" id="{0048009D-00DF-41D4-A50C-0016004000D5}" done="0">
    <text xml:space="preserve">24062/05 +400.000
</text>
  </threadedComment>
  <threadedComment ref="D214" personId="{7B03C851-1B72-4382-6A46-EB78AD160EC8}" id="{00960084-00FF-497F-8CBB-008000C70087}" done="0">
    <text xml:space="preserve">24041/03 -+ 354.926
z ORJ 541 na 029
</text>
  </threadedComment>
  <threadedComment ref="D219" personId="{7B03C851-1B72-4382-6A46-EB78AD160EC8}" id="{00D1008F-0097-437A-8652-003900F70093}" done="0">
    <text xml:space="preserve">24001/01 +4.743.000
</text>
  </threadedComment>
  <threadedComment ref="D220" personId="{7B03C851-1B72-4382-6A46-EB78AD160EC8}" id="{008600A2-0005-47B1-A439-0016009B0026}" done="0">
    <text xml:space="preserve">24056/04 +80.000
</text>
  </threadedComment>
  <threadedComment ref="D221" personId="{7B03C851-1B72-4382-6A46-EB78AD160EC8}" id="{001E0062-0040-4197-9B05-00A300B80046}" done="0">
    <text xml:space="preserve">24055/04 +210.200
</text>
  </threadedComment>
  <threadedComment ref="D222" personId="{7B03C851-1B72-4382-6A46-EB78AD160EC8}" id="{0074001C-00CD-41E1-B59C-004900E20007}" done="0">
    <text xml:space="preserve">24030/03 
+ 3.419,60  úz253 1441
+30.776,40 úz911 1445
</text>
  </threadedComment>
  <threadedComment ref="D223" personId="{7B03C851-1B72-4382-6A46-EB78AD160EC8}" id="{0014000F-0077-47ED-87AE-00E8005600C4}" done="0">
    <text xml:space="preserve">24027/03 
+ 4.890  úz253 1441
+44.010 úz911 1445
</text>
  </threadedComment>
  <threadedComment ref="D224" personId="{7B03C851-1B72-4382-6A46-EB78AD160EC8}" id="{0071004A-00E8-412B-B3DD-004600260012}" done="0">
    <text xml:space="preserve">24027/03 
+ 7.519  úz253 1441
+67.671 úz911 1445
</text>
  </threadedComment>
  <threadedComment ref="D225" personId="{7B03C851-1B72-4382-6A46-EB78AD160EC8}" id="{00350056-00ED-4F2D-A275-008B00ED00A0}" done="0">
    <text xml:space="preserve">24029/03 
+ 6.180  úz253 1441
+55.620 úz911 1445
</text>
  </threadedComment>
  <threadedComment ref="D227" personId="{7B03C851-1B72-4382-6A46-EB78AD160EC8}" id="{00320025-00D8-496D-AD4A-00BB00A000CF}" done="0">
    <text xml:space="preserve">24031/03 +4.573.000
24570/05
oprava úz na 914
</text>
  </threadedComment>
  <threadedComment ref="D235" personId="{7B03C851-1B72-4382-6A46-EB78AD160EC8}" id="{0097002F-0080-4785-B5B4-0070000D002E}" done="0">
    <text xml:space="preserve">24066/05 
+  336.616,61 úz17518 1491
+5.722.482,44 úz17519 1495
</text>
  </threadedComment>
  <threadedComment ref="D236" personId="{7B03C851-1B72-4382-6A46-EB78AD160EC8}" id="{00FE0043-00A6-4F5D-85BD-005B007500A6}" done="0">
    <text xml:space="preserve">24066/05 
+  336.616,61 úz17518 1491
+5.722.482,44 úz17519 1495
</text>
  </threadedComment>
  <threadedComment ref="D237" personId="{7B03C851-1B72-4382-6A46-EB78AD160EC8}" id="{008B00F6-008C-46BC-8FD3-003600CE0093}" done="0">
    <text xml:space="preserve">24066/05 
+  336.616,61 úz17518 1491
+5.722.482,44 úz17519 1495
</text>
  </threadedComment>
  <threadedComment ref="D238" personId="{7B03C851-1B72-4382-6A46-EB78AD160EC8}" id="{00B700CC-0061-4A89-AE3E-003C00B1002C}" done="0">
    <text xml:space="preserve">24066/05 
+  336.616,61 úz17518 1491
+5.722.482,44 úz17519 1495
</text>
  </threadedComment>
  <threadedComment ref="D239" personId="{7B03C851-1B72-4382-6A46-EB78AD160EC8}" id="{0062008B-0002-4CBC-A764-00D3003C006E}" done="0">
    <text xml:space="preserve">24072/05 
+  881.497,39 úz17519 1495
</text>
  </threadedComment>
  <threadedComment ref="D241" personId="{7B03C851-1B72-4382-6A46-EB78AD160EC8}" id="{002000D3-0077-488C-8CA0-003400E60078}" done="0">
    <text xml:space="preserve">24035/03 + 5.514.060
</text>
  </threadedComment>
  <threadedComment ref="D244" personId="{7B03C851-1B72-4382-6A46-EB78AD160EC8}" id="{00C2008D-00D7-4596-A33D-00E100090045}" done="0">
    <text xml:space="preserve">24057/04 +300.000
</text>
  </threadedComment>
  <threadedComment ref="D253" personId="{7B03C851-1B72-4382-6A46-EB78AD160EC8}" id="{009800C9-0028-422A-9A84-005C00C90088}" done="0">
    <text xml:space="preserve">24073 -+16.164.266,27
</text>
  </threadedComment>
  <threadedComment ref="D39" personId="{7B03C851-1B72-4382-6A46-EB78AD160EC8}" id="{00170084-0017-479F-A2BF-008C009C0065}" done="0">
    <text xml:space="preserve">24049/04 +16.435.050
</text>
  </threadedComment>
  <threadedComment ref="D43" personId="{7B03C851-1B72-4382-6A46-EB78AD160EC8}" id="{007400AA-00C0-4F2F-B5E1-00EC00B800FD}" done="0">
    <text xml:space="preserve">24045.03 +32.200
</text>
  </threadedComment>
  <threadedComment ref="D605" personId="{7B03C851-1B72-4382-6A46-EB78AD160EC8}" id="{00EA0022-0003-4E62-A3E5-0076008B00C9}" done="0">
    <text xml:space="preserve">24538/03 +-231.352,61 
dopl. Úz 15501 NáZ 1481,5
245051/04 
+196.649,72 úz 15501 1485
+ 34.702,89 1481
24053/04 -535.000
24056/04 +80.000 úz673
24057/04 +300.000 úz392
24554/04 +-231.352,61 zpět
</text>
  </threadedComment>
  <threadedComment ref="D608" personId="{7B03C851-1B72-4382-6A46-EB78AD160EC8}" id="{000C008E-00C6-42A7-B7FE-00FC007E00CC}" done="0">
    <text xml:space="preserve">24053/04 +535.000
</text>
  </threadedComment>
  <threadedComment ref="D62" personId="{7B03C851-1B72-4382-6A46-EB78AD160EC8}" id="{002F0018-00B1-4231-BF9A-002D001A0062}" done="0">
    <text xml:space="preserve">24045/03 +3.000.000
</text>
  </threadedComment>
  <threadedComment ref="D626" personId="{7B03C851-1B72-4382-6A46-EB78AD160EC8}" id="{008E000D-0063-44C5-BF6C-00B900050069}" done="0">
    <text xml:space="preserve">24065/05 
+724.000 úz98348
-500.000 bez úz
</text>
  </threadedComment>
  <threadedComment ref="D643" personId="{7B03C851-1B72-4382-6A46-EB78AD160EC8}" id="{0052003A-0010-4486-B438-00EE008300EE}" done="0">
    <text xml:space="preserve">24011/01 +192.228
24030/03 
 +3.419,60 úz253 1441
+30.776,40 úz911 1445
24047/04 -1.284
24048/04 -1.196
</text>
  </threadedComment>
  <threadedComment ref="D652" personId="{7B03C851-1B72-4382-6A46-EB78AD160EC8}" id="{005F0041-00D6-4CFD-B750-00480037008E}" done="0">
    <text xml:space="preserve">24016/02 +90.488 odpisy
24027/03 
+ 4.890 úz253 1441
+44.010 úz911 1445 
</text>
  </threadedComment>
  <threadedComment ref="D653" personId="{7B03C851-1B72-4382-6A46-EB78AD160EC8}" id="{008A0051-0079-4520-A06D-0061006F00F1}" done="0">
    <text xml:space="preserve">24052/04 +72.208
</text>
  </threadedComment>
  <threadedComment ref="D656" personId="{7B03C851-1B72-4382-6A46-EB78AD160EC8}" id="{005B00D2-002F-406D-A37F-0022000A007E}" done="0">
    <text xml:space="preserve">24028/03
 +7.519 ÚZ253 1441
+67.671 úz911 1445
</text>
  </threadedComment>
  <threadedComment ref="D660" personId="{7B03C851-1B72-4382-6A46-EB78AD160EC8}" id="{005E008A-00E6-45D0-8FCF-00AB00C000B2}" done="0">
    <text xml:space="preserve">24029/03
 +6.180 ÚZ253 1441
+55.620 úz911 1445
24064/05 +313.948
24066/05 
+  261.245,45 úz 17084 1491
+4.441.172,63 úz 17085 1495
24077/06 -13.443,03
</text>
  </threadedComment>
  <threadedComment ref="D662" personId="{7B03C851-1B72-4382-6A46-EB78AD160EC8}" id="{009A0079-00D5-41A9-9AFD-009400D2001D}" done="0">
    <text xml:space="preserve">24066/05 
+  336.616,61 úz17518 1491
+5.722.482,44 úz 17519 1491
</text>
  </threadedComment>
  <threadedComment ref="D665" personId="{7B03C851-1B72-4382-6A46-EB78AD160EC8}" id="{00D200EF-000E-4054-A40A-00BC00DA0044}" done="0">
    <text xml:space="preserve">24007/01 +850.000
</text>
  </threadedComment>
  <threadedComment ref="D669" personId="{7B03C851-1B72-4382-6A46-EB78AD160EC8}" id="{00F300E1-00E8-4741-A3F7-001600110018}" done="0">
    <text xml:space="preserve">24055/04 +210.200 úz 833
</text>
  </threadedComment>
  <threadedComment ref="D672" personId="{7B03C851-1B72-4382-6A46-EB78AD160EC8}" id="{009000D6-00B6-4F73-A609-002C008D00A8}" done="0">
    <text xml:space="preserve">24059/05 +134.310
</text>
  </threadedComment>
  <threadedComment ref="D676" personId="{7B03C851-1B72-4382-6A46-EB78AD160EC8}" id="{008400CC-0023-4040-893B-00AA006A0089}" done="0">
    <text xml:space="preserve">24043/03 -1.548
</text>
  </threadedComment>
  <threadedComment ref="D686" personId="{7B03C851-1B72-4382-6A46-EB78AD160EC8}" id="{00AF0024-00D8-4A96-942A-00E9008800FE}" done="0">
    <text xml:space="preserve">24021/02 -25.000
</text>
  </threadedComment>
  <threadedComment ref="D687" personId="{7B03C851-1B72-4382-6A46-EB78AD160EC8}" id="{00CA001E-0016-4622-B903-0035003A00EA}" done="0">
    <text xml:space="preserve">24021/02 -170.000
</text>
  </threadedComment>
  <threadedComment ref="D689" personId="{7B03C851-1B72-4382-6A46-EB78AD160EC8}" id="{008A00A6-0019-4C01-8271-0042004A00A3}" done="0">
    <text xml:space="preserve">24021/02 +195.000
</text>
  </threadedComment>
  <threadedComment ref="D694" personId="{7B03C851-1B72-4382-6A46-EB78AD160EC8}" id="{00720048-0088-4074-96E9-00BC00500083}" done="0">
    <text xml:space="preserve">24001.01 +4.743.000
24023/02 +- 50.000 dar NJKL
24052/04 +18.200
24083/06 +150.000 slavnost
</text>
  </threadedComment>
  <threadedComment ref="D709" personId="{7B03C851-1B72-4382-6A46-EB78AD160EC8}" id="{00F40056-00E8-480A-AD20-00C400310010}" done="0">
    <text xml:space="preserve">24002/01 -30.000 
24069/05 +30.000
</text>
  </threadedComment>
  <threadedComment ref="D712" personId="{7B03C851-1B72-4382-6A46-EB78AD160EC8}" id="{00450010-003D-47A1-8106-001F008B0023}" done="0">
    <text xml:space="preserve">24002/01 +30.000
24003/01 +10.000
24004/01 +15.000
24032/03 +70.000
24058/04 +80.000
24067/05 +10.000
24068/05 +150.000
24069/05 +36.900
24070/05 +5.000
24071/05 +40.000
24084/06 +250.000
24085/06 +147.000
</text>
  </threadedComment>
  <threadedComment ref="D741" personId="{7B03C851-1B72-4382-6A46-EB78AD160EC8}" id="{00EF0013-0002-4E6B-AA30-005B00520088}" done="0">
    <text xml:space="preserve">24025.03
+320.000 +28.800
</text>
  </threadedComment>
  <threadedComment ref="D743" personId="{7B03C851-1B72-4382-6A46-EB78AD160EC8}" id="{00670038-00FA-4257-8D7A-00B200CF0052}" done="0">
    <text xml:space="preserve">24018/02
+563.940,99 (5011)
+135.346 (5031)
+ 50.757 (5032)
</text>
  </threadedComment>
  <threadedComment ref="D754" personId="{7B03C851-1B72-4382-6A46-EB78AD160EC8}" id="{0008002A-0064-4EE5-8729-000E00FC002C}" done="0">
    <text xml:space="preserve">24014/02 +-50.000
</text>
  </threadedComment>
  <threadedComment ref="D763" personId="{7B03C851-1B72-4382-6A46-EB78AD160EC8}" id="{000E00D6-005D-4086-8896-004D004900EF}" done="0">
    <text xml:space="preserve">24013/02 -50.000
24075/06 -4.745
</text>
  </threadedComment>
  <threadedComment ref="D768" personId="{7B03C851-1B72-4382-6A46-EB78AD160EC8}" id="{0086000A-00AA-4433-A8B8-0097003100B0}" done="0">
    <text xml:space="preserve">24034/03 -360.000
</text>
  </threadedComment>
  <threadedComment ref="D775" personId="{7B03C851-1B72-4382-6A46-EB78AD160EC8}" id="{00E30038-0085-40B7-A4AF-004C00BD0079}" done="0">
    <text xml:space="preserve">24013/02 +50.000
24033/03 +59.000
24024/03 +75.000
24075/06 +4.745
</text>
  </threadedComment>
  <threadedComment ref="D780" personId="{7B03C851-1B72-4382-6A46-EB78AD160EC8}" id="{009A006E-0043-41AB-BB8A-001900460081}" done="0">
    <text xml:space="preserve">24031/03 +2.980.000 úz
24570/05 dopl.úz:
+419.000 (0390)
+181.000 (0390)
+   2.000 (0390)
+ 161.000 (2390)
+2.217.000 (2390)
-2.980.000 (0390)
</text>
  </threadedComment>
  <threadedComment ref="D781" personId="{7B03C851-1B72-4382-6A46-EB78AD160EC8}" id="{00C90021-0001-4F19-8BF9-002B00BC008C}" done="0">
    <text xml:space="preserve">24031/04 +559.000 úz
24570/05 dopl úz914:
+492.000 (2391)
+36.000 (2391)
+ 31.000 (1391)
-559.000 (1391)
</text>
  </threadedComment>
  <threadedComment ref="D782" personId="{7B03C851-1B72-4382-6A46-EB78AD160EC8}" id="{00DD00EC-00EF-4063-A9C0-00E500B90033}" done="0">
    <text xml:space="preserve">24031/04 +1.034.000
24570/05 dopl.úz914
+978.000 (2393)
+ 56.000 (1393)
-1.037.000 (1393)
</text>
  </threadedComment>
  <threadedComment ref="D783" personId="{7B03C851-1B72-4382-6A46-EB78AD160EC8}" id="{003F0047-00E5-48BE-9DE5-00AD003900AC}" done="0">
    <text xml:space="preserve">24507/01 -+2.400.000
změna org
</text>
  </threadedComment>
  <threadedComment ref="D82" personId="{7B03C851-1B72-4382-6A46-EB78AD160EC8}" id="{00310071-0014-47A4-9D09-00A60061002C}" done="0">
    <text xml:space="preserve">24012/01 +192.228 (309)
24046/04
+1.009.024,72 (0501)
+ 835.189,98 (0504)
24048/04 -1.196
</text>
  </threadedComment>
  <threadedComment ref="D93" personId="{7B03C851-1B72-4382-6A46-EB78AD160EC8}" id="{00D100B3-0065-4D9E-A731-0044009D00D0}" done="0">
    <text xml:space="preserve">24017/02 +289.333
</text>
  </threadedComment>
  <threadedComment ref="D94" personId="{7B03C851-1B72-4382-6A46-EB78AD160EC8}" id="{0034005F-0024-4988-812F-00380098001E}" done="0">
    <text xml:space="preserve">24017/02 +289.333
</text>
  </threadedComment>
  <threadedComment ref="D932" personId="{7B03C851-1B72-4382-6A46-EB78AD160EC8}" id="{001E005B-00E0-4EF2-96A6-0098000C005D}" done="0">
    <text xml:space="preserve">24042/03 -45.000
</text>
  </threadedComment>
  <threadedComment ref="D936" personId="{7B03C851-1B72-4382-6A46-EB78AD160EC8}" id="{00E60016-0066-4015-A52F-00F500010041}" done="0">
    <text xml:space="preserve">24042/03 +45.000
</text>
  </threadedComment>
  <threadedComment ref="D948" personId="{7B03C851-1B72-4382-6A46-EB78AD160EC8}" id="{00DE0073-0083-4FC0-8E2A-00D0005A0003}" done="0">
    <text xml:space="preserve">24049/04 +16.435.050
</text>
  </threadedComment>
  <threadedComment ref="D952" personId="{7B03C851-1B72-4382-6A46-EB78AD160EC8}" id="{002D00D8-00BF-43D0-8CF1-006000AB001C}" done="0">
    <text xml:space="preserve">24039/03  0322
+ 5.068,40  253 1441
+45.615,60  911 1445
</text>
  </threadedComment>
  <threadedComment ref="D953" personId="{7B03C851-1B72-4382-6A46-EB78AD160EC8}" id="{009200DC-00A4-4051-9CE1-0049007100CC}" done="0">
    <text xml:space="preserve">24040/03  0323
+ 4.089  253 1441
+36.801  911 1445
</text>
  </threadedComment>
  <threadedComment ref="D954" personId="{7B03C851-1B72-4382-6A46-EB78AD160EC8}" id="{003B00A0-008E-4737-9C2E-007700D100A5}" done="0">
    <text xml:space="preserve">24022/02  0321
+ 1.835,40  253 1441
+16.518,60 911 1445
</text>
  </threadedComment>
  <threadedComment ref="D957" personId="{7B03C851-1B72-4382-6A46-EB78AD160EC8}" id="{00100087-0050-40F4-B50B-00DD007000E8}" done="0">
    <text xml:space="preserve">24003/01 -10.000
24004/01 -15.000
24005/01 -272.932
24006/01 -3.337.434
24011/01 -192.228
24012/01 +192.228
24015/02 +319.987,99
24016/02 -90.488
24017/02 +289.333
24019/02 -266.805
24020/02 -96.558
24024/03 +400.000
24025.03 -348.800
24026.03 +3.226.272,84
24032/03 -70.000
24033/03 -59.000
24035/03 +5.514.060
24043/03 +1.548
24045/03 +5.904.137,50
24046/04 +1.844.214,70
24047/04 +1.284
24051/04 -231.352,61
24052/04 +21.989
24058/04 -80.000
24059/05 -134.310
24063/05 +8.862
24064/05 -313.948
24067/05 -10.000
24068/05 -150.000
24069/05
-36.900 -30.000
24070/05 -5.000
24071/05 -40.000
24072/05 
-1.002.336,01 +943.202,20
24073/06 +16.164.266,27
24077/06 +13.443,03
24083/06 -150.000
24084/06 -250.000
24085/06 -147.000
24587/06 -75.000
</text>
  </threadedComment>
  <threadedComment ref="D958" personId="{7B03C851-1B72-4382-6A46-EB78AD160EC8}" id="{007300F9-008C-47A7-AC4A-00B400E700FC}" done="0">
    <text xml:space="preserve">24587/06 +75.000
</text>
  </threadedComment>
</ThreadedComments>
</file>

<file path=xl/threadedComments/threadedComment3.xml><?xml version="1.0" encoding="utf-8"?>
<ThreadedComments xmlns="http://schemas.microsoft.com/office/spreadsheetml/2018/threadedcomments" xmlns:x="http://schemas.openxmlformats.org/spreadsheetml/2006/main">
  <threadedComment ref="D109" personId="{7B03C851-1B72-4382-6A46-EB78AD160EC8}" id="{008B00E0-000D-4CE6-9287-0031004200FD}" done="0">
    <text xml:space="preserve">25031/02 +700.000
</text>
  </threadedComment>
  <threadedComment ref="D110" personId="{7B03C851-1B72-4382-6A46-EB78AD160EC8}" id="{00CE0050-00E6-45E6-8B54-0046005800DE}" done="0">
    <text xml:space="preserve">25028/02 +463.363
</text>
  </threadedComment>
  <threadedComment ref="D111" personId="{7B03C851-1B72-4382-6A46-EB78AD160EC8}" id="{007A005B-00FE-4D7E-B3BF-0077002D0057}" done="0">
    <text xml:space="preserve">25024/02 +62.538,16
</text>
  </threadedComment>
  <threadedComment ref="D112" personId="{7B03C851-1B72-4382-6A46-EB78AD160EC8}" id="{009900FF-003F-419B-9799-0046000F00E5}" done="0">
    <text xml:space="preserve">25024/02 +129.480,70
</text>
  </threadedComment>
  <threadedComment ref="D113" personId="{7B03C851-1B72-4382-6A46-EB78AD160EC8}" id="{001B00F4-00C8-4F3D-82AE-00E700300082}" done="0">
    <text xml:space="preserve">25024/02 +169.544,53
</text>
  </threadedComment>
  <threadedComment ref="D114" personId="{7B03C851-1B72-4382-6A46-EB78AD160EC8}" id="{007700D4-0081-4520-8D2A-0031003A0020}" done="0">
    <text xml:space="preserve">25024/02 +70.270,33
</text>
  </threadedComment>
  <threadedComment ref="D115" personId="{7B03C851-1B72-4382-6A46-EB78AD160EC8}" id="{002F00A7-001D-4549-BE24-00C2004B00AF}" done="0">
    <text xml:space="preserve">25042/03 +2.743.942,28
</text>
  </threadedComment>
  <threadedComment ref="D116" personId="{7B03C851-1B72-4382-6A46-EB78AD160EC8}" id="{00AE0061-00BB-4E2C-B669-00BB00ED002C}" done="0">
    <text xml:space="preserve">25031/02 
+37.912,80  1180
+ 6.500   1131
+455.819,41  1134
25088/05 +30.000
</text>
  </threadedComment>
  <threadedComment ref="D117" personId="{7B03C851-1B72-4382-6A46-EB78AD160EC8}" id="{00300044-000B-4F10-BDF5-0017004800EB}" done="0">
    <text xml:space="preserve">25062/04 +23.725
25063/04 +4.745
25082/05 +40.000
25091/06 +10.000
</text>
  </threadedComment>
  <threadedComment ref="D119" personId="{7B03C851-1B72-4382-6A46-EB78AD160EC8}" id="{00A600DD-000B-44F7-9E7F-003600750045}" done="0">
    <text xml:space="preserve">25004/01 úz 33092
+ 913,14 (1431)
+3.011,86 (1435)
</text>
  </threadedComment>
  <threadedComment ref="D120" personId="{7B03C851-1B72-4382-6A46-EB78AD160EC8}" id="{00E900CF-007A-4DBD-976B-00D3009F0056}" done="0">
    <text xml:space="preserve">25026/02 +3.730
</text>
  </threadedComment>
  <threadedComment ref="D122" personId="{7B03C851-1B72-4382-6A46-EB78AD160EC8}" id="{00310042-0012-4E45-9F6B-00B1008A0067}" done="0">
    <text xml:space="preserve">25032/03
-50.000 741
+50.000 528
25033/03
-50.000 741
+50.000 416
</text>
  </threadedComment>
  <threadedComment ref="D123" personId="{7B03C851-1B72-4382-6A46-EB78AD160EC8}" id="{00A9009C-009E-4A64-B3F7-005A0059005B}" done="0">
    <text xml:space="preserve">25068/04 +240.187
</text>
  </threadedComment>
  <threadedComment ref="D128" personId="{7B03C851-1B72-4382-6A46-EB78AD160EC8}" id="{003400B1-00EB-42DD-84D2-000E00D20014}" done="0">
    <text xml:space="preserve">25031/03 +15.000
</text>
  </threadedComment>
  <threadedComment ref="D144" personId="{7B03C851-1B72-4382-6A46-EB78AD160EC8}" id="{00650031-00A3-4DFE-9BAC-00D40084008B}" done="0">
    <text xml:space="preserve">25074/04 -200.000
</text>
  </threadedComment>
  <threadedComment ref="D152" personId="{7B03C851-1B72-4382-6A46-EB78AD160EC8}" id="{005000A4-003A-40F5-956F-00F800E3002D}" done="0">
    <text xml:space="preserve">25061/04 -5000000
</text>
  </threadedComment>
  <threadedComment ref="D156" personId="{7B03C851-1B72-4382-6A46-EB78AD160EC8}" id="{00B000A0-0058-4D9C-877A-00BC00FE0093}" done="0">
    <text xml:space="preserve">25047/03 -500.000
</text>
  </threadedComment>
  <threadedComment ref="D160" personId="{7B03C851-1B72-4382-6A46-EB78AD160EC8}" id="{0025003C-006C-4D9A-B120-00BB00AF002A}" done="0">
    <text xml:space="preserve">25058/04 +5.889.660
</text>
  </threadedComment>
  <threadedComment ref="D161" personId="{7B03C851-1B72-4382-6A46-EB78AD160EC8}" id="{00E00053-009F-4AB3-AA4B-006D001000F0}" done="0">
    <text xml:space="preserve">25094/06 +5.424.450
</text>
  </threadedComment>
  <threadedComment ref="D164" personId="{7B03C851-1B72-4382-6A46-EB78AD160EC8}" id="{001A00C8-00F7-4586-BE93-0053004C0082}" done="0">
    <text xml:space="preserve">25093/06 +748.448
</text>
  </threadedComment>
  <threadedComment ref="D165" personId="{7B03C851-1B72-4382-6A46-EB78AD160EC8}" id="{00060042-00B2-46DC-A55C-0011008400F5}" done="0">
    <text xml:space="preserve">25093/06 +62.329
</text>
  </threadedComment>
  <threadedComment ref="D180" personId="{7B03C851-1B72-4382-6A46-EB78AD160EC8}" id="{005B0021-004A-426A-A2C5-000E00FE0061}" done="0">
    <text xml:space="preserve">25003/01 -432.200
</text>
  </threadedComment>
  <threadedComment ref="D188" personId="{7B03C851-1B72-4382-6A46-EB78AD160EC8}" id="{00AF00EE-009D-4B2D-AF2E-0049008E005A}" done="0">
    <text xml:space="preserve">25055/03
-+ 25.723 
</text>
  </threadedComment>
  <threadedComment ref="D190" personId="{7B03C851-1B72-4382-6A46-EB78AD160EC8}" id="{002E0089-00EF-4339-B9FE-0027004100E9}" done="0">
    <text xml:space="preserve">25072/04 +71.563,93
</text>
  </threadedComment>
  <threadedComment ref="D191" personId="{7B03C851-1B72-4382-6A46-EB78AD160EC8}" id="{00AE0055-0003-4B4D-A9EE-00C0009B0073}" done="0">
    <text xml:space="preserve">25051/04 úz 33092
+117.955,01 1431
+495.553,09  1435
</text>
  </threadedComment>
  <threadedComment ref="D192" personId="{7B03C851-1B72-4382-6A46-EB78AD160EC8}" id="{000900C6-00CA-47AE-BF71-00A900640001}" done="0">
    <text xml:space="preserve">25052/04 úz 33092
+138.438,27 1431
+581.607,57  1435
</text>
  </threadedComment>
  <threadedComment ref="D193" personId="{7B03C851-1B72-4382-6A46-EB78AD160EC8}" id="{00960036-0004-4BAD-8472-001600100059}" done="0">
    <text xml:space="preserve">25041/03 úz 33092
+108.476,76 1431
+455.733  1435
</text>
  </threadedComment>
  <threadedComment ref="D194" personId="{7B03C851-1B72-4382-6A46-EB78AD160EC8}" id="{00BF00AD-008F-424C-9506-0005005D0046}" done="0">
    <text xml:space="preserve">25048/03 úz33092
+ 280.004,26 1441
+1.176.355,23 1445
</text>
  </threadedComment>
  <threadedComment ref="D205" personId="{7B03C851-1B72-4382-6A46-EB78AD160EC8}" id="{00720025-0063-4371-AFAE-000E006E002A}" done="0">
    <text xml:space="preserve">25085/05 +110.000
</text>
  </threadedComment>
  <threadedComment ref="D206" personId="{7B03C851-1B72-4382-6A46-EB78AD160EC8}" id="{00F2007F-00A4-4799-9A69-00DD00CE00C7}" done="0">
    <text xml:space="preserve">25010/01 +4.737.000
</text>
  </threadedComment>
  <threadedComment ref="D208" personId="{7B03C851-1B72-4382-6A46-EB78AD160EC8}" id="{00E000F7-00AE-4D9A-9DF4-0078009500B4}" done="0">
    <text xml:space="preserve">25073/04 +140.000
</text>
  </threadedComment>
  <threadedComment ref="D209" personId="{7B03C851-1B72-4382-6A46-EB78AD160EC8}" id="{00B50016-000C-4B8B-9B99-005F00FC000B}" done="0">
    <text xml:space="preserve">25053/03 +239.800
</text>
  </threadedComment>
  <threadedComment ref="D210" personId="{7B03C851-1B72-4382-6A46-EB78AD160EC8}" id="{004F005D-0051-4388-8494-002C0024007A}" done="0">
    <text xml:space="preserve">25037/03
+ 12.834 úz 253 1441
+115.506 úz 911 1445
</text>
  </threadedComment>
  <threadedComment ref="D211" personId="{7B03C851-1B72-4382-6A46-EB78AD160EC8}" id="{009300AB-0044-4ADF-B01C-00C5003B0020}" done="0">
    <text xml:space="preserve">25038/03 
+ 9.850 úz 253 1441
+88.650 úz911 1445
</text>
  </threadedComment>
  <threadedComment ref="D212" personId="{7B03C851-1B72-4382-6A46-EB78AD160EC8}" id="{00DD0054-00EB-40D2-A105-00F4002300DA}" done="0">
    <text xml:space="preserve">25040/03
+ 17.098,20 úz253 1441
+153.883,80 úz911 1445
</text>
  </threadedComment>
  <threadedComment ref="D213" personId="{7B03C851-1B72-4382-6A46-EB78AD160EC8}" id="{003A0028-004B-41BF-88F9-003500B300E7}" done="0">
    <text xml:space="preserve">25046/03
 +9.159,75 úz253 1441
+82.437,75 úz911 1445
</text>
  </threadedComment>
  <threadedComment ref="D214" personId="{7B03C851-1B72-4382-6A46-EB78AD160EC8}" id="{00C60047-0083-4FA6-BF1A-002500550070}" done="0">
    <text xml:space="preserve">25039/03 
+ 11.663,45 úz 253 1441
+104.971,05 úz911 1445
</text>
  </threadedComment>
  <threadedComment ref="D215" personId="{7B03C851-1B72-4382-6A46-EB78AD160EC8}" id="{002B0030-002A-4451-B814-007F000D00BE}" done="0">
    <text xml:space="preserve">25061/04 +4.631.000
</text>
  </threadedComment>
  <threadedComment ref="D224" personId="{7B03C851-1B72-4382-6A46-EB78AD160EC8}" id="{00F600FD-00F3-4D0F-86ED-009F0024004E}" done="0">
    <text xml:space="preserve">25054/03 +1.571.026,45
</text>
  </threadedComment>
  <threadedComment ref="D225" personId="{7B03C851-1B72-4382-6A46-EB78AD160EC8}" id="{00EE00A0-0092-487E-8900-0069003200A6}" done="0">
    <text xml:space="preserve">25072/04 +1.022.341,89
</text>
  </threadedComment>
  <threadedComment ref="D228" personId="{7B03C851-1B72-4382-6A46-EB78AD160EC8}" id="{00060054-002D-4948-A1E3-00E600C500E7}" done="0">
    <text xml:space="preserve">25073/04 -140.000
</text>
  </threadedComment>
  <threadedComment ref="D235" personId="{7B03C851-1B72-4382-6A46-EB78AD160EC8}" id="{004C00B7-00D3-43FE-B2B0-00A300D3003A}" done="0">
    <text xml:space="preserve">25030/03 +21.520.868,17
</text>
  </threadedComment>
  <threadedComment ref="D251" personId="{7B03C851-1B72-4382-6A46-EB78AD160EC8}" id="{00F100FD-0069-4B4A-9992-006C005700F7}" done="0">
    <text xml:space="preserve">25519/02 +699.259
25564/05 +195.569,92
</text>
  </threadedComment>
  <threadedComment ref="D252" personId="{7B03C851-1B72-4382-6A46-EB78AD160EC8}" id="{00DF0008-00F7-4CF8-898F-00570066009C}" done="0">
    <text xml:space="preserve">25519/02 -699.259
25564/05 -195.569,92
</text>
  </threadedComment>
  <threadedComment ref="D261" personId="{7B03C851-1B72-4382-6A46-EB78AD160EC8}" id="{0056000B-00C1-461B-889E-006D00EE00BC}" done="0">
    <text xml:space="preserve">25506/01 +98.736
</text>
  </threadedComment>
  <threadedComment ref="D264" personId="{7B03C851-1B72-4382-6A46-EB78AD160EC8}" id="{007A00DE-0099-4E82-B448-00E200AF0094}" done="0">
    <text xml:space="preserve">25501/01 +18.732,10
</text>
  </threadedComment>
  <threadedComment ref="D265" personId="{7B03C851-1B72-4382-6A46-EB78AD160EC8}" id="{0050002C-007D-46B4-A1E8-0080004A00F0}" done="0">
    <text xml:space="preserve">25506/01 -98.736
</text>
  </threadedComment>
  <threadedComment ref="D266" personId="{7B03C851-1B72-4382-6A46-EB78AD160EC8}" id="{003600BC-0072-4F7A-8FD2-006A008300E4}" done="0">
    <text xml:space="preserve">25525/02 +370.000
</text>
  </threadedComment>
  <threadedComment ref="D267" personId="{7B03C851-1B72-4382-6A46-EB78AD160EC8}" id="{007E00D1-0047-44EA-8CBF-003B00290060}" done="0">
    <text xml:space="preserve">25501/01 -18.732,10
</text>
  </threadedComment>
  <threadedComment ref="D268" personId="{7B03C851-1B72-4382-6A46-EB78AD160EC8}" id="{003D00F2-00EF-494D-8B3D-001100B300F6}" done="0">
    <text xml:space="preserve">25525/02 -370.000
</text>
  </threadedComment>
  <threadedComment ref="D271" personId="{7B03C851-1B72-4382-6A46-EB78AD160EC8}" id="{00D4003E-00A4-4EF0-AF04-00780073003A}" done="0">
    <text xml:space="preserve">25513/01 +90.212,58
</text>
  </threadedComment>
  <threadedComment ref="D272" personId="{7B03C851-1B72-4382-6A46-EB78AD160EC8}" id="{007A00D8-006D-411A-B08D-00B100A80027}" done="0">
    <text xml:space="preserve">25505/01 +29.947,50
</text>
  </threadedComment>
  <threadedComment ref="D276" personId="{7B03C851-1B72-4382-6A46-EB78AD160EC8}" id="{005000FE-00C7-415A-8C32-00F500130096}" done="0">
    <text xml:space="preserve">25505/01 -29.947,50
25513/01 -90.212,58
</text>
  </threadedComment>
  <threadedComment ref="D279" personId="{7B03C851-1B72-4382-6A46-EB78AD160EC8}" id="{00390005-00BB-4CFF-8457-00C9000F007A}" done="0">
    <text xml:space="preserve">25538/03 +19.312,50
</text>
  </threadedComment>
  <threadedComment ref="D280" personId="{7B03C851-1B72-4382-6A46-EB78AD160EC8}" id="{004900F3-0065-4422-86F5-0027007D002E}" done="0">
    <text xml:space="preserve">25020/02 +250.000
</text>
  </threadedComment>
  <threadedComment ref="D282" personId="{7B03C851-1B72-4382-6A46-EB78AD160EC8}" id="{00A700A1-00C3-4211-A4A1-00EB00A4000D}" done="0">
    <text xml:space="preserve">25538/03 -19.312,50
</text>
  </threadedComment>
  <threadedComment ref="D286" personId="{7B03C851-1B72-4382-6A46-EB78AD160EC8}" id="{00D80081-0026-485D-A8E1-0027009600D6}" done="0">
    <text xml:space="preserve">25081/05 +3.375.008,64
</text>
  </threadedComment>
  <threadedComment ref="D306" personId="{7B03C851-1B72-4382-6A46-EB78AD160EC8}" id="{0034006D-00A4-4D06-9A6D-009F004A0035}" done="0">
    <text xml:space="preserve">25562/05 +199.650
</text>
  </threadedComment>
  <threadedComment ref="D307" personId="{7B03C851-1B72-4382-6A46-EB78AD160EC8}" id="{0006008D-0047-42F9-A4A8-005300940022}" done="0">
    <text xml:space="preserve">25557/05 -96.485,40
25562/05 -199.650
</text>
  </threadedComment>
  <threadedComment ref="D320" personId="{7B03C851-1B72-4382-6A46-EB78AD160EC8}" id="{001200A4-00CE-403B-9755-002D007800EB}" done="0">
    <text xml:space="preserve">25068/04 +226.282
</text>
  </threadedComment>
  <threadedComment ref="D324" personId="{7B03C851-1B72-4382-6A46-EB78AD160EC8}" id="{0027009A-00C4-4FF2-808D-004300CC0065}" done="0">
    <text xml:space="preserve">25563/05 
-775.379,13  5171
+775.379,13 5139
</text>
  </threadedComment>
  <threadedComment ref="D328" personId="{7B03C851-1B72-4382-6A46-EB78AD160EC8}" id="{00000049-00C9-4CDE-B477-005C003A000F}" done="0">
    <text xml:space="preserve">25532/03 +40.838
</text>
  </threadedComment>
  <threadedComment ref="D330" personId="{7B03C851-1B72-4382-6A46-EB78AD160EC8}" id="{00CF005E-00D2-48E4-AB66-0044009D005E}" done="0">
    <text xml:space="preserve">25532/03 -40.838
</text>
  </threadedComment>
  <threadedComment ref="D332" personId="{7B03C851-1B72-4382-6A46-EB78AD160EC8}" id="{00BF0098-0071-465A-8495-00CC008B004A}" done="0">
    <text xml:space="preserve">25025/02 +104.517
</text>
  </threadedComment>
  <threadedComment ref="D348" personId="{7B03C851-1B72-4382-6A46-EB78AD160EC8}" id="{00AE0056-001C-4B9F-BC14-008100DB003D}" done="0">
    <text xml:space="preserve">25504/01 -300.000
25509/01 -80.000
25511/01 -20.000
</text>
  </threadedComment>
  <threadedComment ref="D350" personId="{7B03C851-1B72-4382-6A46-EB78AD160EC8}" id="{00DA0035-000D-467C-A2B1-00C300B20056}" done="0">
    <text xml:space="preserve">25541/04 +450.000
</text>
  </threadedComment>
  <threadedComment ref="D351" personId="{7B03C851-1B72-4382-6A46-EB78AD160EC8}" id="{0096005D-008F-494B-A235-0031007900AA}" done="0">
    <text xml:space="preserve">25541/04 -450.000
</text>
  </threadedComment>
  <threadedComment ref="D352" personId="{7B03C851-1B72-4382-6A46-EB78AD160EC8}" id="{00D80034-00B4-449B-853E-001C002A001B}" done="0">
    <text xml:space="preserve">25504/01 +300.000
25555/05 -29.900
</text>
  </threadedComment>
  <threadedComment ref="D353" personId="{7B03C851-1B72-4382-6A46-EB78AD160EC8}" id="{002700DD-005D-42D1-B466-000700B5008F}" done="0">
    <text xml:space="preserve">25509/01 +80.000
25511/01 +20.000
25555/05 +29.900
</text>
  </threadedComment>
  <threadedComment ref="D357" personId="{7B03C851-1B72-4382-6A46-EB78AD160EC8}" id="{00570066-0091-48AD-B7D3-005C00A00010}" done="0">
    <text xml:space="preserve">25022/02 -210.000
</text>
  </threadedComment>
  <threadedComment ref="D369" personId="{7B03C851-1B72-4382-6A46-EB78AD160EC8}" id="{004200EC-0043-4C27-9900-00E50097000A}" done="0">
    <text xml:space="preserve">25542/04 -80.000
25550/05 -35.000
</text>
  </threadedComment>
  <threadedComment ref="D38" personId="{7B03C851-1B72-4382-6A46-EB78AD160EC8}" id="{004B00E0-00EB-4FBC-BAA6-00B70008006D}" done="0">
    <text xml:space="preserve">25057/04 +25.564.110
</text>
  </threadedComment>
  <threadedComment ref="D371" personId="{7B03C851-1B72-4382-6A46-EB78AD160EC8}" id="{00540099-0056-4644-9397-007900E700A0}" done="0">
    <text xml:space="preserve">25550/05 +35.000
</text>
  </threadedComment>
  <threadedComment ref="D372" personId="{7B03C851-1B72-4382-6A46-EB78AD160EC8}" id="{009100FC-0046-4886-AF6A-00E000F500F7}" done="0">
    <text xml:space="preserve">25067/04 +3.000.000
</text>
  </threadedComment>
  <threadedComment ref="D375" personId="{7B03C851-1B72-4382-6A46-EB78AD160EC8}" id="{00910047-00D3-4D24-8FE3-00E700E100DE}" done="0">
    <text xml:space="preserve">25542/04 +80.000
</text>
  </threadedComment>
  <threadedComment ref="D377" personId="{7B03C851-1B72-4382-6A46-EB78AD160EC8}" id="{008900E2-0079-43E9-9763-009900FE00DB}" done="0">
    <text xml:space="preserve">25503/01 -90.000
</text>
  </threadedComment>
  <threadedComment ref="D378" personId="{7B03C851-1B72-4382-6A46-EB78AD160EC8}" id="{00A900F9-0095-48B2-ABD4-00FB005B0060}" done="0">
    <text xml:space="preserve">25507/01 -32.000
25508/01 - 104.000
25527/02 -17.000
</text>
  </threadedComment>
  <threadedComment ref="D379" personId="{7B03C851-1B72-4382-6A46-EB78AD160EC8}" id="{00FE00A2-0049-4320-80A1-004D00DA008A}" done="0">
    <text xml:space="preserve">255508/01 +104.000
</text>
  </threadedComment>
  <threadedComment ref="D380" personId="{7B03C851-1B72-4382-6A46-EB78AD160EC8}" id="{003700E1-004A-435C-8161-00030089002B}" done="0">
    <text xml:space="preserve">25503/01 +90.000
</text>
  </threadedComment>
  <threadedComment ref="D383" personId="{7B03C851-1B72-4382-6A46-EB78AD160EC8}" id="{005400BB-00B0-45F4-B3F3-00CE007A0048}" done="0">
    <text xml:space="preserve">25527/02 +17.000
</text>
  </threadedComment>
  <threadedComment ref="D387" personId="{7B03C851-1B72-4382-6A46-EB78AD160EC8}" id="{00D60066-00F3-464B-BDD9-00F900B6000B}" done="0">
    <text xml:space="preserve">25526/02 -32.000
25552/05 -21.000
</text>
  </threadedComment>
  <threadedComment ref="D389" personId="{7B03C851-1B72-4382-6A46-EB78AD160EC8}" id="{002800EC-0089-4FFD-A184-00E700B400CD}" done="0">
    <text xml:space="preserve">25526/02 +32.000
25552/05 +21.000
</text>
  </threadedComment>
  <threadedComment ref="D390" personId="{7B03C851-1B72-4382-6A46-EB78AD160EC8}" id="{008200A5-0059-433A-A072-007800EF0012}" done="0">
    <text xml:space="preserve">25001/01 +685.000
</text>
  </threadedComment>
  <threadedComment ref="D391" personId="{7B03C851-1B72-4382-6A46-EB78AD160EC8}" id="{002E001C-006F-4523-9C7E-00B4007300D3}" done="0">
    <text xml:space="preserve">25001/01 +472.200
25507/01 +32.000
</text>
  </threadedComment>
  <threadedComment ref="D393" personId="{7B03C851-1B72-4382-6A46-EB78AD160EC8}" id="{00D50047-0052-4608-BF9A-00EC00150025}" done="0">
    <text xml:space="preserve">25001/01 +2.021.300
</text>
  </threadedComment>
  <threadedComment ref="D395" personId="{7B03C851-1B72-4382-6A46-EB78AD160EC8}" id="{00C9002C-00AF-4BB7-9C2C-00C3002E0006}" done="0">
    <text xml:space="preserve">25095/06 -1.000.000
</text>
  </threadedComment>
  <threadedComment ref="D396" personId="{7B03C851-1B72-4382-6A46-EB78AD160EC8}" id="{00D1005B-00DC-4DFD-BE21-003700A4009E}" done="0">
    <text xml:space="preserve">25573/06 +437.000
</text>
  </threadedComment>
  <threadedComment ref="D401" personId="{7B03C851-1B72-4382-6A46-EB78AD160EC8}" id="{00A300A0-00B4-4A7E-A805-0098000F004F}" done="0">
    <text xml:space="preserve">25059/04 +400.000
</text>
  </threadedComment>
  <threadedComment ref="D403" personId="{7B03C851-1B72-4382-6A46-EB78AD160EC8}" id="{00E500A8-005B-49DF-A2CE-0014008C00CA}" done="0">
    <text xml:space="preserve">25573/06 -437.000
</text>
  </threadedComment>
  <threadedComment ref="D408" personId="{7B03C851-1B72-4382-6A46-EB78AD160EC8}" id="{00B80009-0016-4E1A-BF54-00E9006B0089}" done="0">
    <text xml:space="preserve">25022/02 +210.000
</text>
  </threadedComment>
  <threadedComment ref="D409" personId="{7B03C851-1B72-4382-6A46-EB78AD160EC8}" id="{006B0089-00EC-481C-87AE-0091004000BA}" done="0">
    <text xml:space="preserve">25020/02 -250.000
</text>
  </threadedComment>
  <threadedComment ref="D42" personId="{7B03C851-1B72-4382-6A46-EB78AD160EC8}" id="{00A0001C-007E-45D6-B7F1-00DD002100FB}" done="0">
    <text xml:space="preserve">25031/03 +32.200
</text>
  </threadedComment>
  <threadedComment ref="D414" personId="{7B03C851-1B72-4382-6A46-EB78AD160EC8}" id="{001600CF-001A-408C-9B9A-00720031000A}" done="0">
    <text xml:space="preserve">25544/04 -25.000
25566/06 -9.000
</text>
  </threadedComment>
  <threadedComment ref="D416" personId="{7B03C851-1B72-4382-6A46-EB78AD160EC8}" id="{00890058-0060-4CCE-8B36-005600B80085}" done="0">
    <text xml:space="preserve">25566/06 -18.000
</text>
  </threadedComment>
  <threadedComment ref="D418" personId="{7B03C851-1B72-4382-6A46-EB78AD160EC8}" id="{00D00028-00CA-40D5-9BCF-004100E900A0}" done="0">
    <text xml:space="preserve">25544/04 +25.000
</text>
  </threadedComment>
  <threadedComment ref="D419" personId="{7B03C851-1B72-4382-6A46-EB78AD160EC8}" id="{008E0061-0065-4C84-A5AB-0049000600EB}" done="0">
    <text xml:space="preserve">25566/06 +27.000
</text>
  </threadedComment>
  <threadedComment ref="D422" personId="{7B03C851-1B72-4382-6A46-EB78AD160EC8}" id="{00740039-0047-44EE-9ADA-007800D40096}" done="0">
    <text xml:space="preserve">25044/03 +14.800.000
</text>
  </threadedComment>
  <threadedComment ref="D423" personId="{7B03C851-1B72-4382-6A46-EB78AD160EC8}" id="{00900057-006B-45EF-915B-0013008F00FF}" done="0">
    <text xml:space="preserve">25533/03 +10.000
</text>
  </threadedComment>
  <threadedComment ref="D424" personId="{7B03C851-1B72-4382-6A46-EB78AD160EC8}" id="{004D00F9-0075-4B62-B3C7-004D00980054}" done="0">
    <text xml:space="preserve">25572/06 
-55.000  5171
+75.000 5169
</text>
  </threadedComment>
  <threadedComment ref="D426" personId="{7B03C851-1B72-4382-6A46-EB78AD160EC8}" id="{003E008E-0070-4DA8-957D-000F0042007B}" done="0">
    <text xml:space="preserve">25533/03 -10.000
25095/06 
-1.443.000 5171
-   254.000 5169
</text>
  </threadedComment>
  <threadedComment ref="D428" personId="{7B03C851-1B72-4382-6A46-EB78AD160EC8}" id="{004C00A7-009A-4D4D-A9D6-006100060044}" done="0">
    <text xml:space="preserve">25006/01 -3.150
</text>
  </threadedComment>
  <threadedComment ref="D430" personId="{7B03C851-1B72-4382-6A46-EB78AD160EC8}" id="{007A00A9-0071-4026-B93D-001A00BA002A}" done="0">
    <text xml:space="preserve">25572/06 -20.000
</text>
  </threadedComment>
  <threadedComment ref="D433" personId="{7B03C851-1B72-4382-6A46-EB78AD160EC8}" id="{00E700B9-009D-446C-8D28-00A400F60009}" done="0">
    <text xml:space="preserve">25006/01 +3.150
</text>
  </threadedComment>
  <threadedComment ref="D443" personId="{7B03C851-1B72-4382-6A46-EB78AD160EC8}" id="{007D00C6-0075-4638-9332-00E700C800E0}" done="0">
    <text xml:space="preserve">25007/01 -50.000
</text>
  </threadedComment>
  <threadedComment ref="D445" personId="{7B03C851-1B72-4382-6A46-EB78AD160EC8}" id="{00EC0014-0057-4CC2-BA79-00B00028007B}" done="0">
    <text xml:space="preserve">25007/01 +50.000
</text>
  </threadedComment>
  <threadedComment ref="D448" personId="{7B03C851-1B72-4382-6A46-EB78AD160EC8}" id="{00AA00B2-00AF-4BA0-B933-0006002F0011}" done="0">
    <text xml:space="preserve">25095/06 -2.800.000
</text>
  </threadedComment>
  <threadedComment ref="D458" personId="{7B03C851-1B72-4382-6A46-EB78AD160EC8}" id="{00D300F9-00CE-45F3-A189-0015005600A6}" done="0">
    <text xml:space="preserve">25512/01 +-281.500
z 6121 na 5137
25045/03 +6.020.000
25064/04 +500.000
</text>
  </threadedComment>
  <threadedComment ref="D460" personId="{7B03C851-1B72-4382-6A46-EB78AD160EC8}" id="{00D0004C-0022-4155-B398-005B00E00096}" done="0">
    <text xml:space="preserve">25060/04 +3.050.000
</text>
  </threadedComment>
  <threadedComment ref="D469" personId="{7B03C851-1B72-4382-6A46-EB78AD160EC8}" id="{006400F9-00AD-4553-AC38-009800FC004A}" done="0">
    <text xml:space="preserve">25021/02 +20.000
</text>
  </threadedComment>
  <threadedComment ref="D472" personId="{7B03C851-1B72-4382-6A46-EB78AD160EC8}" id="{00540026-004E-4CAE-A03C-009C00FF00DC}" done="0">
    <text xml:space="preserve">25518/02 změna org z 3730 
-300.080 na:
+ 75.020 3537 Dlouhá, Bud
+ 75.020 3538 Dlouhá u garáží
+ 75.020 3539 Sportovní
+ 75.020 3540 u Máje
25559/05 změna org 
-2.400.000 z 3730
+2.400.000 na 3538 Dlouhá u gar
25097/06 
+1.750.000 3540 Vančurova 38
+  300.000  3541 III.et
25571/06
- 500.000  3730 II.et
+500.000  3540 Vančurova 38 
</text>
  </threadedComment>
  <threadedComment ref="D475" personId="{7B03C851-1B72-4382-6A46-EB78AD160EC8}" id="{00A1006B-0060-4F0A-B285-0066003C00A4}" done="0">
    <text xml:space="preserve">25064/04 -500.000
25065/04 -500.000
25543/04 -450.000
25078/05 -25.000.000
25079/05 -630.000
</text>
  </threadedComment>
  <threadedComment ref="D476" personId="{7B03C851-1B72-4382-6A46-EB78AD160EC8}" id="{00320066-00BC-42E8-842B-007000C60040}" done="0">
    <text xml:space="preserve">25543/04 +450.000
</text>
  </threadedComment>
  <threadedComment ref="D480" personId="{7B03C851-1B72-4382-6A46-EB78AD160EC8}" id="{0088006F-0038-43AC-8F2F-003F00FF00B8}" done="0">
    <text xml:space="preserve">25539/03 +10.000
25095/06 -503.000
</text>
  </threadedComment>
  <threadedComment ref="D481" personId="{7B03C851-1B72-4382-6A46-EB78AD160EC8}" id="{00FD003A-002B-4A59-95AC-0004000B0037}" done="0">
    <text xml:space="preserve">25021/02 -20.000
25096/06 -550.000
25097/06 -2.050.000
</text>
  </threadedComment>
  <threadedComment ref="D484" personId="{7B03C851-1B72-4382-6A46-EB78AD160EC8}" id="{00410012-0000-4100-AB32-009500A00067}" done="0">
    <text xml:space="preserve">25079/05 +460.000
</text>
  </threadedComment>
  <threadedComment ref="D485" personId="{7B03C851-1B72-4382-6A46-EB78AD160EC8}" id="{00F600E1-003D-423E-AE2F-00D7008200C6}" done="0">
    <text xml:space="preserve">25520/02 -290.000
25043/03 -5.450.000
25539/03 -10.000
</text>
  </threadedComment>
  <threadedComment ref="D486" personId="{7B03C851-1B72-4382-6A46-EB78AD160EC8}" id="{008F0070-0071-4B58-B309-00010020003C}" done="0">
    <text xml:space="preserve">25060/04 -400.000
</text>
  </threadedComment>
  <threadedComment ref="D490" personId="{7B03C851-1B72-4382-6A46-EB78AD160EC8}" id="{000700D3-00AF-40A0-ABC4-00750075007C}" done="0">
    <text xml:space="preserve">25520/02 +290.000
</text>
  </threadedComment>
  <threadedComment ref="D491" personId="{7B03C851-1B72-4382-6A46-EB78AD160EC8}" id="{002F0091-008B-4768-86E4-00780068004F}" done="0">
    <text xml:space="preserve">25060/04 -500.000
</text>
  </threadedComment>
  <threadedComment ref="D492" personId="{7B03C851-1B72-4382-6A46-EB78AD160EC8}" id="{00E20042-00BF-4DA5-8351-00DE0068000D}" done="0">
    <text xml:space="preserve">25060/04 -800.000
</text>
  </threadedComment>
  <threadedComment ref="D495" personId="{7B03C851-1B72-4382-6A46-EB78AD160EC8}" id="{003100C8-003B-40B5-BBD3-00CA004400E0}" done="0">
    <text xml:space="preserve">25095/06 +6.000.000
</text>
  </threadedComment>
  <threadedComment ref="D496" personId="{7B03C851-1B72-4382-6A46-EB78AD160EC8}" id="{003B0057-00DB-48EC-B146-0007003D00B0}" done="0">
    <text xml:space="preserve">25520/02 -290.000
25043/03 -5.450.000
</text>
  </threadedComment>
  <threadedComment ref="D497" personId="{7B03C851-1B72-4382-6A46-EB78AD160EC8}" id="{006800DB-001C-4A5A-B88E-008B00CF0043}" done="0">
    <text xml:space="preserve">25529/03 
z 5xxx na 6121
25066/04 +2.000000
25096/06 +550.000
</text>
  </threadedComment>
  <threadedComment ref="D498" personId="{7B03C851-1B72-4382-6A46-EB78AD160EC8}" id="{0058000C-00F6-4778-8C57-00B400B90084}" done="0">
    <text xml:space="preserve">25079/05 +170.000
</text>
  </threadedComment>
  <threadedComment ref="D501" personId="{7B03C851-1B72-4382-6A46-EB78AD160EC8}" id="{00C10021-0059-4F11-B1DC-009100D6003A}" done="0">
    <text xml:space="preserve">25514/02 -oprava org z 3757 na 0518
</text>
  </threadedComment>
  <threadedComment ref="D507" personId="{7B03C851-1B72-4382-6A46-EB78AD160EC8}" id="{004700BD-0068-4A03-8BAF-001100280096}" done="0">
    <text xml:space="preserve">25065/04 +500.000
</text>
  </threadedComment>
  <threadedComment ref="D509" personId="{7B03C851-1B72-4382-6A46-EB78AD160EC8}" id="{00EA00FA-00CE-4065-960C-00F300490038}" done="0">
    <text xml:space="preserve">25522/02 změna pol
49.659,91 z 6121 na 5191
</text>
  </threadedComment>
  <threadedComment ref="D514" personId="{7B03C851-1B72-4382-6A46-EB78AD160EC8}" id="{00DF0058-0020-47A5-B5BD-001400AE0087}" done="0">
    <text xml:space="preserve">25570/06 +363.000
</text>
  </threadedComment>
  <threadedComment ref="D515" personId="{7B03C851-1B72-4382-6A46-EB78AD160EC8}" id="{00D800C9-00F0-4742-AB38-00CF00E900F6}" done="0">
    <text xml:space="preserve">25570/06 +121.000
</text>
  </threadedComment>
  <threadedComment ref="D516" personId="{7B03C851-1B72-4382-6A46-EB78AD160EC8}" id="{007B0063-0017-4A43-9FC2-005A00DB0018}" done="0">
    <text xml:space="preserve">25059/04 +1.300.000
</text>
  </threadedComment>
  <threadedComment ref="D517" personId="{7B03C851-1B72-4382-6A46-EB78AD160EC8}" id="{00AB00B0-0008-4424-AC13-000E00560060}" done="0">
    <text xml:space="preserve">25008/01 -3.000.000
25080/05 +3.000.000
25570/06 -321.000
</text>
  </threadedComment>
  <threadedComment ref="D518" personId="{7B03C851-1B72-4382-6A46-EB78AD160EC8}" id="{00DA003B-0002-41E4-8F93-00AA00C400B7}" done="0">
    <text xml:space="preserve">25570/06 -163.000
</text>
  </threadedComment>
  <threadedComment ref="D537" personId="{7B03C851-1B72-4382-6A46-EB78AD160EC8}" id="{00130005-00AC-4BFA-A764-00E2000A00EB}" done="0">
    <text xml:space="preserve">25073/04 +300.000 úz 695
25074/04 +70.000 úz 675
</text>
  </threadedComment>
  <threadedComment ref="D555" personId="{7B03C851-1B72-4382-6A46-EB78AD160EC8}" id="{00D70046-0092-4D77-9CBC-002F005F0087}" done="0">
    <text xml:space="preserve">25047/03 DOPLNĚNÍ ÚZ
</text>
  </threadedComment>
  <threadedComment ref="D564" personId="{7B03C851-1B72-4382-6A46-EB78AD160EC8}" id="{001300B7-004D-485C-9A06-009D005400E8}" done="0">
    <text xml:space="preserve">25035/03 -10.990
25051/04 úz 33092
+117.955,01 1431
+495.553,09 1435
</text>
  </threadedComment>
  <threadedComment ref="D568" personId="{7B03C851-1B72-4382-6A46-EB78AD160EC8}" id="{004F00D0-00AB-4E64-8F35-006F00610011}" done="0">
    <text xml:space="preserve">25052/03 úz 33092
+138.438,27  1431
+581.607,57  1435
</text>
  </threadedComment>
  <threadedComment ref="D572" personId="{7B03C851-1B72-4382-6A46-EB78AD160EC8}" id="{00E500C3-0082-425E-A043-007D00B200B5}" done="0">
    <text xml:space="preserve">25037/03 
+ 12.834 úz253 1441
+115.506 úz911 1445
25041/03 úz 33092
+108.476,76 1431
+455.733     1435
</text>
  </threadedComment>
  <threadedComment ref="D581" personId="{7B03C851-1B72-4382-6A46-EB78AD160EC8}" id="{006C0030-00F6-4A84-8D28-00B000F200E2}" done="0">
    <text xml:space="preserve">25038/03
+ 9.850 úz253 1441
+88.650 úz911 1445
</text>
  </threadedComment>
  <threadedComment ref="D585" personId="{7B03C851-1B72-4382-6A46-EB78AD160EC8}" id="{002D00BA-002F-431B-A6D5-007800CE004A}" done="0">
    <text xml:space="preserve">25036/03 -297.792
25040/03 
+ 17.098,20 úz253 1441
+153.883,80 úz911 1445
</text>
  </threadedComment>
  <threadedComment ref="D589" personId="{7B03C851-1B72-4382-6A46-EB78AD160EC8}" id="{008A0044-00F2-43D4-A622-002200290090}" done="0">
    <text xml:space="preserve">25046/03
+ 9.159,75 úz253 1441
+82.437,75 úz911 1445
</text>
  </threadedComment>
  <threadedComment ref="D593" personId="{7B03C851-1B72-4382-6A46-EB78AD160EC8}" id="{002500E9-00FD-4343-8E43-003A00C100A5}" done="0">
    <text xml:space="preserve">25039/03
+ 11.663,45 úz 253 1441
+104.971,05 úz911 1445
25048/03 úz33092
+ 280.004,26 1431
+1.176.355,23 1435
</text>
  </threadedComment>
  <threadedComment ref="D598" personId="{7B03C851-1B72-4382-6A46-EB78AD160EC8}" id="{00D900DF-00AF-478F-970C-007E009900EF}" done="0">
    <text xml:space="preserve">25053/03 úz 833
+239.800
25084/05 +300.000
25100/06 -300.000
</text>
  </threadedComment>
  <threadedComment ref="D605" personId="{7B03C851-1B72-4382-6A46-EB78AD160EC8}" id="{001600C5-0039-4A86-80AB-007F0057007D}" done="0">
    <text xml:space="preserve">25069/04 -85.015
</text>
  </threadedComment>
  <threadedComment ref="D623" personId="{7B03C851-1B72-4382-6A46-EB78AD160EC8}" id="{007F00C1-004F-44DA-94B2-000B00E80063}" done="0">
    <text xml:space="preserve">25010/01 +4.737.000
25029/02 +400.000 NJKL
25070/04 -472.380
25083/05 +370.000
25085/05 +110.000 úz 341
</text>
  </threadedComment>
  <threadedComment ref="D639" personId="{7B03C851-1B72-4382-6A46-EB78AD160EC8}" id="{00E70079-006C-49F8-83CD-008300FB0010}" done="0">
    <text xml:space="preserve">25075/04 -30.000 R
25076/04 -70.000 R
25086/05 -40.000 R
25087/05 -30.000 R
</text>
  </threadedComment>
  <threadedComment ref="D644" personId="{7B03C851-1B72-4382-6A46-EB78AD160EC8}" id="{0023006D-0039-4FA6-851E-005A00F70005}" done="0">
    <text xml:space="preserve">25005/01 +595.004,14
25011/01 +7.500
25012/01 +15.000
25013/01 +30.000
25014/01 +30.000
25015/01 +7.500
25016/01 +80.000
25034/03 +60.000
25075/04 +30.000
25076/04 +70.000
25086/05 +40.000
25087/05 +30.000
25088/05 +30.000
25089/05 +10.000
25090/05 +10.000
</text>
  </threadedComment>
  <threadedComment ref="D648" personId="{7B03C851-1B72-4382-6A46-EB78AD160EC8}" id="{0089002D-0081-4126-A6AD-00BC00EC0090}" done="0">
    <text xml:space="preserve">25092/06 +1.169.144,35
</text>
  </threadedComment>
  <threadedComment ref="D655" personId="{7B03C851-1B72-4382-6A46-EB78AD160EC8}" id="{009700C3-0082-4D87-97E2-00C000380069}" done="0">
    <text xml:space="preserve">25019/02 +440.000
</text>
  </threadedComment>
  <threadedComment ref="D659" personId="{7B03C851-1B72-4382-6A46-EB78AD160EC8}" id="{00B7005D-0063-4CB2-9313-00EA0046007D}" done="0">
    <text xml:space="preserve">25060/04 -1.350.000
</text>
  </threadedComment>
  <threadedComment ref="D664" personId="{7B03C851-1B72-4382-6A46-EB78AD160EC8}" id="{00820025-00B8-4CF1-99FD-004B00B8005B}" done="0">
    <text xml:space="preserve">25092/06 +97.090,40
</text>
  </threadedComment>
  <threadedComment ref="D676" personId="{7B03C851-1B72-4382-6A46-EB78AD160EC8}" id="{00CC0054-00C5-4362-95A8-009800E100A5}" done="0">
    <text xml:space="preserve">25068/04 +13.905
</text>
  </threadedComment>
  <threadedComment ref="D69" personId="{7B03C851-1B72-4382-6A46-EB78AD160EC8}" id="{0014001B-00D3-4A96-9E54-0010001400FD}" done="0">
    <text xml:space="preserve">25089/05 +10.000
</text>
  </threadedComment>
  <threadedComment ref="D707" personId="{7B03C851-1B72-4382-6A46-EB78AD160EC8}" id="{00C40084-00E7-4B69-A7EE-008A0006001A}" done="0">
    <text xml:space="preserve">25018/02 +214.000
25062/04 +23.725
25063/04 +4.745
25082/05 +40.000
25091/06 +10.000
</text>
  </threadedComment>
  <threadedComment ref="D712" personId="{7B03C851-1B72-4382-6A46-EB78AD160EC8}" id="{002D0013-00EB-4188-8EC4-00C600CF009F}" done="0">
    <text xml:space="preserve">25061/04 +2.980.000
</text>
  </threadedComment>
  <threadedComment ref="D713" personId="{7B03C851-1B72-4382-6A46-EB78AD160EC8}" id="{006E00FA-004C-4471-8F1B-00F800AB00CC}" done="0">
    <text xml:space="preserve">25061/04 +586.000
</text>
  </threadedComment>
  <threadedComment ref="D714" personId="{7B03C851-1B72-4382-6A46-EB78AD160EC8}" id="{00F8000B-000E-48DE-82CD-00F3000A0060}" done="0">
    <text xml:space="preserve">25061/04 +1.065.000
</text>
  </threadedComment>
  <threadedComment ref="D738" personId="{7B03C851-1B72-4382-6A46-EB78AD160EC8}" id="{001C0042-0048-427C-9795-00C400950014}" done="0">
    <text xml:space="preserve">25056/04 +27.427,50
</text>
  </threadedComment>
  <threadedComment ref="D741" personId="{7B03C851-1B72-4382-6A46-EB78AD160EC8}" id="{00BF00CD-00C0-44F3-9053-00AD00080018}" done="0">
    <text xml:space="preserve">25098/06 +500.000
</text>
  </threadedComment>
  <threadedComment ref="D745" personId="{7B03C851-1B72-4382-6A46-EB78AD160EC8}" id="{0071004B-00E8-4F11-B9E0-00EE00C5006B}" done="0">
    <text xml:space="preserve">25521.02 +302.065,30
</text>
  </threadedComment>
  <threadedComment ref="D746" personId="{7B03C851-1B72-4382-6A46-EB78AD160EC8}" id="{006100C9-0073-4B4C-99CD-0068003E00F3}" done="0">
    <text xml:space="preserve">25554/05 +798.600
</text>
  </threadedComment>
  <threadedComment ref="D747" personId="{7B03C851-1B72-4382-6A46-EB78AD160EC8}" id="{00EE00A1-0021-41D6-833A-00DF008D0008}" done="0">
    <text xml:space="preserve">25554/05 +50.000
</text>
  </threadedComment>
  <threadedComment ref="D750" personId="{7B03C851-1B72-4382-6A46-EB78AD160EC8}" id="{007900DD-005B-460E-9B33-008E004E002A}" done="0">
    <text xml:space="preserve">25554/05 -50.000
</text>
  </threadedComment>
  <threadedComment ref="D752" personId="{7B03C851-1B72-4382-6A46-EB78AD160EC8}" id="{00A600A2-00A1-43B3-BC8C-005600CB0020}" done="0">
    <text xml:space="preserve">25521/02 -312.434,90
25554/05 -847.352
</text>
  </threadedComment>
  <threadedComment ref="D753" personId="{7B03C851-1B72-4382-6A46-EB78AD160EC8}" id="{0087008C-0040-4C7E-8091-0077000B00DF}" done="0">
    <text xml:space="preserve">25521/02 +10.369,60
25554/05 +48.752
</text>
  </threadedComment>
  <threadedComment ref="D758" personId="{7B03C851-1B72-4382-6A46-EB78AD160EC8}" id="{00B70092-00AD-4B8D-9F7D-000C006B00CE}" done="0">
    <text xml:space="preserve">25521/02 -1.756
</text>
  </threadedComment>
  <threadedComment ref="D759" personId="{7B03C851-1B72-4382-6A46-EB78AD160EC8}" id="{009B0082-00B1-417B-B153-00D4002000FB}" done="0">
    <text xml:space="preserve">25521/02 +1.756
</text>
  </threadedComment>
  <threadedComment ref="D78" personId="{7B03C851-1B72-4382-6A46-EB78AD160EC8}" id="{005800D6-006E-4879-9CBC-00CC00D8007C}" done="0">
    <text xml:space="preserve">25002/01 +99.036 (321)
25009/01 +145.092 (322)
25035/03 -10.990 (305)
25071/04 
+545.328,75 (321)
+160.990 (325)
25077/05 +54.671,25 (321)
</text>
  </threadedComment>
  <threadedComment ref="D773" personId="{7B03C851-1B72-4382-6A46-EB78AD160EC8}" id="{005C007F-0010-4F8E-A81A-0084004E0079}" done="0">
    <text xml:space="preserve">25098/06 +2.000.000
</text>
  </threadedComment>
  <threadedComment ref="D789" personId="{7B03C851-1B72-4382-6A46-EB78AD160EC8}" id="{003300C0-0092-4F38-BE8C-0000008B007C}" done="0">
    <text xml:space="preserve">25023/02 +800.000
</text>
  </threadedComment>
  <threadedComment ref="D799" personId="{7B03C851-1B72-4382-6A46-EB78AD160EC8}" id="{00C200C8-00BE-4846-B58C-003C009400B2}" done="0">
    <text xml:space="preserve">25510/01 -50.000
</text>
  </threadedComment>
  <threadedComment ref="D801" personId="{7B03C851-1B72-4382-6A46-EB78AD160EC8}" id="{007C0069-00C9-4503-98A7-00F200940097}" done="0">
    <text xml:space="preserve">25510/01 +50.000
</text>
  </threadedComment>
  <threadedComment ref="D810" personId="{7B03C851-1B72-4382-6A46-EB78AD160EC8}" id="{00790002-00F3-4CFD-8F04-007400ED0017}" done="0">
    <text xml:space="preserve">25510/01 -30.000
25535/03 -20.000
25098/06 +1.000.000
</text>
  </threadedComment>
  <threadedComment ref="D815" personId="{7B03C851-1B72-4382-6A46-EB78AD160EC8}" id="{004700E9-0042-4E95-B963-00820002007E}" done="0">
    <text xml:space="preserve">25510/01 +30.000
25535/03 +20.000
</text>
  </threadedComment>
  <threadedComment ref="D825" personId="{7B03C851-1B72-4382-6A46-EB78AD160EC8}" id="{007B00DF-003D-42E4-8A35-0075002500D7}" done="0">
    <text xml:space="preserve">25098/06 +1.000.000
</text>
  </threadedComment>
  <threadedComment ref="D830" personId="{7B03C851-1B72-4382-6A46-EB78AD160EC8}" id="{00B20051-00F4-439B-819E-008B00D200D2}" done="0">
    <text xml:space="preserve">25023/02 -800.000
</text>
  </threadedComment>
  <threadedComment ref="D851" personId="{7B03C851-1B72-4382-6A46-EB78AD160EC8}" id="{00380058-0059-4EB9-A342-005700C600E1}" done="0">
    <text xml:space="preserve">25024/02 
+76.214,38 Máj
+111.686,75 Sady
</text>
  </threadedComment>
  <threadedComment ref="D852" personId="{7B03C851-1B72-4382-6A46-EB78AD160EC8}" id="{00F40038-00D8-4B1D-8B3F-00EE00DB005C}" done="0">
    <text xml:space="preserve">25024/02 
+212.592,52 K66
+261.781,31 K68
+349.438,48 Tyrš
</text>
  </threadedComment>
  <threadedComment ref="D853" personId="{7B03C851-1B72-4382-6A46-EB78AD160EC8}" id="{00BD005C-00F1-4BEB-B5D5-001100AD00FD}" done="0">
    <text xml:space="preserve">25026/02 +3.730
</text>
  </threadedComment>
  <threadedComment ref="D854" personId="{7B03C851-1B72-4382-6A46-EB78AD160EC8}" id="{00BE0010-00E3-4CDC-9F1E-009200E800C3}" done="0">
    <text xml:space="preserve">25024/02 +61.299
</text>
  </threadedComment>
  <threadedComment ref="D861" personId="{7B03C851-1B72-4382-6A46-EB78AD160EC8}" id="{001D009B-00F5-42C1-B603-009D006700A9}" done="0">
    <text xml:space="preserve">25057/04 +25.564.110
</text>
  </threadedComment>
  <threadedComment ref="D864" personId="{7B03C851-1B72-4382-6A46-EB78AD160EC8}" id="{005F00E2-0046-4561-A074-000E008900D0}" done="0">
    <text xml:space="preserve">25004/01 úz 33092
+ 913,14 (1431)
+3.011,86 (1435)
</text>
  </threadedComment>
  <threadedComment ref="D865" personId="{7B03C851-1B72-4382-6A46-EB78AD160EC8}" id="{00A8009C-009D-48E5-BA53-004000F400F4}" done="0">
    <text xml:space="preserve">25027/02 +15.187,53
</text>
  </threadedComment>
  <threadedComment ref="D866" personId="{7B03C851-1B72-4382-6A46-EB78AD160EC8}" id="{00BB001F-0016-4711-A2B9-0006002E0085}" done="0">
    <text xml:space="preserve">25027/02 +3.957,43
</text>
  </threadedComment>
  <threadedComment ref="D868" personId="{7B03C851-1B72-4382-6A46-EB78AD160EC8}" id="{0082005B-00B9-49B2-956D-001E00BC007D}" done="0">
    <text xml:space="preserve">25001/01 -3.178.500
25002/01 +99.036
25003/01 -432.200
25005/01 -595.004,14
25008/01 +3.000.000
25009/01 +145.092
25011/01 -7.500
25012/01 -15.000
25013/01 -30.000
25014/01 -30.000
25015/01 -7.500
25016/01 -80.000
25017/01 +472.672,50
25018/02 -214.000
25024/02 -641.178,72
25025/02 -104.517
25027/02 -19.144,96
25028/02 +463.363
25029/02 -400.000
25030/03 +21.520.868,17
25031/03 +1.247.432,21
25034/03 -60.000
25035/03 +-10.990
25036/03 +297.792
25042/03 +2.743.942,28
25044/03 -14.800.000
25045/03 -6.020.000
25054/04 +1.571.026,45
25056/04 -27.427,50
25058/04 +5.889.660
25059/04 -1.700.000
25061/04 -5.000.000
25066/04 -2.000.000
25067/04 -3.000.000
25069/04 +85.015
25070/04 +472.380
25071/01 +706.318,75
25072/04 +1.093.905,82
25073/04 -300.000
25074/04 -280.000
25077/05 +54.671,25
25078/05 +25.000.000
25080/05 -3.000.000
25081/05 -3.375.008,64
25083/05 -370.000
25084/05 -300.000
25092/06 -1.266.234,75
25093/06 +810.777
25094/06 +5.424.450
25098/06 -4.500.000
25099/06 -5.000.000
25100/06 +300.000
</text>
  </threadedComment>
  <threadedComment ref="D97" personId="{7B03C851-1B72-4382-6A46-EB78AD160EC8}" id="{00A40003-0053-4CB0-A151-007000690042}" done="0">
    <text xml:space="preserve">25090/05 +10.000
</text>
  </threadedComment>
</ThreadedComments>
</file>

<file path=xl/threadedComments/threadedComment4.xml><?xml version="1.0" encoding="utf-8"?>
<ThreadedComments xmlns="http://schemas.microsoft.com/office/spreadsheetml/2018/threadedcomments" xmlns:x="http://schemas.openxmlformats.org/spreadsheetml/2006/main">
  <threadedComment ref="D113" personId="{7B03C851-1B72-4382-6A46-EB78AD160EC8}" id="{006500D4-001F-45E0-8477-008300430047}" done="0">
    <text xml:space="preserve">25031/02 +700.000
</text>
  </threadedComment>
  <threadedComment ref="D114" personId="{7B03C851-1B72-4382-6A46-EB78AD160EC8}" id="{006D0019-00E6-4CF0-99D9-00C700DA004D}" done="0">
    <text xml:space="preserve">25028/02 +463.363
</text>
  </threadedComment>
  <threadedComment ref="D115" personId="{7B03C851-1B72-4382-6A46-EB78AD160EC8}" id="{003300D7-0007-49F0-A2EB-00AC003700A3}" done="0">
    <text xml:space="preserve">25024/02 +62.538,16
</text>
  </threadedComment>
  <threadedComment ref="D116" personId="{7B03C851-1B72-4382-6A46-EB78AD160EC8}" id="{00E200C5-00DA-4D9B-B9A6-00D700480071}" done="0">
    <text xml:space="preserve">25024/02 +129.480,70
</text>
  </threadedComment>
  <threadedComment ref="D117" personId="{7B03C851-1B72-4382-6A46-EB78AD160EC8}" id="{00B40063-00E2-4767-87BE-000E0048001D}" done="0">
    <text xml:space="preserve">25024/02 +169.544,53
</text>
  </threadedComment>
  <threadedComment ref="D118" personId="{7B03C851-1B72-4382-6A46-EB78AD160EC8}" id="{00B40019-002C-4511-A180-0012002A00BC}" done="0">
    <text xml:space="preserve">25024/02 +70.270,33
</text>
  </threadedComment>
  <threadedComment ref="D119" personId="{7B03C851-1B72-4382-6A46-EB78AD160EC8}" id="{003E0087-00E0-40CD-BB68-000900C50063}" done="0">
    <text xml:space="preserve">25042/03 +2.743.942,28
</text>
  </threadedComment>
  <threadedComment ref="D121" personId="{7B03C851-1B72-4382-6A46-EB78AD160EC8}" id="{005500A5-0024-4738-8C4D-005F005E0028}" done="0">
    <text xml:space="preserve">25031/02 
+37.912,80  1180
+ 6.500   1131
+455.819,41  1134
</text>
  </threadedComment>
  <threadedComment ref="D122" personId="{7B03C851-1B72-4382-6A46-EB78AD160EC8}" id="{00510087-00B7-4795-952A-005300B3006C}" done="0">
    <text xml:space="preserve">25062/04 +23.725
25063/04 +4.745
25082/05 +40.000
25088/05 +30.000
25091/06 +10.000
</text>
  </threadedComment>
  <threadedComment ref="D124" personId="{7B03C851-1B72-4382-6A46-EB78AD160EC8}" id="{002900A6-0017-41C5-AA5B-00FD009900E1}" done="0">
    <text xml:space="preserve">25004/01 úz 33092
+ 913,14 (1431)
+3.011,86 (1435)
</text>
  </threadedComment>
  <threadedComment ref="D128" personId="{7B03C851-1B72-4382-6A46-EB78AD160EC8}" id="{00B800E7-0004-4A90-8FA5-007D00AF00DC}" done="0">
    <text xml:space="preserve">25026/02 +3.730
</text>
  </threadedComment>
  <threadedComment ref="D130" personId="{7B03C851-1B72-4382-6A46-EB78AD160EC8}" id="{00D600EF-0021-476A-A32F-007C00460062}" done="0">
    <text xml:space="preserve">25032/03
-50.000 741
+50.000 528
25033/03
-50.000 741
+50.000 416
</text>
  </threadedComment>
  <threadedComment ref="D131" personId="{7B03C851-1B72-4382-6A46-EB78AD160EC8}" id="{00DB00BC-0030-4FFA-9B0E-00A9004300D5}" done="0">
    <text xml:space="preserve">25068/04 +240.187
</text>
  </threadedComment>
  <threadedComment ref="D134" personId="{7B03C851-1B72-4382-6A46-EB78AD160EC8}" id="{00AD00B8-0074-4ED0-A07D-00CE00B900CA}" done="0">
    <text xml:space="preserve">25017/01 +472.672,50
25049/03 -472.672,50
</text>
  </threadedComment>
  <threadedComment ref="D136" personId="{7B03C851-1B72-4382-6A46-EB78AD160EC8}" id="{009B006C-003E-4639-AFD3-005600350024}" done="0">
    <text xml:space="preserve">25031/03 +15.000
</text>
  </threadedComment>
  <threadedComment ref="D152" personId="{7B03C851-1B72-4382-6A46-EB78AD160EC8}" id="{00DF00C5-0025-430A-A86D-003500E80084}" done="0">
    <text xml:space="preserve">25074/04 -200.000
</text>
  </threadedComment>
  <threadedComment ref="D162" personId="{7B03C851-1B72-4382-6A46-EB78AD160EC8}" id="{0069003D-0005-439F-9307-0049006F0068}" done="0">
    <text xml:space="preserve">25061/04 -5000000
</text>
  </threadedComment>
  <threadedComment ref="D168" personId="{7B03C851-1B72-4382-6A46-EB78AD160EC8}" id="{00A4003C-00B1-4E80-9055-00F9000B00BF}" done="0">
    <text xml:space="preserve">25047/03 -500.000
</text>
  </threadedComment>
  <threadedComment ref="D172" personId="{7B03C851-1B72-4382-6A46-EB78AD160EC8}" id="{005500BC-00C4-42D1-AF4B-0058009300E7}" done="0">
    <text xml:space="preserve">25094/06 +5.424.450
</text>
  </threadedComment>
  <threadedComment ref="D173" personId="{7B03C851-1B72-4382-6A46-EB78AD160EC8}" id="{007E0096-000A-4116-A42A-004400F100AD}" done="0">
    <text xml:space="preserve">25058/04 +5.889.660
</text>
  </threadedComment>
  <threadedComment ref="D176" personId="{7B03C851-1B72-4382-6A46-EB78AD160EC8}" id="{00A40082-001E-4AE5-B065-00E000DF0079}" done="0">
    <text xml:space="preserve">25093/06 +748.448
</text>
  </threadedComment>
  <threadedComment ref="D178" personId="{7B03C851-1B72-4382-6A46-EB78AD160EC8}" id="{0013004D-0070-4F2C-9448-0033007B0029}" done="0">
    <text xml:space="preserve">25093/06 +62.329
</text>
  </threadedComment>
  <threadedComment ref="D203" personId="{7B03C851-1B72-4382-6A46-EB78AD160EC8}" id="{00170029-00F0-4C6A-B605-003400A50003}" done="0">
    <text xml:space="preserve">25003/01 -432.200
</text>
  </threadedComment>
  <threadedComment ref="D212" personId="{7B03C851-1B72-4382-6A46-EB78AD160EC8}" id="{00F10076-0064-4F78-9732-00CE006E00E1}" done="0">
    <text xml:space="preserve">25072/04 +71.563,93
</text>
  </threadedComment>
  <threadedComment ref="D214" personId="{7B03C851-1B72-4382-6A46-EB78AD160EC8}" id="{009E00CC-008B-4F75-A5A1-000900570043}" done="0">
    <text xml:space="preserve">25055/03
-+ 25.723 
</text>
  </threadedComment>
  <threadedComment ref="D215" personId="{7B03C851-1B72-4382-6A46-EB78AD160EC8}" id="{00730046-0095-4A70-A87B-004800000006}" done="0">
    <text xml:space="preserve">25051/04 úz 33092
+117.955,01 1431
+495.553,09  1435
</text>
  </threadedComment>
  <threadedComment ref="D216" personId="{7B03C851-1B72-4382-6A46-EB78AD160EC8}" id="{004C00BC-0070-446A-BEC8-0047007A003B}" done="0">
    <text xml:space="preserve">25052/04 úz 33092
+138.438,27 1431
+581.607,57  1435
</text>
  </threadedComment>
  <threadedComment ref="D217" personId="{7B03C851-1B72-4382-6A46-EB78AD160EC8}" id="{00310047-00BA-42EE-8981-0044008A00DE}" done="0">
    <text xml:space="preserve">25041/03 úz 33092
+108.476,76 1431
+455.733  1435
</text>
  </threadedComment>
  <threadedComment ref="D218" personId="{7B03C851-1B72-4382-6A46-EB78AD160EC8}" id="{00E30025-0026-4DDC-93E6-005A00510011}" done="0">
    <text xml:space="preserve">25048/03 úz33092
+ 280.004,26 1441
+1.176.355,23 1445
</text>
  </threadedComment>
  <threadedComment ref="D229" personId="{7B03C851-1B72-4382-6A46-EB78AD160EC8}" id="{003D0009-005C-4502-8F62-0016006D0026}" done="0">
    <text xml:space="preserve">25085/05 +110.000
</text>
  </threadedComment>
  <threadedComment ref="D230" personId="{7B03C851-1B72-4382-6A46-EB78AD160EC8}" id="{009F008D-009E-43C1-BCA0-00E2005000D7}" done="0">
    <text xml:space="preserve">25010/01 +4.737.000
</text>
  </threadedComment>
  <threadedComment ref="D232" personId="{7B03C851-1B72-4382-6A46-EB78AD160EC8}" id="{009D0048-003D-4B8C-8C6E-00F600D10028}" done="0">
    <text xml:space="preserve">25073/04 +140.000
</text>
  </threadedComment>
  <threadedComment ref="D233" personId="{7B03C851-1B72-4382-6A46-EB78AD160EC8}" id="{00EF004E-0049-42C8-BE0C-002400A2008E}" done="0">
    <text xml:space="preserve">25053/03 +239.800
</text>
  </threadedComment>
  <threadedComment ref="D234" personId="{7B03C851-1B72-4382-6A46-EB78AD160EC8}" id="{009700F6-008F-46C0-8CEB-0085006400B6}" done="0">
    <text xml:space="preserve">25037/03
+ 12.834 úz 253 1441
+115.506 úz 911 1445
</text>
  </threadedComment>
  <threadedComment ref="D235" personId="{7B03C851-1B72-4382-6A46-EB78AD160EC8}" id="{009F0040-0066-4377-BDFC-00D900D800DF}" done="0">
    <text xml:space="preserve">25038/03 
+ 9.850 úz 253 1441
+88.650 úz911 1445
</text>
  </threadedComment>
  <threadedComment ref="D236" personId="{7B03C851-1B72-4382-6A46-EB78AD160EC8}" id="{00020061-00FE-4D73-9166-00B600360038}" done="0">
    <text xml:space="preserve">25040/03
+ 17.098,20 úz253 1441
+153.883,80 úz911 1445
</text>
  </threadedComment>
  <threadedComment ref="D237" personId="{7B03C851-1B72-4382-6A46-EB78AD160EC8}" id="{00840057-00BB-48CE-B061-006D008500A0}" done="0">
    <text xml:space="preserve">25046/03
 +9.159,75 úz253 1441
+82.437,75 úz911 1445
</text>
  </threadedComment>
  <threadedComment ref="D238" personId="{7B03C851-1B72-4382-6A46-EB78AD160EC8}" id="{004B0077-0033-486C-A801-003D00DD001F}" done="0">
    <text xml:space="preserve">25039/03 
+ 11.663,45 úz 253 1441
+104.971,05 úz911 1445
</text>
  </threadedComment>
  <threadedComment ref="D239" personId="{7B03C851-1B72-4382-6A46-EB78AD160EC8}" id="{00EE0022-002C-48B6-A5EB-00EC0050000B}" done="0">
    <text xml:space="preserve">25061/04 +4.631.000
</text>
  </threadedComment>
  <threadedComment ref="D250" personId="{7B03C851-1B72-4382-6A46-EB78AD160EC8}" id="{007600D7-0014-4DD6-A5FE-00B200D80062}" done="0">
    <text xml:space="preserve">25054/03 +1.571.026,45
</text>
  </threadedComment>
  <threadedComment ref="D252" personId="{7B03C851-1B72-4382-6A46-EB78AD160EC8}" id="{001E00EC-0036-43FF-8952-00DE00440099}" done="0">
    <text xml:space="preserve">25072/04 +1.022.341,89
</text>
  </threadedComment>
  <threadedComment ref="D256" personId="{7B03C851-1B72-4382-6A46-EB78AD160EC8}" id="{006800CA-0075-465C-A23C-00FE00290013}" done="0">
    <text xml:space="preserve">25073/04 -140.000
</text>
  </threadedComment>
  <threadedComment ref="D265" personId="{7B03C851-1B72-4382-6A46-EB78AD160EC8}" id="{0044006A-000C-4EE2-ABA3-00EA00B600C5}" done="0">
    <text xml:space="preserve">25030/03 +21.520.868,17
</text>
  </threadedComment>
  <threadedComment ref="D282" personId="{7B03C851-1B72-4382-6A46-EB78AD160EC8}" id="{00CA0030-00F1-4130-AB83-001A001C00E4}" done="0">
    <text xml:space="preserve">25564/05 +195.569,92
</text>
  </threadedComment>
  <threadedComment ref="D283" personId="{7B03C851-1B72-4382-6A46-EB78AD160EC8}" id="{00580054-001E-4245-A295-0032000F0036}" done="0">
    <text xml:space="preserve">25564/05 -195.569,92
</text>
  </threadedComment>
  <threadedComment ref="D296" personId="{7B03C851-1B72-4382-6A46-EB78AD160EC8}" id="{008C000C-00A1-4BC7-ADEA-00D700520048}" done="0">
    <text xml:space="preserve">25501/01 +18.732,10
</text>
  </threadedComment>
  <threadedComment ref="D297" personId="{7B03C851-1B72-4382-6A46-EB78AD160EC8}" id="{00E8007F-0071-4C03-9819-000700F70058}" done="0">
    <text xml:space="preserve">25506/01 -98.736
</text>
  </threadedComment>
  <threadedComment ref="D299" personId="{7B03C851-1B72-4382-6A46-EB78AD160EC8}" id="{00C00088-00D3-4F8A-8CA7-00A20099008E}" done="0">
    <text xml:space="preserve">25525/02 +370.000
</text>
  </threadedComment>
  <threadedComment ref="D300" personId="{7B03C851-1B72-4382-6A46-EB78AD160EC8}" id="{0021007F-004A-4ED9-B993-00F600BA00E2}" done="0">
    <text xml:space="preserve">25501/01 -18.732,10
</text>
  </threadedComment>
  <threadedComment ref="D301" personId="{7B03C851-1B72-4382-6A46-EB78AD160EC8}" id="{004F00EF-00D2-43F7-966A-00C50056009C}" done="0">
    <text xml:space="preserve">25525/02 -370.000
</text>
  </threadedComment>
  <threadedComment ref="D303" personId="{7B03C851-1B72-4382-6A46-EB78AD160EC8}" id="{00F600B4-0009-4B68-BC9D-008A00F600C9}" done="0">
    <text xml:space="preserve">25506/01 +98.736
</text>
  </threadedComment>
  <threadedComment ref="D306" personId="{7B03C851-1B72-4382-6A46-EB78AD160EC8}" id="{000C00ED-003D-482A-9F69-00B4005700A2}" done="0">
    <text xml:space="preserve">25513/01 +90.212,58
</text>
  </threadedComment>
  <threadedComment ref="D308" personId="{7B03C851-1B72-4382-6A46-EB78AD160EC8}" id="{00C900F1-00B2-4D2D-849B-003300E300F7}" done="0">
    <text xml:space="preserve">25505/01 +29.947,50
</text>
  </threadedComment>
  <threadedComment ref="D313" personId="{7B03C851-1B72-4382-6A46-EB78AD160EC8}" id="{0052004F-001B-4D89-87B9-002C00B70008}" done="0">
    <text xml:space="preserve">25505/01 -29.947,50
25513/01 -90.212,58
</text>
  </threadedComment>
  <threadedComment ref="D316" personId="{7B03C851-1B72-4382-6A46-EB78AD160EC8}" id="{0084006F-00D3-48E2-B9CE-001E00D90011}" done="0">
    <text xml:space="preserve">25538/03 +19.312,50
</text>
  </threadedComment>
  <threadedComment ref="D317" personId="{7B03C851-1B72-4382-6A46-EB78AD160EC8}" id="{00580060-009D-4861-A503-00B00024002A}" done="0">
    <text xml:space="preserve">25020/02 +250.000
</text>
  </threadedComment>
  <threadedComment ref="D319" personId="{7B03C851-1B72-4382-6A46-EB78AD160EC8}" id="{004D0076-001A-4345-8B6C-002900930080}" done="0">
    <text xml:space="preserve">25538/03 -19.312,50
</text>
  </threadedComment>
  <threadedComment ref="D323" personId="{7B03C851-1B72-4382-6A46-EB78AD160EC8}" id="{00CF00AC-009B-43BD-9E45-004C00A200D1}" done="0">
    <text xml:space="preserve">25081/05 +3.375.008,64
</text>
  </threadedComment>
  <threadedComment ref="D340" personId="{7B03C851-1B72-4382-6A46-EB78AD160EC8}" id="{00C800DA-00B8-449E-9C0E-004800CB0074}" done="0">
    <text xml:space="preserve">25563/05 +775.379,13
</text>
  </threadedComment>
  <threadedComment ref="D341" personId="{7B03C851-1B72-4382-6A46-EB78AD160EC8}" id="{00A90095-007C-4828-B942-001C008B00DC}" done="0">
    <text xml:space="preserve">25562/05 +199.650
</text>
  </threadedComment>
  <threadedComment ref="D342" personId="{7B03C851-1B72-4382-6A46-EB78AD160EC8}" id="{00AA00A1-00CD-48D9-B362-005600BE000F}" done="0">
    <text xml:space="preserve">25557/05 -96.485,40
25562/05 -199.650
25563/05 -775.379,13
</text>
  </threadedComment>
  <threadedComment ref="D360" personId="{7B03C851-1B72-4382-6A46-EB78AD160EC8}" id="{00FD00FC-00B1-4D89-98FC-000500ED006F}" done="0">
    <text xml:space="preserve">25068/04 +226.282
</text>
  </threadedComment>
  <threadedComment ref="D38" personId="{7B03C851-1B72-4382-6A46-EB78AD160EC8}" id="{00D800E2-002E-4BFC-85E9-00540044007C}" done="0">
    <text xml:space="preserve">25057/04 +25.564.110
</text>
  </threadedComment>
  <threadedComment ref="D372" personId="{7B03C851-1B72-4382-6A46-EB78AD160EC8}" id="{0089008B-00AB-4C7A-A677-001500FE00B9}" done="0">
    <text xml:space="preserve">25532/03 +40.838
</text>
  </threadedComment>
  <threadedComment ref="D379" personId="{7B03C851-1B72-4382-6A46-EB78AD160EC8}" id="{001E00ED-007E-48AE-9443-00DD00E10069}" done="0">
    <text xml:space="preserve">25532/03 -40.838
</text>
  </threadedComment>
  <threadedComment ref="D381" personId="{7B03C851-1B72-4382-6A46-EB78AD160EC8}" id="{002000F2-0047-40A3-9949-004B00F2006C}" done="0">
    <text xml:space="preserve">25025/02 +104.517
</text>
  </threadedComment>
  <threadedComment ref="D398" personId="{7B03C851-1B72-4382-6A46-EB78AD160EC8}" id="{002E0060-001D-4C75-B83E-003A0046008B}" done="0">
    <text xml:space="preserve">25504/01 -300.000
25509/01 -80.000
25511/01 -20.000
</text>
  </threadedComment>
  <threadedComment ref="D400" personId="{7B03C851-1B72-4382-6A46-EB78AD160EC8}" id="{008A001F-009B-4521-A06D-00100076001B}" done="0">
    <text xml:space="preserve">25541/04 +450.000
</text>
  </threadedComment>
  <threadedComment ref="D401" personId="{7B03C851-1B72-4382-6A46-EB78AD160EC8}" id="{00E70049-00BA-4C7B-920D-00CD00FD007D}" done="0">
    <text xml:space="preserve">25541/04 -450.000
</text>
  </threadedComment>
  <threadedComment ref="D402" personId="{7B03C851-1B72-4382-6A46-EB78AD160EC8}" id="{0067006F-00CF-47DB-B10D-00DC009400AC}" done="0">
    <text xml:space="preserve">25504/01 +300.000
25555/05 -29.900
</text>
  </threadedComment>
  <threadedComment ref="D403" personId="{7B03C851-1B72-4382-6A46-EB78AD160EC8}" id="{00E200B9-004F-4AC7-B145-00EF00AA0015}" done="0">
    <text xml:space="preserve">25509/01 +80.000
25511/01 +20.000
25555/05 +29.900
</text>
  </threadedComment>
  <threadedComment ref="D407" personId="{7B03C851-1B72-4382-6A46-EB78AD160EC8}" id="{00E20071-0098-4665-AB49-007800C900C5}" done="0">
    <text xml:space="preserve">25022/02 -210.000
</text>
  </threadedComment>
  <threadedComment ref="D42" personId="{7B03C851-1B72-4382-6A46-EB78AD160EC8}" id="{00A400F8-0057-44F8-91CC-000D003E0095}" done="0">
    <text xml:space="preserve">25031/03 +32.200
</text>
  </threadedComment>
  <threadedComment ref="D413" personId="{7B03C851-1B72-4382-6A46-EB78AD160EC8}" id="{00B9002E-0063-4BA3-8628-00F300D400EB}" done="0">
    <text xml:space="preserve">25067/04 +3.000.000
</text>
  </threadedComment>
  <threadedComment ref="D415" personId="{7B03C851-1B72-4382-6A46-EB78AD160EC8}" id="{003200B6-00FC-4C6C-8098-0043001D000D}" done="0">
    <text xml:space="preserve">25542/04 -80.000
25550/05 -35.000
</text>
  </threadedComment>
  <threadedComment ref="D419" personId="{7B03C851-1B72-4382-6A46-EB78AD160EC8}" id="{005C000D-0089-49C7-B7B5-0018002F00C6}" done="0">
    <text xml:space="preserve">25550/05 +35.000
</text>
  </threadedComment>
  <threadedComment ref="D431" personId="{7B03C851-1B72-4382-6A46-EB78AD160EC8}" id="{005D0063-0064-4A71-945A-006C001A00C7}" done="0">
    <text xml:space="preserve">25542/04 +80.000
</text>
  </threadedComment>
  <threadedComment ref="D433" personId="{7B03C851-1B72-4382-6A46-EB78AD160EC8}" id="{00C70095-0052-4FBA-84D7-002400570039}" done="0">
    <text xml:space="preserve">25503/01 -90.000
</text>
  </threadedComment>
  <threadedComment ref="D434" personId="{7B03C851-1B72-4382-6A46-EB78AD160EC8}" id="{009B000D-0051-45D5-9DE2-009B00D9006F}" done="0">
    <text xml:space="preserve">25507/01 -32.000
25508/01 - 104.000
25527/02 -17.000
</text>
  </threadedComment>
  <threadedComment ref="D435" personId="{7B03C851-1B72-4382-6A46-EB78AD160EC8}" id="{007700A3-00D3-4CAF-A124-00C600260080}" done="0">
    <text xml:space="preserve">255508/01 +104.000
</text>
  </threadedComment>
  <threadedComment ref="D436" personId="{7B03C851-1B72-4382-6A46-EB78AD160EC8}" id="{00AD00BC-009A-4874-9D58-0036001000EE}" done="0">
    <text xml:space="preserve">25503/01 +90.000
</text>
  </threadedComment>
  <threadedComment ref="D438" personId="{7B03C851-1B72-4382-6A46-EB78AD160EC8}" id="{00A10072-001F-4F32-98E0-008A00E000F1}" done="0">
    <text xml:space="preserve">25527/02 +17.000
</text>
  </threadedComment>
  <threadedComment ref="D440" personId="{7B03C851-1B72-4382-6A46-EB78AD160EC8}" id="{00DF0069-008A-465E-915F-007D000D00F8}" done="0">
    <text xml:space="preserve">25001/01 +685.000
</text>
  </threadedComment>
  <threadedComment ref="D441" personId="{7B03C851-1B72-4382-6A46-EB78AD160EC8}" id="{00F100D7-00CA-4303-BECA-0026003000B0}" done="0">
    <text xml:space="preserve">25526/02 +32.000
25552/05 +21.000
</text>
  </threadedComment>
  <threadedComment ref="D442" personId="{7B03C851-1B72-4382-6A46-EB78AD160EC8}" id="{009800FC-000D-43A7-AA9D-0051000D00DA}" done="0">
    <text xml:space="preserve">25001/01 +472.200
25507/01 +32.000
</text>
  </threadedComment>
  <threadedComment ref="D446" personId="{7B03C851-1B72-4382-6A46-EB78AD160EC8}" id="{009E00C2-00B5-4DA5-9090-0043008600EE}" done="0">
    <text xml:space="preserve">25526/02 -32.000
25552/05 -21.000
</text>
  </threadedComment>
  <threadedComment ref="D451" personId="{7B03C851-1B72-4382-6A46-EB78AD160EC8}" id="{007A0000-00D5-4DC9-ACAD-006C003F00C2}" done="0">
    <text xml:space="preserve">25095/06 -1.000.000
</text>
  </threadedComment>
  <threadedComment ref="D452" personId="{7B03C851-1B72-4382-6A46-EB78AD160EC8}" id="{00CA00FA-00B1-47F0-B8A4-00DA00260005}" done="0">
    <text xml:space="preserve">25573/06 +437.000
</text>
  </threadedComment>
  <threadedComment ref="D456" personId="{7B03C851-1B72-4382-6A46-EB78AD160EC8}" id="{004700FE-0015-4959-82FF-0019004B00BE}" done="0">
    <text xml:space="preserve">25059/04 +400.000
</text>
  </threadedComment>
  <threadedComment ref="D458" personId="{7B03C851-1B72-4382-6A46-EB78AD160EC8}" id="{00BA00DE-0029-45F7-858D-00670042009B}" done="0">
    <text xml:space="preserve">25001/01 +2.021.300
</text>
  </threadedComment>
  <threadedComment ref="D463" personId="{7B03C851-1B72-4382-6A46-EB78AD160EC8}" id="{002500AC-00DB-4E20-B426-00DB004A0068}" done="0">
    <text xml:space="preserve">25573/06 -437.000
</text>
  </threadedComment>
  <threadedComment ref="D469" personId="{7B03C851-1B72-4382-6A46-EB78AD160EC8}" id="{00F500BC-0029-4F37-82E0-002E00860001}" done="0">
    <text xml:space="preserve">25022/02 +210.000
</text>
  </threadedComment>
  <threadedComment ref="D470" personId="{7B03C851-1B72-4382-6A46-EB78AD160EC8}" id="{00850014-005A-45EA-8EB7-005B00D50074}" done="0">
    <text xml:space="preserve">25020/02 -250.000
</text>
  </threadedComment>
  <threadedComment ref="D476" personId="{7B03C851-1B72-4382-6A46-EB78AD160EC8}" id="{000E004D-00A4-41A5-9397-00C6007C009C}" done="0">
    <text xml:space="preserve">25544/04 -25.000
25566/06 -9.000
</text>
  </threadedComment>
  <threadedComment ref="D478" personId="{7B03C851-1B72-4382-6A46-EB78AD160EC8}" id="{00050034-00EC-4303-8E02-0040002800EF}" done="0">
    <text xml:space="preserve">25566/06 -18.000
</text>
  </threadedComment>
  <threadedComment ref="D480" personId="{7B03C851-1B72-4382-6A46-EB78AD160EC8}" id="{0000009E-00B3-4A8C-BE27-00F700630072}" done="0">
    <text xml:space="preserve">25544/04 +25.000
</text>
  </threadedComment>
  <threadedComment ref="D481" personId="{7B03C851-1B72-4382-6A46-EB78AD160EC8}" id="{00F000F9-00E2-4A54-A5AE-00CE00FA0089}" done="0">
    <text xml:space="preserve">25566/06 +27.000
</text>
  </threadedComment>
  <threadedComment ref="D484" personId="{7B03C851-1B72-4382-6A46-EB78AD160EC8}" id="{00520012-00D1-4063-B516-008300BF005E}" done="0">
    <text xml:space="preserve">25044/03 +14.800.000
</text>
  </threadedComment>
  <threadedComment ref="D485" personId="{7B03C851-1B72-4382-6A46-EB78AD160EC8}" id="{00B00002-0096-4F3E-A77F-0061005200F9}" done="0">
    <text xml:space="preserve">25533/03 +10.000
</text>
  </threadedComment>
  <threadedComment ref="D486" personId="{7B03C851-1B72-4382-6A46-EB78AD160EC8}" id="{00350085-00F7-45AC-A003-005900F900F9}" done="0">
    <text xml:space="preserve">25572/06 
-55.000  5171
+75.000 5169
</text>
  </threadedComment>
  <threadedComment ref="D488" personId="{7B03C851-1B72-4382-6A46-EB78AD160EC8}" id="{00940035-00A2-4736-85D8-00A9005300F1}" done="0">
    <text xml:space="preserve">25533/03 -10.000
25095/06 
-1.443.000 5171
-   254.000 5169
</text>
  </threadedComment>
  <threadedComment ref="D490" personId="{7B03C851-1B72-4382-6A46-EB78AD160EC8}" id="{00830017-00AA-468A-9339-009800B90061}" done="0">
    <text xml:space="preserve">25006/01 -3.150
</text>
  </threadedComment>
  <threadedComment ref="D493" personId="{7B03C851-1B72-4382-6A46-EB78AD160EC8}" id="{000700EA-0082-430E-8614-0080007800FC}" done="0">
    <text xml:space="preserve">25572/06 -20.000
</text>
  </threadedComment>
  <threadedComment ref="D499" personId="{7B03C851-1B72-4382-6A46-EB78AD160EC8}" id="{002C005D-0012-493B-A359-008C0043007B}" done="0">
    <text xml:space="preserve">25006/01 +3.150
</text>
  </threadedComment>
  <threadedComment ref="D506" personId="{7B03C851-1B72-4382-6A46-EB78AD160EC8}" id="{00090030-00A7-40A8-B5AB-007200060065}" done="0">
    <text xml:space="preserve">25007/01 -50.000
</text>
  </threadedComment>
  <threadedComment ref="D512" personId="{7B03C851-1B72-4382-6A46-EB78AD160EC8}" id="{006F006E-00E5-4773-87B8-00CE00C80060}" done="0">
    <text xml:space="preserve">25007/01 +50.000
</text>
  </threadedComment>
  <threadedComment ref="D515" personId="{7B03C851-1B72-4382-6A46-EB78AD160EC8}" id="{00EC0073-0094-4071-AA07-00AA00EE005D}" done="0">
    <text xml:space="preserve">25095/06 -2.800.000
</text>
  </threadedComment>
  <threadedComment ref="D528" personId="{7B03C851-1B72-4382-6A46-EB78AD160EC8}" id="{0077003F-0072-4F12-94FD-0014000000D8}" done="0">
    <text xml:space="preserve">25512/01 +-281.500
z 6121 na 5137
25045/03 +6.020.000
25064/04 +500.000
</text>
  </threadedComment>
  <threadedComment ref="D530" personId="{7B03C851-1B72-4382-6A46-EB78AD160EC8}" id="{00B9002A-0043-4359-9D56-001300B10078}" done="0">
    <text xml:space="preserve">25060/04 +3.050.000
</text>
  </threadedComment>
  <threadedComment ref="D539" personId="{7B03C851-1B72-4382-6A46-EB78AD160EC8}" id="{003B00EE-0012-44DD-B3C0-00A400F8000B}" done="0">
    <text xml:space="preserve">25021/02 +20.000
</text>
  </threadedComment>
  <threadedComment ref="D542" personId="{7B03C851-1B72-4382-6A46-EB78AD160EC8}" id="{0004005E-001A-472C-9B31-00A700980000}" done="0">
    <text xml:space="preserve">25518/02 změna org z 3730 
-300.080 na:
+ 75.020 3537 Dlouhá, Bud
+ 75.020 3538 Dlouhá u garáží
+ 75.020 3539 Sportovní
+ 75.020 3540 u Máje
25559/05 změna org 
-2.400.000 z 3730
+2.400.000 na 3538 Dlouhá u gar
25097/06 
+1.750.000 3540 Vančurova 38
+  300.000  3541 III.et
25571/06
- 500.000  3730 II.et
+500.000  3540 Vančurova 38 
</text>
  </threadedComment>
  <threadedComment ref="D545" personId="{7B03C851-1B72-4382-6A46-EB78AD160EC8}" id="{005D00A4-0057-44E4-AF82-00170072001A}" done="0">
    <text xml:space="preserve">25064/04 -500.000
25065/04 -500.000
25543/04 -450.000
25078/05 -25.000.000
25079/05 -630.000
</text>
  </threadedComment>
  <threadedComment ref="D546" personId="{7B03C851-1B72-4382-6A46-EB78AD160EC8}" id="{0005001B-00A8-43FA-B3D1-007E00B70008}" done="0">
    <text xml:space="preserve">25543/04 +450.000
</text>
  </threadedComment>
  <threadedComment ref="D550" personId="{7B03C851-1B72-4382-6A46-EB78AD160EC8}" id="{00D100B9-0072-4DD1-AF58-008400BF00A1}" done="0">
    <text xml:space="preserve">25539/03 +10.000
25095/06 -503.000
</text>
  </threadedComment>
  <threadedComment ref="D553" personId="{7B03C851-1B72-4382-6A46-EB78AD160EC8}" id="{0095003B-00A1-4E7B-93F1-00430060000A}" done="0">
    <text xml:space="preserve">25021/02 -20.000
25096/06 -550.000
25097/06 -2.050.000
</text>
  </threadedComment>
  <threadedComment ref="D556" personId="{7B03C851-1B72-4382-6A46-EB78AD160EC8}" id="{00B20055-0066-4BA9-9517-00C200520013}" done="0">
    <text xml:space="preserve">25079/05 +460.000
</text>
  </threadedComment>
  <threadedComment ref="D557" personId="{7B03C851-1B72-4382-6A46-EB78AD160EC8}" id="{001C001C-002E-407B-8656-001300D3001D}" done="0">
    <text xml:space="preserve">25520/02 -290.000
25043/03 -5.450.000
25539/03 -10.000
</text>
  </threadedComment>
  <threadedComment ref="D558" personId="{7B03C851-1B72-4382-6A46-EB78AD160EC8}" id="{001C0090-0054-4012-9D95-009B00A000ED}" done="0">
    <text xml:space="preserve">25060/04 -400.000
</text>
  </threadedComment>
  <threadedComment ref="D562" personId="{7B03C851-1B72-4382-6A46-EB78AD160EC8}" id="{008700C5-008E-4374-9EA3-005300D300B5}" done="0">
    <text xml:space="preserve">25520/02 +290.000
</text>
  </threadedComment>
  <threadedComment ref="D564" personId="{7B03C851-1B72-4382-6A46-EB78AD160EC8}" id="{000A003C-00D4-4AED-AD84-007F008700E0}" done="0">
    <text xml:space="preserve">25060/04 -500.000
</text>
  </threadedComment>
  <threadedComment ref="D565" personId="{7B03C851-1B72-4382-6A46-EB78AD160EC8}" id="{006B003F-003E-4F7E-86DF-0021004F00A7}" done="0">
    <text xml:space="preserve">25060/04 -800.000
</text>
  </threadedComment>
  <threadedComment ref="D568" personId="{7B03C851-1B72-4382-6A46-EB78AD160EC8}" id="{00E4000D-00BA-4B2F-929F-002A00DA00DE}" done="0">
    <text xml:space="preserve">25095/06 +6.000.000
</text>
  </threadedComment>
  <threadedComment ref="D569" personId="{7B03C851-1B72-4382-6A46-EB78AD160EC8}" id="{00CF0088-00D9-43EE-B797-00140060008D}" done="0">
    <text xml:space="preserve">25520/02 -290.000
25043/03 -5.450.000
</text>
  </threadedComment>
  <threadedComment ref="D570" personId="{7B03C851-1B72-4382-6A46-EB78AD160EC8}" id="{00840059-0095-4CDC-8557-005900080061}" done="0">
    <text xml:space="preserve">25529/03 
z 5xxx na 6121
25066/04 +2.000000
25096/06 +550.000
</text>
  </threadedComment>
  <threadedComment ref="D571" personId="{7B03C851-1B72-4382-6A46-EB78AD160EC8}" id="{009700CE-00E6-47B8-879D-00A7007A00E4}" done="0">
    <text xml:space="preserve">25079/05 +170.000
</text>
  </threadedComment>
  <threadedComment ref="D575" personId="{7B03C851-1B72-4382-6A46-EB78AD160EC8}" id="{003F00D4-0095-4CB2-85FF-008800F800C1}" done="0">
    <text xml:space="preserve">25514/02 -oprava org z 3757 na 0518
</text>
  </threadedComment>
  <threadedComment ref="D583" personId="{7B03C851-1B72-4382-6A46-EB78AD160EC8}" id="{002200B3-00C8-43C1-BC94-004000E800F6}" done="0">
    <text xml:space="preserve">25065/04 +500.000
</text>
  </threadedComment>
  <threadedComment ref="D585" personId="{7B03C851-1B72-4382-6A46-EB78AD160EC8}" id="{00860031-00CA-44A1-B1F3-0071000C00D0}" done="0">
    <text xml:space="preserve">25522/02 změna pol
49.659,91 z 6121 na 5191
</text>
  </threadedComment>
  <threadedComment ref="D590" personId="{7B03C851-1B72-4382-6A46-EB78AD160EC8}" id="{007F0094-00B6-44BE-A41F-00E800D80044}" done="0">
    <text xml:space="preserve">25570/06 +363.000
</text>
  </threadedComment>
  <threadedComment ref="D591" personId="{7B03C851-1B72-4382-6A46-EB78AD160EC8}" id="{00A7009F-0043-4FB1-AF79-006F001C00AE}" done="0">
    <text xml:space="preserve">25570/06 +121.000
</text>
  </threadedComment>
  <threadedComment ref="D592" personId="{7B03C851-1B72-4382-6A46-EB78AD160EC8}" id="{0078000F-003F-4EA8-8F90-008C00DF002B}" done="0">
    <text xml:space="preserve">25059/04 +1.300.000
</text>
  </threadedComment>
  <threadedComment ref="D593" personId="{7B03C851-1B72-4382-6A46-EB78AD160EC8}" id="{008F0073-0056-4F4A-93E9-00250080004C}" done="0">
    <text xml:space="preserve">25008/01 -3.000.000
25080/05 +3.000.000
25570/06 -321.000
</text>
  </threadedComment>
  <threadedComment ref="D594" personId="{7B03C851-1B72-4382-6A46-EB78AD160EC8}" id="{00C1006C-0020-4012-B395-008C005C002E}" done="0">
    <text xml:space="preserve">25570/06 -163.000
</text>
  </threadedComment>
  <threadedComment ref="D616" personId="{7B03C851-1B72-4382-6A46-EB78AD160EC8}" id="{004B0095-00C1-4D1F-8CE4-002100DC003C}" done="0">
    <text xml:space="preserve">25073/04 +300.000 úz 695
25074/04 +70.000 úz 675
</text>
  </threadedComment>
  <threadedComment ref="D635" personId="{7B03C851-1B72-4382-6A46-EB78AD160EC8}" id="{00AC00C1-0047-4A60-95F1-0038002100A0}" done="0">
    <text xml:space="preserve">25047/03 DOPLNĚNÍ ÚZ
</text>
  </threadedComment>
  <threadedComment ref="D646" personId="{7B03C851-1B72-4382-6A46-EB78AD160EC8}" id="{006B00A1-000D-4B3D-B203-009A00E600C8}" done="0">
    <text xml:space="preserve">25035/03 -10.990
25051/04 úz 33092
+117.955,01 1431
+495.553,09 1435
</text>
  </threadedComment>
  <threadedComment ref="D650" personId="{7B03C851-1B72-4382-6A46-EB78AD160EC8}" id="{0089003D-00C5-4F4D-8016-0058002D0069}" done="0">
    <text xml:space="preserve">25052/03 úz 33092
+138.438,27  1431
+581.607,57  1435
</text>
  </threadedComment>
  <threadedComment ref="D654" personId="{7B03C851-1B72-4382-6A46-EB78AD160EC8}" id="{00C0000B-000C-441F-B07E-0077005E00A1}" done="0">
    <text xml:space="preserve">25037/03 
+ 12.834 úz253 1441
+115.506 úz911 1445
25041/03 úz 33092
+108.476,76 1431
+455.733     1435
</text>
  </threadedComment>
  <threadedComment ref="D663" personId="{7B03C851-1B72-4382-6A46-EB78AD160EC8}" id="{0053003A-00C9-478B-A200-00080043002D}" done="0">
    <text xml:space="preserve">25038/03
+ 9.850 úz253 1441
+88.650 úz911 1445
</text>
  </threadedComment>
  <threadedComment ref="D667" personId="{7B03C851-1B72-4382-6A46-EB78AD160EC8}" id="{004B0058-0007-44E1-97B2-006500D400B0}" done="0">
    <text xml:space="preserve">25036/03 -297.792
25040/03 
+ 17.098,20 úz253 1441
+153.883,80 úz911 1445
</text>
  </threadedComment>
  <threadedComment ref="D671" personId="{7B03C851-1B72-4382-6A46-EB78AD160EC8}" id="{0017000B-0004-4976-9D6B-00C700B10034}" done="0">
    <text xml:space="preserve">25046/03
+ 9.159,75 úz253 1441
+82.437,75 úz911 1445
</text>
  </threadedComment>
  <threadedComment ref="D675" personId="{7B03C851-1B72-4382-6A46-EB78AD160EC8}" id="{00BB0042-00E3-478E-A107-00D700820062}" done="0">
    <text xml:space="preserve">25039/03
+ 11.663,45 úz 253 1441
+104.971,05 úz911 1445
25048/03 úz33092
+ 280.004,26 1431
+1.176.355,23 1435
</text>
  </threadedComment>
  <threadedComment ref="D680" personId="{7B03C851-1B72-4382-6A46-EB78AD160EC8}" id="{00C40004-0083-4E14-A2A6-0049004A0026}" done="0">
    <text xml:space="preserve">25053/03 úz 833
+239.800
25084/05 +300.000
25100/06 -300.000
</text>
  </threadedComment>
  <threadedComment ref="D687" personId="{7B03C851-1B72-4382-6A46-EB78AD160EC8}" id="{00A50083-0009-4A71-826F-00B1006A0057}" done="0">
    <text xml:space="preserve">25069/04 -85.015
</text>
  </threadedComment>
  <threadedComment ref="D705" personId="{7B03C851-1B72-4382-6A46-EB78AD160EC8}" id="{00B10047-0033-414E-A31C-0027004A00BA}" done="0">
    <text xml:space="preserve">25010/01 +4.737.000
25029/02 +400.000 NJKL
25070/04 -472.380
25083/05 +370.000
25085/05 +110.000 úz 341
</text>
  </threadedComment>
  <threadedComment ref="D72" personId="{7B03C851-1B72-4382-6A46-EB78AD160EC8}" id="{002800FF-0075-4402-8F49-0033001F00B5}" done="0">
    <text xml:space="preserve">25089/05 +10.000
</text>
  </threadedComment>
  <threadedComment ref="D721" personId="{7B03C851-1B72-4382-6A46-EB78AD160EC8}" id="{00220097-00DE-46CB-8CF7-00DA004800BF}" done="0">
    <text xml:space="preserve">25075/04 -30.000 R
25076/04 -70.000 R
25086/05 -40.000 R
25087/05 -30.000 R
</text>
  </threadedComment>
  <threadedComment ref="D726" personId="{7B03C851-1B72-4382-6A46-EB78AD160EC8}" id="{000C005F-00DE-4052-944B-005B00480048}" done="0">
    <text xml:space="preserve">25005/01 +595.004,14
25011/01 +7.500
25012/01 +15.000
25013/01 +30.000
25014/01 +30.000
25015/01 +7.500
25016/01 +80.000
25034/03 +60.000
25075/04 +30.000
25076/04 +70.000
25086/05 +40.000
25087/05 +30.000
25088/05 +30.000
25089/05 +10.000
25090/05 +10.000
</text>
  </threadedComment>
  <threadedComment ref="D730" personId="{7B03C851-1B72-4382-6A46-EB78AD160EC8}" id="{006F0028-0084-40B9-91CB-003D00860029}" done="0">
    <text xml:space="preserve">25092/06 +1.169.144,35
</text>
  </threadedComment>
  <threadedComment ref="D737" personId="{7B03C851-1B72-4382-6A46-EB78AD160EC8}" id="{009000CE-00B2-4FD0-872A-00B3005B00A3}" done="0">
    <text xml:space="preserve">25019/02 +440.000
</text>
  </threadedComment>
  <threadedComment ref="D741" personId="{7B03C851-1B72-4382-6A46-EB78AD160EC8}" id="{00CF00E9-00FB-4186-B14A-006300A800FB}" done="0">
    <text xml:space="preserve">25060/04 -1.350.000
</text>
  </threadedComment>
  <threadedComment ref="D746" personId="{7B03C851-1B72-4382-6A46-EB78AD160EC8}" id="{004B00A2-00E7-4B22-B5A0-008800440043}" done="0">
    <text xml:space="preserve">25092/06 +97.090,40
</text>
  </threadedComment>
  <threadedComment ref="D758" personId="{7B03C851-1B72-4382-6A46-EB78AD160EC8}" id="{00070096-00EB-4163-B872-00C300DF006E}" done="0">
    <text xml:space="preserve">25068/04 +13.905
</text>
  </threadedComment>
  <threadedComment ref="D790" personId="{7B03C851-1B72-4382-6A46-EB78AD160EC8}" id="{00F700A7-007A-4AFC-B861-00AC00490047}" done="0">
    <text xml:space="preserve">25018/02 +214.000
25062/04 +23.725
25063/04 +4.745
25082/05 +40.000
25091/06 +10.000
</text>
  </threadedComment>
  <threadedComment ref="D795" personId="{7B03C851-1B72-4382-6A46-EB78AD160EC8}" id="{00490078-00A6-4006-A174-00BD000B0022}" done="0">
    <text xml:space="preserve">25061/04 +2.980.000
</text>
  </threadedComment>
  <threadedComment ref="D796" personId="{7B03C851-1B72-4382-6A46-EB78AD160EC8}" id="{00560058-0081-48E8-9CD9-00DF000000EA}" done="0">
    <text xml:space="preserve">25061/04 +586.000
</text>
  </threadedComment>
  <threadedComment ref="D797" personId="{7B03C851-1B72-4382-6A46-EB78AD160EC8}" id="{004E00CA-0014-4D07-8FEC-007D001B0060}" done="0">
    <text xml:space="preserve">25061/04 +1.065.000
</text>
  </threadedComment>
  <threadedComment ref="D81" personId="{7B03C851-1B72-4382-6A46-EB78AD160EC8}" id="{00140050-000D-41F1-8761-00650077005D}" done="0">
    <text xml:space="preserve">25002/01 +99.036 (321)
25009/01 +145.092 (322)
25035/03 -10.990 (305)
25071/04 
+545.328,75 (321)
+150.990 (325)
25077/05 +54.671,25 (321)
</text>
  </threadedComment>
  <threadedComment ref="D823" personId="{7B03C851-1B72-4382-6A46-EB78AD160EC8}" id="{009F0067-0035-4CB4-A0CC-00BD000E0018}" done="0">
    <text xml:space="preserve">25056/04 +27.427,50
</text>
  </threadedComment>
  <threadedComment ref="D826" personId="{7B03C851-1B72-4382-6A46-EB78AD160EC8}" id="{00270073-0004-4CC7-8D2D-00AC00460035}" done="0">
    <text xml:space="preserve">25098/06 +500.000
</text>
  </threadedComment>
  <threadedComment ref="D830" personId="{7B03C851-1B72-4382-6A46-EB78AD160EC8}" id="{00620075-00B5-4A05-B4DD-00EB00F10020}" done="0">
    <text xml:space="preserve">25521.02 +302.065,30
</text>
  </threadedComment>
  <threadedComment ref="D831" personId="{7B03C851-1B72-4382-6A46-EB78AD160EC8}" id="{00FF0032-000C-4CE7-A303-00BC00DA002C}" done="0">
    <text xml:space="preserve">25554/05 +798.600
</text>
  </threadedComment>
  <threadedComment ref="D832" personId="{7B03C851-1B72-4382-6A46-EB78AD160EC8}" id="{0059006E-0085-4C24-97FC-001D00EF001A}" done="0">
    <text xml:space="preserve">25554/05 +50.000
</text>
  </threadedComment>
  <threadedComment ref="D835" personId="{7B03C851-1B72-4382-6A46-EB78AD160EC8}" id="{003E00BA-00EA-421E-A92D-0077001A00CB}" done="0">
    <text xml:space="preserve">25554/05 -50.000
</text>
  </threadedComment>
  <threadedComment ref="D837" personId="{7B03C851-1B72-4382-6A46-EB78AD160EC8}" id="{00870043-00DA-475B-9ADF-006500A500DB}" done="0">
    <text xml:space="preserve">25521/02 -312.434,90
25554/05 -847.352
</text>
  </threadedComment>
  <threadedComment ref="D838" personId="{7B03C851-1B72-4382-6A46-EB78AD160EC8}" id="{0026009C-00D7-410B-8B02-00A500FF00B5}" done="0">
    <text xml:space="preserve">25521/02 +10.369,60
25554/05 +48.752
</text>
  </threadedComment>
  <threadedComment ref="D843" personId="{7B03C851-1B72-4382-6A46-EB78AD160EC8}" id="{000A0044-0063-473E-9F82-00F500B900C6}" done="0">
    <text xml:space="preserve">25521/02 -1.756
</text>
  </threadedComment>
  <threadedComment ref="D844" personId="{7B03C851-1B72-4382-6A46-EB78AD160EC8}" id="{008100DA-0057-46A5-81CB-009D00BB007D}" done="0">
    <text xml:space="preserve">25521/02 +1.756
</text>
  </threadedComment>
  <threadedComment ref="D860" personId="{7B03C851-1B72-4382-6A46-EB78AD160EC8}" id="{00CF00DF-00A4-491A-B5FE-0061003F00FD}" done="0">
    <text xml:space="preserve">25098/06 +2.000.000
</text>
  </threadedComment>
  <threadedComment ref="D885" personId="{7B03C851-1B72-4382-6A46-EB78AD160EC8}" id="{002300D5-0007-4E5C-B410-006B008500A3}" done="0">
    <text xml:space="preserve">25023/02 +800.000
</text>
  </threadedComment>
  <threadedComment ref="D896" personId="{7B03C851-1B72-4382-6A46-EB78AD160EC8}" id="{00AA0009-0051-482D-82EF-000D00CA00C1}" done="0">
    <text xml:space="preserve">25510/01 -50.000
</text>
  </threadedComment>
  <threadedComment ref="D898" personId="{7B03C851-1B72-4382-6A46-EB78AD160EC8}" id="{00FB0033-001F-4DFE-A43D-004500A6000C}" done="0">
    <text xml:space="preserve">25510/01 +50.000
</text>
  </threadedComment>
  <threadedComment ref="D912" personId="{7B03C851-1B72-4382-6A46-EB78AD160EC8}" id="{00DC0048-0032-4D39-9023-00530094005F}" done="0">
    <text xml:space="preserve">25510/01 -30.000
25535/03 -20.000
25098/06 +1.000.000
</text>
  </threadedComment>
  <threadedComment ref="D918" personId="{7B03C851-1B72-4382-6A46-EB78AD160EC8}" id="{007C0037-0060-4CBB-8BCD-008B00B300B7}" done="0">
    <text xml:space="preserve">25510/01 +30.000
25535/03 +20.000
</text>
  </threadedComment>
  <threadedComment ref="D929" personId="{7B03C851-1B72-4382-6A46-EB78AD160EC8}" id="{00A20001-0085-4496-826B-007B0044002A}" done="0">
    <text xml:space="preserve">25098/06 +1.000.000
</text>
  </threadedComment>
  <threadedComment ref="D934" personId="{7B03C851-1B72-4382-6A46-EB78AD160EC8}" id="{00C50024-0087-4C66-960C-00540047002B}" done="0">
    <text xml:space="preserve">25023/02 -800.000
</text>
  </threadedComment>
  <threadedComment ref="D959" personId="{7B03C851-1B72-4382-6A46-EB78AD160EC8}" id="{00610031-0086-45AA-82C3-003E0077001C}" done="0">
    <text xml:space="preserve">25024/02 
+76.214,38 Máj
+111.686,75 Sady
</text>
  </threadedComment>
  <threadedComment ref="D960" personId="{7B03C851-1B72-4382-6A46-EB78AD160EC8}" id="{00480071-00AC-431D-BCE5-007500BD003A}" done="0">
    <text xml:space="preserve">25024/02 
+212.592,52 K66
+261.781,31 K68
+349.438,48 Tyr
</text>
  </threadedComment>
  <threadedComment ref="D961" personId="{7B03C851-1B72-4382-6A46-EB78AD160EC8}" id="{009D0029-00A1-4571-B8F1-009F00EC00F1}" done="0">
    <text xml:space="preserve">25026/02 +3.730
</text>
  </threadedComment>
  <threadedComment ref="D962" personId="{7B03C851-1B72-4382-6A46-EB78AD160EC8}" id="{00210014-00EB-4C05-8240-00C6007E00E8}" done="0">
    <text xml:space="preserve">25024/02 +61.299
</text>
  </threadedComment>
  <threadedComment ref="D968" personId="{7B03C851-1B72-4382-6A46-EB78AD160EC8}" id="{0013006E-00A8-46D9-8FF6-007600520062}" done="0">
    <text xml:space="preserve">25057/04 +25.564.110
</text>
  </threadedComment>
  <threadedComment ref="D972" personId="{7B03C851-1B72-4382-6A46-EB78AD160EC8}" id="{008100CA-0079-4390-935E-000800E30065}" done="0">
    <text xml:space="preserve">25004/01 úz 33092
+ 913,14 (1431)
+3.011,86 (1435)
</text>
  </threadedComment>
  <threadedComment ref="D973" personId="{7B03C851-1B72-4382-6A46-EB78AD160EC8}" id="{00F30074-0031-400B-B46E-0008006A0065}" done="0">
    <text xml:space="preserve">25027/02 +15.187,53
</text>
  </threadedComment>
  <threadedComment ref="D974" personId="{7B03C851-1B72-4382-6A46-EB78AD160EC8}" id="{008800D6-0055-4925-8AEC-0041003A00AF}" done="0">
    <text xml:space="preserve">25027/02 +3.957,43
</text>
  </threadedComment>
  <threadedComment ref="D977" personId="{7B03C851-1B72-4382-6A46-EB78AD160EC8}" id="{005A0094-0002-45F5-8C47-0094004D00A8}" done="0">
    <text xml:space="preserve">25001/01 -3.178.500
25002/01 +99.036
25003/01 -432.200
25005/01 -595.004,14
25008/01 +3.000.000
25009/01 +145.092
25011/01 -7.500
25012/01 -15.000
25013/01 -30.000
25014/01 -30.000
25015/01 -7.500
25016/01 -80.000
25017/01 +472.672,50
25018/02 -214.000
25024/02 -641.178,72
25025/02 -104.517
25027/02 -19.144,96
25028/02 +463.363
25029/02 -400.000
25030/03 +21.520.868,17
25031/03 +1.247.432,21
25034/03 -60.000
25035/03 +-10.990
25036/03 +297.792
25042/03 +2.743.942,28
25044/03 -14.800.000
25045/03 -6.020.000
25054/04 +1.571.026,45
25056/04 -27.427,50
25058/04 +5.889.660
25059/04 -1.700.000
25061/04 -5.000.000
25066/04 -2.000.000
25067/04 -3.000.000
25069/04 +85.015
25070/04 +472.380
25071/01 +706.318,75
25072/04 +1.093.905,82
25073/04 -300.000
25074/04 -280.000
25077/05 +25.671,25
25078/05 +25.000.000
25080/05 -3.000.000
25081/05 -3.375.008,64
25083/05 -370.000
25084/05 -300.000
25092/06 -1.266.234,75
25093/06 +810.777
25094/06 +5.424.450
25098/06 -4.500.000
25099/06 -5.000.000
25100/06 +300.000
</text>
  </threadedComment>
  <threadedComment ref="D100" personId="{7B03C851-1B72-4382-6A46-EB78AD160EC8}" id="{007A00F7-00A7-4E15-9362-00DC009C00E6}" done="0">
    <text xml:space="preserve">25090/05 +10.000
</text>
  </threadedComment>
</ThreadedComments>
</file>

<file path=xl/threadedComments/threadedComment5.xml><?xml version="1.0" encoding="utf-8"?>
<ThreadedComments xmlns="http://schemas.microsoft.com/office/spreadsheetml/2018/threadedcomments" xmlns:x="http://schemas.openxmlformats.org/spreadsheetml/2006/main">
  <threadedComment ref="D104" personId="{7B03C851-1B72-4382-6A46-EB78AD160EC8}" id="{00E0000F-00C5-4230-A347-005100FF0011}" done="0">
    <text xml:space="preserve">25144/08 +465.000
25170/09 +671.703,90
25258/12 
-671.703,90 -465.000
</text>
  </threadedComment>
  <threadedComment ref="D105" personId="{7B03C851-1B72-4382-6A46-EB78AD160EC8}" id="{004E00AD-006B-42A6-A92F-009500500000}" done="0">
    <text xml:space="preserve">25144/08 +5.747,50
</text>
  </threadedComment>
  <threadedComment ref="D107" personId="{7B03C851-1B72-4382-6A46-EB78AD160EC8}" id="{002A0007-0063-4744-922F-00CF004200B8}" done="0">
    <text xml:space="preserve">25243/12 +50.000
25258/12 -50.000
</text>
  </threadedComment>
  <threadedComment ref="D108" personId="{7B03C851-1B72-4382-6A46-EB78AD160EC8}" id="{009C008E-0097-428B-B90B-00A000E400FF}" done="0">
    <text xml:space="preserve">25243/12 +50.000
25258/12 -50.000
</text>
  </threadedComment>
  <threadedComment ref="D113" personId="{7B03C851-1B72-4382-6A46-EB78AD160EC8}" id="{00A500A7-00C7-4FA5-A187-00B800E00096}" done="0">
    <text xml:space="preserve">25258/12
+139.959,54 +671.703,90 +382.500 +465.000 +234.649,25 +41.297,20 +15590 +50000 +12.589,98 +18.500,85
</text>
  </threadedComment>
  <threadedComment ref="D115" personId="{7B03C851-1B72-4382-6A46-EB78AD160EC8}" id="{0060000B-0078-45A7-ACB9-00CB003C0017}" done="0">
    <text xml:space="preserve">25031/02 +700.000
</text>
  </threadedComment>
  <threadedComment ref="D116" personId="{7B03C851-1B72-4382-6A46-EB78AD160EC8}" id="{003C0029-0015-413D-BFB4-000D00DA00BA}" done="0">
    <text xml:space="preserve">25028/02 +463.363
</text>
  </threadedComment>
  <threadedComment ref="D117" personId="{7B03C851-1B72-4382-6A46-EB78AD160EC8}" id="{00F80020-00DF-4661-BA4E-005000CA00F9}" done="0">
    <text xml:space="preserve">25024/02 +62.538,16
</text>
  </threadedComment>
  <threadedComment ref="D118" personId="{7B03C851-1B72-4382-6A46-EB78AD160EC8}" id="{00B6000A-0066-469F-B1FD-00BF00D800BF}" done="0">
    <text xml:space="preserve">25024/02 +129.480,70
</text>
  </threadedComment>
  <threadedComment ref="D119" personId="{7B03C851-1B72-4382-6A46-EB78AD160EC8}" id="{000800A9-007F-4F4D-B4ED-007400D500A2}" done="0">
    <text xml:space="preserve">25204/11 
+ 252.863,08 úz253 1441
+834.018,92 úz911 1445
</text>
  </threadedComment>
  <threadedComment ref="D120" personId="{7B03C851-1B72-4382-6A46-EB78AD160EC8}" id="{00C500D4-0030-4ECC-8D04-000700B7005A}" done="0">
    <text xml:space="preserve">25203/11 
+ 6.450,70 úz253 1441
+58.056,30 úz911 1445
</text>
  </threadedComment>
  <threadedComment ref="D121" personId="{7B03C851-1B72-4382-6A46-EB78AD160EC8}" id="{00C20054-0069-4403-B606-0049002400FA}" done="0">
    <text xml:space="preserve">25024/02 +169.544,53
</text>
  </threadedComment>
  <threadedComment ref="D122" personId="{7B03C851-1B72-4382-6A46-EB78AD160EC8}" id="{001B0096-0031-4079-8509-002700130041}" done="0">
    <text xml:space="preserve">25024/02 +70.270,33
</text>
  </threadedComment>
  <threadedComment ref="D123" personId="{7B03C851-1B72-4382-6A46-EB78AD160EC8}" id="{00E4005B-000E-468A-9A44-0064000A0006}" done="0">
    <text xml:space="preserve">25042/03 +2.743.942,28
</text>
  </threadedComment>
  <threadedComment ref="D124" personId="{7B03C851-1B72-4382-6A46-EB78AD160EC8}" id="{008D0056-004F-4893-9317-007B006200C5}" done="0">
    <text xml:space="preserve">25031/02 
+37.912,80  1180
+ 6.500   1131
+455.819,41  1134
25088/05 +30.000
</text>
  </threadedComment>
  <threadedComment ref="D125" personId="{7B03C851-1B72-4382-6A46-EB78AD160EC8}" id="{0049003A-003D-4408-9B5F-00E9009F0074}" done="0">
    <text xml:space="preserve">25062/04 +23.725
25063/04 +4.745
25082/05 +40.000
25091/06 +10.000
25108/07 +10.000
25136/08 +17.245
25146/08 +60.000
</text>
  </threadedComment>
  <threadedComment ref="D127" personId="{7B03C851-1B72-4382-6A46-EB78AD160EC8}" id="{009800E4-00BF-4B92-8C67-002900610050}" done="0">
    <text xml:space="preserve">25004/01 úz 33092
+ 913,14 (1431)
+3.011,86 (1435)
</text>
  </threadedComment>
  <threadedComment ref="D128" personId="{7B03C851-1B72-4382-6A46-EB78AD160EC8}" id="{001C0038-0047-4A57-92AC-00EB004900CA}" done="0">
    <text xml:space="preserve">25203/11 úz 33092
+ 24.701,86 (1431)
+ 81.474,14 (1435)
</text>
  </threadedComment>
  <threadedComment ref="D129" personId="{7B03C851-1B72-4382-6A46-EB78AD160EC8}" id="{007700CA-0003-4903-A618-00AD00B300A9}" done="0">
    <text xml:space="preserve">25026/02 +3.730
</text>
  </threadedComment>
  <threadedComment ref="D131" personId="{7B03C851-1B72-4382-6A46-EB78AD160EC8}" id="{004100F3-0028-47F1-85B7-00EE00B300A2}" done="0">
    <text xml:space="preserve">25032/03
-50.000 741
+50.000 528
25033/03
-50.000 741
+50.000 416
25175/09 +10.000 (035)
25177/10 +150.000 (416)
25181/10 -10.000 (035)
25196/11 +30.000
</text>
  </threadedComment>
  <threadedComment ref="D132" personId="{7B03C851-1B72-4382-6A46-EB78AD160EC8}" id="{00A500B3-00EF-4FDB-A40B-000B001C0089}" done="0">
    <text xml:space="preserve">25068/04 +240.187
25169/09 +155.473
</text>
  </threadedComment>
  <threadedComment ref="D137" personId="{7B03C851-1B72-4382-6A46-EB78AD160EC8}" id="{008F00AB-0031-4EE6-B88C-00F9009F0038}" done="0">
    <text xml:space="preserve">25031/03 +15.000
</text>
  </threadedComment>
  <threadedComment ref="D156" personId="{7B03C851-1B72-4382-6A46-EB78AD160EC8}" id="{00FD005F-0096-4C5B-8709-00CC005800E5}" done="0">
    <text xml:space="preserve">25074/04 -200.000
</text>
  </threadedComment>
  <threadedComment ref="D165" personId="{7B03C851-1B72-4382-6A46-EB78AD160EC8}" id="{00FF007C-009A-4276-8586-00A7004D0049}" done="0">
    <text xml:space="preserve">25246/12 +151.008
</text>
  </threadedComment>
  <threadedComment ref="D166" personId="{7B03C851-1B72-4382-6A46-EB78AD160EC8}" id="{00AF0037-00CE-4976-951D-001B008700B6}" done="0">
    <text xml:space="preserve">25061/04 -5000000
</text>
  </threadedComment>
  <threadedComment ref="D171" personId="{7B03C851-1B72-4382-6A46-EB78AD160EC8}" id="{004700E3-00EA-4362-A2EC-003E0031006D}" done="0">
    <text xml:space="preserve">25183/10 -500.000
</text>
  </threadedComment>
  <threadedComment ref="D172" personId="{7B03C851-1B72-4382-6A46-EB78AD160EC8}" id="{008E009B-008E-4245-B90A-002F00AF0042}" done="0">
    <text xml:space="preserve">25047/03 -500.000
</text>
  </threadedComment>
  <threadedComment ref="D173" personId="{7B03C851-1B72-4382-6A46-EB78AD160EC8}" id="{00940051-0045-41DD-BB7F-00C9004300DC}" done="0">
    <text xml:space="preserve">25255/12 -5.132.771,51
</text>
  </threadedComment>
  <threadedComment ref="D176" personId="{7B03C851-1B72-4382-6A46-EB78AD160EC8}" id="{00A800F1-005D-423B-A291-0026006C00CC}" done="0">
    <text xml:space="preserve">25058/04 +5.889.660
</text>
  </threadedComment>
  <threadedComment ref="D177" personId="{7B03C851-1B72-4382-6A46-EB78AD160EC8}" id="{005C0038-00DF-431A-97D8-00FC0030008E}" done="0">
    <text xml:space="preserve">25094/06 +5.424.450
</text>
  </threadedComment>
  <threadedComment ref="D179" personId="{7B03C851-1B72-4382-6A46-EB78AD160EC8}" id="{00D20061-0096-45F6-A56C-00FA0068008E}" done="0">
    <text xml:space="preserve">25193/10 -2.975.049
</text>
  </threadedComment>
  <threadedComment ref="D180" personId="{7B03C851-1B72-4382-6A46-EB78AD160EC8}" id="{003B004A-0076-446F-A2DB-0024002A00D9}" done="0">
    <text xml:space="preserve">25093/06 +748.448
</text>
  </threadedComment>
  <threadedComment ref="D181" personId="{7B03C851-1B72-4382-6A46-EB78AD160EC8}" id="{005C00C6-006F-4FCE-BD39-007E007000E2}" done="0">
    <text xml:space="preserve">25093/06 +62.329
</text>
  </threadedComment>
  <threadedComment ref="D182" personId="{7B03C851-1B72-4382-6A46-EB78AD160EC8}" id="{002F0016-0086-44A1-B0E1-004D00C2009F}" done="0">
    <text xml:space="preserve">25193/10 -20.300.000
</text>
  </threadedComment>
  <threadedComment ref="D183" personId="{7B03C851-1B72-4382-6A46-EB78AD160EC8}" id="{007F00B7-0063-4FA6-BA6C-0002001000EE}" done="0">
    <text xml:space="preserve">25193/10 -610.000
</text>
  </threadedComment>
  <threadedComment ref="D186" personId="{7B03C851-1B72-4382-6A46-EB78AD160EC8}" id="{00340039-0080-4B51-B6D9-003600DB008E}" done="0">
    <text xml:space="preserve">25162/09 -2.499.999
</text>
  </threadedComment>
  <threadedComment ref="D187" personId="{7B03C851-1B72-4382-6A46-EB78AD160EC8}" id="{00C6001B-0017-4E26-870A-005100B700F1}" done="0">
    <text xml:space="preserve">25254/12 -1.356.601
</text>
  </threadedComment>
  <threadedComment ref="D188" personId="{7B03C851-1B72-4382-6A46-EB78AD160EC8}" id="{00DD00A9-0095-47EF-BC6A-007F006900D9}" done="0">
    <text xml:space="preserve">25166/09 -168.585
</text>
  </threadedComment>
  <threadedComment ref="D189" personId="{7B03C851-1B72-4382-6A46-EB78AD160EC8}" id="{009D00CC-0078-470F-BD0C-00C100AB00A6}" done="0">
    <text xml:space="preserve">25244/12 -5.312.129
</text>
  </threadedComment>
  <threadedComment ref="D190" personId="{7B03C851-1B72-4382-6A46-EB78AD160EC8}" id="{007300D9-00D3-4E82-8578-009A00020054}" done="0">
    <text xml:space="preserve">25246/12 -151.008
</text>
  </threadedComment>
  <threadedComment ref="D195" personId="{7B03C851-1B72-4382-6A46-EB78AD160EC8}" id="{001C0077-004E-4C42-964B-0032002B008A}" done="0">
    <text xml:space="preserve">25130.07
-500.000 +735.000
</text>
  </threadedComment>
  <threadedComment ref="D196" personId="{7B03C851-1B72-4382-6A46-EB78AD160EC8}" id="{00320083-0040-4D8C-A954-009600F600B7}" done="0">
    <text xml:space="preserve">25003/01 -432.200
</text>
  </threadedComment>
  <threadedComment ref="D198" personId="{7B03C851-1B72-4382-6A46-EB78AD160EC8}" id="{00110097-004A-42BD-8E67-007E004400EB}" done="0">
    <text xml:space="preserve">25165/09 -55.091,76
25252/12 +49.994,72
</text>
  </threadedComment>
  <threadedComment ref="D199" personId="{7B03C851-1B72-4382-6A46-EB78AD160EC8}" id="{00900042-0090-4405-9634-00B60032004C}" done="0">
    <text xml:space="preserve">25101/07 -40.000
</text>
  </threadedComment>
  <threadedComment ref="D200" personId="{7B03C851-1B72-4382-6A46-EB78AD160EC8}" id="{007A0019-00B8-43C3-841B-0041007500BB}" done="0">
    <text xml:space="preserve">25157/09 
+91.819,40 úz89028 1601
+49.441,18 úz89029 1605
</text>
  </threadedComment>
  <threadedComment ref="D202" personId="{7B03C851-1B72-4382-6A46-EB78AD160EC8}" id="{00DB006C-00A3-46F0-ACA8-002000B000AE}" done="0">
    <text xml:space="preserve">25136/08 -17.245 
dotace 
</text>
  </threadedComment>
  <threadedComment ref="D203" personId="{7B03C851-1B72-4382-6A46-EB78AD160EC8}" id="{008200B5-006D-4A35-A671-00D600EB00E7}" done="0">
    <text xml:space="preserve">25135/08 +294.000
</text>
  </threadedComment>
  <threadedComment ref="D204" personId="{7B03C851-1B72-4382-6A46-EB78AD160EC8}" id="{00B70035-0093-49FC-9357-0051006C009F}" done="0">
    <text xml:space="preserve">25234/12 +995.434,77
</text>
  </threadedComment>
  <threadedComment ref="D205" personId="{7B03C851-1B72-4382-6A46-EB78AD160EC8}" id="{00DC0045-00CE-4B2E-B17D-00B400760008}" done="0">
    <text xml:space="preserve">25163/09 +1.563.852,31
</text>
  </threadedComment>
  <threadedComment ref="D206" personId="{7B03C851-1B72-4382-6A46-EB78AD160EC8}" id="{00F00049-0083-4808-9E1B-00170065007E}" done="0">
    <text xml:space="preserve">25194/10 +207.366
25224/12 +117.914
</text>
  </threadedComment>
  <threadedComment ref="D207" personId="{7B03C851-1B72-4382-6A46-EB78AD160EC8}" id="{002C0026-004A-438D-8E60-0094001F006E}" done="0">
    <text xml:space="preserve">25250/12 +115.881
</text>
  </threadedComment>
  <threadedComment ref="D209" personId="{7B03C851-1B72-4382-6A46-EB78AD160EC8}" id="{00130069-0006-410A-BFE5-00D1007700B6}" done="0">
    <text xml:space="preserve">25072/04 +71.563,93
</text>
  </threadedComment>
  <threadedComment ref="D210" personId="{7B03C851-1B72-4382-6A46-EB78AD160EC8}" id="{00690087-0024-48EB-A8BC-00DE001D007C}" done="0">
    <text xml:space="preserve">25158/09 +483.823
</text>
  </threadedComment>
  <threadedComment ref="D211" personId="{7B03C851-1B72-4382-6A46-EB78AD160EC8}" id="{00900082-0021-4E21-9DC2-00D7009E0089}" done="0">
    <text xml:space="preserve">25055/03  -+ 25.723 
25246/12 -74.277
</text>
  </threadedComment>
  <threadedComment ref="D212" personId="{7B03C851-1B72-4382-6A46-EB78AD160EC8}" id="{001600FA-005A-4260-AD99-003400160040}" done="0">
    <text xml:space="preserve">25051/04 úz 33092
+117.955,01 1431
+495.553,09  1435
</text>
  </threadedComment>
  <threadedComment ref="D213" personId="{7B03C851-1B72-4382-6A46-EB78AD160EC8}" id="{004E00EE-0031-4BD2-9252-00C800CB00D1}" done="0">
    <text xml:space="preserve">25052/04 úz 33092
+138.438,27 1431
+581.607,57  1435
</text>
  </threadedComment>
  <threadedComment ref="D214" personId="{7B03C851-1B72-4382-6A46-EB78AD160EC8}" id="{007A00A4-0080-46F1-B2AC-00F900CD004F}" done="0">
    <text xml:space="preserve">25041/03 úz 33092
+108.476,76 1431
+455.733  1435
</text>
  </threadedComment>
  <threadedComment ref="D215" personId="{7B03C851-1B72-4382-6A46-EB78AD160EC8}" id="{00DD00CF-008E-429C-868D-000C007B001E}" done="0">
    <text xml:space="preserve">25131/08 úz33092
+ 348.577,29 1441
+1.464.444,50 1445
</text>
  </threadedComment>
  <threadedComment ref="D216" personId="{7B03C851-1B72-4382-6A46-EB78AD160EC8}" id="{002E001C-00A4-465D-B7A3-00AA000300A5}" done="0">
    <text xml:space="preserve">25115/07 úz33092
+ 269.533,32 1441
+1.132.364,58 1445
</text>
  </threadedComment>
  <threadedComment ref="D217" personId="{7B03C851-1B72-4382-6A46-EB78AD160EC8}" id="{00650090-00F8-4F16-9F4A-000A00E40070}" done="0">
    <text xml:space="preserve">25115/07 úz33092
+ 269.533,32 1441
+1.132.364,58 1445
</text>
  </threadedComment>
  <threadedComment ref="D218" personId="{7B03C851-1B72-4382-6A46-EB78AD160EC8}" id="{00270031-0043-4F09-AC36-009F008900C5}" done="0">
    <text xml:space="preserve">25048/03 úz33092
+ 280.004,26 1441
+1.176.355,23 1445
</text>
  </threadedComment>
  <threadedComment ref="D219" personId="{7B03C851-1B72-4382-6A46-EB78AD160EC8}" id="{00710038-0036-46CC-8A76-0067003D00BF}" done="0">
    <text xml:space="preserve">25217/11 úz33092
+ 198.862,55 1441
+ 835.462,29 1445
</text>
  </threadedComment>
  <threadedComment ref="D220" personId="{7B03C851-1B72-4382-6A46-EB78AD160EC8}" id="{00F700C6-0092-4E87-9DF9-007600E3003A}" done="0">
    <text xml:space="preserve">25183/10
+1.341.000 radnice
+324.000 podloubí MN1-5
</text>
  </threadedComment>
  <threadedComment ref="D222" personId="{7B03C851-1B72-4382-6A46-EB78AD160EC8}" id="{008E00F2-00CA-44C8-BF2C-003900D00077}" done="0">
    <text xml:space="preserve">25246/12 +35.000
</text>
  </threadedComment>
  <threadedComment ref="D223" personId="{7B03C851-1B72-4382-6A46-EB78AD160EC8}" id="{00940084-0075-4CD5-9F93-004400910053}" done="0">
    <text xml:space="preserve">25246/12 +5.019
</text>
  </threadedComment>
  <threadedComment ref="D224" personId="{7B03C851-1B72-4382-6A46-EB78AD160EC8}" id="{005C00F0-0028-4522-A25C-00EF00EB00B3}" done="0">
    <text xml:space="preserve">25246/12 -31.600
</text>
  </threadedComment>
  <threadedComment ref="D225" personId="{7B03C851-1B72-4382-6A46-EB78AD160EC8}" id="{0070008A-00B9-42F9-A68E-00F30066000B}" done="0">
    <text xml:space="preserve">25246/12 -91.374
</text>
  </threadedComment>
  <threadedComment ref="D226" personId="{7B03C851-1B72-4382-6A46-EB78AD160EC8}" id="{00E100E0-00EF-488D-8BF5-00FD00C30089}" done="0">
    <text xml:space="preserve">25103/07 z orj 541 na 029
</text>
  </threadedComment>
  <threadedComment ref="D228" personId="{7B03C851-1B72-4382-6A46-EB78AD160EC8}" id="{004D00E9-00C2-489A-BDE5-003E00240080}" done="0">
    <text xml:space="preserve">25246/12 -300
</text>
  </threadedComment>
  <threadedComment ref="D229" personId="{7B03C851-1B72-4382-6A46-EB78AD160EC8}" id="{000C002C-00BC-4301-9905-00CC00D900AE}" done="0">
    <text xml:space="preserve">25246/12 +5.000
</text>
  </threadedComment>
  <threadedComment ref="D231" personId="{7B03C851-1B72-4382-6A46-EB78AD160EC8}" id="{0062008B-0028-42D9-8966-009E001F0022}" done="0">
    <text xml:space="preserve">25085/05 +110.000
</text>
  </threadedComment>
  <threadedComment ref="D232" personId="{7B03C851-1B72-4382-6A46-EB78AD160EC8}" id="{00F8005A-0094-4077-9D1B-00B4008800EC}" done="0">
    <text xml:space="preserve">25010/01 +4.737.000
</text>
  </threadedComment>
  <threadedComment ref="D234" personId="{7B03C851-1B72-4382-6A46-EB78AD160EC8}" id="{000900A0-0037-4D5B-B3B4-004D009800B9}" done="0">
    <text xml:space="preserve">25073/04 +140.000
</text>
  </threadedComment>
  <threadedComment ref="D235" personId="{7B03C851-1B72-4382-6A46-EB78AD160EC8}" id="{004A001D-0005-4728-9565-00D9006C0010}" done="0">
    <text xml:space="preserve">25181/10 +10.000
</text>
  </threadedComment>
  <threadedComment ref="D236" personId="{7B03C851-1B72-4382-6A46-EB78AD160EC8}" id="{00D00060-00F1-4EE4-9A45-006600BB0024}" done="0">
    <text xml:space="preserve">25053/03 +239.800
</text>
  </threadedComment>
  <threadedComment ref="D237" personId="{7B03C851-1B72-4382-6A46-EB78AD160EC8}" id="{006200E9-00A4-4BA9-8115-00490014007A}" done="0">
    <text xml:space="preserve">25037/03
+ 12.834 úz 253 1441
+115.506 úz 911 1445
25118/07 
- 9.659,60 úz253 1441
-86.936,40 úz911 1445
25180/10
 +14.076 úz253 1441
+126.684 úz911 1445
</text>
  </threadedComment>
  <threadedComment ref="D238" personId="{7B03C851-1B72-4382-6A46-EB78AD160EC8}" id="{007E00A0-0055-436E-A5CF-00B50037003C}" done="0">
    <text xml:space="preserve">25038/03 
+ 9.850 úz 253 1441
+88.650 úz911 1445
25128.07 
- 7.511,70 úz253 1441
-67.605,30 úz911 1445
25222/12
+9.418,5 úz253 1441
+84.766,50 úz911 1445
</text>
  </threadedComment>
  <threadedComment ref="D239" personId="{7B03C851-1B72-4382-6A46-EB78AD160EC8}" id="{00A30033-00AC-4C7E-9367-008F007900C1}" done="0">
    <text xml:space="preserve">25040/03
+ 17.098,20 úz253 1441
+153.883,80 úz911 1445
25156/09
- 17.098,20 úz253 1441
-153.883,80 úz911 1445
25223/12 
+34.051,50 úz253 1441
+306.463,50 úz911 1445
</text>
  </threadedComment>
  <threadedComment ref="D240" personId="{7B03C851-1B72-4382-6A46-EB78AD160EC8}" id="{0005001B-0000-438B-849D-00A000990067}" done="0">
    <text xml:space="preserve">25046/03
 +9.159,75 úz253 1441
+82.437,75 úz911 1445
25116.07 
 -6.672,70 úz253 1441
-60.054,30 úz911 1445
25178/10 
+ 31.360,50 úz 253 1441
+282.244,50 úz 911 1445
</text>
  </threadedComment>
  <threadedComment ref="D241" personId="{7B03C851-1B72-4382-6A46-EB78AD160EC8}" id="{00450020-00E0-4609-8F7A-00F600650015}" done="0">
    <text xml:space="preserve">25039/03 
+ 11.663,45 úz 253 1441
+104.971,05 úz911 1445
25117.07 
- 7.299,90 úz253 1441
-65.699,10 úz911 1445
25179/10
+ 24.290,45 úz245 1441
+113.643 úz 911 1445
25257/12 
-24.290,45 +12.627 úz253 1441
</text>
  </threadedComment>
  <threadedComment ref="D242" personId="{7B03C851-1B72-4382-6A46-EB78AD160EC8}" id="{00EB0003-007D-4C2A-B3C0-00DD00D50017}" done="0">
    <text xml:space="preserve">25210/11 +169.263
25246/12 -+169.263
</text>
  </threadedComment>
  <threadedComment ref="D243" personId="{7B03C851-1B72-4382-6A46-EB78AD160EC8}" id="{00A50018-0007-4B3E-B827-00D4009200F7}" done="0">
    <text xml:space="preserve">25061/04 +4.631.000
25176/10 +938.000
</text>
  </threadedComment>
  <threadedComment ref="D247" personId="{7B03C851-1B72-4382-6A46-EB78AD160EC8}" id="{00CE0031-000C-41B9-966E-00F100B900A1}" done="0">
    <text xml:space="preserve">25165/09 -1.101.835,09
25252/12 +999.894,81
</text>
  </threadedComment>
  <threadedComment ref="D249" personId="{7B03C851-1B72-4382-6A46-EB78AD160EC8}" id="{001E00C0-00AC-4E07-BEBC-008C00270071}" done="0">
    <text xml:space="preserve">25254/12 -13.964.800
</text>
  </threadedComment>
  <threadedComment ref="D250" personId="{7B03C851-1B72-4382-6A46-EB78AD160EC8}" id="{00110096-00A6-401A-9CDD-00A3009D0081}" done="0">
    <text xml:space="preserve">25164/09 -8.886.847
</text>
  </threadedComment>
  <threadedComment ref="D251" personId="{7B03C851-1B72-4382-6A46-EB78AD160EC8}" id="{0013001C-009F-4872-9227-0087006A0038}" done="0">
    <text xml:space="preserve">25163/09 -1.817.357,44
</text>
  </threadedComment>
  <threadedComment ref="D252" personId="{7B03C851-1B72-4382-6A46-EB78AD160EC8}" id="{008B00E0-0070-4519-AB4A-003F000D0058}" done="0">
    <text xml:space="preserve">25163/09 +196.649,72
</text>
  </threadedComment>
  <threadedComment ref="D253" personId="{7B03C851-1B72-4382-6A46-EB78AD160EC8}" id="{009B00BD-00C5-4E19-B968-0005006D0097}" done="0">
    <text xml:space="preserve">25244/12 +8.820.238,62
</text>
  </threadedComment>
  <threadedComment ref="D254" personId="{7B03C851-1B72-4382-6A46-EB78AD160EC8}" id="{0040008E-00DD-4807-9A95-004600610062}" done="0">
    <text xml:space="preserve">25054/03 +1.571.026,45
</text>
  </threadedComment>
  <threadedComment ref="D255" personId="{7B03C851-1B72-4382-6A46-EB78AD160EC8}" id="{000D00CC-00D2-43B5-93A2-00B600150047}" done="0">
    <text xml:space="preserve">25072/04 +1.022.341,89
</text>
  </threadedComment>
  <threadedComment ref="D256" personId="{7B03C851-1B72-4382-6A46-EB78AD160EC8}" id="{00130084-0000-4B7B-A5AE-001F000B00DF}" done="0">
    <text xml:space="preserve">25114.07 +40.000
</text>
  </threadedComment>
  <threadedComment ref="D258" personId="{7B03C851-1B72-4382-6A46-EB78AD160EC8}" id="{00B10021-006F-4A4F-A9F8-00B20089006D}" done="0">
    <text xml:space="preserve">25073/04 -140.000
</text>
  </threadedComment>
  <threadedComment ref="D259" personId="{7B03C851-1B72-4382-6A46-EB78AD160EC8}" id="{008C0018-00BD-4945-BC5C-002E006800D0}" done="0">
    <text xml:space="preserve">25167/09 -79.980
</text>
  </threadedComment>
  <threadedComment ref="D265" personId="{7B03C851-1B72-4382-6A46-EB78AD160EC8}" id="{00800095-0012-44A1-9D4B-004600CE00D2}" done="0">
    <text xml:space="preserve">25030/03 +21.520.868,17
</text>
  </threadedComment>
  <threadedComment ref="D277" personId="{7B03C851-1B72-4382-6A46-EB78AD160EC8}" id="{002100AC-00FD-49B4-94B0-007900B4001E}" done="0">
    <text xml:space="preserve">25691/11 -15.000
</text>
  </threadedComment>
  <threadedComment ref="D278" personId="{7B03C851-1B72-4382-6A46-EB78AD160EC8}" id="{009E0087-00C9-43CE-9D93-00A8005E0087}" done="0">
    <text xml:space="preserve">25190/10 +174.082,70
25691/11 -43.000
</text>
  </threadedComment>
  <threadedComment ref="D279" personId="{7B03C851-1B72-4382-6A46-EB78AD160EC8}" id="{00450003-008E-4773-9718-007600B60031}" done="0">
    <text xml:space="preserve">25190/10 -174.082,70
25691/11 -25.000
</text>
  </threadedComment>
  <threadedComment ref="D280" personId="{7B03C851-1B72-4382-6A46-EB78AD160EC8}" id="{0079007E-0062-4E5B-AA99-00CD0049005D}" done="0">
    <text xml:space="preserve">25691/11 +83.000
25236/12 +17.000
</text>
  </threadedComment>
  <threadedComment ref="D283" personId="{7B03C851-1B72-4382-6A46-EB78AD160EC8}" id="{007C00EC-00BF-41F5-AB42-001300F80016}" done="0">
    <text xml:space="preserve">25519/02 +699.259
25564/05 +195.569,92
25608/08 +669.420,40
25187/10 +400.000
25190/10 +174.082,70
</text>
  </threadedComment>
  <threadedComment ref="D284" personId="{7B03C851-1B72-4382-6A46-EB78AD160EC8}" id="{008F008A-00DA-4B5E-B951-00520094001E}" done="0">
    <text xml:space="preserve">25519/02 -699.259
25564/05 -195.569,92
25608/08 -669.420,40
25635/09 +200.000
25187/10 +700.000
25236/12 -17.000
</text>
  </threadedComment>
  <threadedComment ref="D286" personId="{7B03C851-1B72-4382-6A46-EB78AD160EC8}" id="{00EC0048-0009-488F-8F4C-000600010090}" done="0">
    <text xml:space="preserve">25635/09 -200.000
</text>
  </threadedComment>
  <threadedComment ref="D293" personId="{7B03C851-1B72-4382-6A46-EB78AD160EC8}" id="{008E0027-0069-4377-8200-00EA00150052}" done="0">
    <text xml:space="preserve">25506/01 +98.736
</text>
  </threadedComment>
  <threadedComment ref="D294" personId="{7B03C851-1B72-4382-6A46-EB78AD160EC8}" id="{001700D3-0045-49F9-812C-0059003A0061}" done="0">
    <text xml:space="preserve">25633/09 +300.201
</text>
  </threadedComment>
  <threadedComment ref="D295" personId="{7B03C851-1B72-4382-6A46-EB78AD160EC8}" id="{008F00C7-008E-4BFF-BD16-0003002500DA}" done="0">
    <text xml:space="preserve">25201/11 +700.000
</text>
  </threadedComment>
  <threadedComment ref="D296" personId="{7B03C851-1B72-4382-6A46-EB78AD160EC8}" id="{0028000B-00DB-4CD6-BB2A-009200CD008F}" done="0">
    <text xml:space="preserve">25249/12 -500.000
</text>
  </threadedComment>
  <threadedComment ref="D297" personId="{7B03C851-1B72-4382-6A46-EB78AD160EC8}" id="{00BF00F6-00FD-465E-88A5-00D600F500F0}" done="0">
    <text xml:space="preserve">25501/01 +18.732,10
</text>
  </threadedComment>
  <threadedComment ref="D298" personId="{7B03C851-1B72-4382-6A46-EB78AD160EC8}" id="{006E0048-00E9-4294-B332-0016004F0037}" done="0">
    <text xml:space="preserve">25506/01 -98.736
25169/09 +107.296
25633/09 -300.201
25639/09 +88.267,90
</text>
  </threadedComment>
  <threadedComment ref="D299" personId="{7B03C851-1B72-4382-6A46-EB78AD160EC8}" id="{0068009D-006E-41D9-93A6-00A6004B000E}" done="0">
    <text xml:space="preserve">25501/01 -18.732,10
25637/09 -393.000
25639/09 -88.267,90
</text>
  </threadedComment>
  <threadedComment ref="D300" personId="{7B03C851-1B72-4382-6A46-EB78AD160EC8}" id="{00FB003A-0092-440B-98BF-00870030003B}" done="0">
    <text xml:space="preserve">25525/02 +370.000
25580.07 +13.752,93
25637/09 +393.000
</text>
  </threadedComment>
  <threadedComment ref="D301" personId="{7B03C851-1B72-4382-6A46-EB78AD160EC8}" id="{004400A5-0059-480D-A208-006300100087}" done="0">
    <text xml:space="preserve">25525/02 -370.000
25580.07 -13.752,93
</text>
  </threadedComment>
  <threadedComment ref="D304" personId="{7B03C851-1B72-4382-6A46-EB78AD160EC8}" id="{00B300AB-00BD-4FA4-874B-007500BB00A8}" done="0">
    <text xml:space="preserve">25513/01 +90.212,58
</text>
  </threadedComment>
  <threadedComment ref="D305" personId="{7B03C851-1B72-4382-6A46-EB78AD160EC8}" id="{00FB004A-005E-43C0-BEE8-00C100520008}" done="0">
    <text xml:space="preserve">25675/1
1 +59.895
</text>
  </threadedComment>
  <threadedComment ref="D306" personId="{7B03C851-1B72-4382-6A46-EB78AD160EC8}" id="{00EB0095-0048-4563-B411-000D00D1008E}" done="0">
    <text xml:space="preserve">25505/01 +29.947,50
</text>
  </threadedComment>
  <threadedComment ref="D310" personId="{7B03C851-1B72-4382-6A46-EB78AD160EC8}" id="{00FA00AA-0076-4B52-BB56-00D100F80058}" done="0">
    <text xml:space="preserve">25505/01 -29.947,50
25513/01 -90.212,58
25124.07 -2.000.000
25675/11 -59.895
</text>
  </threadedComment>
  <threadedComment ref="D313" personId="{7B03C851-1B72-4382-6A46-EB78AD160EC8}" id="{00E50089-00E3-46DC-9368-0037001F0032}" done="0">
    <text xml:space="preserve">25538/03 +19.312,50
</text>
  </threadedComment>
  <threadedComment ref="D314" personId="{7B03C851-1B72-4382-6A46-EB78AD160EC8}" id="{003700F0-0011-4BA9-ACCF-00C7004A0035}" done="0">
    <text xml:space="preserve">25020/02 +250.000
25186/10 +500.000
</text>
  </threadedComment>
  <threadedComment ref="D316" personId="{7B03C851-1B72-4382-6A46-EB78AD160EC8}" id="{009E0031-0066-4D46-B773-00D100FE00E3}" done="0">
    <text xml:space="preserve">25538/03 -19.312,50
</text>
  </threadedComment>
  <threadedComment ref="D317" personId="{7B03C851-1B72-4382-6A46-EB78AD160EC8}" id="{00AB00AB-00AF-4379-BC26-00040002005E}" done="0">
    <text xml:space="preserve">25169/09 +7.519
</text>
  </threadedComment>
  <threadedComment ref="D320" personId="{7B03C851-1B72-4382-6A46-EB78AD160EC8}" id="{00FA0090-000B-46C5-B0AC-008100E200CE}" done="0">
    <text xml:space="preserve">25081/05 +3.375.008,64
25173/09 -3.554.234,82
25701/12 +160.000
</text>
  </threadedComment>
  <threadedComment ref="D323" personId="{7B03C851-1B72-4382-6A46-EB78AD160EC8}" id="{004B0036-00E0-4768-92DD-00EF00570055}" done="0">
    <text xml:space="preserve">25632/09 +66.512,10
25701/12 -75.000
</text>
  </threadedComment>
  <threadedComment ref="D325" personId="{7B03C851-1B72-4382-6A46-EB78AD160EC8}" id="{00CB00C2-00C3-406D-B0E4-0092000700DE}" done="0">
    <text xml:space="preserve">25632/09 -66.512,10
25701/12 -60.000
</text>
  </threadedComment>
  <threadedComment ref="D326" personId="{7B03C851-1B72-4382-6A46-EB78AD160EC8}" id="{004400EA-0027-4176-9F3C-007C00C700C6}" done="0">
    <text xml:space="preserve">25701/12 -25.000
</text>
  </threadedComment>
  <threadedComment ref="D332" personId="{7B03C851-1B72-4382-6A46-EB78AD160EC8}" id="{00CC00C9-007F-4376-8ECE-00EF006B0009}" done="0">
    <text xml:space="preserve">25186/10 -500.000
</text>
  </threadedComment>
  <threadedComment ref="D334" personId="{7B03C851-1B72-4382-6A46-EB78AD160EC8}" id="{0077008A-0000-4299-8A28-00CA00B900D6}" done="0">
    <text xml:space="preserve">
25192/10 -50.000
</text>
  </threadedComment>
  <threadedComment ref="D335" personId="{7B03C851-1B72-4382-6A46-EB78AD160EC8}" id="{00A60040-005D-49E0-9F0A-009B001C0007}" done="0">
    <text xml:space="preserve">25192/10 -100.000
</text>
  </threadedComment>
  <threadedComment ref="D338" personId="{7B03C851-1B72-4382-6A46-EB78AD160EC8}" id="{00EC00DF-00CF-46E3-9E57-00E500BC0024}" done="0">
    <text xml:space="preserve">25702/12 -99.920
</text>
  </threadedComment>
  <threadedComment ref="D340" personId="{7B03C851-1B72-4382-6A46-EB78AD160EC8}" id="{0024007D-0085-4C4E-A64D-00BB00CE003A}" done="0">
    <text xml:space="preserve">25562/05 +199.650
</text>
  </threadedComment>
  <threadedComment ref="D341" personId="{7B03C851-1B72-4382-6A46-EB78AD160EC8}" id="{004F004E-00EE-4A48-996C-00630047003E}" done="0">
    <text xml:space="preserve">25557/05 -96.485,40
25562/05 -199.650
25579.07 -460.000
25591/07 -96.600
25634/09 -244.650
25192/10 +150.000
25245/12 +115.000
</text>
  </threadedComment>
  <threadedComment ref="D342" personId="{7B03C851-1B72-4382-6A46-EB78AD160EC8}" id="{006B0090-0004-4C46-9FC2-00C400E9000A}" done="0"/>
  <threadedComment ref="D343" personId="{7B03C851-1B72-4382-6A46-EB78AD160EC8}" id="{007F008F-00E4-4244-B555-0005007500C0}" done="0">
    <text xml:space="preserve">25579.07 +460.000
25591/01 +96.600
</text>
  </threadedComment>
  <threadedComment ref="D344" personId="{7B03C851-1B72-4382-6A46-EB78AD160EC8}" id="{000E0025-00AD-4AD0-9E55-0030004B00B3}" done="0">
    <text xml:space="preserve">25634/09 +244.650
</text>
  </threadedComment>
  <threadedComment ref="D345" personId="{7B03C851-1B72-4382-6A46-EB78AD160EC8}" id="{0081008C-0033-4E77-A123-00E5008900F4}" done="0">
    <text xml:space="preserve">25557.07 +96.485,40
</text>
  </threadedComment>
  <threadedComment ref="D346" personId="{7B03C851-1B72-4382-6A46-EB78AD160EC8}" id="{001400CD-00FC-4354-B84E-006C0050001C}" done="0">
    <text xml:space="preserve">25702/12 +99.920
</text>
  </threadedComment>
  <threadedComment ref="D348" personId="{7B03C851-1B72-4382-6A46-EB78AD160EC8}" id="{006A0035-0046-47B7-B2FC-00B700D30072}" done="0">
    <text xml:space="preserve">25245/12 -20.000
</text>
  </threadedComment>
  <threadedComment ref="D349" personId="{7B03C851-1B72-4382-6A46-EB78AD160EC8}" id="{0007006F-0091-4712-8EB7-006B00650091}" done="0">
    <text xml:space="preserve">25245/12 -20.000
</text>
  </threadedComment>
  <threadedComment ref="D350" personId="{7B03C851-1B72-4382-6A46-EB78AD160EC8}" id="{00A30012-00CF-4987-A650-00430054001A}" done="0">
    <text xml:space="preserve">25245/12 -75.000
</text>
  </threadedComment>
  <threadedComment ref="D357" personId="{7B03C851-1B72-4382-6A46-EB78AD160EC8}" id="{00ED0087-00D3-467B-849D-0006007E001F}" done="0">
    <text xml:space="preserve">25068/04 +226.282
25172/09 -75.741,16
25187/10 -1.100.000
25655/10 -143.052,25
</text>
  </threadedComment>
  <threadedComment ref="D358" personId="{7B03C851-1B72-4382-6A46-EB78AD160EC8}" id="{001600C8-00D9-4785-88ED-00A3003E00A6}" done="0">
    <text xml:space="preserve">25068/04 +226.282
25172/09 -75.741,16
25655/10 +143.052,25
</text>
  </threadedComment>
  <threadedComment ref="D360" personId="{7B03C851-1B72-4382-6A46-EB78AD160EC8}" id="{00DF0058-00E7-47C5-B2E1-00780034003E}" done="0">
    <text xml:space="preserve">25134/08 +230.000
</text>
  </threadedComment>
  <threadedComment ref="D37" personId="{7B03C851-1B72-4382-6A46-EB78AD160EC8}" id="{008A0067-0082-426B-AE94-0070009B003C}" done="0">
    <text xml:space="preserve">25127.07 -2.000.000
</text>
  </threadedComment>
  <threadedComment ref="D362" personId="{7B03C851-1B72-4382-6A46-EB78AD160EC8}" id="{00E70069-0085-4D40-8104-00FE006D0001}" done="0">
    <text xml:space="preserve">25563/05 
-775.379,13  5171
+775.379,13 5139
25169/09 +1.042
25641/09 +360.000
</text>
  </threadedComment>
  <threadedComment ref="D365" personId="{7B03C851-1B72-4382-6A46-EB78AD160EC8}" id="{0024005F-000D-40E5-8E7C-0045000C00C4}" done="0">
    <text xml:space="preserve">25581.07 +121.839,10
</text>
  </threadedComment>
  <threadedComment ref="D366" personId="{7B03C851-1B72-4382-6A46-EB78AD160EC8}" id="{00FB00E5-00CD-49BF-B999-007500D70041}" done="0">
    <text xml:space="preserve">25582.07 +51.619
25641/09 +340.000
</text>
  </threadedComment>
  <threadedComment ref="D368" personId="{7B03C851-1B72-4382-6A46-EB78AD160EC8}" id="{00D9005E-0025-41D8-A381-00BE00550068}" done="0">
    <text xml:space="preserve">25583.07 +10.890
</text>
  </threadedComment>
  <threadedComment ref="D369" personId="{7B03C851-1B72-4382-6A46-EB78AD160EC8}" id="{00A500BA-00BE-49E1-9AB0-0055005C0092}" done="0">
    <text xml:space="preserve">25532/03 +40.838
</text>
  </threadedComment>
  <threadedComment ref="D370" personId="{7B03C851-1B72-4382-6A46-EB78AD160EC8}" id="{004E00D4-004E-460C-954B-00EE00FF00CA}" done="0">
    <text xml:space="preserve">25532/03 +40.838
</text>
  </threadedComment>
  <threadedComment ref="D38" personId="{7B03C851-1B72-4382-6A46-EB78AD160EC8}" id="{007E00DF-003A-4316-AC44-005400490025}" done="0">
    <text xml:space="preserve">25057/04 +25.564.110
</text>
  </threadedComment>
  <threadedComment ref="D371" personId="{7B03C851-1B72-4382-6A46-EB78AD160EC8}" id="{00560040-00B0-49C3-BACF-0052009E008F}" done="0">
    <text xml:space="preserve">25641/09 -700.000
</text>
  </threadedComment>
  <threadedComment ref="D372" personId="{7B03C851-1B72-4382-6A46-EB78AD160EC8}" id="{001E0093-00E3-4C53-915C-00290095000C}" done="0">
    <text xml:space="preserve">25532/03 -40.838
25581/07 -121.839,10
25582/07 -51.619
25583/07 -10.890
14484/07 -10.890
25134/08 -230.000
</text>
  </threadedComment>
  <threadedComment ref="D374" personId="{7B03C851-1B72-4382-6A46-EB78AD160EC8}" id="{00F5003C-00A2-43CF-97E5-00CE008100E2}" done="0">
    <text xml:space="preserve">25025/02 +104.517
25134/08 +67.000
25201/11 -500.000
25249/12 -550.000
</text>
  </threadedComment>
  <threadedComment ref="D375" personId="{7B03C851-1B72-4382-6A46-EB78AD160EC8}" id="{005A007F-00B9-47CB-A3A0-00D9009100EB}" done="0">
    <text xml:space="preserve">25134/08 -67.000
</text>
  </threadedComment>
  <threadedComment ref="D378" personId="{7B03C851-1B72-4382-6A46-EB78AD160EC8}" id="{008D0070-0002-4681-9168-00C200D10057}" done="0">
    <text xml:space="preserve">25172/09 +75.741,16
</text>
  </threadedComment>
  <threadedComment ref="D388" personId="{7B03C851-1B72-4382-6A46-EB78AD160EC8}" id="{005E0009-000E-4E7C-960B-007B00990098}" done="0">
    <text xml:space="preserve">25141/08 -4.000.000
</text>
  </threadedComment>
  <threadedComment ref="D391" personId="{7B03C851-1B72-4382-6A46-EB78AD160EC8}" id="{00640054-0089-4B79-A980-004D00D7008F}" done="0">
    <text xml:space="preserve">25504/01 -300.000
25509/01 -80.000
25511/01 -20.000
</text>
  </threadedComment>
  <threadedComment ref="D393" personId="{7B03C851-1B72-4382-6A46-EB78AD160EC8}" id="{003D0040-00E5-4FE6-B8C1-0065002D001A}" done="0">
    <text xml:space="preserve">25541/04 +450.000
25694/11 -205.000
</text>
  </threadedComment>
  <threadedComment ref="D394" personId="{7B03C851-1B72-4382-6A46-EB78AD160EC8}" id="{009C00C5-00C8-4204-8589-0058000200B6}" done="0">
    <text xml:space="preserve">25541/04 -450.000
25694/11 +205.000
</text>
  </threadedComment>
  <threadedComment ref="D395" personId="{7B03C851-1B72-4382-6A46-EB78AD160EC8}" id="{00DE003D-0091-4A4E-AD96-008800400062}" done="0">
    <text xml:space="preserve">25504/01 +300.000
25555/05 -29.900
</text>
  </threadedComment>
  <threadedComment ref="D396" personId="{7B03C851-1B72-4382-6A46-EB78AD160EC8}" id="{002E0047-0091-4A13-8872-003D008A0069}" done="0">
    <text xml:space="preserve">25509/01 +80.000
25511/01 +20.000
25555/05 +29.900
25121.07 +803.000
</text>
  </threadedComment>
  <threadedComment ref="D399" personId="{7B03C851-1B72-4382-6A46-EB78AD160EC8}" id="{004800E2-0053-4891-A37B-001300AC00BE}" done="0">
    <text xml:space="preserve">25576.07 +400.000
</text>
  </threadedComment>
  <threadedComment ref="D400" personId="{7B03C851-1B72-4382-6A46-EB78AD160EC8}" id="{006500F6-0045-4903-8A4D-0080003A0055}" done="0">
    <text xml:space="preserve">25022/02 -210.000
25120.07 +3.000.000
25126.07 +9.000.000
25576.07 +350.000
25145/08 -5.000.000
25254/12 -3.700.000
</text>
  </threadedComment>
  <threadedComment ref="D401" personId="{7B03C851-1B72-4382-6A46-EB78AD160EC8}" id="{007900B2-0080-4110-A8F2-0043007E0086}" done="0">
    <text xml:space="preserve">25576.07 -750.000
</text>
  </threadedComment>
  <threadedComment ref="D404" personId="{7B03C851-1B72-4382-6A46-EB78AD160EC8}" id="{003F004C-00A2-4780-A444-005B00EF000A}" done="0">
    <text xml:space="preserve">25622/08 -250.000
</text>
  </threadedComment>
  <threadedComment ref="D405" personId="{7B03C851-1B72-4382-6A46-EB78AD160EC8}" id="{00080028-00C6-41B3-A7B7-00E4005F004F}" done="0">
    <text xml:space="preserve">25589/07 -300.000
</text>
  </threadedComment>
  <threadedComment ref="D406" personId="{7B03C851-1B72-4382-6A46-EB78AD160EC8}" id="{00740069-0059-47EE-B18C-006200A80001}" done="0">
    <text xml:space="preserve">25588/07 -19.000
</text>
  </threadedComment>
  <threadedComment ref="D42" personId="{7B03C851-1B72-4382-6A46-EB78AD160EC8}" id="{00370060-00FB-412D-9392-004800AC00D7}" done="0">
    <text xml:space="preserve">25031/03 +32.200
</text>
  </threadedComment>
  <threadedComment ref="D411" personId="{7B03C851-1B72-4382-6A46-EB78AD160EC8}" id="{00AD00AA-00A1-4B5E-A1ED-005500BC00EA}" done="0">
    <text xml:space="preserve">25622/08 +250.000
</text>
  </threadedComment>
  <threadedComment ref="D412" personId="{7B03C851-1B72-4382-6A46-EB78AD160EC8}" id="{005500BC-00B6-4354-B261-008E008E0001}" done="0">
    <text xml:space="preserve">25542/04 -80.000
25550/05 -35.000
25254/12 -900.000
</text>
  </threadedComment>
  <threadedComment ref="D414" personId="{7B03C851-1B72-4382-6A46-EB78AD160EC8}" id="{004F00C1-00C2-4478-A81A-0059001F005F}" done="0">
    <text xml:space="preserve">25550/05 +35.000
</text>
  </threadedComment>
  <threadedComment ref="D415" personId="{7B03C851-1B72-4382-6A46-EB78AD160EC8}" id="{00EF00D3-0097-4204-937F-00370009006F}" done="0">
    <text xml:space="preserve">25067/04 +3.000.000
25588/07 +19.000
25589/07 +300.000
</text>
  </threadedComment>
  <threadedComment ref="D418" personId="{7B03C851-1B72-4382-6A46-EB78AD160EC8}" id="{00CB005F-0004-4FCA-8B1C-005A00290053}" done="0">
    <text xml:space="preserve">25542/04 +80.000
</text>
  </threadedComment>
  <threadedComment ref="D420" personId="{7B03C851-1B72-4382-6A46-EB78AD160EC8}" id="{0003003C-003C-4AA4-A5BA-007F00ED0092}" done="0">
    <text xml:space="preserve">25503/01 -90.000
25653/10 +70.000
</text>
  </threadedComment>
  <threadedComment ref="D421" personId="{7B03C851-1B72-4382-6A46-EB78AD160EC8}" id="{00C70022-0011-4C58-91BD-00500095005B}" done="0">
    <text xml:space="preserve">25507/01 -32.000
25508/01 - 104.000
25527/02 -17.000
25124.07 +2.000.000
25616/08 -301.000
25653/10 -70.000
25254/12 -1.700.000
</text>
  </threadedComment>
  <threadedComment ref="D422" personId="{7B03C851-1B72-4382-6A46-EB78AD160EC8}" id="{0044000E-0036-40F1-9ED9-00630059001A}" done="0">
    <text xml:space="preserve">255508/01 +104.000
</text>
  </threadedComment>
  <threadedComment ref="D423" personId="{7B03C851-1B72-4382-6A46-EB78AD160EC8}" id="{00FE00F5-0056-4F6C-8925-00F60068005F}" done="0">
    <text xml:space="preserve">25503/01 +90.000
</text>
  </threadedComment>
  <threadedComment ref="D426" personId="{7B03C851-1B72-4382-6A46-EB78AD160EC8}" id="{000C00EA-0020-42B1-A173-00E400750043}" done="0">
    <text xml:space="preserve">25527/02 +17.000
</text>
  </threadedComment>
  <threadedComment ref="D429" personId="{7B03C851-1B72-4382-6A46-EB78AD160EC8}" id="{006600D5-0001-4B4B-BB34-00DF003A00B6}" done="0">
    <text xml:space="preserve">25001/01 +472.200
25507/01 +32.000
</text>
  </threadedComment>
  <threadedComment ref="D431" personId="{7B03C851-1B72-4382-6A46-EB78AD160EC8}" id="{00CE0090-0093-406E-A4F1-00850038005B}" done="0">
    <text xml:space="preserve">25526/02 -32.000
25552/05 -21.000
25578.07 -22.000
</text>
  </threadedComment>
  <threadedComment ref="D433" personId="{7B03C851-1B72-4382-6A46-EB78AD160EC8}" id="{00200065-00ED-4EDD-8307-00F8008700FB}" done="0">
    <text xml:space="preserve">25526/02 +32.000
25552/05 +21.000
</text>
  </threadedComment>
  <threadedComment ref="D434" personId="{7B03C851-1B72-4382-6A46-EB78AD160EC8}" id="{0020001F-00F2-406A-BA90-000800490062}" done="0">
    <text xml:space="preserve">25001/01 +685.000
</text>
  </threadedComment>
  <threadedComment ref="D436" personId="{7B03C851-1B72-4382-6A46-EB78AD160EC8}" id="{005B00DE-0003-4900-AE46-002E00FE002D}" done="0">
    <text xml:space="preserve">25001/01 +2.021.300
</text>
  </threadedComment>
  <threadedComment ref="D438" personId="{7B03C851-1B72-4382-6A46-EB78AD160EC8}" id="{00F10077-0037-48F6-AC61-00A70063003B}" done="0">
    <text xml:space="preserve">25095/06 -1.000.000
25688/11 +300.000
25706/12 -256.000
</text>
  </threadedComment>
  <threadedComment ref="D439" personId="{7B03C851-1B72-4382-6A46-EB78AD160EC8}" id="{00BF00BC-00BD-475D-AB00-0058006F00BE}" done="0">
    <text xml:space="preserve">25573/06 +437.000
25578.07 +22.000
25616/08 +301.000
</text>
  </threadedComment>
  <threadedComment ref="D444" personId="{7B03C851-1B72-4382-6A46-EB78AD160EC8}" id="{00E30091-00F2-49B6-877E-00D300C40007}" done="0">
    <text xml:space="preserve">25059/04 +400.000
25679/11 +150.000
25706/12 +256.000
</text>
  </threadedComment>
  <threadedComment ref="D446" personId="{7B03C851-1B72-4382-6A46-EB78AD160EC8}" id="{00FD004C-003A-4FC2-8525-005C00BF00F1}" done="0">
    <text xml:space="preserve">25573/06 -437.000
</text>
  </threadedComment>
  <threadedComment ref="D447" personId="{7B03C851-1B72-4382-6A46-EB78AD160EC8}" id="{00E90086-001E-4E2A-845A-00A600F3009E}" done="0">
    <text xml:space="preserve">25121.07 -303.000
</text>
  </threadedComment>
  <threadedComment ref="D448" personId="{7B03C851-1B72-4382-6A46-EB78AD160EC8}" id="{00A300AA-0040-4D9C-A388-008400DE008D}" done="0">
    <text xml:space="preserve">25679/11 -150.000
</text>
  </threadedComment>
  <threadedComment ref="D449" personId="{7B03C851-1B72-4382-6A46-EB78AD160EC8}" id="{0060009E-00A5-486F-BE41-0014007D0004}" done="0">
    <text xml:space="preserve">25668/11 -300.000
není v součtu §2219,
takže sníž započítat přes rez 
</text>
  </threadedComment>
  <threadedComment ref="D46" personId="{7B03C851-1B72-4382-6A46-EB78AD160EC8}" id="{00D30023-009D-4535-977D-005100FA0064}" done="0">
    <text xml:space="preserve">25248/12 +240.000
</text>
  </threadedComment>
  <threadedComment ref="D451" personId="{7B03C851-1B72-4382-6A46-EB78AD160EC8}" id="{007500A4-00ED-4CE7-AE4F-006700C90090}" done="0">
    <text xml:space="preserve">25022/02 +210.000
</text>
  </threadedComment>
  <threadedComment ref="D452" personId="{7B03C851-1B72-4382-6A46-EB78AD160EC8}" id="{006D000B-0009-4D69-94F0-005F002800CC}" done="0">
    <text xml:space="preserve">25020/02 -250.000
</text>
  </threadedComment>
  <threadedComment ref="D456" personId="{7B03C851-1B72-4382-6A46-EB78AD160EC8}" id="{00280056-00C7-49C4-8E25-0028001F0086}" done="0">
    <text xml:space="preserve">25105.07 -500.000
25142/08 +470.000
25152/08 
-23.000  5169
+63.000  5171
25682/11 -9.000 5169
</text>
  </threadedComment>
  <threadedComment ref="D457" personId="{7B03C851-1B72-4382-6A46-EB78AD160EC8}" id="{00D600C9-0071-4A45-B774-004E00A800C1}" done="0">
    <text xml:space="preserve">25544/04 -25.000
25566/06 -9.000
</text>
  </threadedComment>
  <threadedComment ref="D458" personId="{7B03C851-1B72-4382-6A46-EB78AD160EC8}" id="{00EA0097-0035-4B1E-8F59-00910031003A}" done="0">
    <text xml:space="preserve">25682/11 -10.000
</text>
  </threadedComment>
  <threadedComment ref="D459" personId="{7B03C851-1B72-4382-6A46-EB78AD160EC8}" id="{00860034-005D-4200-9CC0-005200F6005D}" done="0">
    <text xml:space="preserve">25566/06 -18.000
25682/11 +22.000
</text>
  </threadedComment>
  <threadedComment ref="D460" personId="{7B03C851-1B72-4382-6A46-EB78AD160EC8}" id="{00E50068-00D3-4123-B5E8-007C005C007C}" done="0">
    <text xml:space="preserve">25682/11 -3.000
</text>
  </threadedComment>
  <threadedComment ref="D461" personId="{7B03C851-1B72-4382-6A46-EB78AD160EC8}" id="{00620096-00A5-4327-873D-00DB00B6007B}" done="0">
    <text xml:space="preserve">25544/04 +25.000
</text>
  </threadedComment>
  <threadedComment ref="D462" personId="{7B03C851-1B72-4382-6A46-EB78AD160EC8}" id="{00BA00DF-001B-415C-BE4A-0084002700D6}" done="0">
    <text xml:space="preserve">25566/06 +27.000
</text>
  </threadedComment>
  <threadedComment ref="D465" personId="{7B03C851-1B72-4382-6A46-EB78AD160EC8}" id="{000B0098-00B4-4D8F-86D0-008000310011}" done="0">
    <text xml:space="preserve">25044/03 +14.800.000
25604/07 +420.000
25610/08 +33.000
25613/08 +70.000
</text>
  </threadedComment>
  <threadedComment ref="D466" personId="{7B03C851-1B72-4382-6A46-EB78AD160EC8}" id="{00620019-00B4-48E7-8A27-004C00140011}" done="0">
    <text xml:space="preserve">25533/03 +10.000
</text>
  </threadedComment>
  <threadedComment ref="D467" personId="{7B03C851-1B72-4382-6A46-EB78AD160EC8}" id="{007000F4-00B9-4D9A-A967-002300F5006B}" done="0">
    <text xml:space="preserve">25572/06 
-55.000  5171
+75.000 5169
25105.07 +2.000.000
</text>
  </threadedComment>
  <threadedComment ref="D469" personId="{7B03C851-1B72-4382-6A46-EB78AD160EC8}" id="{00A500F7-0043-4393-906A-0064007800E1}" done="0">
    <text xml:space="preserve">25533/03 -10.000
25095/06 
-1.443.000 5171
-   254.000 5169
</text>
  </threadedComment>
  <threadedComment ref="D471" personId="{7B03C851-1B72-4382-6A46-EB78AD160EC8}" id="{003D000F-004E-4A2C-B9A6-00B600780075}" done="0">
    <text xml:space="preserve">25006/01 -3.150
</text>
  </threadedComment>
  <threadedComment ref="D473" personId="{7B03C851-1B72-4382-6A46-EB78AD160EC8}" id="{007B00AD-008B-4810-9047-0072005B0063}" done="0">
    <text xml:space="preserve">25572/06 -20.000
25612/08 +12.000
25640/09 +12.000
25660/10 +14.000
</text>
  </threadedComment>
  <threadedComment ref="D474" personId="{7B03C851-1B72-4382-6A46-EB78AD160EC8}" id="{006A008A-0002-4489-8567-000D00D00080}" done="0">
    <text xml:space="preserve">25604/07 -420.000
25142/08 -470.000
25152/08 -40.000
25610/08 -33.000
25612/08 -12.000
25613/08 -70.000
25640/09 -12.000
25660/10 -14.000
25239/12 -2.000.000
25254/12 -1.200.000
</text>
  </threadedComment>
  <threadedComment ref="D476" personId="{7B03C851-1B72-4382-6A46-EB78AD160EC8}" id="{00A700B3-009F-4632-8C51-00A800EF007A}" done="0">
    <text xml:space="preserve">25006/01 +3.150
</text>
  </threadedComment>
  <threadedComment ref="D479" personId="{7B03C851-1B72-4382-6A46-EB78AD160EC8}" id="{001B0081-00BB-4AB8-A7C4-00AB00690017}" done="0">
    <text xml:space="preserve">25160/09 -1.300.000
</text>
  </threadedComment>
  <threadedComment ref="D481" personId="{7B03C851-1B72-4382-6A46-EB78AD160EC8}" id="{00FF00A1-0012-4E7F-A361-006500F30016}" done="0">
    <text xml:space="preserve">25121.07 -100.000
25662/10 -7.500
</text>
  </threadedComment>
  <threadedComment ref="D482" personId="{7B03C851-1B72-4382-6A46-EB78AD160EC8}" id="{002B00D6-00A4-45B1-925E-001A00AF00E2}" done="0">
    <text xml:space="preserve">25121.07 -400.000
25662/10 +7.500
</text>
  </threadedComment>
  <threadedComment ref="D485" personId="{7B03C851-1B72-4382-6A46-EB78AD160EC8}" id="{0035006D-00EC-4A1E-9AE3-0039007E0093}" done="0">
    <text xml:space="preserve">25577.07 +86.625
25611/08 +79.860
</text>
  </threadedComment>
  <threadedComment ref="D486" personId="{7B03C851-1B72-4382-6A46-EB78AD160EC8}" id="{00EA0029-00FB-42D4-9F14-007900190056}" done="0">
    <text xml:space="preserve">25007/01 -50.000
25577.07 -86.625
25611/08 -79.860
25254/12 -1.000.000
</text>
  </threadedComment>
  <threadedComment ref="D488" personId="{7B03C851-1B72-4382-6A46-EB78AD160EC8}" id="{0083006D-00B2-47A1-81BA-0011008E00EE}" done="0">
    <text xml:space="preserve">25007/01 +50.000
</text>
  </threadedComment>
  <threadedComment ref="D491" personId="{7B03C851-1B72-4382-6A46-EB78AD160EC8}" id="{00BF003E-00C6-4D2B-AC25-00EF00870061}" done="0">
    <text xml:space="preserve">25095/06 -2.800.000
25623/09 -367.000
25625/09 +12.000
</text>
  </threadedComment>
  <threadedComment ref="D492" personId="{7B03C851-1B72-4382-6A46-EB78AD160EC8}" id="{00BA0098-00F2-4364-9119-008500770044}" done="0">
    <text xml:space="preserve">25105/07 -1.000.000
25623/09 +393.000
</text>
  </threadedComment>
  <threadedComment ref="D493" personId="{7B03C851-1B72-4382-6A46-EB78AD160EC8}" id="{00FB00CA-00F1-440C-B9A7-00C80011000B}" done="0">
    <text xml:space="preserve">25623/09 -26.000
25625/09 -12.000
</text>
  </threadedComment>
  <threadedComment ref="D501" personId="{7B03C851-1B72-4382-6A46-EB78AD160EC8}" id="{00EF00A4-00D5-458D-AB06-006800DB007F}" done="0">
    <text xml:space="preserve">25512/01 +-281.500
z 6121 na 5137
25045/03 +6.020.000
25064/04 +500.000
25595/07 -1.082.585
+  10.346  5139
+267.271  5137
+804.968  6122
</text>
  </threadedComment>
  <threadedComment ref="D503" personId="{7B03C851-1B72-4382-6A46-EB78AD160EC8}" id="{009E0047-003F-4459-8E63-00010093005C}" done="0">
    <text xml:space="preserve">25060/04 +3.050.000
25183/10 +1.341.000 úz 34054
25246/12 
-1.341.000 úz 34054
+1.341.000 bez úz
</text>
  </threadedComment>
  <threadedComment ref="D506" personId="{7B03C851-1B72-4382-6A46-EB78AD160EC8}" id="{00CA00D5-0098-47BE-8E40-000000CC00B7}" done="0">
    <text xml:space="preserve">25125.07 +12.000
</text>
  </threadedComment>
  <threadedComment ref="D510" personId="{7B03C851-1B72-4382-6A46-EB78AD160EC8}" id="{000D00B1-0073-458E-963F-00A9009D00AA}" done="0">
    <text xml:space="preserve">25021/02 +20.000
</text>
  </threadedComment>
  <threadedComment ref="D513" personId="{7B03C851-1B72-4382-6A46-EB78AD160EC8}" id="{004C00CB-00D2-4DEF-A47A-002E001A004E}" done="0">
    <text xml:space="preserve">25518/02 změna org z 3730 
-300.080 na:
+ 75.020 3537 Dlouhá, Bud
+ 75.020 3538 Dlouhá u garáží
+ 75.020 3539 Sportovní
+ 75.020 3540 u Máje
25559/05 změna org 
-2.400.000 z 3730
+2.400.000 na 3538 Dlouhá u gar
25097/06 
+1.750.000 3540 Vančurova 38
+  300.000  3541 III.et
25571/06
- 500.000  3730 II.et
+500.000  3540 Vančurova 38 
25575.07
-75.000 3730 I.et
+75.000 3540 Vanč 38 u Máje
25598/07
-29.000  3540 Vanč 38
+29.000 3730 Jičínská 274
-75.000  3541 III.et
+75.000 3538 Dlouhá u gar
25627/09
-102.000 3541 II.et
- 26.000  3540 Vanč 38
 -12.000  3730 Jičín 274
+140.000 3538 Dlouhá u gar
25638/09 
-5.000 3541 III.et
+5.000 3538 Dlouhá u gar
25644/09
-415.039,08  3730 Jičín 274  6121
+415.039,08  3730 Jičín 274  5171
</text>
  </threadedComment>
  <threadedComment ref="D518" personId="{7B03C851-1B72-4382-6A46-EB78AD160EC8}" id="{00C3005D-001B-470C-AFC1-00D400CC0065}" done="0">
    <text xml:space="preserve">25064/04 -500.000
25065/04 -500.000
25543/04 -450.000
25078/05 -25.000.000
25079/05 -630.000
25174/09 -25.000.000
25239/12 +2.000.000
</text>
  </threadedComment>
  <threadedComment ref="D519" personId="{7B03C851-1B72-4382-6A46-EB78AD160EC8}" id="{00A0006F-00B3-4DF6-955A-00DE005D00E7}" done="0">
    <text xml:space="preserve">25543/04 +450.000
</text>
  </threadedComment>
  <threadedComment ref="D53" personId="{7B03C851-1B72-4382-6A46-EB78AD160EC8}" id="{00DB00EB-0008-468C-9B51-005600190050}" done="0">
    <text xml:space="preserve">25248/12 +1.150.000
</text>
  </threadedComment>
  <threadedComment ref="D523" personId="{7B03C851-1B72-4382-6A46-EB78AD160EC8}" id="{0051005D-0082-49EB-A88F-00B700190022}" done="0">
    <text xml:space="preserve">25539/03 +10.000
25095/06 -503.000
25105.07 -500.000
25661/10 +550.000
25673/11 +71.000
25254/12 -1.000.000
</text>
  </threadedComment>
  <threadedComment ref="D524" personId="{7B03C851-1B72-4382-6A46-EB78AD160EC8}" id="{0033001D-006D-424C-B16B-00100031004E}" done="0">
    <text xml:space="preserve">25021/02 -20.000
25096/06 -550.000
25097/06 -2.050.000
25174/09 -2.160.000
</text>
  </threadedComment>
  <threadedComment ref="D526" personId="{7B03C851-1B72-4382-6A46-EB78AD160EC8}" id="{00FE0060-0048-49AE-BF23-00D900FB00CA}" done="0">
    <text xml:space="preserve">25174/09 -2.400.000
</text>
  </threadedComment>
  <threadedComment ref="D527" personId="{7B03C851-1B72-4382-6A46-EB78AD160EC8}" id="{00E100C9-00C8-4DBF-9777-00DC00B70061}" done="0">
    <text xml:space="preserve">25079/05 +460.000
25254/12 -700.000
</text>
  </threadedComment>
  <threadedComment ref="D528" personId="{7B03C851-1B72-4382-6A46-EB78AD160EC8}" id="{0050001E-0050-4802-AB51-00F2008000E1}" done="0">
    <text xml:space="preserve">25520/02 -290.000
25043/03 -5.450.000
25539/03 -10.000
</text>
  </threadedComment>
  <threadedComment ref="D529" personId="{7B03C851-1B72-4382-6A46-EB78AD160EC8}" id="{00650001-00C8-429B-9064-00AB002E0081}" done="0">
    <text xml:space="preserve">25060/04 -400.000
</text>
  </threadedComment>
  <threadedComment ref="D530" personId="{7B03C851-1B72-4382-6A46-EB78AD160EC8}" id="{00840071-0086-4A23-A129-002600DA00C4}" done="0">
    <text xml:space="preserve">25125.07 -12.000
25628/09 -245.000
</text>
  </threadedComment>
  <threadedComment ref="D54" personId="{7B03C851-1B72-4382-6A46-EB78AD160EC8}" id="{00F700DD-003B-4815-A8D4-0072004D003D}" done="0">
    <text xml:space="preserve">
</text>
  </threadedComment>
  <threadedComment ref="D531" personId="{7B03C851-1B72-4382-6A46-EB78AD160EC8}" id="{00A1000E-00E2-4420-9012-00C400D000BB}" done="0">
    <text xml:space="preserve">25628/09 +245.000
</text>
  </threadedComment>
  <threadedComment ref="D532" personId="{7B03C851-1B72-4382-6A46-EB78AD160EC8}" id="{00450010-0071-4681-9564-006F00B90010}" done="0">
    <text xml:space="preserve">25661/10 -550.000
25637/11 -71.000
25254/12 -2.600.000
</text>
  </threadedComment>
  <threadedComment ref="D533" personId="{7B03C851-1B72-4382-6A46-EB78AD160EC8}" id="{00FA00F3-0029-40BD-98C9-00B80036004B}" done="0">
    <text xml:space="preserve">25520/02 +290.000
</text>
  </threadedComment>
  <threadedComment ref="D534" personId="{7B03C851-1B72-4382-6A46-EB78AD160EC8}" id="{005C0083-00D4-4BA1-9754-00F700650076}" done="0">
    <text xml:space="preserve">25060/04 -500.000
</text>
  </threadedComment>
  <threadedComment ref="D535" personId="{7B03C851-1B72-4382-6A46-EB78AD160EC8}" id="{00390066-0028-4729-A7C8-001A004700A4}" done="0">
    <text xml:space="preserve">25060/04 -800.000
</text>
  </threadedComment>
  <threadedComment ref="D537" personId="{7B03C851-1B72-4382-6A46-EB78AD160EC8}" id="{009200A8-00F4-4246-BD6B-00E400D500E1}" done="0">
    <text xml:space="preserve">25174/09 -1.000.000
</text>
  </threadedComment>
  <threadedComment ref="D538" personId="{7B03C851-1B72-4382-6A46-EB78AD160EC8}" id="{00FF00E2-00F3-4489-900C-00000060002B}" done="0">
    <text xml:space="preserve">25095/06 +6.000.000
25254/12 -356.601
</text>
  </threadedComment>
  <threadedComment ref="D539" personId="{7B03C851-1B72-4382-6A46-EB78AD160EC8}" id="{00520056-000E-42AE-A51B-008B00D90059}" done="0">
    <text xml:space="preserve">25520/02 -290.000
25043/03 -5.450.000
</text>
  </threadedComment>
  <threadedComment ref="D540" personId="{7B03C851-1B72-4382-6A46-EB78AD160EC8}" id="{007900B7-007D-4D98-97D6-001700700055}" done="0">
    <text xml:space="preserve">25529/03 
z 5xxx na 6121
25066/04 +2.000000
25096/06 +550.000
</text>
  </threadedComment>
  <threadedComment ref="D541" personId="{7B03C851-1B72-4382-6A46-EB78AD160EC8}" id="{00BB002B-0084-4690-827A-00DC009B0052}" done="0">
    <text xml:space="preserve">25079/05 +170.000
</text>
  </threadedComment>
  <threadedComment ref="D542" personId="{7B03C851-1B72-4382-6A46-EB78AD160EC8}" id="{0078006C-0085-471F-A801-00A3002B00E4}" done="0">
    <text xml:space="preserve">25174/09 -500.000
</text>
  </threadedComment>
  <threadedComment ref="D543" personId="{7B03C851-1B72-4382-6A46-EB78AD160EC8}" id="{005C005F-00C8-4406-ACBE-007200F8005F}" done="0">
    <text xml:space="preserve">25174/09 
-250.000 -150.000
25658/10 +36.300
</text>
  </threadedComment>
  <threadedComment ref="D544" personId="{7B03C851-1B72-4382-6A46-EB78AD160EC8}" id="{0046004B-0092-41F3-AF6C-00DA00760039}" done="0">
    <text xml:space="preserve">25514/02 -oprava org z 3757 na 0518
</text>
  </threadedComment>
  <threadedComment ref="D545" personId="{7B03C851-1B72-4382-6A46-EB78AD160EC8}" id="{008F0078-000A-40AB-8A0E-00DF0027002D}" done="0">
    <text xml:space="preserve">25658/10 -36.300
</text>
  </threadedComment>
  <threadedComment ref="D547" personId="{7B03C851-1B72-4382-6A46-EB78AD160EC8}" id="{000000CC-0068-4DA1-AE1F-00FC001B0035}" done="0">
    <text xml:space="preserve">25574.07 -60.000
25254/12 -700.000
</text>
  </threadedComment>
  <threadedComment ref="D550" personId="{7B03C851-1B72-4382-6A46-EB78AD160EC8}" id="{004000C3-006C-4707-B910-000D003E0060}" done="0">
    <text xml:space="preserve">25065/04 +500.000
25574.07 +60.000
</text>
  </threadedComment>
  <threadedComment ref="D552" personId="{7B03C851-1B72-4382-6A46-EB78AD160EC8}" id="{005D001C-005C-452F-8F25-0011009D00E3}" done="0">
    <text xml:space="preserve">25522/02 změna pol
49.659,91 z 6121 na 5191
25174/09 -2.500.000
25680/11 +-605.000
dopl úz 917
</text>
  </threadedComment>
  <threadedComment ref="D557" personId="{7B03C851-1B72-4382-6A46-EB78AD160EC8}" id="{003B00BD-0093-4C05-A926-001A00FB0083}" done="0">
    <text xml:space="preserve">25570/06 +363.000
</text>
  </threadedComment>
  <threadedComment ref="D558" personId="{7B03C851-1B72-4382-6A46-EB78AD160EC8}" id="{0082004F-005C-4022-842C-008F00B900AE}" done="0">
    <text xml:space="preserve">25570/06 +121.000
</text>
  </threadedComment>
  <threadedComment ref="D559" personId="{7B03C851-1B72-4382-6A46-EB78AD160EC8}" id="{00AC00E1-00AC-48C9-BA13-00E9005C009A}" done="0">
    <text xml:space="preserve">25059/04 +1.300.000
25676/11 +79.000
25241/12 +300.000
25254/12 -700.000
</text>
  </threadedComment>
  <threadedComment ref="D560" personId="{7B03C851-1B72-4382-6A46-EB78AD160EC8}" id="{00D300D6-009F-414F-9ED3-008200F3004A}" done="0">
    <text xml:space="preserve">25008/01 -3.000.000
25080/05 +3.000.000
25570/06 -321.000
25161/09 -3.600.000
25676/11 -79.000
</text>
  </threadedComment>
  <threadedComment ref="D57" personId="{7B03C851-1B72-4382-6A46-EB78AD160EC8}" id="{003200DB-00BF-4C84-A098-000100F1009A}" done="0">
    <text xml:space="preserve">25248/12 +214.600
</text>
  </threadedComment>
  <threadedComment ref="D561" personId="{7B03C851-1B72-4382-6A46-EB78AD160EC8}" id="{0061001D-00D1-45C6-8CA9-0082006A0078}" done="0">
    <text xml:space="preserve">25570/06 -163.000
</text>
  </threadedComment>
  <threadedComment ref="D563" personId="{7B03C851-1B72-4382-6A46-EB78AD160EC8}" id="{00FD00A3-00E4-44B3-A338-00020006002E}" done="0">
    <text xml:space="preserve">25241/12 -300.000
</text>
  </threadedComment>
  <threadedComment ref="D571" personId="{7B03C851-1B72-4382-6A46-EB78AD160EC8}" id="{005F00F9-004D-4DC4-83C3-0076002500D7}" done="0">
    <text xml:space="preserve">25161/09 -250.000
</text>
  </threadedComment>
  <threadedComment ref="D573" personId="{7B03C851-1B72-4382-6A46-EB78AD160EC8}" id="{003200F4-00DA-4ABA-A7B7-00FF00FB003E}" done="0">
    <text xml:space="preserve">25150/08 -132.500
</text>
  </threadedComment>
  <threadedComment ref="D579" personId="{7B03C851-1B72-4382-6A46-EB78AD160EC8}" id="{0076006C-00EA-4348-9F2B-00CD00760044}" done="0">
    <text xml:space="preserve">25133/08 +87.635,98
25188/10 +54.040
</text>
  </threadedComment>
  <threadedComment ref="D580" personId="{7B03C851-1B72-4382-6A46-EB78AD160EC8}" id="{002900A0-0010-4852-8ADD-006D006E00F0}" done="0">
    <text xml:space="preserve">25073/04 +300.000 úz 695
25074/04 +70.000 úz 675
25133/08 -87.635,98
25139/08 +177.565
25148/08 -211.971,44  -8.002,10
25188/10 -54.040
25235/12 -3.003
</text>
  </threadedComment>
  <threadedComment ref="D581" personId="{7B03C851-1B72-4382-6A46-EB78AD160EC8}" id="{00A20059-0049-4764-A75F-005000170035}" done="0">
    <text xml:space="preserve">25148/08 +8.002,10
</text>
  </threadedComment>
  <threadedComment ref="D582" personId="{7B03C851-1B72-4382-6A46-EB78AD160EC8}" id="{00760031-0058-4B32-A5BE-006400580044}" done="0">
    <text xml:space="preserve">25148/08 +211.971,44
</text>
  </threadedComment>
  <threadedComment ref="D583" personId="{7B03C851-1B72-4382-6A46-EB78AD160EC8}" id="{00D8008D-00ED-43E8-9363-008100FE00CF}" done="0">
    <text xml:space="preserve">25235/12 +3.003
</text>
  </threadedComment>
  <threadedComment ref="D599" personId="{7B03C851-1B72-4382-6A46-EB78AD160EC8}" id="{003F00D8-001C-410A-BF29-007C00FA005C}" done="0">
    <text xml:space="preserve">25047/03 DOPLNĚNÍ ÚZ
25130/07 +235.000
</text>
  </threadedComment>
  <threadedComment ref="D61" personId="{7B03C851-1B72-4382-6A46-EB78AD160EC8}" id="{00B60039-0092-4B71-8CEB-003900280033}" done="0">
    <text xml:space="preserve">25248/12 +500.461,39
</text>
  </threadedComment>
  <threadedComment ref="D608" personId="{7B03C851-1B72-4382-6A46-EB78AD160EC8}" id="{00C50093-00E5-45F6-AFB5-00B4009D00EA}" done="0">
    <text xml:space="preserve">25035/03 -10.990
25051/04 úz 33092
+117.955,01 1431
+495.553,09 1435
</text>
  </threadedComment>
  <threadedComment ref="D62" personId="{7B03C851-1B72-4382-6A46-EB78AD160EC8}" id="{005E00A4-0069-4902-B172-00DC001400E3}" done="0">
    <text xml:space="preserve">25248/12 +1.300.000
</text>
  </threadedComment>
  <threadedComment ref="D612" personId="{7B03C851-1B72-4382-6A46-EB78AD160EC8}" id="{007000AC-00E4-4D3C-B05D-000C00200063}" done="0">
    <text xml:space="preserve">25052/03 úz 33092
+138.438,27  1431
+581.607,57  1435
25232/12 +40.000
</text>
  </threadedComment>
  <threadedComment ref="D616" personId="{7B03C851-1B72-4382-6A46-EB78AD160EC8}" id="{00630034-0041-4E78-A67A-000700E6000C}" done="0">
    <text xml:space="preserve">25037/03 
+ 12.834 úz253 1441
+115.506 úz911 1445
25041/03 úz 33092
+108.476,76 1431
+455.733     1435
25118/07
- 9.659,60 úz253 1441
-86.936,40 úz911 1445
25180/10
+ 14.076 úz253 1441
+126.684 úz911 1445
25233/12 -32.100
</text>
  </threadedComment>
  <threadedComment ref="D617" personId="{7B03C851-1B72-4382-6A46-EB78AD160EC8}" id="{00B10099-0012-42CE-8BB8-007F00E800DE}" done="0">
    <text xml:space="preserve">25151/08 +131.057,57
25205/11 -0,30
</text>
  </threadedComment>
  <threadedComment ref="D620" personId="{7B03C851-1B72-4382-6A46-EB78AD160EC8}" id="{00410087-0021-40DE-B99A-007D00750027}" done="0">
    <text xml:space="preserve">25151/08 -131.057,57
25202/11 -51.162 R
25230/12 -100.000 r
</text>
  </threadedComment>
  <threadedComment ref="D63" personId="{7B03C851-1B72-4382-6A46-EB78AD160EC8}" id="{008400ED-005B-4078-B19A-00AE00930041}" done="0">
    <text xml:space="preserve">25248/12 +650.000
</text>
  </threadedComment>
  <threadedComment ref="D625" personId="{7B03C851-1B72-4382-6A46-EB78AD160EC8}" id="{0014001C-0036-4636-94E4-000200F50041}" done="0">
    <text xml:space="preserve">25038/03
+ 9.850 úz253 1441
+88.650 úz911 1445
25119/07 +500.000
25128/07 
- 7.511,70 úz253 1441
-67.605,30 úz911 1445
25131/08 úz 33092
+ 348.577,29  1431
+1.464.444,50 1435 
25202/11 +51.162
25222/12
 +9.418,50 úz253 1441
+84.766,50 úz911 1445
</text>
  </threadedComment>
  <threadedComment ref="D629" personId="{7B03C851-1B72-4382-6A46-EB78AD160EC8}" id="{00D5009E-0082-43AE-B850-00E9009C001F}" done="0">
    <text xml:space="preserve">25036/03 -297.792 P
25040/03 
+ 17.098,20 úz253 1441
+153.883,80 úz911 1445
25132/08 +300.000 P
25156/09
- 17.098,20 úz253 1441
-153.883,80 úz911 1445
25194/10 úz 15019 1405
+207.366
25211/11
+ 291.991,60 úz 253 1441
+1.226.716,40 úz 911 1445
25223/12
+34.051,50 úz253 1441
+306.463,50 úz911 1445
</text>
  </threadedComment>
  <threadedComment ref="D630" personId="{7B03C851-1B72-4382-6A46-EB78AD160EC8}" id="{007D0018-0085-4C3C-80CE-00FE001B00F8}" done="0">
    <text xml:space="preserve">25206/11 
-296.102 -137.270
</text>
  </threadedComment>
  <threadedComment ref="D631" personId="{7B03C851-1B72-4382-6A46-EB78AD160EC8}" id="{00620015-00E8-4021-9E0F-00FB00C60019}" done="0">
    <text xml:space="preserve">25206/11 +137.270
</text>
  </threadedComment>
  <threadedComment ref="D633" personId="{7B03C851-1B72-4382-6A46-EB78AD160EC8}" id="{006D0028-0038-4C4E-B673-001C001800DD}" done="0">
    <text xml:space="preserve">25046/03
+ 9.159,75 úz253 1441
+82.437,75 úz911 1445
25115.07 úz 33092
+   269.533,32 1431
+1.132.364,58 1435
25116.07 
- 6.672,70 úz253 1441
-60.054,30 úz911 1445
25178/10
+ 31.360,50 úz253 1441
+282.244,50 úz911 1445
25250/12 úz 15019 1405
25224/12 +117.914 úz15019 1405
</text>
  </threadedComment>
  <threadedComment ref="D634" personId="{7B03C851-1B72-4382-6A46-EB78AD160EC8}" id="{008B0058-00F9-4093-BBFB-005A001100D4}" done="0">
    <text xml:space="preserve">25207/11 -3.819,97
</text>
  </threadedComment>
  <threadedComment ref="D635" personId="{7B03C851-1B72-4382-6A46-EB78AD160EC8}" id="{00F500CE-007A-4EDC-BAFA-006200570014}" done="0">
    <text xml:space="preserve">25207/11 -42.374,82
</text>
  </threadedComment>
  <threadedComment ref="D637" personId="{7B03C851-1B72-4382-6A46-EB78AD160EC8}" id="{008F00C4-009C-46B2-871B-008600C90040}" done="0">
    <text xml:space="preserve">25039/03
+ 11.663,45 úz 253 1441
+104.971,05 úz911 1445
25048/03 úz33092
+ 280.004,26 1431
+1.176.355,23 1435
25117/07 
- 7.299,90 úz253 1441
-65.699,10 úz911 1445
25179/10
+ 24,290,45 úz253 1441
+113.643 úz 911 1445
25257/12 
-24.290,45+12.627 úz 253 1441
</text>
  </threadedComment>
  <threadedComment ref="D642" personId="{7B03C851-1B72-4382-6A46-EB78AD160EC8}" id="{00ED0070-00CB-4D19-8EC0-00A300E000B4}" done="0">
    <text xml:space="preserve">25053/03 úz 833
+239.800
25084/05 +300.000
25100/06 -300.000
25182/10 +80.800
25210/11 +169.263 úz910
25217/11 úz 33092
+198.962,55 1431
+835.462,29 1435
</text>
  </threadedComment>
  <threadedComment ref="D645" personId="{7B03C851-1B72-4382-6A46-EB78AD160EC8}" id="{00D800FB-00C9-4FC3-B8B9-007000CA00DC}" done="0">
    <text xml:space="preserve">25219/11 -54.000
</text>
  </threadedComment>
  <threadedComment ref="D649" personId="{7B03C851-1B72-4382-6A46-EB78AD160EC8}" id="{001700F2-00F7-48D7-BBA9-0029005D0020}" done="0">
    <text xml:space="preserve">25069/04 -85.015
25225/12 +13.641
</text>
  </threadedComment>
  <threadedComment ref="D650" personId="{7B03C851-1B72-4382-6A46-EB78AD160EC8}" id="{00C80002-003E-4F14-ADF7-0079007800C1}" done="0">
    <text xml:space="preserve">25209/11 -6.588,45
</text>
  </threadedComment>
  <threadedComment ref="D653" personId="{7B03C851-1B72-4382-6A46-EB78AD160EC8}" id="{004C0025-003B-4470-BA83-00CB00A5001E}" done="0">
    <text xml:space="preserve">25216/11 -180.000
</text>
  </threadedComment>
  <threadedComment ref="D655" personId="{7B03C851-1B72-4382-6A46-EB78AD160EC8}" id="{007E00A1-00B7-4E5E-9886-00BC00950005}" done="0">
    <text xml:space="preserve">25216/11 -120.000
</text>
  </threadedComment>
  <threadedComment ref="D658" personId="{7B03C851-1B72-4382-6A46-EB78AD160EC8}" id="{00820002-006D-43C1-BBFC-007B00CA0014}" done="0">
    <text xml:space="preserve">25216/11 -50.000
</text>
  </threadedComment>
  <threadedComment ref="D659" personId="{7B03C851-1B72-4382-6A46-EB78AD160EC8}" id="{00D800C2-00F8-48BA-B8AE-00F5007C00E5}" done="0">
    <text xml:space="preserve">25216/11 -40.000
</text>
  </threadedComment>
  <threadedComment ref="D661" personId="{7B03C851-1B72-4382-6A46-EB78AD160EC8}" id="{00CE005A-0035-4DC8-AD87-0010008D009D}" done="0">
    <text xml:space="preserve">25216/11 -320.000
</text>
  </threadedComment>
  <threadedComment ref="D666" personId="{7B03C851-1B72-4382-6A46-EB78AD160EC8}" id="{00E100A7-0038-41CD-B13A-0097001600CA}" done="0">
    <text xml:space="preserve">25010/01 +4.737.000
25029/02 +400.000 NJKL
25070/04 -472.380
25083/05 +370.000
25085/05 +110.000 úz 341
25177/10  -150.000 +150.000
25196/11 +-30.000
25208/11 +152.000
25220/12 +30.000
25227/12 +118.459
25230/12 +123.420
</text>
  </threadedComment>
  <threadedComment ref="D668" personId="{7B03C851-1B72-4382-6A46-EB78AD160EC8}" id="{00750046-00CF-488F-B083-00CC00220002}" done="0">
    <text xml:space="preserve">25113.07 +109.500
25114.07 +40.000 úz34544
25129.07 +910.000
25208/11 -135.000
25208/12 +135.000
25228/12 -910.000
25231/12 -109.500
</text>
  </threadedComment>
  <threadedComment ref="D669" personId="{7B03C851-1B72-4382-6A46-EB78AD160EC8}" id="{00D100DD-0031-4E33-8DDE-006F003B004B}" done="0">
    <text xml:space="preserve">25229/12 -930
</text>
  </threadedComment>
  <threadedComment ref="D671" personId="{7B03C851-1B72-4382-6A46-EB78AD160EC8}" id="{00ED0055-0039-4F22-BDFE-00DF00ED00BF}" done="0">
    <text xml:space="preserve">25216/11 -57.000
</text>
  </threadedComment>
  <threadedComment ref="D674" personId="{7B03C851-1B72-4382-6A46-EB78AD160EC8}" id="{002600FF-00BD-4B24-95B8-001600EC0050}" done="0">
    <text xml:space="preserve">25249/12 -200.000
</text>
  </threadedComment>
  <threadedComment ref="D678" personId="{7B03C851-1B72-4382-6A46-EB78AD160EC8}" id="{00E500E4-0030-429A-8B4C-00EA00CB00E0}" done="0">
    <text xml:space="preserve">25140/08 -34.000 R
</text>
  </threadedComment>
  <threadedComment ref="D679" personId="{7B03C851-1B72-4382-6A46-EB78AD160EC8}" id="{00440070-00C8-4585-B7F5-00EA0053006B}" done="0">
    <text xml:space="preserve">25140/08 -117.900 R
</text>
  </threadedComment>
  <threadedComment ref="D682" personId="{7B03C851-1B72-4382-6A46-EB78AD160EC8}" id="{00D800C5-0021-4688-AF2F-00CB004F00B5}" done="0">
    <text xml:space="preserve">25075/04 -30.000 R
25076/04 -70.000 R
25086/05 -40.000 R
25087/05 -30.000 R
25109.07 -10.000 R
25140/08 -34.300 R
</text>
  </threadedComment>
  <threadedComment ref="D683" personId="{7B03C851-1B72-4382-6A46-EB78AD160EC8}" id="{00780058-00F5-4498-855C-00F600DB000D}" done="0">
    <text xml:space="preserve">25110.07 -50.000 R
25112.07 -100.000 R
25140/08 -10.000 R
</text>
  </threadedComment>
  <threadedComment ref="D684" personId="{7B03C851-1B72-4382-6A46-EB78AD160EC8}" id="{00DE0040-00CC-4072-90B7-00E8004200C0}" done="0">
    <text xml:space="preserve">25140/08 -225.000 R
</text>
  </threadedComment>
  <threadedComment ref="D685" personId="{7B03C851-1B72-4382-6A46-EB78AD160EC8}" id="{00A800E9-00ED-4CF3-9DFC-007D002B0020}" done="0">
    <text xml:space="preserve">25140/08 -86.000 R
</text>
  </threadedComment>
  <threadedComment ref="D686" personId="{7B03C851-1B72-4382-6A46-EB78AD160EC8}" id="{00E3009D-0045-48D5-B4BC-008000B4003C}" done="0">
    <text xml:space="preserve">25140/08 -194.200 R
</text>
  </threadedComment>
  <threadedComment ref="D687" personId="{7B03C851-1B72-4382-6A46-EB78AD160EC8}" id="{00480031-006D-4388-8540-001500930020}" done="0">
    <text xml:space="preserve">25106.07 +300.000
</text>
  </threadedComment>
  <threadedComment ref="D688" personId="{7B03C851-1B72-4382-6A46-EB78AD160EC8}" id="{00060000-00E4-44E6-ADAE-00A3001900B0}" done="0">
    <text xml:space="preserve">25005/01 +595.004,14
25011/01 +7.500
25012/01 +15.000
25013/01 +30.000
25014/01 +30.000
25015/01 +7.500
25016/01 +80.000
25034/03 +60.000
25075/04 +30.000
25076/04 +70.000
25086/05 +40.000
25087/05 +30.000
25088/05 +30.000
25089/05 +10.000
25090/05 +10.000
25108.07 +10.000
25109.07 +10.000
25110.07 +50.000
25111.07 +10.000
25112.07 +100.000
25140/08 -3.800.400 R
25198/11 +30.250
25199/11 +20.000
25200/11 +203.075,15
25215/11 -150.000
25218/11 +-335.000
zm § z 4344 na 4374
25247/12 +248.824,20
</text>
  </threadedComment>
  <threadedComment ref="D692" personId="{7B03C851-1B72-4382-6A46-EB78AD160EC8}" id="{00A600AA-0094-436A-B2BB-00AB007D000F}" done="0">
    <text xml:space="preserve">25092/06 +1.169.144,35
</text>
  </threadedComment>
  <threadedComment ref="D695" personId="{7B03C851-1B72-4382-6A46-EB78AD160EC8}" id="{00910001-0008-4D70-894C-006B002B0048}" done="0">
    <text xml:space="preserve">25237/12 -112.000
</text>
  </threadedComment>
  <threadedComment ref="D697" personId="{7B03C851-1B72-4382-6A46-EB78AD160EC8}" id="{0033006B-007B-4E83-9044-004A0016009B}" done="0">
    <text xml:space="preserve">25191/10 -100.000
</text>
  </threadedComment>
  <threadedComment ref="D699" personId="{7B03C851-1B72-4382-6A46-EB78AD160EC8}" id="{00020081-0056-41F3-90F1-0056000F0095}" done="0">
    <text xml:space="preserve">25019/02 +440.000
25101/07 -40.000
</text>
  </threadedComment>
  <threadedComment ref="D700" personId="{7B03C851-1B72-4382-6A46-EB78AD160EC8}" id="{000800E5-00AE-41C0-829B-0004002C00D4}" done="0">
    <text xml:space="preserve">25191/10 -199.496
</text>
  </threadedComment>
  <threadedComment ref="D71" personId="{7B03C851-1B72-4382-6A46-EB78AD160EC8}" id="{00F300DB-0027-4058-81BB-0026005000D9}" done="0">
    <text xml:space="preserve">25089/05 +10.000
25111.07 +10.000
</text>
  </threadedComment>
  <threadedComment ref="D703" personId="{7B03C851-1B72-4382-6A46-EB78AD160EC8}" id="{003500F4-0081-4EA0-9AD7-00160025003D}" done="0">
    <text xml:space="preserve">25060/04 -1.350.000
25122.07 +86.000
25191/10 
-100.000-600.000
25213/11 
-160.895 -71.798
25689/11 
-60.703 +50.000
25716/12
-5.000 -24.000 -30.000 -60.000 -18.000 -156.307
</text>
  </threadedComment>
  <threadedComment ref="D704" personId="{7B03C851-1B72-4382-6A46-EB78AD160EC8}" id="{00750085-0031-40A1-90BE-00B0004A0090}" done="0">
    <text xml:space="preserve">25689/11 +10.703
</text>
  </threadedComment>
  <threadedComment ref="D708" personId="{7B03C851-1B72-4382-6A46-EB78AD160EC8}" id="{00110026-0098-4338-93A1-00B30089005D}" done="0">
    <text xml:space="preserve">25092/06 +97.090,40
25191/10 -100.000
25654/10 -116.000
25690/11 +230.000
25716/12
-72.600
</text>
  </threadedComment>
  <threadedComment ref="D709" personId="{7B03C851-1B72-4382-6A46-EB78AD160EC8}" id="{00B10033-0036-4974-B107-005B004C00E8}" done="0">
    <text xml:space="preserve">25654/10 +116.000
25690/11 -230.000
</text>
  </threadedComment>
  <threadedComment ref="D713" personId="{7B03C851-1B72-4382-6A46-EB78AD160EC8}" id="{005B0031-0067-4ACB-8F56-00720049005B}" done="0">
    <text xml:space="preserve">25256/12
-274.902 § 6171
25716/12
+5.000 +24.000 +30.000 +60.000 +18.000 +72.600 +16.000 +140.307 
</text>
  </threadedComment>
  <threadedComment ref="D714" personId="{7B03C851-1B72-4382-6A46-EB78AD160EC8}" id="{007100C7-0064-4213-BE74-00DF00E200B1}" done="0">
    <text xml:space="preserve">25123.07 +400.000
25256/12 -15.093 (1385)
25716/12
-15.093
+15.093 (1385)
</text>
  </threadedComment>
  <threadedComment ref="D720" personId="{7B03C851-1B72-4382-6A46-EB78AD160EC8}" id="{00FC0037-00B4-4E13-B312-008E007B00EE}" done="0">
    <text xml:space="preserve">25068/04 +13.905
25213/11 
+160.895 +71.798
</text>
  </threadedComment>
  <threadedComment ref="D721" personId="{7B03C851-1B72-4382-6A46-EB78AD160EC8}" id="{00250026-0070-47C9-873C-003C00930001}" done="0">
    <text xml:space="preserve">25135/08 +294.000
dotace 13024
25256/12 +305.445 (13024)
</text>
  </threadedComment>
  <threadedComment ref="D730" personId="{7B03C851-1B72-4382-6A46-EB78AD160EC8}" id="{00B100E0-0052-4700-A004-0021009900B9}" done="0">
    <text xml:space="preserve">25712.12 +2.561,62
</text>
  </threadedComment>
  <threadedComment ref="D731" personId="{7B03C851-1B72-4382-6A46-EB78AD160EC8}" id="{001100B9-00CB-4623-991F-000400BF0034}" done="0">
    <text xml:space="preserve">25712.12 -2.561,62
</text>
  </threadedComment>
  <threadedComment ref="D735" personId="{7B03C851-1B72-4382-6A46-EB78AD160EC8}" id="{00FD0056-006F-40FC-8402-003700470046}" done="0">
    <text xml:space="preserve">25681/11 -10.000
</text>
  </threadedComment>
  <threadedComment ref="D736" personId="{7B03C851-1B72-4382-6A46-EB78AD160EC8}" id="{00BC00F0-0098-4402-A7FA-007200920002}" done="0">
    <text xml:space="preserve">25681/11 +10.000
</text>
  </threadedComment>
  <threadedComment ref="D739" personId="{7B03C851-1B72-4382-6A46-EB78AD160EC8}" id="{009800E3-0020-4364-ADC8-004000110031}" done="0">
    <text xml:space="preserve">25171/09 +42.350
</text>
  </threadedComment>
  <threadedComment ref="D75" personId="{7B03C851-1B72-4382-6A46-EB78AD160EC8}" id="{00F90014-0099-4BB2-B251-00E000E700DF}" done="0">
    <text xml:space="preserve">25238/12 +1.690.434
</text>
  </threadedComment>
  <threadedComment ref="D747" personId="{7B03C851-1B72-4382-6A46-EB78AD160EC8}" id="{00BD00DA-00A9-4ABB-BBE8-0053004C00E1}" done="0">
    <text xml:space="preserve">25154/09 -462.062 R
25155/09 -502.000 R
</text>
  </threadedComment>
  <threadedComment ref="D751" personId="{7B03C851-1B72-4382-6A46-EB78AD160EC8}" id="{001600FA-0079-40E4-AE86-0088004C003B}" done="0">
    <text xml:space="preserve">25106.07 +500.000
</text>
  </threadedComment>
  <threadedComment ref="D752" personId="{7B03C851-1B72-4382-6A46-EB78AD160EC8}" id="{003A0087-002A-405B-A0E7-0047003A008A}" done="0">
    <text xml:space="preserve">25171/09 -42.350
</text>
  </threadedComment>
  <threadedComment ref="D753" personId="{7B03C851-1B72-4382-6A46-EB78AD160EC8}" id="{00E200BD-0052-4101-A323-003D00670011}" done="0">
    <text xml:space="preserve">25018/02 +214.000
25062/04 +23.725
25063/04 +4.745
25082/05 +40.000
25091/06 +10.000
25146/08 +60.000
25153/09 +335.000
25154/09 +462.062
25155/09 +502.000
25189/10 +-502.000
(z § 4350 na § 4357)
25195/11 +10.000
</text>
  </threadedComment>
  <threadedComment ref="D759" personId="{7B03C851-1B72-4382-6A46-EB78AD160EC8}" id="{00F40016-0099-4FB9-A1D8-00BF0010009E}" done="0">
    <text xml:space="preserve">25061/04 +2.980.000
25176/10 +536.000 
25212/11 
-682.000 -2.624.000
</text>
  </threadedComment>
  <threadedComment ref="D760" personId="{7B03C851-1B72-4382-6A46-EB78AD160EC8}" id="{00A200DF-002C-4E17-AB48-0032009E00E5}" done="0">
    <text xml:space="preserve">25061/04 +586.000
25176/10 +158.000
25212/11 
-133.000 -503.000
</text>
  </threadedComment>
  <threadedComment ref="D761" personId="{7B03C851-1B72-4382-6A46-EB78AD160EC8}" id="{006300FC-0017-4B51-BD00-009000270067}" done="0">
    <text xml:space="preserve">25061/04 +1.065.000
25176/10 +244.000
25212/11 
- 268.000 -802.000
</text>
  </threadedComment>
  <threadedComment ref="D764" personId="{7B03C851-1B72-4382-6A46-EB78AD160EC8}" id="{002A0062-00E4-498C-87EC-0027003A007F}" done="0">
    <text xml:space="preserve">25149/08 +50.000
</text>
  </threadedComment>
  <threadedComment ref="D767" personId="{7B03C851-1B72-4382-6A46-EB78AD160EC8}" id="{009F00A1-0099-4EBA-8E49-0083002100F4}" done="0">
    <text xml:space="preserve">25104.07 +50.000
25149/08 -50.000
</text>
  </threadedComment>
  <threadedComment ref="D772" personId="{7B03C851-1B72-4382-6A46-EB78AD160EC8}" id="{006700F1-0048-4100-B2F3-006800D40037}" done="0">
    <text xml:space="preserve">25169/09 +21.950
25201/11 +700.000
25249/12 -500.000
</text>
  </threadedComment>
  <threadedComment ref="D774" personId="{7B03C851-1B72-4382-6A46-EB78AD160EC8}" id="{00180023-0026-4399-8E85-00290081006F}" done="0">
    <text xml:space="preserve">25107/07 +30.000
25138/08 +470.000
25168/09 +250.000
25175/09 +10.000
25181/10 
-10.000 bez
+10.000 úz 809
</text>
  </threadedComment>
  <threadedComment ref="D775" personId="{7B03C851-1B72-4382-6A46-EB78AD160EC8}" id="{00220016-00FA-4E2E-BE52-0098004A0060}" done="0">
    <text xml:space="preserve">25134/08 -1.202.300
</text>
  </threadedComment>
  <threadedComment ref="D777" personId="{7B03C851-1B72-4382-6A46-EB78AD160EC8}" id="{00690074-0071-4732-9F35-00CF0099001B}" done="0">
    <text xml:space="preserve">25104.07 -50.000
</text>
  </threadedComment>
  <threadedComment ref="D780" personId="{7B03C851-1B72-4382-6A46-EB78AD160EC8}" id="{009300AD-00A9-4B24-8C7E-00B800DC0045}" done="0">
    <text xml:space="preserve">25201/11 +700.000
</text>
  </threadedComment>
  <threadedComment ref="D79" personId="{7B03C851-1B72-4382-6A46-EB78AD160EC8}" id="{005C00DC-0077-48FC-9912-005400D6002B}" done="0">
    <text xml:space="preserve">25184/10 -1.000.000
</text>
  </threadedComment>
  <threadedComment ref="D782" personId="{7B03C851-1B72-4382-6A46-EB78AD160EC8}" id="{00890013-005E-416E-9AAF-0048007400C2}" done="0">
    <text xml:space="preserve">25102/07 +50.000
25201/11 -18.123,69
25226/12 -77.427,31
</text>
  </threadedComment>
  <threadedComment ref="D785" personId="{7B03C851-1B72-4382-6A46-EB78AD160EC8}" id="{00980093-00D2-4B53-BD08-005E00E200F7}" done="0">
    <text xml:space="preserve">25056/04 +27.427,50
</text>
  </threadedComment>
  <threadedComment ref="D788" personId="{7B03C851-1B72-4382-6A46-EB78AD160EC8}" id="{00200066-008B-4CF5-B2BB-00DE004B00AE}" done="0">
    <text xml:space="preserve">25098/06 +500.000
</text>
  </threadedComment>
  <threadedComment ref="D80" personId="{7B03C851-1B72-4382-6A46-EB78AD160EC8}" id="{00F400BA-00C0-4432-94E3-00E400BA0061}" done="0">
    <text xml:space="preserve">25002/01 +99.036 (321)
25009/01 +145.092 (322)
25035/03 -10.990 (305)
25071/04 
+545.328,75 (321)
+160.990 (325)
25077/05 +54.671,25 (321)
25202/11 +51.162 (321)
25225/12 +13.641 (50
</text>
  </threadedComment>
  <threadedComment ref="D792" personId="{7B03C851-1B72-4382-6A46-EB78AD160EC8}" id="{0059002B-00F7-4861-AD72-00E400030034}" done="0">
    <text xml:space="preserve">25521.02 +302.065,30
</text>
  </threadedComment>
  <threadedComment ref="D793" personId="{7B03C851-1B72-4382-6A46-EB78AD160EC8}" id="{000900C6-0015-4B5B-B3FA-0082008900DA}" done="0">
    <text xml:space="preserve">25554/05 +798.600
</text>
  </threadedComment>
  <threadedComment ref="D794" personId="{7B03C851-1B72-4382-6A46-EB78AD160EC8}" id="{00900076-0043-472F-959E-00DC00A40061}" done="0">
    <text xml:space="preserve">25674/11 +40.424
</text>
  </threadedComment>
  <threadedComment ref="D795" personId="{7B03C851-1B72-4382-6A46-EB78AD160EC8}" id="{004E0023-00A9-491A-8570-00EE005A00FD}" done="0">
    <text xml:space="preserve">25554/05 +50.000
</text>
  </threadedComment>
  <threadedComment ref="D798" personId="{7B03C851-1B72-4382-6A46-EB78AD160EC8}" id="{00D90066-001B-44FF-B343-00F0000800AC}" done="0">
    <text xml:space="preserve">25554/05 -50.000
</text>
  </threadedComment>
  <threadedComment ref="D800" personId="{7B03C851-1B72-4382-6A46-EB78AD160EC8}" id="{005F0008-00CD-45FE-9D77-000700E900A4}" done="0">
    <text xml:space="preserve">25521/02 -312.434,90
25554/05 -847.352
25674/11 -256.165,19
25705/12 -6.955
25710/12 -40.397
</text>
  </threadedComment>
  <threadedComment ref="D81" personId="{7B03C851-1B72-4382-6A46-EB78AD160EC8}" id="{00250030-002B-4328-99F2-00B500E50071}" done="0">
    <text xml:space="preserve">25221/12 +52.000
</text>
  </threadedComment>
  <threadedComment ref="D801" personId="{7B03C851-1B72-4382-6A46-EB78AD160EC8}" id="{007400ED-0078-43C8-BBB9-0055001F0085}" done="0">
    <text xml:space="preserve">25521/02 +10.369,60
25554/05 +48.752
25674/11 +215.741,19
25705/12 +6.955
25710/12 +40.397
</text>
  </threadedComment>
  <threadedComment ref="D807" personId="{7B03C851-1B72-4382-6A46-EB78AD160EC8}" id="{009C0059-00E8-48F8-A1E2-008100DD0080}" done="0">
    <text xml:space="preserve">25521/02 -1.756
25185/10 +1.307.000
25674/11 -8.425
25251/12 -304.433,67
</text>
  </threadedComment>
  <threadedComment ref="D808" personId="{7B03C851-1B72-4382-6A46-EB78AD160EC8}" id="{009E002F-00A4-4F2D-9F05-009B006000D1}" done="0">
    <text xml:space="preserve">25521/02 +1.756
25674/11 +8.425
</text>
  </threadedComment>
  <threadedComment ref="D822" personId="{7B03C851-1B72-4382-6A46-EB78AD160EC8}" id="{009500D6-006F-4010-833F-003E00E40089}" done="0">
    <text xml:space="preserve">25098/06 +2.000.000
</text>
  </threadedComment>
  <threadedComment ref="D824" personId="{7B03C851-1B72-4382-6A46-EB78AD160EC8}" id="{002400CA-0022-47A4-91A1-0035002B008E}" done="0">
    <text xml:space="preserve">25183/10 +324.000 úz 34054
25214/11 +2.000.000
</text>
  </threadedComment>
  <threadedComment ref="D828" personId="{7B03C851-1B72-4382-6A46-EB78AD160EC8}" id="{00040095-00FE-4E33-847C-00A4004B0000}" done="0">
    <text xml:space="preserve">25238/12 +1.690.434
25704/12 +2.000.000
</text>
  </threadedComment>
  <threadedComment ref="D831" personId="{7B03C851-1B72-4382-6A46-EB78AD160EC8}" id="{005D002A-0003-4CD4-B1E4-00D40030005E}" done="0">
    <text xml:space="preserve">25704/12 +500.000
25708/12 +100.000
</text>
  </threadedComment>
  <threadedComment ref="D832" personId="{7B03C851-1B72-4382-6A46-EB78AD160EC8}" id="{0066008D-00E5-46D8-ACCB-000E006900E7}" done="0">
    <text xml:space="preserve">25708/12 -100.000
</text>
  </threadedComment>
  <threadedComment ref="D833" personId="{7B03C851-1B72-4382-6A46-EB78AD160EC8}" id="{00E400D9-0086-4FE4-AD0E-00BC00C20010}" done="0">
    <text xml:space="preserve">25704/12 -500.000
</text>
  </threadedComment>
  <threadedComment ref="D834" personId="{7B03C851-1B72-4382-6A46-EB78AD160EC8}" id="{00DA0009-0072-457B-9698-00DD007D00D1}" done="0">
    <text xml:space="preserve">25704/12 -2.000.000
</text>
  </threadedComment>
  <threadedComment ref="D838" personId="{7B03C851-1B72-4382-6A46-EB78AD160EC8}" id="{00C800D4-0090-4CE0-8C66-006600DD00A2}" done="0">
    <text xml:space="preserve">25147/08 +310.000
25159/09 -930.000
25201/11 -8.502,48
</text>
  </threadedComment>
  <threadedComment ref="D839" personId="{7B03C851-1B72-4382-6A46-EB78AD160EC8}" id="{00D80037-004C-4EC8-8708-00BF00E300F9}" done="0">
    <text xml:space="preserve">25023/02 +800.000
25590/07 +50.000 
</text>
  </threadedComment>
  <threadedComment ref="D844" personId="{7B03C851-1B72-4382-6A46-EB78AD160EC8}" id="{004B00D7-0066-4E79-839E-008D00F3000E}" done="0">
    <text xml:space="preserve">25683/11 -300.000
</text>
  </threadedComment>
  <threadedComment ref="D849" personId="{7B03C851-1B72-4382-6A46-EB78AD160EC8}" id="{00C90039-0059-4326-BB04-005000B400E3}" done="0">
    <text xml:space="preserve">25510/01 -50.000
25636/09 -100.000
25683/11 +300.000
</text>
  </threadedComment>
  <threadedComment ref="D851" personId="{7B03C851-1B72-4382-6A46-EB78AD160EC8}" id="{002900DF-0014-472F-9FA5-0040009F0037}" done="0">
    <text xml:space="preserve">25510/01 +50.000
25683/11 -10.000
</text>
  </threadedComment>
  <threadedComment ref="D853" personId="{7B03C851-1B72-4382-6A46-EB78AD160EC8}" id="{00FA0098-0032-40EB-A2E0-00FA009F00F7}" done="0">
    <text xml:space="preserve">25636/09 +100.000
</text>
  </threadedComment>
  <threadedComment ref="D854" personId="{7B03C851-1B72-4382-6A46-EB78AD160EC8}" id="{006E00EA-00C4-438B-BEFC-00ED00250025}" done="0">
    <text xml:space="preserve">25201/11 -200.000
</text>
  </threadedComment>
  <threadedComment ref="D858" personId="{7B03C851-1B72-4382-6A46-EB78AD160EC8}" id="{00CA0068-0006-4D93-BCBA-00CD003A0079}" done="0">
    <text xml:space="preserve">25147/08 -310.000
25201/11
-14,07 -799,92
</text>
  </threadedComment>
  <threadedComment ref="D860" personId="{7B03C851-1B72-4382-6A46-EB78AD160EC8}" id="{00B400FE-00C1-44BD-9D7A-00E200A800A5}" done="0">
    <text xml:space="preserve">25510/01 -30.000
25535/03 -20.000
25098/06 +1.000.000
25214/11 +1.000.000
25238/12 -50.000
dorovnání -327.000
dorovnání +145.813,99
</text>
  </threadedComment>
  <threadedComment ref="D865" personId="{7B03C851-1B72-4382-6A46-EB78AD160EC8}" id="{00500046-000C-452A-849A-007400F80060}" done="0">
    <text xml:space="preserve">25510/01 +30.000
25535/03 +20.000
25683/11 +10.000
</text>
  </threadedComment>
  <threadedComment ref="D869" personId="{7B03C851-1B72-4382-6A46-EB78AD160EC8}" id="{0070002A-00D9-4DF7-A324-00EF00330031}" done="0">
    <text xml:space="preserve">25590/07 -50.000
</text>
  </threadedComment>
  <threadedComment ref="D875" personId="{7B03C851-1B72-4382-6A46-EB78AD160EC8}" id="{00A40071-0078-46FE-8752-001000F80013}" done="0">
    <text xml:space="preserve">25098/06 +1.000.000
25674/11 +550.000
25238/12 +220.000
</text>
  </threadedComment>
  <threadedComment ref="D879" personId="{7B03C851-1B72-4382-6A46-EB78AD160EC8}" id="{00750092-0077-4914-96A8-007900530021}" done="0">
    <text xml:space="preserve">25674/11 -550.000
</text>
  </threadedComment>
  <threadedComment ref="D880" personId="{7B03C851-1B72-4382-6A46-EB78AD160EC8}" id="{004300EA-0007-4212-B317-00C10006006F}" done="0">
    <text xml:space="preserve">25023/02 -800.000
</text>
  </threadedComment>
  <threadedComment ref="D884" personId="{7B03C851-1B72-4382-6A46-EB78AD160EC8}" id="{00C500A2-002A-49B2-956D-00FF00D9003A}" done="0">
    <text xml:space="preserve">25238/12 +50.000
</text>
  </threadedComment>
  <threadedComment ref="D888" personId="{7B03C851-1B72-4382-6A46-EB78AD160EC8}" id="{004B00C4-00DC-452A-B6FB-006B00B20022}" done="0">
    <text xml:space="preserve">25238/12 -220.000
</text>
  </threadedComment>
  <threadedComment ref="D901" personId="{7B03C851-1B72-4382-6A46-EB78AD160EC8}" id="{002400B9-00BC-40B4-8F91-0029003D002F}" done="0">
    <text xml:space="preserve">25024/02 
+76.214,38 Máj
+111.686,75 Sady
</text>
  </threadedComment>
  <threadedComment ref="D902" personId="{7B03C851-1B72-4382-6A46-EB78AD160EC8}" id="{00BB0018-00A8-4981-B15C-00BE007A00C2}" done="0">
    <text xml:space="preserve">25024/02 
+212.592,52 K66
+261.781,31 K68
+349.438,48 Tyr
</text>
  </threadedComment>
  <threadedComment ref="D903" personId="{7B03C851-1B72-4382-6A46-EB78AD160EC8}" id="{006400F8-008E-4E42-A85B-00EC00180081}" done="0">
    <text xml:space="preserve">25156/09
+6.450,70 úz253 1441
+58.056,30 úz911 1445
</text>
  </threadedComment>
  <threadedComment ref="D904" personId="{7B03C851-1B72-4382-6A46-EB78AD160EC8}" id="{006F00B6-0049-4A40-AF64-008400630040}" done="0">
    <text xml:space="preserve">25026/02 +3.730
</text>
  </threadedComment>
  <threadedComment ref="D905" personId="{7B03C851-1B72-4382-6A46-EB78AD160EC8}" id="{005E005F-006C-439C-BCCD-00B300E00086}" done="0">
    <text xml:space="preserve">25024/02 +61.299
</text>
  </threadedComment>
  <threadedComment ref="D907" personId="{7B03C851-1B72-4382-6A46-EB78AD160EC8}" id="{00460022-004C-44C5-B298-0033001D00E6}" done="0">
    <text xml:space="preserve">25253/12 +230.000
</text>
  </threadedComment>
  <threadedComment ref="D908" personId="{7B03C851-1B72-4382-6A46-EB78AD160EC8}" id="{00DE000A-0071-409D-B771-0079000F0064}" done="0">
    <text xml:space="preserve">25248/12 -120.000
</text>
  </threadedComment>
  <threadedComment ref="D909" personId="{7B03C851-1B72-4382-6A46-EB78AD160EC8}" id="{005E0084-00FF-43D7-AC3A-0049008E00D4}" done="0">
    <text xml:space="preserve">25248/12 +400
</text>
  </threadedComment>
  <threadedComment ref="D910" personId="{7B03C851-1B72-4382-6A46-EB78AD160EC8}" id="{008A00DA-00F8-46A4-8B0D-0099003700DF}" done="0">
    <text xml:space="preserve">25248/12 
+90.657,28 +30.684,81 +1.657,91
</text>
  </threadedComment>
  <threadedComment ref="D912" personId="{7B03C851-1B72-4382-6A46-EB78AD160EC8}" id="{00BD0020-0014-4259-809C-00F2000D0015}" done="0">
    <text xml:space="preserve">25057/04 +25.564.110
</text>
  </threadedComment>
  <threadedComment ref="D915" personId="{7B03C851-1B72-4382-6A46-EB78AD160EC8}" id="{00DE009F-006D-480A-BF6F-006300990023}" done="0">
    <text xml:space="preserve">25004/01 úz 33092
+ 913,14 (1431)
+3.011,86 (1435)
</text>
  </threadedComment>
  <threadedComment ref="D916" personId="{7B03C851-1B72-4382-6A46-EB78AD160EC8}" id="{00C70031-0077-42E7-9148-00F300E800FC}" done="0">
    <text xml:space="preserve">25204/11 úz 33092
+ 252.863,08 (1431)
+ 834.018,92 (1435)
</text>
  </threadedComment>
  <threadedComment ref="D917" personId="{7B03C851-1B72-4382-6A46-EB78AD160EC8}" id="{00D700DD-001C-41C2-977C-004200CA00AE}" done="0">
    <text xml:space="preserve">25203/11 úz 33092
+ 24.701,86 (1431)
+ 81.747,14 (1435)
</text>
  </threadedComment>
  <threadedComment ref="D918" personId="{7B03C851-1B72-4382-6A46-EB78AD160EC8}" id="{00070041-00D1-42E3-8E5D-00B100CF002A}" done="0">
    <text xml:space="preserve">25027/02 +15.187,53
</text>
  </threadedComment>
  <threadedComment ref="D919" personId="{7B03C851-1B72-4382-6A46-EB78AD160EC8}" id="{000E0053-0067-4D12-B2F0-00C800A4006A}" done="0">
    <text xml:space="preserve">25027/02 +3.957,43
</text>
  </threadedComment>
  <threadedComment ref="D921" personId="{7B03C851-1B72-4382-6A46-EB78AD160EC8}" id="{006B00FD-0013-41BD-9D80-00E10046004F}" done="0">
    <text xml:space="preserve">25001/01 -3.178.500
25002/01 +99.036
25003/01 -432.200
25005/01 -595.004,14
25008/01 +3.000.000
25009/01 +145.092
25011/01 -7.500
25012/01 -15.000
25013/01 -30.000
25014/01 -30.000
25015/01 -7.500
25016/01 -80.000
25017/01 +472.672,50
25018/02 -214.000
25024/02 -641.178,72
25025/02 -104.517
25027/02 -19.144,96
25028/02 +463.363
25029/02 -400.000
25030/03 +21.520.868,17
25031/03 +1.247.432,21
25034/03 -60.000
25035/03 +-10.990
25036/03 +297.792
25042/03 +2.743.942,28
25044/03 -14.800.000
25045/03 -6.020.000
25054/04 +1.571.026,45
25056/04 -27.427,50
25058/04 +5.889.660
25059/04 -1.700.000
25061/04 -5.000.000
25066/04 -2.000.000
25067/04 -3.000.000
25069/04 +85.015
25070/04 +472.380
25071/01 +706.318,75
25072/04 +1.093.905,82
25073/04 -300.000
25074/04 -280.000
25077/05 +54.671,25
25078/05 +25.000.000
25080/05 -3.000.000
25081/05 -3.375.008,64
25083/05 -370.000
25084/05 -300.000
25092/06 -1.266.234,75
25093/06 +810.777
25094/06 +5.424.450
25098/06 -4.500.000
25099/06 -5.000.000
25100/06 +300.000
------------------------
25102/07 -50.000
25106/07 -800.000
25107/07 -30.000
25113.07 -109.500
25119.07 -500.000
25120.07 -3.000.000
25122.07 -86.100
25123.07 -400.000
25126.07 -9.000.000
25127.07 -2.000.000
25129.07 -910.000
25132/08 -300.000
25134/08 +1.202.300
25137/08 +2.000.000
25138/08 -470.000
25139/08 -177.565
25140/08 +4.501.800
25141/08 +4.000.000
25143/08 +69.477,18
25144/08 +470.747,50
25145/08 +5.000.000
25150/08 +132.500
25157/09 +141.260,58
25158/09 +483.823
25159/09 +930.000
25160/09 +1.300.000
25161/09 +3.850.000
25162/09 -2.499.999
25163/09 -56.855,41
25164/09 -8.886.847
25165/09 -1.156.926,85
25166/09 -168.585
25167/09 -79.980
25168/09 -250.000
25169/09 +17.666
25170/09 +671.703,90
25174/09 +33.960.000
25177/10 +150.000
25182/10 -80.800
25183/10 -500.000 
25184/10 -1.000.000
25185/10 -1.307.000
25191/10 +1.099.496
25193/10 -23.885.049
25196/11 +30.000
25198/11 -30.250
25199/11 -20.000
25200/11 -203.075,15
25201/11 -1.372.559,84
25202/11 +51.162
25205.11 +0,30
25206/11 +296.102
25207/11 
+3.819,97 +42.374,82
25208/11 
-152.000 +135.000
25209/11 +6.588,45
25212/11 +5.012.000
25214/11 -3.000.000
25215/11 +150.000
25216/11 
+530.000 +237.000
25219/11 +54.000
25668/11 -300.000
(mělo být z 610/2219/2405)
25208/12 -135.000
25220/12 -30.000
25221/12 +52.000
25225/12 +-13.641
25226/12 +77.427,31
25227/12 -118.459
25228/12 +910.000
25229/12 +930
25230/12 -23.420
25231/12 +109.500
25232/12 -40.000
25233/12 +32.100
25234/12 +995.434,77
25237/12 +112.000
25240/12 +234.649,25
25242/12 +139.959,54
25243/12 +50.000
25244/12 +3.508.109,62
25246/12 -222.532
25247/12 -248.824,20
25248/12 +5.391.199,63
25249/12 +1.750.000
25251/12 +304.443,67
25252/12 +1.049.889,53
25254/12 -764.800
25255/12 -5.132.771,51
25256/12 
+389.995 -305.445
25258/12
+382.500 +18.500,85
dorovnání
+327.000-27000
</text>
  </threadedComment>
  <threadedComment ref="D922" personId="{7B03C851-1B72-4382-6A46-EB78AD160EC8}" id="{00860077-009B-4F5C-BC34-00BE004000DD}" done="0">
    <text xml:space="preserve">25248/12 -20.000
</text>
  </threadedComment>
  <threadedComment ref="D95" personId="{7B03C851-1B72-4382-6A46-EB78AD160EC8}" id="{00650054-004B-4FFA-A11A-000A0029006A}" done="0">
    <text xml:space="preserve">25137/08 +300.000
25153/09 +335.000
25195/11 +10.000
25248/12 +1.213.288,24
25253/12 +230.000
</text>
  </threadedComment>
  <threadedComment ref="D96" personId="{7B03C851-1B72-4382-6A46-EB78AD160EC8}" id="{00D2000F-002C-4783-B635-00D9001C00EF}" done="0">
    <text xml:space="preserve">25137/08 +1.700.000
25248/12 +106.250
</text>
  </threadedComment>
  <threadedComment ref="D100" personId="{7B03C851-1B72-4382-6A46-EB78AD160EC8}" id="{00E1009B-0006-4E04-A779-000900F10072}" done="0">
    <text xml:space="preserve">25090/05 +10.000
25143/08 +69.477,18
25240/12 +234.649,25
25258/12 
-234.649,25 -41.297,20 -15.590 -12.589,98
</text>
  </threadedComment>
</ThreadedComments>
</file>

<file path=xl/threadedComments/threadedComment6.xml><?xml version="1.0" encoding="utf-8"?>
<ThreadedComments xmlns="http://schemas.microsoft.com/office/spreadsheetml/2018/threadedcomments" xmlns:x="http://schemas.openxmlformats.org/spreadsheetml/2006/main">
  <threadedComment ref="D102" personId="{7B03C851-1B72-4382-6A46-EB78AD160EC8}" id="{005E0029-00F9-4CF4-8C44-008100590046}" done="0">
    <text xml:space="preserve">25242/12 +139.959,54
25258/12 -139.959,54
</text>
  </threadedComment>
  <threadedComment ref="D103" personId="{7B03C851-1B72-4382-6A46-EB78AD160EC8}" id="{006E0081-0000-4A7E-B6B3-00AB00330022}" done="0">
    <text xml:space="preserve">25144/08 +465.000
25170/09 +671.703,90
25258/12 
-671.703,90 -465.000
</text>
  </threadedComment>
  <threadedComment ref="D104" personId="{7B03C851-1B72-4382-6A46-EB78AD160EC8}" id="{00FA0072-007F-4A87-A442-006F005B001C}" done="0">
    <text xml:space="preserve">25144/08 +5.747,50
</text>
  </threadedComment>
  <threadedComment ref="D106" personId="{7B03C851-1B72-4382-6A46-EB78AD160EC8}" id="{00C80055-00C4-4882-9CB2-0029007B0070}" done="0">
    <text xml:space="preserve">25243/12 +50.000
25258/12 -50.000
</text>
  </threadedComment>
  <threadedComment ref="D111" personId="{7B03C851-1B72-4382-6A46-EB78AD160EC8}" id="{00F2006F-0095-4DD0-B1F6-006B00D7001D}" done="0">
    <text xml:space="preserve">25258/12
+139.959,54 +671.703,90 +382.500 +465.000 +234.649,25 +41.297,20 +15590 +50000 +12.589,98 +18.500,85
</text>
  </threadedComment>
  <threadedComment ref="D113" personId="{7B03C851-1B72-4382-6A46-EB78AD160EC8}" id="{003700B5-0090-421B-A339-000E001B00C8}" done="0">
    <text xml:space="preserve">25031/02 +700.000
</text>
  </threadedComment>
  <threadedComment ref="D114" personId="{7B03C851-1B72-4382-6A46-EB78AD160EC8}" id="{0013006C-004A-43A3-A28F-00D7002400EB}" done="0">
    <text xml:space="preserve">25028/02 +463.363
</text>
  </threadedComment>
  <threadedComment ref="D115" personId="{7B03C851-1B72-4382-6A46-EB78AD160EC8}" id="{00780010-00DD-405A-9164-0087009600C5}" done="0">
    <text xml:space="preserve">25024/02 +62.538,16
</text>
  </threadedComment>
  <threadedComment ref="D116" personId="{7B03C851-1B72-4382-6A46-EB78AD160EC8}" id="{00D90076-00F9-4810-B8EF-0089007B00B4}" done="0">
    <text xml:space="preserve">25024/02 +129.480,70
</text>
  </threadedComment>
  <threadedComment ref="D117" personId="{7B03C851-1B72-4382-6A46-EB78AD160EC8}" id="{00FF0066-00D5-4B14-B4F7-002000840014}" done="0">
    <text xml:space="preserve">25204/11 
+ 252.863,08 úz253 1441
+834.018,92 úz911 1445
</text>
  </threadedComment>
  <threadedComment ref="D118" personId="{7B03C851-1B72-4382-6A46-EB78AD160EC8}" id="{004D00B0-00DE-4D88-9B02-0072003E00F9}" done="0">
    <text xml:space="preserve">25203/11 
+ 6.450,70 úz253 1441
+58.056,30 úz911 1445
</text>
  </threadedComment>
  <threadedComment ref="D119" personId="{7B03C851-1B72-4382-6A46-EB78AD160EC8}" id="{00C90047-00A5-4B15-BE83-009500380074}" done="0">
    <text xml:space="preserve">25024/02 +169.544,53
</text>
  </threadedComment>
  <threadedComment ref="D120" personId="{7B03C851-1B72-4382-6A46-EB78AD160EC8}" id="{00DD000A-00C3-44C9-8761-004D00D00020}" done="0">
    <text xml:space="preserve">25024/02 +70.270,33
</text>
  </threadedComment>
  <threadedComment ref="D121" personId="{7B03C851-1B72-4382-6A46-EB78AD160EC8}" id="{00F8005B-0073-40FF-B433-000C002A0047}" done="0">
    <text xml:space="preserve">25042/03 +2.743.942,28
</text>
  </threadedComment>
  <threadedComment ref="D122" personId="{7B03C851-1B72-4382-6A46-EB78AD160EC8}" id="{00200086-0046-4AAC-B868-009500CD00B1}" done="0">
    <text xml:space="preserve">25031/02 
+37.912,80  1180
+ 6.500   1131
+455.819,41  1134
25088/05 +30.000
</text>
  </threadedComment>
  <threadedComment ref="D123" personId="{7B03C851-1B72-4382-6A46-EB78AD160EC8}" id="{00E1005C-0036-41C0-B4A2-00EF001B007E}" done="0">
    <text xml:space="preserve">25062/04 +23.725
25063/04 +4.745
25082/05 +40.000
25091/06 +10.000
25108/07 +10.000
25136/08 +17.245
25146/08 +60.000
</text>
  </threadedComment>
  <threadedComment ref="D125" personId="{7B03C851-1B72-4382-6A46-EB78AD160EC8}" id="{00B300AE-001C-4B6C-AF1F-001200A90007}" done="0">
    <text xml:space="preserve">25004/01 úz 33092
+ 913,14 (1431)
+3.011,86 (1435)
</text>
  </threadedComment>
  <threadedComment ref="D126" personId="{7B03C851-1B72-4382-6A46-EB78AD160EC8}" id="{00DE003D-006B-432D-8F07-000F00BA0046}" done="0">
    <text xml:space="preserve">25203/11 úz 33092
+ 24.701,86 (1431)
+ 81.474,14 (1435)
</text>
  </threadedComment>
  <threadedComment ref="D127" personId="{7B03C851-1B72-4382-6A46-EB78AD160EC8}" id="{00970005-009E-4519-AF39-001700D30038}" done="0">
    <text xml:space="preserve">25026/02 +3.730
</text>
  </threadedComment>
  <threadedComment ref="D129" personId="{7B03C851-1B72-4382-6A46-EB78AD160EC8}" id="{0032005B-0086-462B-97E7-002A00F400B9}" done="0">
    <text xml:space="preserve">25032/03
-50.000 741
+50.000 528
25033/03
-50.000 741
+50.000 416
25175/09 +10.000 (035)
25177/10 +150.000 (416)
25181/10 -10.000 (035)
25196/11 +30.000
</text>
  </threadedComment>
  <threadedComment ref="D130" personId="{7B03C851-1B72-4382-6A46-EB78AD160EC8}" id="{00CF004E-00B0-4389-8B62-0002006D002F}" done="0">
    <text xml:space="preserve">25068/04 +240.187
25169/09 +155.473
</text>
  </threadedComment>
  <threadedComment ref="D135" personId="{7B03C851-1B72-4382-6A46-EB78AD160EC8}" id="{00010077-0051-47C9-BCE1-0014005E006B}" done="0">
    <text xml:space="preserve">25031/03 +15.000
</text>
  </threadedComment>
  <threadedComment ref="D151" personId="{7B03C851-1B72-4382-6A46-EB78AD160EC8}" id="{00E600D4-00EB-4A2C-9698-00E6008E0024}" done="0">
    <text xml:space="preserve">25074/04 -200.000
</text>
  </threadedComment>
  <threadedComment ref="D159" personId="{7B03C851-1B72-4382-6A46-EB78AD160EC8}" id="{00B3003C-00BB-4084-B128-006000FE00DF}" done="0">
    <text xml:space="preserve">25246/12 +151.008
</text>
  </threadedComment>
  <threadedComment ref="D160" personId="{7B03C851-1B72-4382-6A46-EB78AD160EC8}" id="{005A0080-009D-45EF-9AC4-004E003F0028}" done="0">
    <text xml:space="preserve">25061/04 -5000000
</text>
  </threadedComment>
  <threadedComment ref="D163" personId="{7B03C851-1B72-4382-6A46-EB78AD160EC8}" id="{000A00C5-006A-4AE5-AE14-00F3009400FB}" done="0">
    <text xml:space="preserve">25183/10 -500.000
</text>
  </threadedComment>
  <threadedComment ref="D164" personId="{7B03C851-1B72-4382-6A46-EB78AD160EC8}" id="{0076000B-001C-4096-A908-004700AB00F8}" done="0">
    <text xml:space="preserve">25047/03 -500.000
</text>
  </threadedComment>
  <threadedComment ref="D165" personId="{7B03C851-1B72-4382-6A46-EB78AD160EC8}" id="{004E0052-00BD-4726-A3EE-0080006B001A}" done="0">
    <text xml:space="preserve">25255/12 -5.132.771,51
</text>
  </threadedComment>
  <threadedComment ref="D168" personId="{7B03C851-1B72-4382-6A46-EB78AD160EC8}" id="{00390046-007F-413E-8385-00FF00A100FC}" done="0">
    <text xml:space="preserve">25058/04 +5.889.660
</text>
  </threadedComment>
  <threadedComment ref="D169" personId="{7B03C851-1B72-4382-6A46-EB78AD160EC8}" id="{009B0002-00C2-4CA3-AD2E-00FD00390013}" done="0">
    <text xml:space="preserve">25094/06 +5.424.450
</text>
  </threadedComment>
  <threadedComment ref="D171" personId="{7B03C851-1B72-4382-6A46-EB78AD160EC8}" id="{0080007A-00CB-4E66-B72D-00C0004A006E}" done="0">
    <text xml:space="preserve">25193/10 -2.975.049
</text>
  </threadedComment>
  <threadedComment ref="D172" personId="{7B03C851-1B72-4382-6A46-EB78AD160EC8}" id="{00B400AA-0072-43B8-B069-001F00FB0036}" done="0">
    <text xml:space="preserve">25093/06 +748.448
</text>
  </threadedComment>
  <threadedComment ref="D173" personId="{7B03C851-1B72-4382-6A46-EB78AD160EC8}" id="{003B008A-00E5-4E28-9BB7-009F00A90013}" done="0">
    <text xml:space="preserve">25093/06 +62.329
</text>
  </threadedComment>
  <threadedComment ref="D174" personId="{7B03C851-1B72-4382-6A46-EB78AD160EC8}" id="{00B7005D-0036-4749-A0CD-00340087001E}" done="0">
    <text xml:space="preserve">25193/10 -20.300.000
</text>
  </threadedComment>
  <threadedComment ref="D175" personId="{7B03C851-1B72-4382-6A46-EB78AD160EC8}" id="{001F0067-0036-47E9-AE0C-00BC001D0080}" done="0">
    <text xml:space="preserve">25193/10 -610.000
</text>
  </threadedComment>
  <threadedComment ref="D178" personId="{7B03C851-1B72-4382-6A46-EB78AD160EC8}" id="{000B009D-0026-49F8-B92D-007C00860031}" done="0">
    <text xml:space="preserve">25162/09 -2.499.999
</text>
  </threadedComment>
  <threadedComment ref="D179" personId="{7B03C851-1B72-4382-6A46-EB78AD160EC8}" id="{00410034-00E6-4622-AAF9-005C003D00D0}" done="0">
    <text xml:space="preserve">25254/12 -1.356.601
</text>
  </threadedComment>
  <threadedComment ref="D180" personId="{7B03C851-1B72-4382-6A46-EB78AD160EC8}" id="{001F006E-005F-489E-829A-00020068006D}" done="0">
    <text xml:space="preserve">25166/09 -168.585
</text>
  </threadedComment>
  <threadedComment ref="D181" personId="{7B03C851-1B72-4382-6A46-EB78AD160EC8}" id="{00920085-006C-4861-96B5-0005002A007D}" done="0">
    <text xml:space="preserve">25244/12 -5.312.129
</text>
  </threadedComment>
  <threadedComment ref="D182" personId="{7B03C851-1B72-4382-6A46-EB78AD160EC8}" id="{00F800F7-0019-4A28-B3C4-007C000100F3}" done="0">
    <text xml:space="preserve">25246/12 -151.008
</text>
  </threadedComment>
  <threadedComment ref="D187" personId="{7B03C851-1B72-4382-6A46-EB78AD160EC8}" id="{00A700BA-0024-493A-AAD6-00F000530056}" done="0">
    <text xml:space="preserve">25130.07
-500.000 +735.000
</text>
  </threadedComment>
  <threadedComment ref="D188" personId="{7B03C851-1B72-4382-6A46-EB78AD160EC8}" id="{0099004A-00CD-441C-95CF-005E00BC008C}" done="0">
    <text xml:space="preserve">25003/01 -432.200
</text>
  </threadedComment>
  <threadedComment ref="D190" personId="{7B03C851-1B72-4382-6A46-EB78AD160EC8}" id="{00AF00EB-0084-41BC-A8D1-00FF004F00F7}" done="0">
    <text xml:space="preserve">25165/09 -55.091,76
25252/12 +49.994,72
</text>
  </threadedComment>
  <threadedComment ref="D191" personId="{7B03C851-1B72-4382-6A46-EB78AD160EC8}" id="{00D700A6-0091-4C80-BE62-009A00670086}" done="0">
    <text xml:space="preserve">25101/07 -40.000
</text>
  </threadedComment>
  <threadedComment ref="D192" personId="{7B03C851-1B72-4382-6A46-EB78AD160EC8}" id="{004700C6-000A-44BB-B792-0050009600E5}" done="0">
    <text xml:space="preserve">25157/09 
+91.819,40 úz89028 1601
+49.441,18 úz89029 1605
</text>
  </threadedComment>
  <threadedComment ref="D194" personId="{7B03C851-1B72-4382-6A46-EB78AD160EC8}" id="{00E9007B-00BC-40F2-BAED-0072002500C6}" done="0">
    <text xml:space="preserve">25136/08 -17.245 
dotace 
</text>
  </threadedComment>
  <threadedComment ref="D195" personId="{7B03C851-1B72-4382-6A46-EB78AD160EC8}" id="{00850077-002D-48FF-9A99-0042007A000C}" done="0">
    <text xml:space="preserve">25135/08 +294.000
</text>
  </threadedComment>
  <threadedComment ref="D196" personId="{7B03C851-1B72-4382-6A46-EB78AD160EC8}" id="{008800EB-00D9-4FA3-B297-003300110094}" done="0">
    <text xml:space="preserve">25234/12 +995.434,77
</text>
  </threadedComment>
  <threadedComment ref="D197" personId="{7B03C851-1B72-4382-6A46-EB78AD160EC8}" id="{000C0072-006D-4645-B134-00A7003B006F}" done="0">
    <text xml:space="preserve">25163/09 +1.563.852,31
</text>
  </threadedComment>
  <threadedComment ref="D198" personId="{7B03C851-1B72-4382-6A46-EB78AD160EC8}" id="{00AD006E-006A-49A1-B9D6-00EE00E40092}" done="0">
    <text xml:space="preserve">25194/10 +207.366
25224/12 +117.914
</text>
  </threadedComment>
  <threadedComment ref="D199" personId="{7B03C851-1B72-4382-6A46-EB78AD160EC8}" id="{00710068-00EC-44DD-8C7C-007500B000E4}" done="0">
    <text xml:space="preserve">25250/12 +115.881
</text>
  </threadedComment>
  <threadedComment ref="D201" personId="{7B03C851-1B72-4382-6A46-EB78AD160EC8}" id="{00E40028-0071-4574-9CD4-0085009B00FD}" done="0">
    <text xml:space="preserve">25072/04 +71.563,93
</text>
  </threadedComment>
  <threadedComment ref="D202" personId="{7B03C851-1B72-4382-6A46-EB78AD160EC8}" id="{00CF00FE-0080-483D-87A9-000E00CF00AC}" done="0">
    <text xml:space="preserve">25158/09 +483.823
</text>
  </threadedComment>
  <threadedComment ref="D203" personId="{7B03C851-1B72-4382-6A46-EB78AD160EC8}" id="{003B00B3-00C2-4256-AEB6-005400EC0065}" done="0">
    <text xml:space="preserve">25055/03  -+ 25.723 
25246/12 -74.277
</text>
  </threadedComment>
  <threadedComment ref="D204" personId="{7B03C851-1B72-4382-6A46-EB78AD160EC8}" id="{001100C0-0087-4814-B7B9-001E00280072}" done="0">
    <text xml:space="preserve">25051/04 úz 33092
+117.955,01 1431
+495.553,09  1435
</text>
  </threadedComment>
  <threadedComment ref="D205" personId="{7B03C851-1B72-4382-6A46-EB78AD160EC8}" id="{0063007B-00DA-48B6-9410-00B200450022}" done="0">
    <text xml:space="preserve">25052/04 úz 33092
+138.438,27 1431
+581.607,57  1435
</text>
  </threadedComment>
  <threadedComment ref="D206" personId="{7B03C851-1B72-4382-6A46-EB78AD160EC8}" id="{006F00B6-0053-4F0A-9D36-0055008900AA}" done="0">
    <text xml:space="preserve">25041/03 úz 33092
+108.476,76 1431
+455.733  1435
</text>
  </threadedComment>
  <threadedComment ref="D207" personId="{7B03C851-1B72-4382-6A46-EB78AD160EC8}" id="{003E00D1-0028-4DCC-A8A5-0075000A003F}" done="0">
    <text xml:space="preserve">25131/08 úz33092
+ 348.577,29 1441
+1.464.444,50 1445
</text>
  </threadedComment>
  <threadedComment ref="D208" personId="{7B03C851-1B72-4382-6A46-EB78AD160EC8}" id="{00990075-004D-4A76-8832-008D00EF0050}" done="0">
    <text xml:space="preserve">25115/07 úz33092
+ 269.533,32 1441
+1.132.364,58 1445
</text>
  </threadedComment>
  <threadedComment ref="D209" personId="{7B03C851-1B72-4382-6A46-EB78AD160EC8}" id="{00AC00AC-00AB-4A02-9BC2-003000270093}" done="0">
    <text xml:space="preserve">25115/07 úz33092
+ 269.533,32 1441
+1.132.364,58 1445
</text>
  </threadedComment>
  <threadedComment ref="D210" personId="{7B03C851-1B72-4382-6A46-EB78AD160EC8}" id="{009400AD-0049-4154-9857-009300010034}" done="0">
    <text xml:space="preserve">25048/03 úz33092
+ 280.004,26 1441
+1.176.355,23 1445
</text>
  </threadedComment>
  <threadedComment ref="D211" personId="{7B03C851-1B72-4382-6A46-EB78AD160EC8}" id="{009A005F-00FB-424A-8754-002A00220054}" done="0">
    <text xml:space="preserve">25217/11 úz33092
+ 198.862,55 1441
+ 835.462,29 1445
</text>
  </threadedComment>
  <threadedComment ref="D212" personId="{7B03C851-1B72-4382-6A46-EB78AD160EC8}" id="{00CD00FA-0074-463A-9D34-00FE00EC00EA}" done="0">
    <text xml:space="preserve">25183/10
+1.341.000 radnice
+324.000 podloubí MN1-5
</text>
  </threadedComment>
  <threadedComment ref="D214" personId="{7B03C851-1B72-4382-6A46-EB78AD160EC8}" id="{00090049-00C3-42D5-B1CF-0016002A009B}" done="0">
    <text xml:space="preserve">25246/12 +35.000
</text>
  </threadedComment>
  <threadedComment ref="D215" personId="{7B03C851-1B72-4382-6A46-EB78AD160EC8}" id="{007A00AD-00F5-4426-A84A-004800DC00C4}" done="0">
    <text xml:space="preserve">25246/12 +5.019
</text>
  </threadedComment>
  <threadedComment ref="D216" personId="{7B03C851-1B72-4382-6A46-EB78AD160EC8}" id="{00BC00FD-00F9-4DD2-832F-009A00D70018}" done="0">
    <text xml:space="preserve">25246/12 -31.600
</text>
  </threadedComment>
  <threadedComment ref="D217" personId="{7B03C851-1B72-4382-6A46-EB78AD160EC8}" id="{000B00ED-0017-466F-A5F4-001D00FB00E6}" done="0">
    <text xml:space="preserve">25246/12 -91.374
</text>
  </threadedComment>
  <threadedComment ref="D218" personId="{7B03C851-1B72-4382-6A46-EB78AD160EC8}" id="{008B0020-00F2-45C6-8C14-00A800030041}" done="0">
    <text xml:space="preserve">25103/07 z orj 541 na 029
</text>
  </threadedComment>
  <threadedComment ref="D220" personId="{7B03C851-1B72-4382-6A46-EB78AD160EC8}" id="{0075006E-0051-495D-ABB8-00A4006800CE}" done="0">
    <text xml:space="preserve">25246/12 -300
</text>
  </threadedComment>
  <threadedComment ref="D221" personId="{7B03C851-1B72-4382-6A46-EB78AD160EC8}" id="{00E800B6-00D5-4402-9735-00D800090028}" done="0">
    <text xml:space="preserve">25246/12 +5.000
</text>
  </threadedComment>
  <threadedComment ref="D223" personId="{7B03C851-1B72-4382-6A46-EB78AD160EC8}" id="{002D004B-00F5-46EB-A742-000800D400D0}" done="0">
    <text xml:space="preserve">25085/05 +110.000
</text>
  </threadedComment>
  <threadedComment ref="D224" personId="{7B03C851-1B72-4382-6A46-EB78AD160EC8}" id="{00B4004A-0063-4EE5-8A9B-004300F300F9}" done="0">
    <text xml:space="preserve">25010/01 +4.737.000
</text>
  </threadedComment>
  <threadedComment ref="D226" personId="{7B03C851-1B72-4382-6A46-EB78AD160EC8}" id="{0067009E-0017-433F-8F14-00A800EE00CB}" done="0">
    <text xml:space="preserve">25073/04 +140.000
</text>
  </threadedComment>
  <threadedComment ref="D227" personId="{7B03C851-1B72-4382-6A46-EB78AD160EC8}" id="{001C000B-0018-4E4B-A902-006100760020}" done="0">
    <text xml:space="preserve">25181/10 +10.000
</text>
  </threadedComment>
  <threadedComment ref="D228" personId="{7B03C851-1B72-4382-6A46-EB78AD160EC8}" id="{00020004-00A7-4C09-8D21-005C001300EC}" done="0">
    <text xml:space="preserve">25053/03 +239.800
</text>
  </threadedComment>
  <threadedComment ref="D229" personId="{7B03C851-1B72-4382-6A46-EB78AD160EC8}" id="{00770034-000C-47AB-8021-00C10048009A}" done="0">
    <text xml:space="preserve">25037/03
+ 12.834 úz 253 1441
+115.506 úz 911 1445
25118/07 
- 9.659,60 úz253 1441
-86.936,40 úz911 1445
25180/10
 +14.076 úz253 1441
+126.684 úz911 1445
</text>
  </threadedComment>
  <threadedComment ref="D230" personId="{7B03C851-1B72-4382-6A46-EB78AD160EC8}" id="{001300A1-003E-48F3-AAFE-00A000DC00FA}" done="0">
    <text xml:space="preserve">25038/03 
+ 9.850 úz 253 1441
+88.650 úz911 1445
25128.07 
- 7.511,70 úz253 1441
-67.605,30 úz911 1445
25222/12
+9.418,5 úz253 1441
+84.766,50 úz911 1445
</text>
  </threadedComment>
  <threadedComment ref="D231" personId="{7B03C851-1B72-4382-6A46-EB78AD160EC8}" id="{0007001C-0041-451B-A042-0036000300B5}" done="0">
    <text xml:space="preserve">25040/03
+ 17.098,20 úz253 1441
+153.883,80 úz911 1445
25156/09
- 17.098,20 úz253 1441
-153.883,80 úz911 1445
25223/12 
+34.051,50 úz253 1441
+306.463,50 úz911 1445
</text>
  </threadedComment>
  <threadedComment ref="D232" personId="{7B03C851-1B72-4382-6A46-EB78AD160EC8}" id="{00BA005F-00E3-451F-881E-00DE00780054}" done="0">
    <text xml:space="preserve">25046/03
 +9.159,75 úz253 1441
+82.437,75 úz911 1445
25116.07 
 -6.672,70 úz253 1441
-60.054,30 úz911 1445
25178/10 
+ 31.360,50 úz 253 1441
+282.244,50 úz 911 1445
</text>
  </threadedComment>
  <threadedComment ref="D233" personId="{7B03C851-1B72-4382-6A46-EB78AD160EC8}" id="{0027004D-006E-402D-A7E2-003A0021002B}" done="0">
    <text xml:space="preserve">25039/03 
+ 11.663,45 úz 253 1441
+104.971,05 úz911 1445
25117.07 
- 7.299,90 úz253 1441
-65.699,10 úz911 1445
25179/10
+ 24.290,45 úz245 1441
+113.643 úz 911 1445
25257/12 -24.290,45 +12.627
25257/12 
-24.290,45 +12.627 úz253 1441
</text>
  </threadedComment>
  <threadedComment ref="D234" personId="{7B03C851-1B72-4382-6A46-EB78AD160EC8}" id="{00E10051-0003-402C-91C9-006100ED004A}" done="0">
    <text xml:space="preserve">25210/11 +169.263
25246/12 -+169.263
</text>
  </threadedComment>
  <threadedComment ref="D235" personId="{7B03C851-1B72-4382-6A46-EB78AD160EC8}" id="{001D0028-00FE-47C8-8AB6-00E100870006}" done="0">
    <text xml:space="preserve">25061/04 +4.631.000
25176/10 +938.000
</text>
  </threadedComment>
  <threadedComment ref="D240" personId="{7B03C851-1B72-4382-6A46-EB78AD160EC8}" id="{00140050-00DA-41E9-B6E0-007A00060076}" done="0">
    <text xml:space="preserve">25165/09 -1.101.835,09
25252/12 +999.894,81
</text>
  </threadedComment>
  <threadedComment ref="D242" personId="{7B03C851-1B72-4382-6A46-EB78AD160EC8}" id="{0042004F-0038-4DF8-BFDF-00EB008A00FB}" done="0">
    <text xml:space="preserve">25254/12 -13.964.800
</text>
  </threadedComment>
  <threadedComment ref="D243" personId="{7B03C851-1B72-4382-6A46-EB78AD160EC8}" id="{00BA0033-00D2-42B4-A38D-008000B10026}" done="0">
    <text xml:space="preserve">25164/09 -8.886.847
</text>
  </threadedComment>
  <threadedComment ref="D244" personId="{7B03C851-1B72-4382-6A46-EB78AD160EC8}" id="{0089003F-0003-4E12-AD36-00DB00140059}" done="0">
    <text xml:space="preserve">25163/09 -1.817.357,44
</text>
  </threadedComment>
  <threadedComment ref="D245" personId="{7B03C851-1B72-4382-6A46-EB78AD160EC8}" id="{008E0007-006F-4093-BCF2-001F00B90009}" done="0">
    <text xml:space="preserve">25163/09 +196.649,72
</text>
  </threadedComment>
  <threadedComment ref="D246" personId="{7B03C851-1B72-4382-6A46-EB78AD160EC8}" id="{00510033-0006-482B-9C0D-00B600F200F9}" done="0">
    <text xml:space="preserve">25244/12 +8.820.238,62
</text>
  </threadedComment>
  <threadedComment ref="D247" personId="{7B03C851-1B72-4382-6A46-EB78AD160EC8}" id="{00DF0025-00D6-4786-AA72-00A300B400B7}" done="0">
    <text xml:space="preserve">25054/03 +1.571.026,45
</text>
  </threadedComment>
  <threadedComment ref="D248" personId="{7B03C851-1B72-4382-6A46-EB78AD160EC8}" id="{000C0086-0040-4503-9188-0001000000EA}" done="0">
    <text xml:space="preserve">25072/04 +1.022.341,89
</text>
  </threadedComment>
  <threadedComment ref="D249" personId="{7B03C851-1B72-4382-6A46-EB78AD160EC8}" id="{000D001C-0007-4714-B955-00FF00A500FA}" done="0">
    <text xml:space="preserve">25114.07 +40.000
</text>
  </threadedComment>
  <threadedComment ref="D251" personId="{7B03C851-1B72-4382-6A46-EB78AD160EC8}" id="{008F0075-0031-40D8-9D09-00FE00D200F9}" done="0">
    <text xml:space="preserve">25073/04 -140.000
</text>
  </threadedComment>
  <threadedComment ref="D252" personId="{7B03C851-1B72-4382-6A46-EB78AD160EC8}" id="{00D9004B-001F-4AEE-BD8F-00FA001800E5}" done="0">
    <text xml:space="preserve">25167/09 -79.980
</text>
  </threadedComment>
  <threadedComment ref="D258" personId="{7B03C851-1B72-4382-6A46-EB78AD160EC8}" id="{0087002F-005C-458D-A533-00D6004C001F}" done="0">
    <text xml:space="preserve">25030/03 +21.520.868,17
</text>
  </threadedComment>
  <threadedComment ref="D269" personId="{7B03C851-1B72-4382-6A46-EB78AD160EC8}" id="{002F0022-0030-4335-A864-0014002E0001}" done="0">
    <text xml:space="preserve">25691/11 -15.000
</text>
  </threadedComment>
  <threadedComment ref="D270" personId="{7B03C851-1B72-4382-6A46-EB78AD160EC8}" id="{0037006B-00C9-4251-80CC-005300200003}" done="0">
    <text xml:space="preserve">25190/10 +174.082,70
25691/11 -43.000
</text>
  </threadedComment>
  <threadedComment ref="D271" personId="{7B03C851-1B72-4382-6A46-EB78AD160EC8}" id="{00A400A9-00ED-4185-AC0D-00A2006500E1}" done="0">
    <text xml:space="preserve">25190/10 -174.082,70
25691/11 -25.000
</text>
  </threadedComment>
  <threadedComment ref="D272" personId="{7B03C851-1B72-4382-6A46-EB78AD160EC8}" id="{00DC004E-00F6-48DB-BAAF-00C7007F003A}" done="0">
    <text xml:space="preserve">25691/11 +83.000
25236/12 +17.000
</text>
  </threadedComment>
  <threadedComment ref="D275" personId="{7B03C851-1B72-4382-6A46-EB78AD160EC8}" id="{00960089-0013-4993-BFBC-00F100620024}" done="0">
    <text xml:space="preserve">25519/02 +699.259
25564/05 +195.569,92
25608/08 +669.420,40
25187/10 +400.000
</text>
  </threadedComment>
  <threadedComment ref="D276" personId="{7B03C851-1B72-4382-6A46-EB78AD160EC8}" id="{008700BB-00DC-4EA5-BDAE-007100DC0033}" done="0">
    <text xml:space="preserve">25519/02 -699.259
25564/05 -195.569,92
25608/08 -669.420,40
25635/09 +200.000
25187/10 +700.000
25236/12 -17.000
</text>
  </threadedComment>
  <threadedComment ref="D278" personId="{7B03C851-1B72-4382-6A46-EB78AD160EC8}" id="{0085006B-0000-4F4B-99B2-0057005E0042}" done="0">
    <text xml:space="preserve">25635/09 -200.000
</text>
  </threadedComment>
  <threadedComment ref="D285" personId="{7B03C851-1B72-4382-6A46-EB78AD160EC8}" id="{004D0036-009A-4D28-B3B4-004C0032007F}" done="0">
    <text xml:space="preserve">25506/01 +98.736
</text>
  </threadedComment>
  <threadedComment ref="D286" personId="{7B03C851-1B72-4382-6A46-EB78AD160EC8}" id="{006D0026-0030-413A-A0B9-00A7002700FD}" done="0">
    <text xml:space="preserve">25633/09 +300.201
</text>
  </threadedComment>
  <threadedComment ref="D287" personId="{7B03C851-1B72-4382-6A46-EB78AD160EC8}" id="{00B60039-00AD-4274-880B-00F10097000C}" done="0">
    <text xml:space="preserve">25201/11 +700.000
</text>
  </threadedComment>
  <threadedComment ref="D288" personId="{7B03C851-1B72-4382-6A46-EB78AD160EC8}" id="{000F00DC-00E8-4B90-B647-007D0090000B}" done="0">
    <text xml:space="preserve">25249/12 -500.000
</text>
  </threadedComment>
  <threadedComment ref="D289" personId="{7B03C851-1B72-4382-6A46-EB78AD160EC8}" id="{00C00090-009F-48C3-B593-00690028001B}" done="0">
    <text xml:space="preserve">25501/01 +18.732,10
</text>
  </threadedComment>
  <threadedComment ref="D290" personId="{7B03C851-1B72-4382-6A46-EB78AD160EC8}" id="{0074006D-0076-4D67-861F-0050003700C6}" done="0">
    <text xml:space="preserve">25506/01 -98.736
25169/09 +107.296
25633/09 -300.201
25639/09 +88.267,90
</text>
  </threadedComment>
  <threadedComment ref="D291" personId="{7B03C851-1B72-4382-6A46-EB78AD160EC8}" id="{00160037-005F-400B-9B25-0026005E000D}" done="0">
    <text xml:space="preserve">25501/01 -18.732,10
25637/09 -393.000
25639/09 -88.267,90
</text>
  </threadedComment>
  <threadedComment ref="D292" personId="{7B03C851-1B72-4382-6A46-EB78AD160EC8}" id="{00B8008E-0049-419D-977F-006D00B400EF}" done="0">
    <text xml:space="preserve">25525/02 +370.000
25580.07 +13.752,93
25637/09 +393.000
</text>
  </threadedComment>
  <threadedComment ref="D293" personId="{7B03C851-1B72-4382-6A46-EB78AD160EC8}" id="{005C00F4-008C-4496-9BA1-00FB00F70071}" done="0">
    <text xml:space="preserve">25525/02 -370.000
25580.07 -13.752,93
</text>
  </threadedComment>
  <threadedComment ref="D296" personId="{7B03C851-1B72-4382-6A46-EB78AD160EC8}" id="{00C8009F-00C9-44BA-B1EE-005C004400C3}" done="0">
    <text xml:space="preserve">25513/01 +90.212,58
</text>
  </threadedComment>
  <threadedComment ref="D297" personId="{7B03C851-1B72-4382-6A46-EB78AD160EC8}" id="{00130049-0081-4024-BACF-004900C50027}" done="0">
    <text xml:space="preserve">25675/1
1 +59.895
</text>
  </threadedComment>
  <threadedComment ref="D298" personId="{7B03C851-1B72-4382-6A46-EB78AD160EC8}" id="{0071008A-0020-41FF-A4F4-009200B60035}" done="0">
    <text xml:space="preserve">25505/01 +29.947,50
</text>
  </threadedComment>
  <threadedComment ref="D302" personId="{7B03C851-1B72-4382-6A46-EB78AD160EC8}" id="{00D50009-009A-4812-A415-00A500860017}" done="0">
    <text xml:space="preserve">25505/01 -29.947,50
25513/01 -90.212,58
25124.07 -2.000.000
25675/11 -59.895
</text>
  </threadedComment>
  <threadedComment ref="D305" personId="{7B03C851-1B72-4382-6A46-EB78AD160EC8}" id="{00550061-009F-472E-BF0F-0000006500DE}" done="0">
    <text xml:space="preserve">25538/03 +19.312,50
</text>
  </threadedComment>
  <threadedComment ref="D306" personId="{7B03C851-1B72-4382-6A46-EB78AD160EC8}" id="{0061009B-00D2-412B-8C16-008800AA0064}" done="0">
    <text xml:space="preserve">25020/02 +250.000
25186/10 +500.000
</text>
  </threadedComment>
  <threadedComment ref="D308" personId="{7B03C851-1B72-4382-6A46-EB78AD160EC8}" id="{006400F9-00BE-4A4D-BD0C-0033002D0088}" done="0">
    <text xml:space="preserve">25538/03 -19.312,50
</text>
  </threadedComment>
  <threadedComment ref="D309" personId="{7B03C851-1B72-4382-6A46-EB78AD160EC8}" id="{0017002B-001A-4338-A8F4-0011009E0044}" done="0">
    <text xml:space="preserve">25169/09 +7.519
</text>
  </threadedComment>
  <threadedComment ref="D312" personId="{7B03C851-1B72-4382-6A46-EB78AD160EC8}" id="{00300003-0011-40CB-B06D-00B0002C007F}" done="0">
    <text xml:space="preserve">25081/05 +3.375.008,64
25173/09 -3.554.234,82
25701/12 +160.000
</text>
  </threadedComment>
  <threadedComment ref="D315" personId="{7B03C851-1B72-4382-6A46-EB78AD160EC8}" id="{00E60048-0054-475D-8B5E-00B8008B00BB}" done="0">
    <text xml:space="preserve">25632/09 +66.512,10
25701/12 -75.000
</text>
  </threadedComment>
  <threadedComment ref="D317" personId="{7B03C851-1B72-4382-6A46-EB78AD160EC8}" id="{007D0033-0067-4439-8F56-006E007B0081}" done="0">
    <text xml:space="preserve">25632/09 -66.512,10
25701/12 -60.000
</text>
  </threadedComment>
  <threadedComment ref="D318" personId="{7B03C851-1B72-4382-6A46-EB78AD160EC8}" id="{00DF0055-00FF-405F-9E66-00D300450005}" done="0">
    <text xml:space="preserve">25701/12 -25.000
</text>
  </threadedComment>
  <threadedComment ref="D324" personId="{7B03C851-1B72-4382-6A46-EB78AD160EC8}" id="{00D10026-008F-4E16-ADFC-008C0005002B}" done="0">
    <text xml:space="preserve">25186/10 -500.000
</text>
  </threadedComment>
  <threadedComment ref="D326" personId="{7B03C851-1B72-4382-6A46-EB78AD160EC8}" id="{00B4005E-0000-4C33-847E-00B800DF001B}" done="0">
    <text xml:space="preserve">
25192/10 -50.000
</text>
  </threadedComment>
  <threadedComment ref="D327" personId="{7B03C851-1B72-4382-6A46-EB78AD160EC8}" id="{00390033-00B7-4733-85A6-008300CC007C}" done="0">
    <text xml:space="preserve">25192/10 -100.000
</text>
  </threadedComment>
  <threadedComment ref="D330" personId="{7B03C851-1B72-4382-6A46-EB78AD160EC8}" id="{0030003A-00CC-4405-BF3D-0077000600FC}" done="0">
    <text xml:space="preserve">25702/12 -99.920
</text>
  </threadedComment>
  <threadedComment ref="D332" personId="{7B03C851-1B72-4382-6A46-EB78AD160EC8}" id="{007100B8-004D-4856-9F50-002700C700D1}" done="0">
    <text xml:space="preserve">25562/05 +199.650
</text>
  </threadedComment>
  <threadedComment ref="D333" personId="{7B03C851-1B72-4382-6A46-EB78AD160EC8}" id="{00ED0014-0048-4871-A9CC-00EA0071002C}" done="0">
    <text xml:space="preserve">25557/05 -96.485,40
25562/05 -199.650
25579.07 -460.000
25591/07 -96.600
25634/09 -244.650
25192/10 +150.000
25245/12 +115.000
</text>
  </threadedComment>
  <threadedComment ref="D334" personId="{7B03C851-1B72-4382-6A46-EB78AD160EC8}" id="{004A0081-00D6-404E-8BEF-00A300970015}" done="0"/>
  <threadedComment ref="D335" personId="{7B03C851-1B72-4382-6A46-EB78AD160EC8}" id="{00950012-00E0-40C4-AD8B-00A600F800DC}" done="0">
    <text xml:space="preserve">25579.07 +460.000
25591/01 +96.600
</text>
  </threadedComment>
  <threadedComment ref="D336" personId="{7B03C851-1B72-4382-6A46-EB78AD160EC8}" id="{00B3006F-0035-4787-A746-007C003900A7}" done="0">
    <text xml:space="preserve">25634/09 +244.650
</text>
  </threadedComment>
  <threadedComment ref="D337" personId="{7B03C851-1B72-4382-6A46-EB78AD160EC8}" id="{00B70005-0027-46A2-8F0D-0013005900A6}" done="0">
    <text xml:space="preserve">25702/12 +99.920
</text>
  </threadedComment>
  <threadedComment ref="D338" personId="{7B03C851-1B72-4382-6A46-EB78AD160EC8}" id="{005A0057-0081-4B7E-9CC9-00FF00A800BE}" done="0">
    <text xml:space="preserve">25557.07 +96.485,40
</text>
  </threadedComment>
  <threadedComment ref="D340" personId="{7B03C851-1B72-4382-6A46-EB78AD160EC8}" id="{008500D3-004F-48DE-8825-003C00FD0079}" done="0">
    <text xml:space="preserve">25245/12 -20.000
</text>
  </threadedComment>
  <threadedComment ref="D341" personId="{7B03C851-1B72-4382-6A46-EB78AD160EC8}" id="{002B00C3-00F3-4385-8A8E-008300500088}" done="0">
    <text xml:space="preserve">25245/12 -20.000
</text>
  </threadedComment>
  <threadedComment ref="D342" personId="{7B03C851-1B72-4382-6A46-EB78AD160EC8}" id="{00BB00A5-0047-48FD-AB4E-004200D6004C}" done="0">
    <text xml:space="preserve">25245/12 -75.000
</text>
  </threadedComment>
  <threadedComment ref="D349" personId="{7B03C851-1B72-4382-6A46-EB78AD160EC8}" id="{009F00C8-0020-4326-9662-00C800A500EF}" done="0">
    <text xml:space="preserve">25068/04 +226.282
25172/09 -75.741,16
25187/10 -1.100.000
25655/10 -143.052,25
</text>
  </threadedComment>
  <threadedComment ref="D350" personId="{7B03C851-1B72-4382-6A46-EB78AD160EC8}" id="{00DC0081-00B1-4453-951F-00DD0004001D}" done="0">
    <text xml:space="preserve">25068/04 +226.282
25172/09 -75.741,16
25655/10 +143.052,25
</text>
  </threadedComment>
  <threadedComment ref="D352" personId="{7B03C851-1B72-4382-6A46-EB78AD160EC8}" id="{004400B1-00AE-46F7-8C6A-00EB00040001}" done="0">
    <text xml:space="preserve">25134/08 +230.000
</text>
  </threadedComment>
  <threadedComment ref="D354" personId="{7B03C851-1B72-4382-6A46-EB78AD160EC8}" id="{002A003D-00D8-413B-BDE5-003200F30084}" done="0">
    <text xml:space="preserve">25563/05 
-775.379,13  5171
+775.379,13 5139
25169/09 +1.042
25641/09 +360.000
</text>
  </threadedComment>
  <threadedComment ref="D357" personId="{7B03C851-1B72-4382-6A46-EB78AD160EC8}" id="{00430042-0060-4525-B419-00980005007D}" done="0">
    <text xml:space="preserve">25581.07 +121.839,10
</text>
  </threadedComment>
  <threadedComment ref="D358" personId="{7B03C851-1B72-4382-6A46-EB78AD160EC8}" id="{00D20094-00BF-4ED1-9F8B-003E00200064}" done="0">
    <text xml:space="preserve">25582.07 +51.619
25641/09 +340.000
</text>
  </threadedComment>
  <threadedComment ref="D360" personId="{7B03C851-1B72-4382-6A46-EB78AD160EC8}" id="{00B200FF-0009-472E-A201-0058007F00C4}" done="0">
    <text xml:space="preserve">25583.07 +10.890
</text>
  </threadedComment>
  <threadedComment ref="D37" personId="{7B03C851-1B72-4382-6A46-EB78AD160EC8}" id="{00870062-0071-450A-A253-0034003200FC}" done="0">
    <text xml:space="preserve">25127.07 -2.000.000
</text>
  </threadedComment>
  <threadedComment ref="D361" personId="{7B03C851-1B72-4382-6A46-EB78AD160EC8}" id="{00BE00DF-006C-405A-AC13-002A00FA0076}" done="0">
    <text xml:space="preserve">25532/03 +40.838
</text>
  </threadedComment>
  <threadedComment ref="D362" personId="{7B03C851-1B72-4382-6A46-EB78AD160EC8}" id="{00A1002F-000A-4ADD-A380-0076001D008C}" done="0">
    <text xml:space="preserve">25641/09 -700.000
</text>
  </threadedComment>
  <threadedComment ref="D363" personId="{7B03C851-1B72-4382-6A46-EB78AD160EC8}" id="{008D006A-005C-4890-BE99-005C0087008A}" done="0">
    <text xml:space="preserve">25532/03 -40.838
25581/07 -121.839,10
25582/07 -51.619
25583/07 -10.890
25134/08 -230.000
</text>
  </threadedComment>
  <threadedComment ref="D365" personId="{7B03C851-1B72-4382-6A46-EB78AD160EC8}" id="{0086001F-0026-470F-98A0-00C4009E008E}" done="0">
    <text xml:space="preserve">25025/02 +104.517
25134/08 +67.000
25201/11 -500.000
25249/12 -550.000
</text>
  </threadedComment>
  <threadedComment ref="D366" personId="{7B03C851-1B72-4382-6A46-EB78AD160EC8}" id="{00420039-0001-4EB5-A41B-002200490020}" done="0">
    <text xml:space="preserve">25134/08 -67.000
</text>
  </threadedComment>
  <threadedComment ref="D369" personId="{7B03C851-1B72-4382-6A46-EB78AD160EC8}" id="{0044009C-00CF-4EBA-B078-009F00AF001E}" done="0">
    <text xml:space="preserve">25172/09 +75.741,16
</text>
  </threadedComment>
  <threadedComment ref="D38" personId="{7B03C851-1B72-4382-6A46-EB78AD160EC8}" id="{00E30074-0066-4C55-8646-00FC00F90056}" done="0">
    <text xml:space="preserve">25057/04 +25.564.110
</text>
  </threadedComment>
  <threadedComment ref="D379" personId="{7B03C851-1B72-4382-6A46-EB78AD160EC8}" id="{007F009A-009A-495F-B152-007B00380005}" done="0">
    <text xml:space="preserve">25141/08 -4.000.000
</text>
  </threadedComment>
  <threadedComment ref="D382" personId="{7B03C851-1B72-4382-6A46-EB78AD160EC8}" id="{00DC00DA-0033-48BD-809D-00FA00BC00E3}" done="0">
    <text xml:space="preserve">25504/01 -300.000
25509/01 -80.000
25511/01 -20.000
</text>
  </threadedComment>
  <threadedComment ref="D384" personId="{7B03C851-1B72-4382-6A46-EB78AD160EC8}" id="{009F00E0-0074-4249-9809-00D7007A00E2}" done="0">
    <text xml:space="preserve">25541/04 +450.000
25694/11 -205.000
</text>
  </threadedComment>
  <threadedComment ref="D385" personId="{7B03C851-1B72-4382-6A46-EB78AD160EC8}" id="{004800A5-00FA-4F43-BA89-008600DC006D}" done="0">
    <text xml:space="preserve">25541/04 -450.000
25694/11 +205.000
</text>
  </threadedComment>
  <threadedComment ref="D386" personId="{7B03C851-1B72-4382-6A46-EB78AD160EC8}" id="{009D0011-00F7-4EBA-8B3F-005C00200033}" done="0">
    <text xml:space="preserve">25504/01 +300.000
25555/05 -29.900
</text>
  </threadedComment>
  <threadedComment ref="D387" personId="{7B03C851-1B72-4382-6A46-EB78AD160EC8}" id="{0021004D-0010-4B3E-8839-0035000B00B3}" done="0">
    <text xml:space="preserve">25509/01 +80.000
25511/01 +20.000
25555/05 +29.900
25121.07 +803.000
</text>
  </threadedComment>
  <threadedComment ref="D390" personId="{7B03C851-1B72-4382-6A46-EB78AD160EC8}" id="{00050072-009E-4398-B02B-00BD0024008A}" done="0">
    <text xml:space="preserve">25576.07 +400.000
</text>
  </threadedComment>
  <threadedComment ref="D391" personId="{7B03C851-1B72-4382-6A46-EB78AD160EC8}" id="{00260005-006C-4DF3-AC64-00C700F9007A}" done="0">
    <text xml:space="preserve">25022/02 -210.000
25120.07 +3.000.000
25126.07 +9.000.000
25576.07 +350.000
25145/08 -5.000.000
25254/12 -3.700.000
</text>
  </threadedComment>
  <threadedComment ref="D392" personId="{7B03C851-1B72-4382-6A46-EB78AD160EC8}" id="{000C00E3-00CA-4A59-8A0D-00B80062008C}" done="0">
    <text xml:space="preserve">25576.07 -750.000
</text>
  </threadedComment>
  <threadedComment ref="D395" personId="{7B03C851-1B72-4382-6A46-EB78AD160EC8}" id="{00B30035-00CA-4029-B34D-007D001900D5}" done="0">
    <text xml:space="preserve">25622/08 -250.000
</text>
  </threadedComment>
  <threadedComment ref="D396" personId="{7B03C851-1B72-4382-6A46-EB78AD160EC8}" id="{000B008D-00F8-4090-87B8-008600F200EF}" done="0">
    <text xml:space="preserve">25589/07 -300.000
</text>
  </threadedComment>
  <threadedComment ref="D397" personId="{7B03C851-1B72-4382-6A46-EB78AD160EC8}" id="{004D000B-00CE-42C1-AD61-00C8005400F1}" done="0">
    <text xml:space="preserve">25588/07 -19.000
</text>
  </threadedComment>
  <threadedComment ref="D402" personId="{7B03C851-1B72-4382-6A46-EB78AD160EC8}" id="{00630095-0077-4B8E-9D65-009400C40030}" done="0">
    <text xml:space="preserve">25622/08 +250.000
</text>
  </threadedComment>
  <threadedComment ref="D403" personId="{7B03C851-1B72-4382-6A46-EB78AD160EC8}" id="{00CC006C-00AC-4ADD-BE39-007700130090}" done="0">
    <text xml:space="preserve">25542/04 -80.000
25550/05 -35.000
25254/12 -900.000
</text>
  </threadedComment>
  <threadedComment ref="D405" personId="{7B03C851-1B72-4382-6A46-EB78AD160EC8}" id="{00DC003A-00E1-4BEB-BFFA-005400F2009F}" done="0">
    <text xml:space="preserve">25550/05 +35.000
</text>
  </threadedComment>
  <threadedComment ref="D406" personId="{7B03C851-1B72-4382-6A46-EB78AD160EC8}" id="{00010044-00CD-41D1-9463-00C100030035}" done="0">
    <text xml:space="preserve">25067/04 +3.000.000
25588/07 +19.000
25589/07 +300.000
</text>
  </threadedComment>
  <threadedComment ref="D409" personId="{7B03C851-1B72-4382-6A46-EB78AD160EC8}" id="{00E00082-001F-414F-B501-008A00D80091}" done="0">
    <text xml:space="preserve">25542/04 +80.000
</text>
  </threadedComment>
  <threadedComment ref="D42" personId="{7B03C851-1B72-4382-6A46-EB78AD160EC8}" id="{004500DC-0006-45A6-87F8-009900FA0032}" done="0">
    <text xml:space="preserve">25031/03 +32.200
</text>
  </threadedComment>
  <threadedComment ref="D411" personId="{7B03C851-1B72-4382-6A46-EB78AD160EC8}" id="{004700C0-00AF-4C11-A135-0075003000F8}" done="0">
    <text xml:space="preserve">25503/01 -90.000
25653/10 +70.000
</text>
  </threadedComment>
  <threadedComment ref="D412" personId="{7B03C851-1B72-4382-6A46-EB78AD160EC8}" id="{00DF0084-0081-4C4E-9E49-003D008100B2}" done="0">
    <text xml:space="preserve">25507/01 -32.000
25508/01 - 104.000
25527/02 -17.000
25124.07 +2.000.000
25616/08 -301.000
25653/10 -70.000
25254/12 -1.700.000
</text>
  </threadedComment>
  <threadedComment ref="D413" personId="{7B03C851-1B72-4382-6A46-EB78AD160EC8}" id="{00600089-0081-492E-8D25-00FE000E0059}" done="0">
    <text xml:space="preserve">255508/01 +104.000
</text>
  </threadedComment>
  <threadedComment ref="D414" personId="{7B03C851-1B72-4382-6A46-EB78AD160EC8}" id="{00210067-004D-4928-80AA-00700022007B}" done="0">
    <text xml:space="preserve">25503/01 +90.000
</text>
  </threadedComment>
  <threadedComment ref="D417" personId="{7B03C851-1B72-4382-6A46-EB78AD160EC8}" id="{003E00D6-00C4-4F8B-B7B5-000400DC007D}" done="0">
    <text xml:space="preserve">25527/02 +17.000
</text>
  </threadedComment>
  <threadedComment ref="D420" personId="{7B03C851-1B72-4382-6A46-EB78AD160EC8}" id="{00EE0074-0046-4D95-B2D2-00C100130046}" done="0">
    <text xml:space="preserve">25001/01 +472.200
25507/01 +32.000
</text>
  </threadedComment>
  <threadedComment ref="D422" personId="{7B03C851-1B72-4382-6A46-EB78AD160EC8}" id="{006E00E3-0020-46F3-8F15-009700720054}" done="0">
    <text xml:space="preserve">25526/02 -32.000
25552/05 -21.000
25578.07 -22.000
</text>
  </threadedComment>
  <threadedComment ref="D424" personId="{7B03C851-1B72-4382-6A46-EB78AD160EC8}" id="{001E008C-00F7-4EA0-9E20-009000530043}" done="0">
    <text xml:space="preserve">25526/02 +32.000
25552/05 +21.000
</text>
  </threadedComment>
  <threadedComment ref="D425" personId="{7B03C851-1B72-4382-6A46-EB78AD160EC8}" id="{009B009C-0083-4155-B638-00AD009100D3}" done="0">
    <text xml:space="preserve">25001/01 +685.000
</text>
  </threadedComment>
  <threadedComment ref="D427" personId="{7B03C851-1B72-4382-6A46-EB78AD160EC8}" id="{00F8001A-00A4-48A4-AC7E-0030005E0096}" done="0">
    <text xml:space="preserve">25001/01 +2.021.300
</text>
  </threadedComment>
  <threadedComment ref="D429" personId="{7B03C851-1B72-4382-6A46-EB78AD160EC8}" id="{00150078-005E-49D2-9F53-007B00B10016}" done="0">
    <text xml:space="preserve">25095/06 -1.000.000
25688/11 +300.000
25706/12 -256.000
</text>
  </threadedComment>
  <threadedComment ref="D430" personId="{7B03C851-1B72-4382-6A46-EB78AD160EC8}" id="{00D20070-000D-4BFF-B505-0080000800B1}" done="0">
    <text xml:space="preserve">25573/06 +437.000
25578.07 +22.000
25616/08 +301.000
</text>
  </threadedComment>
  <threadedComment ref="D435" personId="{7B03C851-1B72-4382-6A46-EB78AD160EC8}" id="{0036008F-00CD-48A0-AD77-0031001D009E}" done="0">
    <text xml:space="preserve">25059/04 +400.000
25679/11 +150.000
25706/12 +256.000
</text>
  </threadedComment>
  <threadedComment ref="D437" personId="{7B03C851-1B72-4382-6A46-EB78AD160EC8}" id="{007900C8-007C-4B63-8057-006200BF002B}" done="0">
    <text xml:space="preserve">25573/06 -437.000
</text>
  </threadedComment>
  <threadedComment ref="D438" personId="{7B03C851-1B72-4382-6A46-EB78AD160EC8}" id="{00520014-00FC-46A1-B596-00830043002D}" done="0">
    <text xml:space="preserve">25121.07 -303.000
</text>
  </threadedComment>
  <threadedComment ref="D439" personId="{7B03C851-1B72-4382-6A46-EB78AD160EC8}" id="{004000D6-0014-43A2-AAD8-00A400950004}" done="0">
    <text xml:space="preserve">25679/11 -150.000
</text>
  </threadedComment>
  <threadedComment ref="D440" personId="{7B03C851-1B72-4382-6A46-EB78AD160EC8}" id="{00000008-00C2-4AD5-B52D-003300070031}" done="0">
    <text xml:space="preserve">25668/11 -300.000
není v součtu §2219,
takže sníž započítat přes rez 
</text>
  </threadedComment>
  <threadedComment ref="D442" personId="{7B03C851-1B72-4382-6A46-EB78AD160EC8}" id="{0013005E-0098-49E6-9C53-00D0006A0081}" done="0">
    <text xml:space="preserve">25022/02 +210.000
</text>
  </threadedComment>
  <threadedComment ref="D443" personId="{7B03C851-1B72-4382-6A46-EB78AD160EC8}" id="{00E200CE-0027-47DD-95B4-001300E100DB}" done="0">
    <text xml:space="preserve">25020/02 -250.000
</text>
  </threadedComment>
  <threadedComment ref="D447" personId="{7B03C851-1B72-4382-6A46-EB78AD160EC8}" id="{00B9009E-00BC-4187-A6F4-00E6007300BC}" done="0">
    <text xml:space="preserve">25105.07 -500.000
25142/08 +470.000
25152/08 
-23.000  5169
+63.000  5171
25682/11 -9.000 5169
</text>
  </threadedComment>
  <threadedComment ref="D448" personId="{7B03C851-1B72-4382-6A46-EB78AD160EC8}" id="{00160099-0092-4F94-979C-008A00D200C4}" done="0">
    <text xml:space="preserve">25544/04 -25.000
25566/06 -9.000
</text>
  </threadedComment>
  <threadedComment ref="D449" personId="{7B03C851-1B72-4382-6A46-EB78AD160EC8}" id="{00DC00F6-0058-4401-9552-00FA006900FC}" done="0">
    <text xml:space="preserve">25682/11 -10.000
</text>
  </threadedComment>
  <threadedComment ref="D450" personId="{7B03C851-1B72-4382-6A46-EB78AD160EC8}" id="{00ED00F9-0027-4930-9E71-00580009003A}" done="0">
    <text xml:space="preserve">25566/06 -18.000
25682/11 +22.000
</text>
  </threadedComment>
  <threadedComment ref="D46" personId="{7B03C851-1B72-4382-6A46-EB78AD160EC8}" id="{006000DA-00EA-449C-AE39-004B00DF009A}" done="0">
    <text xml:space="preserve">25248/12 +240.000
</text>
  </threadedComment>
  <threadedComment ref="D451" personId="{7B03C851-1B72-4382-6A46-EB78AD160EC8}" id="{00F40066-0092-44F7-BF96-00F9006500BC}" done="0">
    <text xml:space="preserve">25682/11 -3.000
</text>
  </threadedComment>
  <threadedComment ref="D452" personId="{7B03C851-1B72-4382-6A46-EB78AD160EC8}" id="{00F300DA-00CC-44B9-9C0B-00D6006100FC}" done="0">
    <text xml:space="preserve">25544/04 +25.000
</text>
  </threadedComment>
  <threadedComment ref="D453" personId="{7B03C851-1B72-4382-6A46-EB78AD160EC8}" id="{00F300F3-0004-4859-857B-000B003200D5}" done="0">
    <text xml:space="preserve">25566/06 +27.000
</text>
  </threadedComment>
  <threadedComment ref="D456" personId="{7B03C851-1B72-4382-6A46-EB78AD160EC8}" id="{00E400E0-00EF-4628-917B-0015003E00E4}" done="0">
    <text xml:space="preserve">25044/03 +14.800.000
25604/07 +420.000
25610/08 +33.000
25613/08 +70.000
</text>
  </threadedComment>
  <threadedComment ref="D457" personId="{7B03C851-1B72-4382-6A46-EB78AD160EC8}" id="{00670040-009B-4C6B-9406-003500D90054}" done="0">
    <text xml:space="preserve">25533/03 +10.000
</text>
  </threadedComment>
  <threadedComment ref="D458" personId="{7B03C851-1B72-4382-6A46-EB78AD160EC8}" id="{00B800A9-003F-47E3-8360-0065001600FC}" done="0">
    <text xml:space="preserve">25572/06 
-55.000  5171
+75.000 5169
25105.07 +2.000.000
</text>
  </threadedComment>
  <threadedComment ref="D460" personId="{7B03C851-1B72-4382-6A46-EB78AD160EC8}" id="{009D00BE-00B1-4AB9-8EBA-00BE00B40071}" done="0">
    <text xml:space="preserve">25533/03 -10.000
25095/06 
-1.443.000 5171
-   254.000 5169
</text>
  </threadedComment>
  <threadedComment ref="D462" personId="{7B03C851-1B72-4382-6A46-EB78AD160EC8}" id="{001700FD-00FD-44C3-8C3A-001D00D300F0}" done="0">
    <text xml:space="preserve">25006/01 -3.150
</text>
  </threadedComment>
  <threadedComment ref="D464" personId="{7B03C851-1B72-4382-6A46-EB78AD160EC8}" id="{00CA00A9-00A3-4DCD-989D-0063003200D6}" done="0">
    <text xml:space="preserve">25572/06 -20.000
25612/08 +12.000
25640/09 +12.000
25660/10 +14.000
</text>
  </threadedComment>
  <threadedComment ref="D465" personId="{7B03C851-1B72-4382-6A46-EB78AD160EC8}" id="{00BE0055-0029-434D-BA90-0080000E00BA}" done="0">
    <text xml:space="preserve">25604/07 -420.000
25142/08 -470.000
25152/08 -40.000
25610/08 -33.000
25612/08 -12.000
25613/08 -70.000
25640/09 -12.000
25660/10 -14.000
25239/12 -2.000.000
25254/12 -1.200.000
</text>
  </threadedComment>
  <threadedComment ref="D467" personId="{7B03C851-1B72-4382-6A46-EB78AD160EC8}" id="{00B50034-0048-46C5-8969-0089001400DE}" done="0">
    <text xml:space="preserve">25006/01 +3.150
</text>
  </threadedComment>
  <threadedComment ref="D470" personId="{7B03C851-1B72-4382-6A46-EB78AD160EC8}" id="{002400F6-00CB-444E-B5B9-00CE0051001B}" done="0">
    <text xml:space="preserve">25160/09 -1.300.000
</text>
  </threadedComment>
  <threadedComment ref="D472" personId="{7B03C851-1B72-4382-6A46-EB78AD160EC8}" id="{00B70094-000E-43FD-A986-0065005900FD}" done="0">
    <text xml:space="preserve">25121.07 -100.000
25662/10 -7.500
</text>
  </threadedComment>
  <threadedComment ref="D473" personId="{7B03C851-1B72-4382-6A46-EB78AD160EC8}" id="{001C0028-00A9-493E-83D4-00540014001C}" done="0">
    <text xml:space="preserve">25121.07 -400.000
25662/10 +7.500
</text>
  </threadedComment>
  <threadedComment ref="D476" personId="{7B03C851-1B72-4382-6A46-EB78AD160EC8}" id="{00150038-00E7-4BF9-AD6D-00B300B100BD}" done="0">
    <text xml:space="preserve">25577.07 +86.625
25611/08 +79.860
</text>
  </threadedComment>
  <threadedComment ref="D477" personId="{7B03C851-1B72-4382-6A46-EB78AD160EC8}" id="{00CE00AA-00E9-45D1-B45C-00F300060038}" done="0">
    <text xml:space="preserve">25007/01 -50.000
25577.07 -86.625
25611/08 -79.860
25254/12 -1.000.000
</text>
  </threadedComment>
  <threadedComment ref="D479" personId="{7B03C851-1B72-4382-6A46-EB78AD160EC8}" id="{003A00F7-002D-4D1E-8404-0099000F0043}" done="0">
    <text xml:space="preserve">25007/01 +50.000
</text>
  </threadedComment>
  <threadedComment ref="D482" personId="{7B03C851-1B72-4382-6A46-EB78AD160EC8}" id="{00B2009C-00CC-47F4-8F05-00A4004B0042}" done="0">
    <text xml:space="preserve">25095/06 -2.800.000
25623/09 -367.000
25625/09 +12.000
</text>
  </threadedComment>
  <threadedComment ref="D483" personId="{7B03C851-1B72-4382-6A46-EB78AD160EC8}" id="{006E008C-006D-4736-AC9F-0035004F007D}" done="0">
    <text xml:space="preserve">25105/07 -1.000.000
25623/09 +393.000
</text>
  </threadedComment>
  <threadedComment ref="D484" personId="{7B03C851-1B72-4382-6A46-EB78AD160EC8}" id="{00AC0014-009E-4A69-9941-00F4007F0074}" done="0">
    <text xml:space="preserve">25623/09 -26.000
25625/09 -12.000
</text>
  </threadedComment>
  <threadedComment ref="D492" personId="{7B03C851-1B72-4382-6A46-EB78AD160EC8}" id="{001C0006-00E3-4BDA-9BBF-00EC00AD00AD}" done="0">
    <text xml:space="preserve">25512/01 +-281.500
z 6121 na 5137
25045/03 +6.020.000
25064/04 +500.000
25595/07 -1.082.585
+  10.346  5139
+267.271  5137
+804.968  6122
</text>
  </threadedComment>
  <threadedComment ref="D494" personId="{7B03C851-1B72-4382-6A46-EB78AD160EC8}" id="{00F300D4-0038-4A76-A247-009C00AA002E}" done="0">
    <text xml:space="preserve">25060/04 +3.050.000
25183/10 +1.341.000 úz 34054
25246/12 
-1.341.000 úz 34054
+1.341.000 bez úz
</text>
  </threadedComment>
  <threadedComment ref="D497" personId="{7B03C851-1B72-4382-6A46-EB78AD160EC8}" id="{00EB002B-00F6-4E77-BBC0-006A00090087}" done="0">
    <text xml:space="preserve">25125.07 +12.000
</text>
  </threadedComment>
  <threadedComment ref="D501" personId="{7B03C851-1B72-4382-6A46-EB78AD160EC8}" id="{006B008B-0044-4BBD-B3A0-0030001F0076}" done="0">
    <text xml:space="preserve">25021/02 +20.000
</text>
  </threadedComment>
  <threadedComment ref="D504" personId="{7B03C851-1B72-4382-6A46-EB78AD160EC8}" id="{008800E8-003C-405A-A9D7-0036007700F1}" done="0">
    <text xml:space="preserve">25518/02 změna org z 3730 
-300.080 na:
+ 75.020 3537 Dlouhá, Bud
+ 75.020 3538 Dlouhá u garáží
+ 75.020 3539 Sportovní
+ 75.020 3540 u Máje
25559/05 změna org 
-2.400.000 z 3730
+2.400.000 na 3538 Dlouhá u gar
25097/06 
+1.750.000 3540 Vančurova 38
+  300.000  3541 III.et
25571/06
- 500.000  3730 II.et
+500.000  3540 Vančurova 38 
25575.07
-75.000 3730 I.et
+75.000 3540 Vanč 38 u Máje
25598/07
-29.000  3540 Vanč 38
+29.000 3730 Jičínská 274
-75.000  3541 III.et
+75.000 3538 Dlouhá u gar
25627/09
-102.000 3541 II.et
- 26.000  3540 Vanč 38
 -12.000  3730 Jičín 274
+140.000 3538 Dlouá u gar
25638/09 
-5.000 3541 III.et
+5.000 3538 Dlouhá u gar
25644/09
-415.039,08  3730 Jičín 274  6121
+415.039,08  3730 Jičín 274  5171
</text>
  </threadedComment>
  <threadedComment ref="D509" personId="{7B03C851-1B72-4382-6A46-EB78AD160EC8}" id="{00450050-007F-47BD-9FD9-00AA008500E6}" done="0">
    <text xml:space="preserve">25064/04 -500.000
25065/04 -500.000
25543/04 -450.000
25078/05 -25.000.000
25079/05 -630.000
25174/09 -25.000.000
25239/12 +2.000.000
</text>
  </threadedComment>
  <threadedComment ref="D510" personId="{7B03C851-1B72-4382-6A46-EB78AD160EC8}" id="{002700EA-002E-4EB1-916C-000200BA0088}" done="0">
    <text xml:space="preserve">25543/04 +450.000
</text>
  </threadedComment>
  <threadedComment ref="D514" personId="{7B03C851-1B72-4382-6A46-EB78AD160EC8}" id="{00510076-0091-425F-B8BA-0006001B004D}" done="0">
    <text xml:space="preserve">25539/03 +10.000
25095/06 -503.000
25105.07 -500.000
25661/10 +550.000
25673/11 +71.000
25254/12 -1.000.000
</text>
  </threadedComment>
  <threadedComment ref="D515" personId="{7B03C851-1B72-4382-6A46-EB78AD160EC8}" id="{00CF00EA-0005-4DE9-B1C1-001D00AC0008}" done="0">
    <text xml:space="preserve">25021/02 -20.000
25096/06 -550.000
25097/06 -2.050.000
25174/09 -2.160.000
</text>
  </threadedComment>
  <threadedComment ref="D517" personId="{7B03C851-1B72-4382-6A46-EB78AD160EC8}" id="{009C008D-007C-4913-BD20-002C0094008A}" done="0">
    <text xml:space="preserve">25174/09 -2.400.000
</text>
  </threadedComment>
  <threadedComment ref="D518" personId="{7B03C851-1B72-4382-6A46-EB78AD160EC8}" id="{000B000E-0086-4BBD-B794-009B008F0036}" done="0">
    <text xml:space="preserve">25079/05 +460.000
25254/12 -700.000
</text>
  </threadedComment>
  <threadedComment ref="D519" personId="{7B03C851-1B72-4382-6A46-EB78AD160EC8}" id="{00AD0051-008C-46A5-9D3D-0016001400A1}" done="0">
    <text xml:space="preserve">25520/02 -290.000
25043/03 -5.450.000
25539/03 -10.000
</text>
  </threadedComment>
  <threadedComment ref="D520" personId="{7B03C851-1B72-4382-6A46-EB78AD160EC8}" id="{00FE00F1-00F9-4174-A59A-000F006E0038}" done="0">
    <text xml:space="preserve">25060/04 -400.000
</text>
  </threadedComment>
  <threadedComment ref="D521" personId="{7B03C851-1B72-4382-6A46-EB78AD160EC8}" id="{00CF003D-00D3-4999-BC77-0046001D008E}" done="0">
    <text xml:space="preserve">25125.07 -12.000
25628/09 -245.000
</text>
  </threadedComment>
  <threadedComment ref="D522" personId="{7B03C851-1B72-4382-6A46-EB78AD160EC8}" id="{0000002B-00C5-4C5F-82D8-00B700D90063}" done="0">
    <text xml:space="preserve">25628/09 +245.000
</text>
  </threadedComment>
  <threadedComment ref="D523" personId="{7B03C851-1B72-4382-6A46-EB78AD160EC8}" id="{0006002D-0052-44CD-884F-0000004100DA}" done="0">
    <text xml:space="preserve">25661/10 -550.000
25637/11 -71.000
25254/12 -2.600.000
</text>
  </threadedComment>
  <threadedComment ref="D524" personId="{7B03C851-1B72-4382-6A46-EB78AD160EC8}" id="{00C40033-0018-4D36-A3F8-0027003C00C0}" done="0">
    <text xml:space="preserve">25520/02 +290.000
</text>
  </threadedComment>
  <threadedComment ref="D525" personId="{7B03C851-1B72-4382-6A46-EB78AD160EC8}" id="{00B0009E-00A3-494D-B15C-006500790035}" done="0">
    <text xml:space="preserve">25060/04 -500.000
</text>
  </threadedComment>
  <threadedComment ref="D526" personId="{7B03C851-1B72-4382-6A46-EB78AD160EC8}" id="{00F400DB-00FC-431A-9476-00D00055007C}" done="0">
    <text xml:space="preserve">25060/04 -800.000
</text>
  </threadedComment>
  <threadedComment ref="D528" personId="{7B03C851-1B72-4382-6A46-EB78AD160EC8}" id="{00EE0011-00A1-4C2D-B9A3-007400DB003D}" done="0">
    <text xml:space="preserve">25174/09 -1.000.000
</text>
  </threadedComment>
  <threadedComment ref="D529" personId="{7B03C851-1B72-4382-6A46-EB78AD160EC8}" id="{008600D7-0055-4551-83A8-0022003800DD}" done="0">
    <text xml:space="preserve">25095/06 +6.000.000
25254/12 -356.601
</text>
  </threadedComment>
  <threadedComment ref="D530" personId="{7B03C851-1B72-4382-6A46-EB78AD160EC8}" id="{005C00CC-00F3-43E0-B048-0055003D00CF}" done="0">
    <text xml:space="preserve">25520/02 -290.000
25043/03 -5.450.000
</text>
  </threadedComment>
  <threadedComment ref="D54" personId="{7B03C851-1B72-4382-6A46-EB78AD160EC8}" id="{00D60057-0012-4498-AD13-0037009C0048}" done="0">
    <text xml:space="preserve">25248/12 +1.150.000
</text>
  </threadedComment>
  <threadedComment ref="D531" personId="{7B03C851-1B72-4382-6A46-EB78AD160EC8}" id="{00490009-00F2-4F6C-8C4D-00E100CB00ED}" done="0">
    <text xml:space="preserve">25529/03 
z 5xxx na 6121
25066/04 +2.000000
25096/06 +550.000
</text>
  </threadedComment>
  <threadedComment ref="D532" personId="{7B03C851-1B72-4382-6A46-EB78AD160EC8}" id="{00500002-0034-4781-8804-005D002B002A}" done="0">
    <text xml:space="preserve">25079/05 +170.000
</text>
  </threadedComment>
  <threadedComment ref="D533" personId="{7B03C851-1B72-4382-6A46-EB78AD160EC8}" id="{009200AD-0038-4E4A-9BA5-006C00570071}" done="0">
    <text xml:space="preserve">25174/09 -500.000
</text>
  </threadedComment>
  <threadedComment ref="D534" personId="{7B03C851-1B72-4382-6A46-EB78AD160EC8}" id="{00E40043-004B-4EF6-8940-00F400E400D4}" done="0">
    <text xml:space="preserve">25174/09 
-250.000 -150.000
25658/10 +36.300
</text>
  </threadedComment>
  <threadedComment ref="D535" personId="{7B03C851-1B72-4382-6A46-EB78AD160EC8}" id="{004000CC-0008-4216-B076-00FF00240016}" done="0">
    <text xml:space="preserve">25514/02 -oprava org z 3757 na 0518
</text>
  </threadedComment>
  <threadedComment ref="D536" personId="{7B03C851-1B72-4382-6A46-EB78AD160EC8}" id="{00CF0004-00BE-455D-A2B8-00BC00290033}" done="0">
    <text xml:space="preserve">25658/10 -36.300
</text>
  </threadedComment>
  <threadedComment ref="D538" personId="{7B03C851-1B72-4382-6A46-EB78AD160EC8}" id="{007D00F1-00CE-45A8-BC61-002000700015}" done="0">
    <text xml:space="preserve">25574.07 -60.000
25254/12 -700.000
</text>
  </threadedComment>
  <threadedComment ref="D55" personId="{7B03C851-1B72-4382-6A46-EB78AD160EC8}" id="{0047008D-002D-4131-A0E8-00EA00E500B2}" done="0">
    <text xml:space="preserve">
</text>
  </threadedComment>
  <threadedComment ref="D541" personId="{7B03C851-1B72-4382-6A46-EB78AD160EC8}" id="{00C700A7-0096-4B94-828E-00CA008C0051}" done="0">
    <text xml:space="preserve">25065/04 +500.000
25574.07 +60.000
</text>
  </threadedComment>
  <threadedComment ref="D543" personId="{7B03C851-1B72-4382-6A46-EB78AD160EC8}" id="{003600EB-0080-4E21-B605-007C006300BF}" done="0">
    <text xml:space="preserve">25522/02 změna pol
49.659,91 z 6121 na 5191
25174/09 -2.500.000
25680/11 +-605.000
dopl úz 917
</text>
  </threadedComment>
  <threadedComment ref="D548" personId="{7B03C851-1B72-4382-6A46-EB78AD160EC8}" id="{008C0016-0086-46DA-A69D-0095000C00F1}" done="0">
    <text xml:space="preserve">25570/06 +363.000
</text>
  </threadedComment>
  <threadedComment ref="D549" personId="{7B03C851-1B72-4382-6A46-EB78AD160EC8}" id="{007E00E4-00C2-442D-AB67-00350000006C}" done="0">
    <text xml:space="preserve">25570/06 +121.000
</text>
  </threadedComment>
  <threadedComment ref="D550" personId="{7B03C851-1B72-4382-6A46-EB78AD160EC8}" id="{000300AA-008D-4244-A081-00E500AE004E}" done="0">
    <text xml:space="preserve">25059/04 +1.300.000
25676/11 +79.000
25241/12 +300.000
25254/12 -700.000
</text>
  </threadedComment>
  <threadedComment ref="D551" personId="{7B03C851-1B72-4382-6A46-EB78AD160EC8}" id="{00970048-000B-4EA6-B967-0020002600F0}" done="0">
    <text xml:space="preserve">25008/01 -3.000.000
25080/05 +3.000.000
25570/06 -321.000
25161/09 -3.600.000
25676/11 -79.000
</text>
  </threadedComment>
  <threadedComment ref="D552" personId="{7B03C851-1B72-4382-6A46-EB78AD160EC8}" id="{00D0007E-0047-4764-AC0A-003100DE0017}" done="0">
    <text xml:space="preserve">25570/06 -163.000
</text>
  </threadedComment>
  <threadedComment ref="D554" personId="{7B03C851-1B72-4382-6A46-EB78AD160EC8}" id="{00C400F4-0052-4376-A364-006D00B30048}" done="0">
    <text xml:space="preserve">25241/12 -300.000
</text>
  </threadedComment>
  <threadedComment ref="D562" personId="{7B03C851-1B72-4382-6A46-EB78AD160EC8}" id="{00570048-0051-4066-855C-00A700D90000}" done="0">
    <text xml:space="preserve">25161/09 -250.000
</text>
  </threadedComment>
  <threadedComment ref="D564" personId="{7B03C851-1B72-4382-6A46-EB78AD160EC8}" id="{008B00B5-00B1-4074-B934-006900680077}" done="0">
    <text xml:space="preserve">25150/08 -132.500
</text>
  </threadedComment>
  <threadedComment ref="D570" personId="{7B03C851-1B72-4382-6A46-EB78AD160EC8}" id="{007500C4-00FB-4B2D-A96F-007D00E6008F}" done="0">
    <text xml:space="preserve">25133/08 +87.635,98
25188/10 +54.040
</text>
  </threadedComment>
  <threadedComment ref="D58" personId="{7B03C851-1B72-4382-6A46-EB78AD160EC8}" id="{008400E9-00DF-4C84-8610-00EB003200AE}" done="0">
    <text xml:space="preserve">25248/12 +214.600
</text>
  </threadedComment>
  <threadedComment ref="D571" personId="{7B03C851-1B72-4382-6A46-EB78AD160EC8}" id="{00580076-0012-47E1-84D2-00C9009000B8}" done="0">
    <text xml:space="preserve">25073/04 +300.000 úz 695
25074/04 +70.000 úz 675
25133/08 -87.635,98
25139/08 +177.565
25148/08 -211.971,44  -8.002,10
25188/10 -54.040
25235/12 -3.003
</text>
  </threadedComment>
  <threadedComment ref="D572" personId="{7B03C851-1B72-4382-6A46-EB78AD160EC8}" id="{0020007A-002A-4F90-A73D-007500DF007A}" done="0">
    <text xml:space="preserve">25148/08 +8.002,10
</text>
  </threadedComment>
  <threadedComment ref="D573" personId="{7B03C851-1B72-4382-6A46-EB78AD160EC8}" id="{00A000B3-00D8-4AF2-9450-001400F70010}" done="0">
    <text xml:space="preserve">25148/08 +211.971,44
</text>
  </threadedComment>
  <threadedComment ref="D574" personId="{7B03C851-1B72-4382-6A46-EB78AD160EC8}" id="{00360013-00AE-4C7D-8417-00C5009E000A}" done="0">
    <text xml:space="preserve">25235/12 +3.003
</text>
  </threadedComment>
  <threadedComment ref="D590" personId="{7B03C851-1B72-4382-6A46-EB78AD160EC8}" id="{00690077-00CB-4EEE-A395-005500DC003E}" done="0">
    <text xml:space="preserve">25047/03 DOPLNĚNÍ ÚZ
</text>
  </threadedComment>
  <threadedComment ref="D60" personId="{7B03C851-1B72-4382-6A46-EB78AD160EC8}" id="{0027005A-00D1-4217-98DA-005700EC00AA}" done="0">
    <text xml:space="preserve">25248/12 +500.461,39
</text>
  </threadedComment>
  <threadedComment ref="D599" personId="{7B03C851-1B72-4382-6A46-EB78AD160EC8}" id="{0051005B-0019-4147-B2A5-0065006E00C8}" done="0">
    <text xml:space="preserve">25035/03 -10.990
25051/04 úz 33092
+117.955,01 1431
+495.553,09 1435
</text>
  </threadedComment>
  <threadedComment ref="D61" personId="{7B03C851-1B72-4382-6A46-EB78AD160EC8}" id="{000C006B-00F3-49CE-B892-00E0002000B7}" done="0">
    <text xml:space="preserve">25248/12 +1.300.000
</text>
  </threadedComment>
  <threadedComment ref="D603" personId="{7B03C851-1B72-4382-6A46-EB78AD160EC8}" id="{00350027-00A2-428B-84AB-002B00C000CF}" done="0">
    <text xml:space="preserve">25052/03 úz 33092
+138.438,27  1431
+581.607,57  1435
25232/12 +40.000
</text>
  </threadedComment>
  <threadedComment ref="D607" personId="{7B03C851-1B72-4382-6A46-EB78AD160EC8}" id="{001800CD-00CA-4650-A923-006F007E008E}" done="0">
    <text xml:space="preserve">25037/03 
+ 12.834 úz253 1441
+115.506 úz911 1445
25041/03 úz 33092
+108.476,76 1431
+455.733     1435
25118/07
- 9.659,60 úz253 1441
-86.936,40 úz911 1445
25180/10
+ 14.076 úz253 1441
+126.684 úz911 1445
25233/12 -32.100
</text>
  </threadedComment>
  <threadedComment ref="D608" personId="{7B03C851-1B72-4382-6A46-EB78AD160EC8}" id="{000300D1-002E-4A4B-8B42-00D300320038}" done="0">
    <text xml:space="preserve">25151/08 +131.057,57
25205/11 -0,30
</text>
  </threadedComment>
  <threadedComment ref="D62" personId="{7B03C851-1B72-4382-6A46-EB78AD160EC8}" id="{00730028-00A3-49A4-BE0F-003800B1004E}" done="0">
    <text xml:space="preserve">25248/12 +650.000
</text>
  </threadedComment>
  <threadedComment ref="D611" personId="{7B03C851-1B72-4382-6A46-EB78AD160EC8}" id="{00830023-0058-45F5-94CD-003100530063}" done="0">
    <text xml:space="preserve">25151/08 -131.057,57
25202/11 -51.162 R
25230/12 -100.000 r
</text>
  </threadedComment>
  <threadedComment ref="D616" personId="{7B03C851-1B72-4382-6A46-EB78AD160EC8}" id="{0095003F-00F6-415C-BD92-0029009200D7}" done="0">
    <text xml:space="preserve">25038/03
+ 9.850 úz253 1441
+88.650 úz911 1445
25119/07 +500.000
25128/07 
- 7.511,70 úz253 1441
-67.605,30 úz911 1445
25131/08 úz 33092
+ 348.577,29  1431
+1.464.444,50 1435 
25202/11 +51.162
25222/12
 +9.418,50 úz253 1441
+84.766,50 úz911 1445
</text>
  </threadedComment>
  <threadedComment ref="D620" personId="{7B03C851-1B72-4382-6A46-EB78AD160EC8}" id="{008E0077-00E5-4E40-A10D-001400120028}" done="0">
    <text xml:space="preserve">25036/03 -297.792
25040/03 
+ 17.098,20 úz253 1441
+153.883,80 úz911 1445
25132/08 +300.000
25156/09
- 17.098,20 úz253 1441
-153.883,80 úz911 1445
25194/10 úz 15019 1405
+207.366
25211/11
+ 291.991,60 úz 253 1441
+1.226.716,40 úz 911 1445
25223/12
+34.051,50 úz253 1441
+306.463,50 úz911 1445
25224/12 +117.914 úz15019 1405
</text>
  </threadedComment>
  <threadedComment ref="D621" personId="{7B03C851-1B72-4382-6A46-EB78AD160EC8}" id="{00B500AE-00D2-4852-A771-00AA00AF0096}" done="0">
    <text xml:space="preserve">25206/11 
-296.102 -137.270
</text>
  </threadedComment>
  <threadedComment ref="D622" personId="{7B03C851-1B72-4382-6A46-EB78AD160EC8}" id="{000F009E-00C6-4838-8502-00A300DF0025}" done="0">
    <text xml:space="preserve">25206/11 +137.270
</text>
  </threadedComment>
  <threadedComment ref="D624" personId="{7B03C851-1B72-4382-6A46-EB78AD160EC8}" id="{00E5004A-0075-41BD-9F82-003600C70058}" done="0">
    <text xml:space="preserve">25046/03
+ 9.159,75 úz253 1441
+82.437,75 úz911 1445
25115.07 úz 33092
+   269.533,32 1431
+1.132.364,58 1435
25116.07 
- 6.672,70 úz253 1441
-60.054,30 úz911 1445
25178/10
+ 31.360,50 úz253 1441
+282.244,50 úz911 1445
25250/12 úz 15019 1405
</text>
  </threadedComment>
  <threadedComment ref="D625" personId="{7B03C851-1B72-4382-6A46-EB78AD160EC8}" id="{00DA0057-00D0-4444-B267-0059005E0088}" done="0">
    <text xml:space="preserve">25207/11 -3.819,97
</text>
  </threadedComment>
  <threadedComment ref="D626" personId="{7B03C851-1B72-4382-6A46-EB78AD160EC8}" id="{00F90086-00C3-4ED4-9BF8-00150001007F}" done="0">
    <text xml:space="preserve">25207/11 -42.374,82
</text>
  </threadedComment>
  <threadedComment ref="D628" personId="{7B03C851-1B72-4382-6A46-EB78AD160EC8}" id="{004800E9-00B2-46EF-8C04-0014002900A2}" done="0">
    <text xml:space="preserve">25039/03
+ 11.663,45 úz 253 1441
+104.971,05 úz911 1445
25048/03 úz33092
+ 280.004,26 1431
+1.176.355,23 1435
25117/07 
- 7.299,90 úz253 1441
-65.699,10 úz911 1445
25179/10
+ 24,290,45 úz253 1441
+113.643 úz 911 1445
25257/12 -24.290,45+12627
25257/12 
-24.290,45 +12.627 úz 253 1441
</text>
  </threadedComment>
  <threadedComment ref="D633" personId="{7B03C851-1B72-4382-6A46-EB78AD160EC8}" id="{001D001B-0047-4095-8250-00FD001F0079}" done="0">
    <text xml:space="preserve">25053/03 úz 833
+239.800
25084/05 +300.000
25100/06 -300.000
25182/10 +80.800
25210/11 +169.263 úz910
25217/11 úz 33092
+198.962,55 1431
+835.462,29 1435
</text>
  </threadedComment>
  <threadedComment ref="D636" personId="{7B03C851-1B72-4382-6A46-EB78AD160EC8}" id="{00C500C4-003C-4B45-B946-00E5007500A5}" done="0">
    <text xml:space="preserve">25219/11 -54.000
</text>
  </threadedComment>
  <threadedComment ref="D640" personId="{7B03C851-1B72-4382-6A46-EB78AD160EC8}" id="{003E000B-001D-489C-9168-009600D9003E}" done="0">
    <text xml:space="preserve">25069/04 -85.015
25225/12 +13.641
</text>
  </threadedComment>
  <threadedComment ref="D641" personId="{7B03C851-1B72-4382-6A46-EB78AD160EC8}" id="{004A007E-0002-47D1-BD94-0019001F0046}" done="0">
    <text xml:space="preserve">25209/11 -6.588,45
</text>
  </threadedComment>
  <threadedComment ref="D644" personId="{7B03C851-1B72-4382-6A46-EB78AD160EC8}" id="{006700D4-009C-44C2-9309-0080007B0022}" done="0">
    <text xml:space="preserve">25216/11 -180.000
</text>
  </threadedComment>
  <threadedComment ref="D646" personId="{7B03C851-1B72-4382-6A46-EB78AD160EC8}" id="{0034001B-0015-4BF6-A0E6-005100B90011}" done="0">
    <text xml:space="preserve">25216/11 -120.000
</text>
  </threadedComment>
  <threadedComment ref="D649" personId="{7B03C851-1B72-4382-6A46-EB78AD160EC8}" id="{001500C8-0051-49CF-BDA4-004600B200EE}" done="0">
    <text xml:space="preserve">25216/11 -50.000
</text>
  </threadedComment>
  <threadedComment ref="D650" personId="{7B03C851-1B72-4382-6A46-EB78AD160EC8}" id="{0006008D-00C9-48E4-9B9D-004B00E10071}" done="0">
    <text xml:space="preserve">25216/11 -40.000
</text>
  </threadedComment>
  <threadedComment ref="D652" personId="{7B03C851-1B72-4382-6A46-EB78AD160EC8}" id="{00BA006E-0091-43A9-9C8A-00BD000D0044}" done="0">
    <text xml:space="preserve">25216/11 -320.000
</text>
  </threadedComment>
  <threadedComment ref="D657" personId="{7B03C851-1B72-4382-6A46-EB78AD160EC8}" id="{00C20074-002C-45D4-A5C7-001100BF004A}" done="0">
    <text xml:space="preserve">25010/01 +4.737.000
25029/02 +400.000 NJKL
25070/04 -472.380
25083/05 +370.000
25085/05 +110.000 úz 341
25177/10  -150.000 +150.000
25196/11 +-30.000
25208/11 +152.000
25220/12 +30.000
25227/12 +118.459
25230/12 +123.420
</text>
  </threadedComment>
  <threadedComment ref="D659" personId="{7B03C851-1B72-4382-6A46-EB78AD160EC8}" id="{007D00C3-0014-430C-A1FC-004C00BA00DE}" done="0">
    <text xml:space="preserve">25113.07 +109.500
25114.07 +40.000 úz34544
25129.07 +910.000
25208/11 -135.000
25208/12 +135.000
25228/12 -910.000
25231/12 -109.500
</text>
  </threadedComment>
  <threadedComment ref="D660" personId="{7B03C851-1B72-4382-6A46-EB78AD160EC8}" id="{001C00E0-004C-43D8-8599-00BF000E00F6}" done="0">
    <text xml:space="preserve">25229/12 -930
</text>
  </threadedComment>
  <threadedComment ref="D662" personId="{7B03C851-1B72-4382-6A46-EB78AD160EC8}" id="{007800BE-0091-422E-9D0D-0023009D005A}" done="0">
    <text xml:space="preserve">25216/11 -57.000
</text>
  </threadedComment>
  <threadedComment ref="D665" personId="{7B03C851-1B72-4382-6A46-EB78AD160EC8}" id="{00DA00E6-002D-48FB-AE4F-00B900CF0050}" done="0">
    <text xml:space="preserve">25249/12 -200.000
</text>
  </threadedComment>
  <threadedComment ref="D669" personId="{7B03C851-1B72-4382-6A46-EB78AD160EC8}" id="{003C0071-004A-4646-8C36-0087003200E8}" done="0">
    <text xml:space="preserve">25140/08 -34.000 R
</text>
  </threadedComment>
  <threadedComment ref="D670" personId="{7B03C851-1B72-4382-6A46-EB78AD160EC8}" id="{00D7004D-00F6-4C7D-8325-001600300059}" done="0">
    <text xml:space="preserve">25140/08 -117.900 R
</text>
  </threadedComment>
  <threadedComment ref="D673" personId="{7B03C851-1B72-4382-6A46-EB78AD160EC8}" id="{0051003A-0098-4C01-810D-00DA00700093}" done="0">
    <text xml:space="preserve">25075/04 -30.000 R
25076/04 -70.000 R
25086/05 -40.000 R
25087/05 -30.000 R
25109.07 -10.000 R
25140/08 -34.300 R
</text>
  </threadedComment>
  <threadedComment ref="D674" personId="{7B03C851-1B72-4382-6A46-EB78AD160EC8}" id="{0008003D-005B-4820-8F73-007500F30067}" done="0">
    <text xml:space="preserve">25110.07 -50.000 R
25112.07 -100.000 R
25140/08 -10.000 R
</text>
  </threadedComment>
  <threadedComment ref="D675" personId="{7B03C851-1B72-4382-6A46-EB78AD160EC8}" id="{00680010-006D-490F-AEED-00FC00C4008D}" done="0">
    <text xml:space="preserve">25140/08 -225.000 R
</text>
  </threadedComment>
  <threadedComment ref="D676" personId="{7B03C851-1B72-4382-6A46-EB78AD160EC8}" id="{00B100F2-00E6-471D-A5D1-00990027009E}" done="0">
    <text xml:space="preserve">25140/08 -86.000 R
</text>
  </threadedComment>
  <threadedComment ref="D677" personId="{7B03C851-1B72-4382-6A46-EB78AD160EC8}" id="{00CC00AA-00AC-4F65-839D-007200CC0057}" done="0">
    <text xml:space="preserve">25140/08 -194.200 R
</text>
  </threadedComment>
  <threadedComment ref="D678" personId="{7B03C851-1B72-4382-6A46-EB78AD160EC8}" id="{000800C8-006C-4D7B-B5B4-002F001F009F}" done="0">
    <text xml:space="preserve">25106.07 +300.000
</text>
  </threadedComment>
  <threadedComment ref="D679" personId="{7B03C851-1B72-4382-6A46-EB78AD160EC8}" id="{00D000A8-00ED-4A32-A77F-00DC00C50031}" done="0">
    <text xml:space="preserve">25005/01 +595.004,14
25011/01 +7.500
25012/01 +15.000
25013/01 +30.000
25014/01 +30.000
25015/01 +7.500
25016/01 +80.000
25034/03 +60.000
25075/04 +30.000
25076/04 +70.000
25086/05 +40.000
25087/05 +30.000
25088/05 +30.000
25089/05 +10.000
25090/05 +10.000
25108.07 +10.000
25109.07 +10.000
25110.07 +50.000
25111.07 +10.000
25112.07 +100.000
25140/08 -3.800.400 R
25198/11 +30.250
25199/11 +20.000
25200/11 +203.075,15
25215/11 -150.000
25218/11 +-335.000
zm § z 4344 na 4374
25247/12 +248.824,20
</text>
  </threadedComment>
  <threadedComment ref="D69" personId="{7B03C851-1B72-4382-6A46-EB78AD160EC8}" id="{007E00E2-00DD-4327-ADC2-00EB00410014}" done="0">
    <text xml:space="preserve">25089/05 +10.000
25111.07 +10.000
</text>
  </threadedComment>
  <threadedComment ref="D683" personId="{7B03C851-1B72-4382-6A46-EB78AD160EC8}" id="{00A100DB-0081-4001-9929-00D7005500AA}" done="0">
    <text xml:space="preserve">25092/06 +1.169.144,35
</text>
  </threadedComment>
  <threadedComment ref="D686" personId="{7B03C851-1B72-4382-6A46-EB78AD160EC8}" id="{00A80024-0029-4C77-9783-0061000B00A0}" done="0">
    <text xml:space="preserve">25237/12 -112.000
</text>
  </threadedComment>
  <threadedComment ref="D688" personId="{7B03C851-1B72-4382-6A46-EB78AD160EC8}" id="{000100F1-0090-49ED-9A9F-00E8000000EE}" done="0">
    <text xml:space="preserve">25191/10 -100.000
</text>
  </threadedComment>
  <threadedComment ref="D690" personId="{7B03C851-1B72-4382-6A46-EB78AD160EC8}" id="{00640077-0015-49BA-A566-003300DD00D1}" done="0">
    <text xml:space="preserve">25019/02 +440.000
25101/07 -40.000
</text>
  </threadedComment>
  <threadedComment ref="D691" personId="{7B03C851-1B72-4382-6A46-EB78AD160EC8}" id="{0070000D-004F-49CF-9A04-0073004E006A}" done="0">
    <text xml:space="preserve">25191/10 -199.496
</text>
  </threadedComment>
  <threadedComment ref="D694" personId="{7B03C851-1B72-4382-6A46-EB78AD160EC8}" id="{0086007A-00AF-4A97-8ED6-008B006E005A}" done="0">
    <text xml:space="preserve">25060/04 -1.350.000
25122.07 +86.000
25191/10 
-100.000-600.000
25213/11 
-160.895 -71.798
25689/11 
-60.703 +50.000
25716/12
-5.000 -24.000 -30.000 -60.000 -18.000 -156.307
</text>
  </threadedComment>
  <threadedComment ref="D695" personId="{7B03C851-1B72-4382-6A46-EB78AD160EC8}" id="{00C4009F-0098-4DF3-B593-00A7006200B0}" done="0">
    <text xml:space="preserve">25689/11 +10.703
</text>
  </threadedComment>
  <threadedComment ref="D699" personId="{7B03C851-1B72-4382-6A46-EB78AD160EC8}" id="{00520094-0035-4EE7-A386-00BD00D20075}" done="0">
    <text xml:space="preserve">25092/06 +97.090,40
25191/10 -100.000
25654/10 -116.000
25690/11 +230.000
25716/12
-72.600
</text>
  </threadedComment>
  <threadedComment ref="D700" personId="{7B03C851-1B72-4382-6A46-EB78AD160EC8}" id="{00B100C3-00CB-4257-92D3-00BE00080083}" done="0">
    <text xml:space="preserve">25654/10 +116.000
25690/11 -230.000
</text>
  </threadedComment>
  <threadedComment ref="D704" personId="{7B03C851-1B72-4382-6A46-EB78AD160EC8}" id="{00AE0056-00FC-44FE-BCD9-0082004E0039}" done="0">
    <text xml:space="preserve">25256/12
-274.902 § 6171
25716/12
+5.000 +24.000 +30.000 +60.000 +18.000 +72.600 +16.000 +140.307 
</text>
  </threadedComment>
  <threadedComment ref="D705" personId="{7B03C851-1B72-4382-6A46-EB78AD160EC8}" id="{000B0016-00EA-4196-8378-004B00FD005F}" done="0">
    <text xml:space="preserve">25123.07 +400.000
25256/12 -15.093 (1385)
25716/12
-15.093
+15.093 (1385)
</text>
  </threadedComment>
  <threadedComment ref="D711" personId="{7B03C851-1B72-4382-6A46-EB78AD160EC8}" id="{008C00F6-00D0-4509-A587-003B00D400BC}" done="0">
    <text xml:space="preserve">25068/04 +13.905
25213/11 
+160.895 +71.798
</text>
  </threadedComment>
  <threadedComment ref="D712" personId="{7B03C851-1B72-4382-6A46-EB78AD160EC8}" id="{00B800E0-00A2-427F-8745-00DF00B400D8}" done="0">
    <text xml:space="preserve">25135/08 +294.000
dotace 13024
25256/12 +305.445 (13024)
</text>
  </threadedComment>
  <threadedComment ref="D73" personId="{7B03C851-1B72-4382-6A46-EB78AD160EC8}" id="{00BE009D-00DF-435F-9ABE-0088006200F1}" done="0">
    <text xml:space="preserve">25238/12 +1.690.434
</text>
  </threadedComment>
  <threadedComment ref="D726" personId="{7B03C851-1B72-4382-6A46-EB78AD160EC8}" id="{008F007E-0026-45D3-A61E-001000E800DC}" done="0">
    <text xml:space="preserve">25681/11 -10.000
</text>
  </threadedComment>
  <threadedComment ref="D727" personId="{7B03C851-1B72-4382-6A46-EB78AD160EC8}" id="{00610090-0029-4189-8F93-003300B900FA}" done="0">
    <text xml:space="preserve">25681/11 +10.000
</text>
  </threadedComment>
  <threadedComment ref="D730" personId="{7B03C851-1B72-4382-6A46-EB78AD160EC8}" id="{00030014-0070-4B12-B4E9-0090006F00DD}" done="0">
    <text xml:space="preserve">25171/09 +42.350
</text>
  </threadedComment>
  <threadedComment ref="D738" personId="{7B03C851-1B72-4382-6A46-EB78AD160EC8}" id="{005800F0-008F-457C-83C4-00F2009D00D3}" done="0">
    <text xml:space="preserve">25154/09 -462.062 R
25155/09 -502.000 R
</text>
  </threadedComment>
  <threadedComment ref="D742" personId="{7B03C851-1B72-4382-6A46-EB78AD160EC8}" id="{002100DA-0049-4D26-9DBD-00CB00000077}" done="0">
    <text xml:space="preserve">25106.07 +500.000
</text>
  </threadedComment>
  <threadedComment ref="D743" personId="{7B03C851-1B72-4382-6A46-EB78AD160EC8}" id="{001400ED-00B4-4E37-B3E1-0024000D0002}" done="0">
    <text xml:space="preserve">25171/09 -42.350
</text>
  </threadedComment>
  <threadedComment ref="D744" personId="{7B03C851-1B72-4382-6A46-EB78AD160EC8}" id="{00C10039-0085-43EE-891D-0071007E0024}" done="0">
    <text xml:space="preserve">25018/02 +214.000
25062/04 +23.725
25063/04 +4.745
25082/05 +40.000
25091/06 +10.000
25146/08 +60.000
25153/09 +335.000
25154/09 +462.062
25155/09 +502.000
25189/10 +-502.000
(z § 4350 na § 4357)
25195/11 +10.000
</text>
  </threadedComment>
  <threadedComment ref="D749" personId="{7B03C851-1B72-4382-6A46-EB78AD160EC8}" id="{003100F7-00E3-44BA-A71A-00F3002B0022}" done="0">
    <text xml:space="preserve">25061/04 +2.980.000
25176/10 +536.000 
25212/11 
-682.000 -2.624.000
</text>
  </threadedComment>
  <threadedComment ref="D750" personId="{7B03C851-1B72-4382-6A46-EB78AD160EC8}" id="{000D002B-0056-400B-8EC5-007C00C200E3}" done="0">
    <text xml:space="preserve">25061/04 +586.000
25176/10 +158.000
25212/11 
-133.000 -503.000
</text>
  </threadedComment>
  <threadedComment ref="D751" personId="{7B03C851-1B72-4382-6A46-EB78AD160EC8}" id="{002800AF-0087-4B04-836A-0099004F0063}" done="0">
    <text xml:space="preserve">25061/04 +1.065.000
25176/10 +244.000
25212/11 
- 268.000 -802.000
</text>
  </threadedComment>
  <threadedComment ref="D754" personId="{7B03C851-1B72-4382-6A46-EB78AD160EC8}" id="{00C800B5-0097-44A5-A76A-005E00200005}" done="0">
    <text xml:space="preserve">25149/08 +50.000
</text>
  </threadedComment>
  <threadedComment ref="D757" personId="{7B03C851-1B72-4382-6A46-EB78AD160EC8}" id="{006F00AD-005D-498C-B104-006600A800C2}" done="0">
    <text xml:space="preserve">25104.07 +50.000
25149/08 -50.000
</text>
  </threadedComment>
  <threadedComment ref="D77" personId="{7B03C851-1B72-4382-6A46-EB78AD160EC8}" id="{00E30038-00A4-407F-81C5-00790029001F}" done="0">
    <text xml:space="preserve">25184/10 -1.000.000
</text>
  </threadedComment>
  <threadedComment ref="D762" personId="{7B03C851-1B72-4382-6A46-EB78AD160EC8}" id="{005D0020-002C-4D58-8DC6-007D00D100F4}" done="0">
    <text xml:space="preserve">25169/09 +21.950
25201/11 +700.000
25249/12 -500.000
</text>
  </threadedComment>
  <threadedComment ref="D764" personId="{7B03C851-1B72-4382-6A46-EB78AD160EC8}" id="{00D700BA-0006-4A15-AB94-0051007E004C}" done="0">
    <text xml:space="preserve">25107/07 +30.000
25138/08 +470.000
25168/09 +250.000
25175/09 +10.000
25181/10 
-10.000 bez
+10.000 úz 809
</text>
  </threadedComment>
  <threadedComment ref="D765" personId="{7B03C851-1B72-4382-6A46-EB78AD160EC8}" id="{009D00AA-0000-477E-A332-0053002000AE}" done="0">
    <text xml:space="preserve">25134/08 -1.202.300
</text>
  </threadedComment>
  <threadedComment ref="D767" personId="{7B03C851-1B72-4382-6A46-EB78AD160EC8}" id="{00BC008C-0000-42C8-9737-00C80023002A}" done="0">
    <text xml:space="preserve">25104.07 -50.000
</text>
  </threadedComment>
  <threadedComment ref="D770" personId="{7B03C851-1B72-4382-6A46-EB78AD160EC8}" id="{00830087-00D4-4436-AC0C-00B4000A00D1}" done="0">
    <text xml:space="preserve">25201/11 +700.000
</text>
  </threadedComment>
  <threadedComment ref="D78" personId="{7B03C851-1B72-4382-6A46-EB78AD160EC8}" id="{008D003E-002F-4DDE-8896-007500D80052}" done="0">
    <text xml:space="preserve">25002/01 +99.036 (321)
25009/01 +145.092 (322)
25035/03 -10.990 (305)
25071/04 
+545.328,75 (321)
+160.990 (325)
25077/05 +54.671,25 (321)
25202/11 +51.162 (321)
25225/12 +13.641 (50
</text>
  </threadedComment>
  <threadedComment ref="D772" personId="{7B03C851-1B72-4382-6A46-EB78AD160EC8}" id="{00BB006B-0071-4591-8387-00C70091004F}" done="0">
    <text xml:space="preserve">25102/07 +50.000
25201/11 -18.123,69
25226/12 -77.427,31
</text>
  </threadedComment>
  <threadedComment ref="D775" personId="{7B03C851-1B72-4382-6A46-EB78AD160EC8}" id="{00040019-00F1-4233-8C01-006500330095}" done="0">
    <text xml:space="preserve">25056/04 +27.427,50
</text>
  </threadedComment>
  <threadedComment ref="D778" personId="{7B03C851-1B72-4382-6A46-EB78AD160EC8}" id="{00F300B5-00B6-4AA1-8FB0-002E00CD00FB}" done="0">
    <text xml:space="preserve">25098/06 +500.000
</text>
  </threadedComment>
  <threadedComment ref="D79" personId="{7B03C851-1B72-4382-6A46-EB78AD160EC8}" id="{00A800FA-0098-4059-811D-005A002A008E}" done="0">
    <text xml:space="preserve">25221/12 +52.000
</text>
  </threadedComment>
  <threadedComment ref="D782" personId="{7B03C851-1B72-4382-6A46-EB78AD160EC8}" id="{00C80076-00E1-4033-A2D0-007600C10029}" done="0">
    <text xml:space="preserve">25521.02 +302.065,30
</text>
  </threadedComment>
  <threadedComment ref="D783" personId="{7B03C851-1B72-4382-6A46-EB78AD160EC8}" id="{00C8004B-003E-46CC-8143-002500DB0014}" done="0">
    <text xml:space="preserve">25554/05 +798.600
</text>
  </threadedComment>
  <threadedComment ref="D784" personId="{7B03C851-1B72-4382-6A46-EB78AD160EC8}" id="{00BE009F-00AF-4B30-AF77-00FA007A000B}" done="0">
    <text xml:space="preserve">25674/11 +40.424
</text>
  </threadedComment>
  <threadedComment ref="D785" personId="{7B03C851-1B72-4382-6A46-EB78AD160EC8}" id="{00BA00DA-0025-4591-9D89-002B00F900D9}" done="0">
    <text xml:space="preserve">25554/05 +50.000
</text>
  </threadedComment>
  <threadedComment ref="D788" personId="{7B03C851-1B72-4382-6A46-EB78AD160EC8}" id="{004500E2-00EA-4C31-9453-0074005000E7}" done="0">
    <text xml:space="preserve">25554/05 -50.000
</text>
  </threadedComment>
  <threadedComment ref="D790" personId="{7B03C851-1B72-4382-6A46-EB78AD160EC8}" id="{0050005A-00D8-4545-B1F2-008C000700C5}" done="0">
    <text xml:space="preserve">25521/02 -312.434,90
25554/05 -847.352
25674/11 -256.165,19
25705/12 -6.955
25710/12 -40.397
</text>
  </threadedComment>
  <threadedComment ref="D791" personId="{7B03C851-1B72-4382-6A46-EB78AD160EC8}" id="{00DC0040-009B-4403-BC07-00FC00540052}" done="0">
    <text xml:space="preserve">25521/02 +10.369,60
25554/05 +48.752
25674/11 +215.741,19
25705/12 +6.955
25710/12 +40.397
</text>
  </threadedComment>
  <threadedComment ref="D796" personId="{7B03C851-1B72-4382-6A46-EB78AD160EC8}" id="{007800DF-00E8-4F91-AD9C-000E006C0094}" done="0">
    <text xml:space="preserve">25521/02 -1.756
25185/10 +1.307.000
25674/11 -8.425
25251/12 -304.433,67
</text>
  </threadedComment>
  <threadedComment ref="D797" personId="{7B03C851-1B72-4382-6A46-EB78AD160EC8}" id="{000300B0-0074-433E-8A70-009200530039}" done="0">
    <text xml:space="preserve">25521/02 +1.756
25674/11 +8.425
</text>
  </threadedComment>
  <threadedComment ref="D811" personId="{7B03C851-1B72-4382-6A46-EB78AD160EC8}" id="{00660010-00EF-4414-A1A8-0095003C007B}" done="0">
    <text xml:space="preserve">25098/06 +2.000.000
</text>
  </threadedComment>
  <threadedComment ref="D813" personId="{7B03C851-1B72-4382-6A46-EB78AD160EC8}" id="{003B0022-0029-4DA7-A19F-00E8000C0043}" done="0">
    <text xml:space="preserve">25183/10 +324.000 úz 34054
25214/11 +2.000.000
</text>
  </threadedComment>
  <threadedComment ref="D817" personId="{7B03C851-1B72-4382-6A46-EB78AD160EC8}" id="{0052009F-003F-4719-9CBF-006000300095}" done="0">
    <text xml:space="preserve">25238/12 +1.690.434
25704/12 +2.000.000
</text>
  </threadedComment>
  <threadedComment ref="D820" personId="{7B03C851-1B72-4382-6A46-EB78AD160EC8}" id="{002100D4-006C-4FA6-B447-00BC00310093}" done="0">
    <text xml:space="preserve">25704/12 +500.000
25708/12 +100.000
</text>
  </threadedComment>
  <threadedComment ref="D821" personId="{7B03C851-1B72-4382-6A46-EB78AD160EC8}" id="{009D0024-00F2-4559-8AC0-00E2006A00A9}" done="0">
    <text xml:space="preserve">25708/12 -100.000
</text>
  </threadedComment>
  <threadedComment ref="D822" personId="{7B03C851-1B72-4382-6A46-EB78AD160EC8}" id="{00CA00E2-0006-4C35-AE1B-00E3000C00FF}" done="0">
    <text xml:space="preserve">25704/12 -500.000
</text>
  </threadedComment>
  <threadedComment ref="D823" personId="{7B03C851-1B72-4382-6A46-EB78AD160EC8}" id="{001500A1-0090-4082-BC41-00F100420036}" done="0">
    <text xml:space="preserve">25704/12 -2.000.000
</text>
  </threadedComment>
  <threadedComment ref="D827" personId="{7B03C851-1B72-4382-6A46-EB78AD160EC8}" id="{00730089-00BA-43CA-ABA1-00E6005E00C1}" done="0">
    <text xml:space="preserve">25147/08 +310.000
25159/09 -930.000
25201/11 -8.502,48
</text>
  </threadedComment>
  <threadedComment ref="D828" personId="{7B03C851-1B72-4382-6A46-EB78AD160EC8}" id="{005C001B-0055-465D-A07F-0031006B0024}" done="0">
    <text xml:space="preserve">25023/02 +800.000
25590/07 +50.000 
</text>
  </threadedComment>
  <threadedComment ref="D833" personId="{7B03C851-1B72-4382-6A46-EB78AD160EC8}" id="{003B0061-00E5-4B04-871F-000300FE0061}" done="0">
    <text xml:space="preserve">25683/11 -300.000
</text>
  </threadedComment>
  <threadedComment ref="D838" personId="{7B03C851-1B72-4382-6A46-EB78AD160EC8}" id="{00A400BE-002C-46E2-ADEF-008A00520027}" done="0">
    <text xml:space="preserve">25510/01 -50.000
25636/09 -100.000
25683/11 +300.000
</text>
  </threadedComment>
  <threadedComment ref="D840" personId="{7B03C851-1B72-4382-6A46-EB78AD160EC8}" id="{008300C8-0094-495F-B44F-000B00A4008A}" done="0">
    <text xml:space="preserve">25510/01 +50.000
25683/11 -10.000
</text>
  </threadedComment>
  <threadedComment ref="D842" personId="{7B03C851-1B72-4382-6A46-EB78AD160EC8}" id="{00AF00B9-001C-4B4E-9636-000100F900FF}" done="0">
    <text xml:space="preserve">25636/09 +100.000
</text>
  </threadedComment>
  <threadedComment ref="D843" personId="{7B03C851-1B72-4382-6A46-EB78AD160EC8}" id="{00C9005A-00A8-47A1-8609-004600BC001B}" done="0">
    <text xml:space="preserve">25201/11 -200.000
</text>
  </threadedComment>
  <threadedComment ref="D847" personId="{7B03C851-1B72-4382-6A46-EB78AD160EC8}" id="{009B0081-0031-4311-AEC4-007200E500FA}" done="0">
    <text xml:space="preserve">25147/08 -310.000
25201/11
-14,07 -799,92
</text>
  </threadedComment>
  <threadedComment ref="D849" personId="{7B03C851-1B72-4382-6A46-EB78AD160EC8}" id="{002000B8-00B7-4E21-8CFD-00EF008C00D5}" done="0">
    <text xml:space="preserve">25510/01 -30.000
25535/03 -20.000
25098/06 +1.000.000
25214/11 +1.000.000
25238/12 -50.000
</text>
  </threadedComment>
  <threadedComment ref="D854" personId="{7B03C851-1B72-4382-6A46-EB78AD160EC8}" id="{00F100AE-0037-47D6-B31B-007D00B900B0}" done="0">
    <text xml:space="preserve">25510/01 +30.000
25535/03 +20.000
25683/11 +10.000
</text>
  </threadedComment>
  <threadedComment ref="D858" personId="{7B03C851-1B72-4382-6A46-EB78AD160EC8}" id="{0097005E-006B-499C-B755-001000F400F3}" done="0">
    <text xml:space="preserve">25590/07 -50.000
</text>
  </threadedComment>
  <threadedComment ref="D864" personId="{7B03C851-1B72-4382-6A46-EB78AD160EC8}" id="{00D700FC-00F5-4701-B419-007400D00050}" done="0">
    <text xml:space="preserve">25098/06 +1.000.000
25674/11 +550.000
25238/12 +220.000
</text>
  </threadedComment>
  <threadedComment ref="D868" personId="{7B03C851-1B72-4382-6A46-EB78AD160EC8}" id="{005300C3-00C3-4EA3-90D2-000B00EB0081}" done="0">
    <text xml:space="preserve">25674/11 -550.000
</text>
  </threadedComment>
  <threadedComment ref="D869" personId="{7B03C851-1B72-4382-6A46-EB78AD160EC8}" id="{006B0044-0000-4577-ACF2-00520040007D}" done="0">
    <text xml:space="preserve">25023/02 -800.000
</text>
  </threadedComment>
  <threadedComment ref="D873" personId="{7B03C851-1B72-4382-6A46-EB78AD160EC8}" id="{000F0028-005E-48BF-85E5-0000005400F4}" done="0">
    <text xml:space="preserve">25238/12 +50.000
</text>
  </threadedComment>
  <threadedComment ref="D877" personId="{7B03C851-1B72-4382-6A46-EB78AD160EC8}" id="{00120007-006C-4091-A2C9-0070009C002E}" done="0">
    <text xml:space="preserve">25238/12 -220.000
</text>
  </threadedComment>
  <threadedComment ref="D890" personId="{7B03C851-1B72-4382-6A46-EB78AD160EC8}" id="{0053004E-0078-46D6-9904-00B500120058}" done="0">
    <text xml:space="preserve">25024/02 
+76.214,38 Máj
+111.686,75 Sady
</text>
  </threadedComment>
  <threadedComment ref="D891" personId="{7B03C851-1B72-4382-6A46-EB78AD160EC8}" id="{0095009B-00EA-4DA0-B19B-00A600A000B8}" done="0">
    <text xml:space="preserve">25024/02 
+212.592,52 K66
+261.781,31 K68
+349.438,48 Tyr
</text>
  </threadedComment>
  <threadedComment ref="D892" personId="{7B03C851-1B72-4382-6A46-EB78AD160EC8}" id="{0027000D-004E-45F9-A08B-0026009B003E}" done="0">
    <text xml:space="preserve">25156/09
+6.450,70 úz253 1441
+58.056,30 úz911 1445
</text>
  </threadedComment>
  <threadedComment ref="D893" personId="{7B03C851-1B72-4382-6A46-EB78AD160EC8}" id="{0042008D-005E-47EA-BDA7-0057007E00EA}" done="0">
    <text xml:space="preserve">25026/02 +3.730
</text>
  </threadedComment>
  <threadedComment ref="D894" personId="{7B03C851-1B72-4382-6A46-EB78AD160EC8}" id="{0073009A-008C-4CBA-86FB-003D00420071}" done="0">
    <text xml:space="preserve">25024/02 +61.299
</text>
  </threadedComment>
  <threadedComment ref="D896" personId="{7B03C851-1B72-4382-6A46-EB78AD160EC8}" id="{00680062-003E-462A-BC00-00A30040002C}" done="0">
    <text xml:space="preserve">25253/12 +230.000
</text>
  </threadedComment>
  <threadedComment ref="D897" personId="{7B03C851-1B72-4382-6A46-EB78AD160EC8}" id="{00C000F9-0074-49D6-BC23-0066008800D9}" done="0">
    <text xml:space="preserve">25248/12 -120.000
</text>
  </threadedComment>
  <threadedComment ref="D898" personId="{7B03C851-1B72-4382-6A46-EB78AD160EC8}" id="{0020001F-00C8-4DAF-B5AA-003B005100F2}" done="0">
    <text xml:space="preserve">25248/12 +400
</text>
  </threadedComment>
  <threadedComment ref="D899" personId="{7B03C851-1B72-4382-6A46-EB78AD160EC8}" id="{00150038-0001-4EE8-A39E-0067005C000B}" done="0">
    <text xml:space="preserve">25248/12 
+90.657,28 +30.684,81 +1.657,91
</text>
  </threadedComment>
  <threadedComment ref="D901" personId="{7B03C851-1B72-4382-6A46-EB78AD160EC8}" id="{00F200D4-0044-4219-BDDF-00E200DB0041}" done="0">
    <text xml:space="preserve">25057/04 +25.564.110
</text>
  </threadedComment>
  <threadedComment ref="D904" personId="{7B03C851-1B72-4382-6A46-EB78AD160EC8}" id="{00A00062-00BE-43AE-936F-00C4003A00CC}" done="0">
    <text xml:space="preserve">25004/01 úz 33092
+ 913,14 (1431)
+3.011,86 (1435)
</text>
  </threadedComment>
  <threadedComment ref="D905" personId="{7B03C851-1B72-4382-6A46-EB78AD160EC8}" id="{007000DF-009C-4965-9CCD-007D009D000F}" done="0">
    <text xml:space="preserve">25204/11 úz 33092
+ 252.863,08 (1431)
+ 834.018,92 (1435)
</text>
  </threadedComment>
  <threadedComment ref="D906" personId="{7B03C851-1B72-4382-6A46-EB78AD160EC8}" id="{008900F6-006E-4848-A332-0036004600F8}" done="0">
    <text xml:space="preserve">25203/11 úz 33092
+ 24.701,86 (1431)
+ 81.747,14 (1435)
</text>
  </threadedComment>
  <threadedComment ref="D907" personId="{7B03C851-1B72-4382-6A46-EB78AD160EC8}" id="{00E80056-00C9-4F1C-8099-00F500D8004A}" done="0">
    <text xml:space="preserve">25027/02 +15.187,53
</text>
  </threadedComment>
  <threadedComment ref="D908" personId="{7B03C851-1B72-4382-6A46-EB78AD160EC8}" id="{00E70052-00EC-49D8-A615-008A001A0003}" done="0">
    <text xml:space="preserve">25027/02 +3.957,43
</text>
  </threadedComment>
  <threadedComment ref="D910" personId="{7B03C851-1B72-4382-6A46-EB78AD160EC8}" id="{0064005F-0085-486B-8F76-00A600CF0089}" done="0">
    <text xml:space="preserve">25001/01 -3.178.500
25002/01 +99.036
25003/01 -432.200
25005/01 -595.004,14
25008/01 +3.000.000
25009/01 +145.092
25011/01 -7.500
25012/01 -15.000
25013/01 -30.000
25014/01 -30.000
25015/01 -7.500
25016/01 -80.000
25017/01 +472.672,50
25018/02 -214.000
25024/02 -641.178,72
25025/02 -104.517
25027/02 -19.144,96
25028/02 +463.363
25029/02 -400.000
25030/03 +21.520.868,17
25031/03 +1.247.432,21
25034/03 -60.000
25035/03 +-10.990
25036/03 +297.792
25042/03 +2.743.942,28
25044/03 -14.800.000
25045/03 -6.020.000
25054/04 +1.571.026,45
25056/04 -27.427,50
25058/04 +5.889.660
25059/04 -1.700.000
25061/04 -5.000.000
25066/04 -2.000.000
25067/04 -3.000.000
25069/04 +85.015
25070/04 +472.380
25071/01 +706.318,75
25072/04 +1.093.905,82
25073/04 -300.000
25074/04 -280.000
25077/05 +54.671,25
25078/05 +25.000.000
25080/05 -3.000.000
25081/05 -3.375.008,64
25083/05 -370.000
25084/05 -300.000
25092/06 -1.266.234,75
25093/06 +810.777
25094/06 +5.424.450
25098/06 -4.500.000
25099/06 -5.000.000
25100/06 +300.000
------------------------
25102/07 -50.000
25106/07 -800.000
25107/07 -30.000
25113.07 -109.500
25119.07 -500.000
25120.07 -3.000.000
25122.07 -86.100
25123.07 -400.000
25126.07 -9.000.000
25127.07 -2.000.000
25129.07 -910.000
25130.07 +235.000
25132/08 -300.000
25134/08 +1.202.300
25137/08 +2.000.000
25138/08 -470.000
25139/08 -177.565
25140/08 +4.501.800
25141/08 +4.000.000
25143/08 +69.477,18
25144/08 +470.747,50
25145/08 +5.000.000
25150/08 +132.500
25157/09 +141.260,58
25158/09 +483.823
25159/09 +930.000
25160/09 +1.300.000
25161/09 +3.850.000
25162/09 -2.499.999
25163/09 -56.855,41
25164/09 -8.886.847
25165/09 -1.156.926,85
25166/09 -168.585
25167/09 -79.980
25168/09 -250.000
25169/09 +17.666
25170/09 +671.703,90
25174/09 +33.960.000
25177/10 +150.000
25182/10 -80.800
25183/10 -500.000 
25184/10 -1.000.000
25185/10 -1.307.000
25191/10 +1.099.496
25193/10 -23.885.049
25196/11 +30.000
25198/11 -30.250
25199/11 -20.000
25200/11 -203.075,15
25201/11 -1.372.559,84
25202/11 +51.162
25205.11 +0,30
25206/11 +296.102
25207/11 
+3.819,97 +42.374,82
25208/11 
-152.000 +135.000
25209/11 +6.588,45
25212/11 +5.012.000
25214/11 -3.000.000
25215/11 +150.000
25216/11 
+530.000 +237.000
25219/11 +54.000
25668/11 -300.000
(mělo být z 610/2219/2405)
25208/12 -135.000
25220/12 -30.000
25221/12 +52.000
25225/12 +-13.641
25226/12 +77.427,31
25227/12 -118.459
25228/12 +910.000
25229/12 +930
25230/12 -23.420
25231/12 +109.500
25232/12 -40.000
25233/12 +32.100
25234/12 +995.434,77
25237/12 +112.000
25240/12 +234.649,25
25242/12 +139.959,54
25243/12 +50.000
25244/12 +3.508.109,62
25246/12 -222.532
25247/12 -248.824,20
25248/12 +5.391.199,63
25249/12 +1.750.000
25251/12 +304.443,67
25252/12 +1.049.889,53
25254/12 -764.800
25255/12 -5.132.771,51
25256/12 
+389.995 -305.445
25258/12
+382.500 +18.500,85
</text>
  </threadedComment>
  <threadedComment ref="D911" personId="{7B03C851-1B72-4382-6A46-EB78AD160EC8}" id="{004D009D-003B-4A03-AB1B-0045009500CB}" done="0">
    <text xml:space="preserve">25248/12 -20.000
</text>
  </threadedComment>
  <threadedComment ref="D93" personId="{7B03C851-1B72-4382-6A46-EB78AD160EC8}" id="{005E0017-0007-4B5B-9984-00B100920013}" done="0">
    <text xml:space="preserve">25137/08 +300.000
25153/09 +335.000
25195/11 +10.000
25248/12 +1.213.288,24
25253/12 +230.000
</text>
  </threadedComment>
  <threadedComment ref="D94" personId="{7B03C851-1B72-4382-6A46-EB78AD160EC8}" id="{001600E1-0063-468D-A10D-001000A10021}" done="0">
    <text xml:space="preserve">25137/08 +1.700.000
25248/12 +106.250
</text>
  </threadedComment>
  <threadedComment ref="D98" personId="{7B03C851-1B72-4382-6A46-EB78AD160EC8}" id="{00D80002-0063-4F0C-B8C7-000400870032}" done="0">
    <text xml:space="preserve">25090/05 +10.000
25143/08 +69.477,18
25240/12 +234.649,25
25258/12 
-234.649,25 -41.297,20 -15.590 -12.589,98
</text>
  </threadedComment>
</ThreadedComments>
</file>

<file path=xl/worksheets/_rels/sheet1.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6.xml.rels><?xml version="1.0" encoding="UTF-8" standalone="yes"?>
<Relationships xmlns="http://schemas.openxmlformats.org/package/2006/relationships"><Relationship Id="rId3" Type="http://schemas.microsoft.com/office/2017/10/relationships/threadedComment" Target="../threadedComments/threadedComment2.xml"/><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7.xml.rels><?xml version="1.0" encoding="UTF-8" standalone="yes"?>
<Relationships xmlns="http://schemas.openxmlformats.org/package/2006/relationships"><Relationship Id="rId3" Type="http://schemas.microsoft.com/office/2017/10/relationships/threadedComment" Target="../threadedComments/threadedComment3.xml"/><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8.xml.rels><?xml version="1.0" encoding="UTF-8" standalone="yes"?>
<Relationships xmlns="http://schemas.openxmlformats.org/package/2006/relationships"><Relationship Id="rId3" Type="http://schemas.microsoft.com/office/2017/10/relationships/threadedComment" Target="../threadedComments/threadedComment4.xml"/><Relationship Id="rId2" Type="http://schemas.openxmlformats.org/officeDocument/2006/relationships/comments" Target="../comments4.xml"/><Relationship Id="rId1" Type="http://schemas.openxmlformats.org/officeDocument/2006/relationships/vmlDrawing" Target="../drawings/vmlDrawing4.vml"/></Relationships>
</file>

<file path=xl/worksheets/_rels/sheet10.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1.bin"/><Relationship Id="rId4" Type="http://schemas.microsoft.com/office/2017/10/relationships/threadedComment" Target="../threadedComments/threadedComment5.xml"/></Relationships>
</file>

<file path=xl/worksheets/_rels/sheet11.xml.rels><?xml version="1.0" encoding="UTF-8" standalone="yes"?>
<Relationships xmlns="http://schemas.openxmlformats.org/package/2006/relationships"><Relationship Id="rId3" Type="http://schemas.microsoft.com/office/2017/10/relationships/threadedComment" Target="../threadedComments/threadedComment6.xml"/><Relationship Id="rId2" Type="http://schemas.openxmlformats.org/officeDocument/2006/relationships/comments" Target="../comments6.xml"/><Relationship Id="rId1" Type="http://schemas.openxmlformats.org/officeDocument/2006/relationships/vmlDrawing" Target="../drawings/vmlDrawing6.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2"/>
    <pageSetUpPr fitToPage="1"/>
  </sheetPr>
  <dimension ref="A1:IV926"/>
  <sheetViews>
    <sheetView topLeftCell="B1" workbookViewId="0">
      <pane ySplit="2" topLeftCell="A3" activePane="bottomLeft" state="frozen"/>
      <selection activeCell="J7" sqref="J7"/>
      <selection pane="bottomLeft" activeCell="B1" sqref="B1"/>
    </sheetView>
  </sheetViews>
  <sheetFormatPr defaultColWidth="9.5703125" defaultRowHeight="12.75" x14ac:dyDescent="0.2"/>
  <cols>
    <col min="1" max="1" width="20.85546875" style="1" customWidth="1"/>
    <col min="2" max="2" width="97" style="1" customWidth="1"/>
    <col min="3" max="3" width="24.85546875" style="1" customWidth="1"/>
    <col min="4" max="4" width="28.42578125" style="1" customWidth="1"/>
    <col min="5" max="5" width="24.28515625" style="1" customWidth="1"/>
    <col min="6" max="6" width="0.140625" style="2" customWidth="1"/>
    <col min="7" max="7" width="24.28515625" style="1" customWidth="1"/>
    <col min="8" max="8" width="16.42578125" style="1" customWidth="1"/>
    <col min="9" max="16384" width="9.5703125" style="1"/>
  </cols>
  <sheetData>
    <row r="1" spans="1:8" ht="18.75" customHeight="1" x14ac:dyDescent="0.25">
      <c r="C1" s="3"/>
      <c r="D1" s="3"/>
      <c r="E1" s="4"/>
      <c r="F1" s="5"/>
      <c r="G1" s="6" t="s">
        <v>0</v>
      </c>
      <c r="H1" s="7"/>
    </row>
    <row r="2" spans="1:8" ht="60" customHeight="1" x14ac:dyDescent="0.2">
      <c r="A2" s="8" t="s">
        <v>1</v>
      </c>
      <c r="B2" s="9" t="s">
        <v>2</v>
      </c>
      <c r="C2" s="10" t="s">
        <v>3</v>
      </c>
      <c r="D2" s="11" t="s">
        <v>4</v>
      </c>
      <c r="E2" s="11" t="s">
        <v>5</v>
      </c>
      <c r="F2" s="11" t="s">
        <v>6</v>
      </c>
      <c r="G2" s="11" t="s">
        <v>7</v>
      </c>
      <c r="H2" s="7"/>
    </row>
    <row r="3" spans="1:8" s="12" customFormat="1" ht="18" customHeight="1" x14ac:dyDescent="0.25">
      <c r="A3" s="13"/>
      <c r="B3" s="14" t="s">
        <v>8</v>
      </c>
      <c r="C3" s="15"/>
      <c r="D3" s="15"/>
      <c r="E3" s="16"/>
      <c r="F3" s="17"/>
      <c r="G3" s="18"/>
      <c r="H3" s="7"/>
    </row>
    <row r="4" spans="1:8" s="19" customFormat="1" ht="15.75" customHeight="1" x14ac:dyDescent="0.2">
      <c r="A4" s="20"/>
      <c r="B4" s="21" t="s">
        <v>9</v>
      </c>
      <c r="C4" s="22">
        <f>C53</f>
        <v>444580702</v>
      </c>
      <c r="D4" s="22">
        <f>D53</f>
        <v>371511957.44</v>
      </c>
      <c r="E4" s="22">
        <v>370879661.44</v>
      </c>
      <c r="F4" s="22">
        <f>F53</f>
        <v>255798528.65000004</v>
      </c>
      <c r="G4" s="22">
        <v>388416000</v>
      </c>
      <c r="H4" s="23"/>
    </row>
    <row r="5" spans="1:8" s="19" customFormat="1" ht="15.75" customHeight="1" x14ac:dyDescent="0.2">
      <c r="A5" s="24"/>
      <c r="B5" s="21" t="s">
        <v>10</v>
      </c>
      <c r="C5" s="25">
        <f>C87</f>
        <v>127930181</v>
      </c>
      <c r="D5" s="25">
        <f>D87</f>
        <v>68787440.480000004</v>
      </c>
      <c r="E5" s="25">
        <v>123158006.55</v>
      </c>
      <c r="F5" s="25">
        <f>F87</f>
        <v>86272625.189999998</v>
      </c>
      <c r="G5" s="25">
        <v>127407541.26000001</v>
      </c>
      <c r="H5" s="23"/>
    </row>
    <row r="6" spans="1:8" s="19" customFormat="1" ht="15.75" customHeight="1" x14ac:dyDescent="0.2">
      <c r="A6" s="21"/>
      <c r="B6" s="21" t="s">
        <v>11</v>
      </c>
      <c r="C6" s="25">
        <f>C177</f>
        <v>52475517</v>
      </c>
      <c r="D6" s="25">
        <f>D177</f>
        <v>52226112.700000003</v>
      </c>
      <c r="E6" s="25">
        <v>16516319.699999999</v>
      </c>
      <c r="F6" s="25">
        <f>F177</f>
        <v>15702229.899999999</v>
      </c>
      <c r="G6" s="25">
        <f>G177</f>
        <v>109511899.31</v>
      </c>
      <c r="H6" s="23"/>
    </row>
    <row r="7" spans="1:8" s="19" customFormat="1" ht="15.75" customHeight="1" x14ac:dyDescent="0.2">
      <c r="A7" s="21"/>
      <c r="B7" s="21" t="s">
        <v>12</v>
      </c>
      <c r="C7" s="25">
        <f>C198</f>
        <v>59771600.0035</v>
      </c>
      <c r="D7" s="25">
        <f>D198</f>
        <v>138526988.82350001</v>
      </c>
      <c r="E7" s="25">
        <v>134539129.30000001</v>
      </c>
      <c r="F7" s="25">
        <f>F198</f>
        <v>120624289.91999999</v>
      </c>
      <c r="G7" s="25">
        <v>81229895.709999993</v>
      </c>
      <c r="H7" s="23"/>
    </row>
    <row r="8" spans="1:8" s="12" customFormat="1" ht="18" x14ac:dyDescent="0.25">
      <c r="A8" s="26"/>
      <c r="B8" s="27" t="s">
        <v>13</v>
      </c>
      <c r="C8" s="28">
        <v>684761000</v>
      </c>
      <c r="D8" s="28">
        <f>D252</f>
        <v>631052499.44350004</v>
      </c>
      <c r="E8" s="28">
        <v>645093116.99000001</v>
      </c>
      <c r="F8" s="28">
        <f>F252</f>
        <v>478397673.65999997</v>
      </c>
      <c r="G8" s="28">
        <v>706565336.27999997</v>
      </c>
      <c r="H8" s="29"/>
    </row>
    <row r="9" spans="1:8" s="19" customFormat="1" ht="15" x14ac:dyDescent="0.2">
      <c r="A9" s="30"/>
      <c r="B9" s="30" t="s">
        <v>14</v>
      </c>
      <c r="C9" s="31">
        <f>C254</f>
        <v>185331265.00000003</v>
      </c>
      <c r="D9" s="31">
        <f>D254</f>
        <v>169553420.91000003</v>
      </c>
      <c r="E9" s="31">
        <v>135875963.61000001</v>
      </c>
      <c r="F9" s="31">
        <f>F254</f>
        <v>-56083079.149999999</v>
      </c>
      <c r="G9" s="31">
        <v>195741180.47</v>
      </c>
      <c r="H9" s="32"/>
    </row>
    <row r="10" spans="1:8" s="33" customFormat="1" ht="23.25" x14ac:dyDescent="0.35">
      <c r="A10" s="34"/>
      <c r="B10" s="35" t="s">
        <v>15</v>
      </c>
      <c r="C10" s="36">
        <f>C263</f>
        <v>870089265.00349998</v>
      </c>
      <c r="D10" s="36">
        <f>D263</f>
        <v>800605920.35350013</v>
      </c>
      <c r="E10" s="36">
        <v>780969080.60000002</v>
      </c>
      <c r="F10" s="36">
        <f>F263</f>
        <v>422314594.50999999</v>
      </c>
      <c r="G10" s="36">
        <v>902306516.75</v>
      </c>
      <c r="H10" s="37"/>
    </row>
    <row r="11" spans="1:8" s="12" customFormat="1" ht="18" x14ac:dyDescent="0.25">
      <c r="A11" s="13"/>
      <c r="B11" s="14" t="s">
        <v>16</v>
      </c>
      <c r="C11" s="38"/>
      <c r="D11" s="38"/>
      <c r="E11" s="38"/>
      <c r="F11" s="39"/>
      <c r="G11" s="40"/>
      <c r="H11" s="29"/>
    </row>
    <row r="12" spans="1:8" s="12" customFormat="1" ht="18" x14ac:dyDescent="0.25">
      <c r="A12" s="13"/>
      <c r="B12" s="21" t="s">
        <v>17</v>
      </c>
      <c r="C12" s="22">
        <f>C50-C13</f>
        <v>603990895</v>
      </c>
      <c r="D12" s="22">
        <f>D50-D13</f>
        <v>661093281.42999995</v>
      </c>
      <c r="E12" s="22">
        <f>E50-E13</f>
        <v>619317145.48000002</v>
      </c>
      <c r="F12" s="22">
        <f>F50-F13</f>
        <v>426567811.58000004</v>
      </c>
      <c r="G12" s="22">
        <f>G50-G13</f>
        <v>640650917.12</v>
      </c>
      <c r="H12" s="32"/>
    </row>
    <row r="13" spans="1:8" s="12" customFormat="1" ht="18.75" customHeight="1" x14ac:dyDescent="0.25">
      <c r="A13" s="13"/>
      <c r="B13" s="21" t="s">
        <v>18</v>
      </c>
      <c r="C13" s="22">
        <v>266098370</v>
      </c>
      <c r="D13" s="22">
        <v>205239504.96000001</v>
      </c>
      <c r="E13" s="41">
        <v>161651935.12</v>
      </c>
      <c r="F13" s="41">
        <v>68757015.640000001</v>
      </c>
      <c r="G13" s="42">
        <v>261655599.63</v>
      </c>
      <c r="H13" s="32"/>
    </row>
    <row r="14" spans="1:8" s="12" customFormat="1" ht="15.75" customHeight="1" x14ac:dyDescent="0.25">
      <c r="A14" s="13"/>
      <c r="B14" s="43" t="s">
        <v>19</v>
      </c>
      <c r="C14" s="38"/>
      <c r="D14" s="38"/>
      <c r="E14" s="44"/>
      <c r="F14" s="45"/>
      <c r="G14" s="44"/>
    </row>
    <row r="15" spans="1:8" s="12" customFormat="1" ht="18.75" x14ac:dyDescent="0.25">
      <c r="A15" s="13"/>
      <c r="B15" s="46" t="s">
        <v>20</v>
      </c>
      <c r="C15" s="47">
        <f t="shared" ref="C15:G16" si="0">C266</f>
        <v>52448677</v>
      </c>
      <c r="D15" s="47">
        <f t="shared" si="0"/>
        <v>50917338</v>
      </c>
      <c r="E15" s="47">
        <f t="shared" si="0"/>
        <v>47778764.609999999</v>
      </c>
      <c r="F15" s="47">
        <f t="shared" si="0"/>
        <v>26310888.520000003</v>
      </c>
      <c r="G15" s="47">
        <f t="shared" si="0"/>
        <v>47057788.329999998</v>
      </c>
    </row>
    <row r="16" spans="1:8" s="19" customFormat="1" ht="15.75" customHeight="1" x14ac:dyDescent="0.25">
      <c r="A16" s="48"/>
      <c r="B16" s="21" t="s">
        <v>21</v>
      </c>
      <c r="C16" s="25">
        <f t="shared" si="0"/>
        <v>1895000</v>
      </c>
      <c r="D16" s="25">
        <f t="shared" si="0"/>
        <v>1895000</v>
      </c>
      <c r="E16" s="25">
        <f t="shared" si="0"/>
        <v>1895000</v>
      </c>
      <c r="F16" s="25">
        <f t="shared" si="0"/>
        <v>440288.54000000004</v>
      </c>
      <c r="G16" s="25">
        <f t="shared" si="0"/>
        <v>1985000</v>
      </c>
      <c r="H16" s="23"/>
    </row>
    <row r="17" spans="1:84" s="19" customFormat="1" ht="15.75" customHeight="1" x14ac:dyDescent="0.2">
      <c r="A17" s="21"/>
      <c r="B17" s="49" t="s">
        <v>22</v>
      </c>
      <c r="C17" s="25">
        <f>C280</f>
        <v>28251000</v>
      </c>
      <c r="D17" s="25">
        <f>D280</f>
        <v>26869575</v>
      </c>
      <c r="E17" s="25">
        <f>E280</f>
        <v>24033615</v>
      </c>
      <c r="F17" s="25">
        <f>F280</f>
        <v>14287648.27</v>
      </c>
      <c r="G17" s="25">
        <f>G280</f>
        <v>27050000</v>
      </c>
      <c r="H17" s="23"/>
    </row>
    <row r="18" spans="1:84" s="19" customFormat="1" ht="15.75" customHeight="1" x14ac:dyDescent="0.2">
      <c r="A18" s="49"/>
      <c r="B18" s="49" t="s">
        <v>23</v>
      </c>
      <c r="C18" s="22">
        <f>C301</f>
        <v>6934000</v>
      </c>
      <c r="D18" s="22">
        <f>D301</f>
        <v>6934000</v>
      </c>
      <c r="E18" s="22">
        <f>E301</f>
        <v>6639123.5999999996</v>
      </c>
      <c r="F18" s="22">
        <f>F301</f>
        <v>3111784.6</v>
      </c>
      <c r="G18" s="22">
        <f>G301</f>
        <v>2334000</v>
      </c>
      <c r="H18" s="23"/>
    </row>
    <row r="19" spans="1:84" s="19" customFormat="1" ht="15.75" customHeight="1" x14ac:dyDescent="0.2">
      <c r="A19" s="50"/>
      <c r="B19" s="50" t="s">
        <v>24</v>
      </c>
      <c r="C19" s="31">
        <f>C315</f>
        <v>15368677</v>
      </c>
      <c r="D19" s="31">
        <f>D315</f>
        <v>15218763</v>
      </c>
      <c r="E19" s="31">
        <f>E315</f>
        <v>15211026.01</v>
      </c>
      <c r="F19" s="31">
        <f>F315</f>
        <v>8471167.1100000013</v>
      </c>
      <c r="G19" s="31">
        <f>G315</f>
        <v>15688788.33</v>
      </c>
      <c r="H19" s="23"/>
    </row>
    <row r="20" spans="1:84" s="19" customFormat="1" ht="18.75" x14ac:dyDescent="0.25">
      <c r="A20" s="49"/>
      <c r="B20" s="51" t="s">
        <v>25</v>
      </c>
      <c r="C20" s="47">
        <f t="shared" ref="C20:F21" si="1">C354</f>
        <v>79701343</v>
      </c>
      <c r="D20" s="47">
        <f t="shared" si="1"/>
        <v>69000343</v>
      </c>
      <c r="E20" s="47">
        <f t="shared" si="1"/>
        <v>1689192.23</v>
      </c>
      <c r="F20" s="47">
        <f t="shared" si="1"/>
        <v>5818563.0100000007</v>
      </c>
      <c r="G20" s="47">
        <f>SUM(G21:G25)</f>
        <v>114484000</v>
      </c>
      <c r="H20" s="12"/>
    </row>
    <row r="21" spans="1:84" s="19" customFormat="1" ht="15.75" customHeight="1" x14ac:dyDescent="0.2">
      <c r="A21" s="21"/>
      <c r="B21" s="21" t="s">
        <v>26</v>
      </c>
      <c r="C21" s="25">
        <f t="shared" si="1"/>
        <v>1000000</v>
      </c>
      <c r="D21" s="25">
        <f t="shared" si="1"/>
        <v>1004840</v>
      </c>
      <c r="E21" s="25">
        <f t="shared" si="1"/>
        <v>374258.72</v>
      </c>
      <c r="F21" s="25">
        <f t="shared" si="1"/>
        <v>380258.72</v>
      </c>
      <c r="G21" s="25">
        <f>G355</f>
        <v>5530000</v>
      </c>
      <c r="H21" s="23"/>
    </row>
    <row r="22" spans="1:84" s="19" customFormat="1" ht="15.75" customHeight="1" x14ac:dyDescent="0.2">
      <c r="A22" s="21"/>
      <c r="B22" s="49" t="s">
        <v>27</v>
      </c>
      <c r="C22" s="25">
        <f>C370</f>
        <v>28360000</v>
      </c>
      <c r="D22" s="25">
        <f>D370</f>
        <v>26188160</v>
      </c>
      <c r="E22" s="25">
        <f>E370</f>
        <v>850886.86</v>
      </c>
      <c r="F22" s="25">
        <f>F370</f>
        <v>3217923.7600000002</v>
      </c>
      <c r="G22" s="25">
        <v>38460500</v>
      </c>
      <c r="H22" s="23"/>
    </row>
    <row r="23" spans="1:84" s="19" customFormat="1" ht="15.75" customHeight="1" x14ac:dyDescent="0.2">
      <c r="A23" s="21"/>
      <c r="B23" s="49" t="s">
        <v>28</v>
      </c>
      <c r="C23" s="25">
        <f>C432</f>
        <v>10270000</v>
      </c>
      <c r="D23" s="25">
        <f>D432</f>
        <v>4360000</v>
      </c>
      <c r="E23" s="25">
        <f>E432</f>
        <v>1000</v>
      </c>
      <c r="F23" s="25">
        <f>F432</f>
        <v>1152211.8800000001</v>
      </c>
      <c r="G23" s="25">
        <f>G432</f>
        <v>6295000</v>
      </c>
      <c r="H23" s="23"/>
    </row>
    <row r="24" spans="1:84" s="19" customFormat="1" ht="15.75" customHeight="1" x14ac:dyDescent="0.2">
      <c r="A24" s="21"/>
      <c r="B24" s="21" t="s">
        <v>29</v>
      </c>
      <c r="C24" s="25">
        <f>C445</f>
        <v>38897343</v>
      </c>
      <c r="D24" s="25">
        <f>D445</f>
        <v>36797343</v>
      </c>
      <c r="E24" s="25">
        <f>E445</f>
        <v>313046.65000000002</v>
      </c>
      <c r="F24" s="25">
        <f>F445</f>
        <v>963168.65</v>
      </c>
      <c r="G24" s="25">
        <v>63726000</v>
      </c>
      <c r="H24" s="23"/>
    </row>
    <row r="25" spans="1:84" s="19" customFormat="1" ht="15.75" customHeight="1" x14ac:dyDescent="0.2">
      <c r="A25" s="52"/>
      <c r="B25" s="53" t="s">
        <v>30</v>
      </c>
      <c r="C25" s="54">
        <f>C476</f>
        <v>1174000</v>
      </c>
      <c r="D25" s="54">
        <f>D476</f>
        <v>650000</v>
      </c>
      <c r="E25" s="54">
        <f>E476</f>
        <v>150000</v>
      </c>
      <c r="F25" s="54">
        <f>F476</f>
        <v>105000</v>
      </c>
      <c r="G25" s="54">
        <f>G476</f>
        <v>472500</v>
      </c>
      <c r="H25" s="23"/>
    </row>
    <row r="26" spans="1:84" s="19" customFormat="1" ht="18.75" x14ac:dyDescent="0.3">
      <c r="A26" s="55"/>
      <c r="B26" s="56" t="s">
        <v>31</v>
      </c>
      <c r="C26" s="57">
        <f>C481</f>
        <v>3086000</v>
      </c>
      <c r="D26" s="57">
        <f>D481</f>
        <v>4456000</v>
      </c>
      <c r="E26" s="57">
        <f>E481</f>
        <v>4273000</v>
      </c>
      <c r="F26" s="57">
        <f>F481</f>
        <v>3290243</v>
      </c>
      <c r="G26" s="57">
        <f>G481</f>
        <v>3640000</v>
      </c>
    </row>
    <row r="27" spans="1:84" s="58" customFormat="1" ht="18.75" x14ac:dyDescent="0.3">
      <c r="A27" s="50"/>
      <c r="B27" s="59" t="s">
        <v>32</v>
      </c>
      <c r="C27" s="60">
        <f>C486</f>
        <v>10612697</v>
      </c>
      <c r="D27" s="60">
        <v>9354593</v>
      </c>
      <c r="E27" s="60">
        <v>9354593</v>
      </c>
      <c r="F27" s="60">
        <v>5300735.47</v>
      </c>
      <c r="G27" s="60">
        <v>10752956</v>
      </c>
    </row>
    <row r="28" spans="1:84" s="19" customFormat="1" ht="18.75" x14ac:dyDescent="0.3">
      <c r="A28" s="55"/>
      <c r="B28" s="56" t="s">
        <v>33</v>
      </c>
      <c r="C28" s="57">
        <f>C492</f>
        <v>6426417</v>
      </c>
      <c r="D28" s="57">
        <f>D492</f>
        <v>6357417</v>
      </c>
      <c r="E28" s="57">
        <f>E492</f>
        <v>6413417</v>
      </c>
      <c r="F28" s="57">
        <f>F492</f>
        <v>4365980.75</v>
      </c>
      <c r="G28" s="57">
        <f>G492</f>
        <v>7038417</v>
      </c>
    </row>
    <row r="29" spans="1:84" s="19" customFormat="1" ht="18.75" x14ac:dyDescent="0.3">
      <c r="A29" s="52"/>
      <c r="B29" s="61" t="s">
        <v>34</v>
      </c>
      <c r="C29" s="62">
        <f>C503</f>
        <v>112000</v>
      </c>
      <c r="D29" s="62">
        <f>D503</f>
        <v>112000</v>
      </c>
      <c r="E29" s="62">
        <f>E503</f>
        <v>73000</v>
      </c>
      <c r="F29" s="62">
        <f>F503</f>
        <v>33098</v>
      </c>
      <c r="G29" s="62">
        <f>G503</f>
        <v>112000</v>
      </c>
      <c r="H29" s="23"/>
    </row>
    <row r="30" spans="1:84" s="63" customFormat="1" ht="18.75" x14ac:dyDescent="0.25">
      <c r="A30" s="64"/>
      <c r="B30" s="65" t="s">
        <v>35</v>
      </c>
      <c r="C30" s="66">
        <f>C507</f>
        <v>500000</v>
      </c>
      <c r="D30" s="66">
        <f>D507</f>
        <v>1201000</v>
      </c>
      <c r="E30" s="66">
        <f>E507</f>
        <v>701000</v>
      </c>
      <c r="F30" s="66">
        <f>F507</f>
        <v>1201000</v>
      </c>
      <c r="G30" s="66">
        <f>G507</f>
        <v>500000</v>
      </c>
      <c r="H30" s="23"/>
      <c r="I30" s="19"/>
      <c r="J30" s="19"/>
      <c r="K30" s="19"/>
      <c r="L30" s="19"/>
      <c r="M30" s="19"/>
      <c r="N30" s="19"/>
      <c r="O30" s="19"/>
      <c r="P30" s="19"/>
      <c r="Q30" s="19"/>
      <c r="R30" s="19"/>
      <c r="S30" s="19"/>
      <c r="T30" s="19"/>
      <c r="U30" s="19"/>
      <c r="V30" s="19"/>
      <c r="W30" s="19"/>
      <c r="X30" s="19"/>
      <c r="Y30" s="19"/>
      <c r="Z30" s="19"/>
      <c r="AA30" s="19"/>
      <c r="AB30" s="19"/>
      <c r="AC30" s="19"/>
      <c r="AD30" s="19"/>
      <c r="AE30" s="19"/>
      <c r="AF30" s="19"/>
      <c r="AG30" s="19"/>
      <c r="AH30" s="19"/>
      <c r="AI30" s="19"/>
      <c r="AJ30" s="19"/>
      <c r="AK30" s="19"/>
      <c r="AL30" s="19"/>
      <c r="AM30" s="19"/>
      <c r="AN30" s="19"/>
      <c r="AO30" s="19"/>
      <c r="AP30" s="19"/>
      <c r="AQ30" s="19"/>
      <c r="AR30" s="19"/>
      <c r="AS30" s="19"/>
      <c r="AT30" s="19"/>
      <c r="AU30" s="19"/>
      <c r="AV30" s="19"/>
      <c r="AW30" s="19"/>
      <c r="AX30" s="19"/>
      <c r="AY30" s="19"/>
      <c r="AZ30" s="19"/>
      <c r="BA30" s="19"/>
      <c r="BB30" s="19"/>
      <c r="BC30" s="19"/>
      <c r="BD30" s="19"/>
      <c r="BE30" s="19"/>
      <c r="BF30" s="19"/>
      <c r="BG30" s="19"/>
      <c r="BH30" s="19"/>
      <c r="BI30" s="19"/>
      <c r="BJ30" s="19"/>
      <c r="BK30" s="19"/>
      <c r="BL30" s="19"/>
      <c r="BM30" s="19"/>
      <c r="BN30" s="19"/>
      <c r="BO30" s="19"/>
      <c r="BP30" s="19"/>
      <c r="BQ30" s="19"/>
      <c r="BR30" s="19"/>
      <c r="BS30" s="19"/>
      <c r="BT30" s="19"/>
      <c r="BU30" s="19"/>
      <c r="BV30" s="19"/>
      <c r="BW30" s="19"/>
      <c r="BX30" s="19"/>
      <c r="BY30" s="19"/>
      <c r="BZ30" s="19"/>
      <c r="CA30" s="19"/>
      <c r="CB30" s="19"/>
      <c r="CC30" s="19"/>
      <c r="CD30" s="19"/>
      <c r="CE30" s="19"/>
      <c r="CF30" s="19"/>
    </row>
    <row r="31" spans="1:84" s="19" customFormat="1" ht="18.75" x14ac:dyDescent="0.3">
      <c r="A31" s="43"/>
      <c r="B31" s="67" t="s">
        <v>36</v>
      </c>
      <c r="C31" s="68">
        <f t="shared" ref="C31:F32" si="2">C511</f>
        <v>117286140</v>
      </c>
      <c r="D31" s="69">
        <f t="shared" si="2"/>
        <v>125496783.28</v>
      </c>
      <c r="E31" s="69">
        <f t="shared" si="2"/>
        <v>125496783.28</v>
      </c>
      <c r="F31" s="69">
        <f t="shared" si="2"/>
        <v>82606294.439999998</v>
      </c>
      <c r="G31" s="69">
        <f>SUM(G32:G34)</f>
        <v>165843398.80000001</v>
      </c>
    </row>
    <row r="32" spans="1:84" s="19" customFormat="1" ht="15.75" customHeight="1" x14ac:dyDescent="0.25">
      <c r="A32" s="48"/>
      <c r="B32" s="21" t="s">
        <v>37</v>
      </c>
      <c r="C32" s="25">
        <f t="shared" si="2"/>
        <v>55530000</v>
      </c>
      <c r="D32" s="25">
        <f t="shared" si="2"/>
        <v>50086908.670000002</v>
      </c>
      <c r="E32" s="25">
        <f t="shared" si="2"/>
        <v>50086908.670000002</v>
      </c>
      <c r="F32" s="25">
        <f t="shared" si="2"/>
        <v>24467486.900000002</v>
      </c>
      <c r="G32" s="25">
        <v>84320582.799999997</v>
      </c>
      <c r="H32" s="23"/>
    </row>
    <row r="33" spans="1:8" s="19" customFormat="1" ht="15.75" customHeight="1" x14ac:dyDescent="0.2">
      <c r="A33" s="21"/>
      <c r="B33" s="21" t="s">
        <v>38</v>
      </c>
      <c r="C33" s="25">
        <v>39914000</v>
      </c>
      <c r="D33" s="25">
        <f>D564</f>
        <v>60000</v>
      </c>
      <c r="E33" s="25">
        <v>39435236.609999999</v>
      </c>
      <c r="F33" s="25">
        <f>F564</f>
        <v>23782.41</v>
      </c>
      <c r="G33" s="25">
        <v>63946000</v>
      </c>
      <c r="H33" s="23"/>
    </row>
    <row r="34" spans="1:8" s="19" customFormat="1" ht="15.75" customHeight="1" x14ac:dyDescent="0.2">
      <c r="A34" s="50"/>
      <c r="B34" s="53" t="s">
        <v>39</v>
      </c>
      <c r="C34" s="31">
        <v>21842.14</v>
      </c>
      <c r="D34" s="31">
        <f>D589</f>
        <v>150000</v>
      </c>
      <c r="E34" s="31">
        <v>35974638</v>
      </c>
      <c r="F34" s="31">
        <f>F589</f>
        <v>59769</v>
      </c>
      <c r="G34" s="31">
        <v>17576816</v>
      </c>
      <c r="H34" s="23"/>
    </row>
    <row r="35" spans="1:8" s="19" customFormat="1" ht="18.75" x14ac:dyDescent="0.3">
      <c r="A35" s="53"/>
      <c r="B35" s="70" t="s">
        <v>40</v>
      </c>
      <c r="C35" s="71">
        <f>C604</f>
        <v>24216100</v>
      </c>
      <c r="D35" s="71">
        <f>D604</f>
        <v>26216100</v>
      </c>
      <c r="E35" s="71">
        <f>E604</f>
        <v>26000000</v>
      </c>
      <c r="F35" s="71">
        <f>F604</f>
        <v>16002050.35</v>
      </c>
      <c r="G35" s="71">
        <f>G604</f>
        <v>24084500</v>
      </c>
    </row>
    <row r="36" spans="1:8" s="19" customFormat="1" ht="18.75" x14ac:dyDescent="0.3">
      <c r="A36" s="53"/>
      <c r="B36" s="70" t="s">
        <v>41</v>
      </c>
      <c r="C36" s="71">
        <f>C608</f>
        <v>36789421</v>
      </c>
      <c r="D36" s="71">
        <f>D608</f>
        <v>33301421</v>
      </c>
      <c r="E36" s="71">
        <f>E608</f>
        <v>30587183.09</v>
      </c>
      <c r="F36" s="71">
        <f>F608</f>
        <v>14768627.58</v>
      </c>
      <c r="G36" s="71">
        <f>G608</f>
        <v>34895800</v>
      </c>
    </row>
    <row r="37" spans="1:8" s="19" customFormat="1" ht="18.75" x14ac:dyDescent="0.2">
      <c r="A37" s="55"/>
      <c r="B37" s="72" t="s">
        <v>42</v>
      </c>
      <c r="C37" s="73">
        <f>C625</f>
        <v>153267660</v>
      </c>
      <c r="D37" s="74">
        <f>D625</f>
        <v>152405979</v>
      </c>
      <c r="E37" s="74">
        <f>E625</f>
        <v>152405979</v>
      </c>
      <c r="F37" s="74">
        <f>F625</f>
        <v>87122082</v>
      </c>
      <c r="G37" s="74">
        <f>G625</f>
        <v>149365960</v>
      </c>
    </row>
    <row r="38" spans="1:8" s="19" customFormat="1" ht="18.75" x14ac:dyDescent="0.3">
      <c r="A38" s="75"/>
      <c r="B38" s="67" t="s">
        <v>43</v>
      </c>
      <c r="C38" s="69">
        <f t="shared" ref="C38:G39" si="3">C633</f>
        <v>10199000</v>
      </c>
      <c r="D38" s="69">
        <f t="shared" si="3"/>
        <v>10026000</v>
      </c>
      <c r="E38" s="69">
        <f t="shared" si="3"/>
        <v>8890100</v>
      </c>
      <c r="F38" s="69">
        <f t="shared" si="3"/>
        <v>6802858.8700000001</v>
      </c>
      <c r="G38" s="69">
        <f t="shared" si="3"/>
        <v>10937288</v>
      </c>
      <c r="H38" s="23"/>
    </row>
    <row r="39" spans="1:8" s="19" customFormat="1" ht="16.5" customHeight="1" x14ac:dyDescent="0.2">
      <c r="A39" s="76"/>
      <c r="B39" s="76" t="s">
        <v>44</v>
      </c>
      <c r="C39" s="25">
        <f t="shared" si="3"/>
        <v>3459000</v>
      </c>
      <c r="D39" s="25">
        <f t="shared" si="3"/>
        <v>3286000</v>
      </c>
      <c r="E39" s="25">
        <f t="shared" si="3"/>
        <v>2734100</v>
      </c>
      <c r="F39" s="25">
        <f t="shared" si="3"/>
        <v>769858.87000000011</v>
      </c>
      <c r="G39" s="25">
        <f t="shared" si="3"/>
        <v>3067000</v>
      </c>
      <c r="H39" s="23"/>
    </row>
    <row r="40" spans="1:8" s="19" customFormat="1" ht="16.5" customHeight="1" x14ac:dyDescent="0.2">
      <c r="A40" s="50"/>
      <c r="B40" s="50" t="s">
        <v>45</v>
      </c>
      <c r="C40" s="31">
        <f>C662</f>
        <v>6740000</v>
      </c>
      <c r="D40" s="31">
        <f>D662</f>
        <v>6740000</v>
      </c>
      <c r="E40" s="31">
        <f>E662</f>
        <v>6156000</v>
      </c>
      <c r="F40" s="31">
        <f>F662</f>
        <v>6033000</v>
      </c>
      <c r="G40" s="31">
        <f>G662</f>
        <v>7870288</v>
      </c>
    </row>
    <row r="41" spans="1:8" s="19" customFormat="1" ht="18.75" x14ac:dyDescent="0.3">
      <c r="A41" s="75"/>
      <c r="B41" s="77" t="s">
        <v>46</v>
      </c>
      <c r="C41" s="78">
        <f>C673</f>
        <v>14255100</v>
      </c>
      <c r="D41" s="78">
        <f>D673</f>
        <v>20033588</v>
      </c>
      <c r="E41" s="78">
        <f>E673</f>
        <v>20033588</v>
      </c>
      <c r="F41" s="78">
        <f>F673</f>
        <v>7184316.8099999996</v>
      </c>
      <c r="G41" s="78">
        <f>G673</f>
        <v>13505100</v>
      </c>
    </row>
    <row r="42" spans="1:8" s="19" customFormat="1" ht="16.5" customHeight="1" x14ac:dyDescent="0.3">
      <c r="A42" s="21"/>
      <c r="B42" s="79" t="s">
        <v>47</v>
      </c>
      <c r="C42" s="80">
        <f t="shared" ref="C42:G44" si="4">C675</f>
        <v>6911500</v>
      </c>
      <c r="D42" s="80">
        <f t="shared" si="4"/>
        <v>10203820</v>
      </c>
      <c r="E42" s="80">
        <f t="shared" si="4"/>
        <v>10203820</v>
      </c>
      <c r="F42" s="80">
        <f t="shared" si="4"/>
        <v>3433058.91</v>
      </c>
      <c r="G42" s="80">
        <f t="shared" si="4"/>
        <v>6835500</v>
      </c>
    </row>
    <row r="43" spans="1:8" s="19" customFormat="1" ht="16.5" customHeight="1" x14ac:dyDescent="0.3">
      <c r="A43" s="49"/>
      <c r="B43" s="81" t="s">
        <v>48</v>
      </c>
      <c r="C43" s="69">
        <f t="shared" si="4"/>
        <v>1796800</v>
      </c>
      <c r="D43" s="69">
        <f t="shared" si="4"/>
        <v>2479432</v>
      </c>
      <c r="E43" s="69">
        <f t="shared" si="4"/>
        <v>2479432</v>
      </c>
      <c r="F43" s="69">
        <f t="shared" si="4"/>
        <v>763396.3</v>
      </c>
      <c r="G43" s="69">
        <f t="shared" si="4"/>
        <v>1739300</v>
      </c>
    </row>
    <row r="44" spans="1:8" s="19" customFormat="1" ht="16.5" customHeight="1" x14ac:dyDescent="0.3">
      <c r="A44" s="53"/>
      <c r="B44" s="82" t="s">
        <v>49</v>
      </c>
      <c r="C44" s="71">
        <f t="shared" si="4"/>
        <v>5546800</v>
      </c>
      <c r="D44" s="71">
        <f t="shared" si="4"/>
        <v>7350336</v>
      </c>
      <c r="E44" s="71">
        <f t="shared" si="4"/>
        <v>7350336</v>
      </c>
      <c r="F44" s="71">
        <f t="shared" si="4"/>
        <v>2987864.6</v>
      </c>
      <c r="G44" s="71">
        <f t="shared" si="4"/>
        <v>4930300</v>
      </c>
      <c r="H44" s="23"/>
    </row>
    <row r="45" spans="1:8" s="19" customFormat="1" ht="18.75" x14ac:dyDescent="0.3">
      <c r="A45" s="83"/>
      <c r="B45" s="56" t="s">
        <v>50</v>
      </c>
      <c r="C45" s="57">
        <f>C679</f>
        <v>48341000</v>
      </c>
      <c r="D45" s="57">
        <f>D679</f>
        <v>48246622</v>
      </c>
      <c r="E45" s="57">
        <f>E679</f>
        <v>48220555</v>
      </c>
      <c r="F45" s="57">
        <f>F679</f>
        <v>26931631</v>
      </c>
      <c r="G45" s="57">
        <f>G679</f>
        <v>58483000</v>
      </c>
    </row>
    <row r="46" spans="1:8" s="19" customFormat="1" ht="18.75" customHeight="1" x14ac:dyDescent="0.3">
      <c r="A46" s="83"/>
      <c r="B46" s="56" t="s">
        <v>51</v>
      </c>
      <c r="C46" s="84">
        <f>C702</f>
        <v>272420000</v>
      </c>
      <c r="D46" s="57">
        <f>D702</f>
        <v>198055883.74000001</v>
      </c>
      <c r="E46" s="57">
        <v>183951155.44</v>
      </c>
      <c r="F46" s="57">
        <f>F702</f>
        <v>96334031.909999996</v>
      </c>
      <c r="G46" s="57">
        <v>224822000</v>
      </c>
      <c r="H46" s="85"/>
    </row>
    <row r="47" spans="1:8" s="19" customFormat="1" ht="19.5" customHeight="1" x14ac:dyDescent="0.3">
      <c r="A47" s="75"/>
      <c r="B47" s="86" t="s">
        <v>52</v>
      </c>
      <c r="C47" s="78">
        <f>C885</f>
        <v>1211750</v>
      </c>
      <c r="D47" s="78">
        <f>D885</f>
        <v>637750</v>
      </c>
      <c r="E47" s="78">
        <f>E885</f>
        <v>379640</v>
      </c>
      <c r="F47" s="78">
        <f>F885</f>
        <v>120303.64</v>
      </c>
      <c r="G47" s="78">
        <f>G885</f>
        <v>600000</v>
      </c>
      <c r="H47" s="1"/>
    </row>
    <row r="48" spans="1:8" s="19" customFormat="1" ht="15.75" customHeight="1" x14ac:dyDescent="0.2">
      <c r="A48" s="53"/>
      <c r="B48" s="87" t="s">
        <v>53</v>
      </c>
      <c r="C48" s="54">
        <f>C896</f>
        <v>574000</v>
      </c>
      <c r="D48" s="54">
        <f>D896</f>
        <v>0</v>
      </c>
      <c r="E48" s="54">
        <f>E896</f>
        <v>0</v>
      </c>
      <c r="F48" s="54">
        <f>F896</f>
        <v>0</v>
      </c>
      <c r="G48" s="54">
        <f>G896</f>
        <v>0</v>
      </c>
      <c r="H48" s="88"/>
    </row>
    <row r="49" spans="1:8" s="19" customFormat="1" ht="18.75" x14ac:dyDescent="0.3">
      <c r="A49" s="52"/>
      <c r="B49" s="67" t="s">
        <v>54</v>
      </c>
      <c r="C49" s="69">
        <f>C899</f>
        <v>39215960</v>
      </c>
      <c r="D49" s="69">
        <f>D899</f>
        <v>110513968.37</v>
      </c>
      <c r="E49" s="69">
        <f>E899</f>
        <v>104362912.75</v>
      </c>
      <c r="F49" s="69">
        <f>F899</f>
        <v>111132121.87</v>
      </c>
      <c r="G49" s="69">
        <f>G899</f>
        <v>36184308.620000005</v>
      </c>
      <c r="H49" s="88"/>
    </row>
    <row r="50" spans="1:8" s="12" customFormat="1" ht="23.25" customHeight="1" x14ac:dyDescent="0.3">
      <c r="A50" s="89"/>
      <c r="B50" s="90" t="s">
        <v>55</v>
      </c>
      <c r="C50" s="36">
        <f>C922</f>
        <v>870089265</v>
      </c>
      <c r="D50" s="36">
        <f>D922</f>
        <v>866332786.38999999</v>
      </c>
      <c r="E50" s="36">
        <v>780969080.60000002</v>
      </c>
      <c r="F50" s="36">
        <f>F922</f>
        <v>495324827.22000003</v>
      </c>
      <c r="G50" s="36">
        <v>902306516.75</v>
      </c>
      <c r="H50" s="88"/>
    </row>
    <row r="51" spans="1:8" s="12" customFormat="1" ht="23.25" hidden="1" customHeight="1" x14ac:dyDescent="0.3">
      <c r="A51" s="89"/>
      <c r="B51" s="90"/>
      <c r="C51" s="91"/>
      <c r="D51" s="91"/>
      <c r="E51" s="91"/>
      <c r="F51" s="91"/>
      <c r="G51" s="91"/>
      <c r="H51" s="88"/>
    </row>
    <row r="52" spans="1:8" ht="22.5" hidden="1" customHeight="1" x14ac:dyDescent="0.3">
      <c r="A52" s="92"/>
      <c r="B52" s="93" t="s">
        <v>56</v>
      </c>
      <c r="C52" s="94"/>
      <c r="D52" s="94"/>
      <c r="E52" s="95"/>
      <c r="F52" s="96"/>
      <c r="G52" s="97"/>
      <c r="H52" s="88"/>
    </row>
    <row r="53" spans="1:8" s="98" customFormat="1" ht="18" hidden="1" x14ac:dyDescent="0.25">
      <c r="A53" s="99"/>
      <c r="B53" s="100" t="s">
        <v>57</v>
      </c>
      <c r="C53" s="101">
        <f>SUM(C54:C66,C70,C73:C76,C83:C85)</f>
        <v>444580702</v>
      </c>
      <c r="D53" s="101">
        <f>SUM(D54:D66,D70,D73:D76,D83:D85)</f>
        <v>371511957.44</v>
      </c>
      <c r="E53" s="101">
        <f>SUM(E54:E66,E70,E73:E76,E83:E85)</f>
        <v>371694661.44</v>
      </c>
      <c r="F53" s="101">
        <f>SUM(F54:F66,F70,F73:F76,F83:F85)</f>
        <v>255798528.65000004</v>
      </c>
      <c r="G53" s="101">
        <f>SUM(G54:G66,G70,G73:G76,G83:G85)</f>
        <v>387416000</v>
      </c>
      <c r="H53" s="88"/>
    </row>
    <row r="54" spans="1:8" s="98" customFormat="1" ht="12.75" hidden="1" customHeight="1" x14ac:dyDescent="0.2">
      <c r="A54" s="102">
        <v>1111</v>
      </c>
      <c r="B54" s="103" t="s">
        <v>58</v>
      </c>
      <c r="C54" s="104">
        <f>(55413000*0.164351/100)*1000-0.63</f>
        <v>91071819</v>
      </c>
      <c r="D54" s="104">
        <f>(55413000*0.164351/100)*1000-0.63-18000000</f>
        <v>73071819</v>
      </c>
      <c r="E54" s="104">
        <f>(55413000*0.164351/100)*1000-0.63-18000000</f>
        <v>73071819</v>
      </c>
      <c r="F54" s="104">
        <v>48301217.43</v>
      </c>
      <c r="G54" s="105">
        <f>(85460000-83860000)/2+83860000</f>
        <v>84660000</v>
      </c>
      <c r="H54" s="88"/>
    </row>
    <row r="55" spans="1:8" s="98" customFormat="1" ht="12.75" hidden="1" customHeight="1" x14ac:dyDescent="0.2">
      <c r="A55" s="106">
        <v>1111</v>
      </c>
      <c r="B55" s="107" t="s">
        <v>59</v>
      </c>
      <c r="C55" s="108">
        <f>(3525000*0.272848/100)*1000</f>
        <v>9617892</v>
      </c>
      <c r="D55" s="108">
        <v>7617892</v>
      </c>
      <c r="E55" s="108">
        <v>7617892</v>
      </c>
      <c r="F55" s="109">
        <v>5100983.9800000004</v>
      </c>
      <c r="G55" s="105">
        <f>(8650000-8490000)/2+8490000</f>
        <v>8570000</v>
      </c>
      <c r="H55" s="88"/>
    </row>
    <row r="56" spans="1:8" s="98" customFormat="1" ht="12.75" hidden="1" customHeight="1" x14ac:dyDescent="0.2">
      <c r="A56" s="106">
        <v>1112</v>
      </c>
      <c r="B56" s="107" t="s">
        <v>60</v>
      </c>
      <c r="C56" s="104">
        <f>(1100000*0.164351/100)*1000</f>
        <v>1807861</v>
      </c>
      <c r="D56" s="104">
        <v>970159</v>
      </c>
      <c r="E56" s="104">
        <v>970159</v>
      </c>
      <c r="F56" s="104">
        <v>574554.49</v>
      </c>
      <c r="G56" s="105">
        <f>(1280000-1140000)/2+1140000</f>
        <v>1210000</v>
      </c>
      <c r="H56" s="88"/>
    </row>
    <row r="57" spans="1:8" s="98" customFormat="1" ht="12.75" hidden="1" customHeight="1" x14ac:dyDescent="0.2">
      <c r="A57" s="106">
        <v>1113</v>
      </c>
      <c r="B57" s="107" t="s">
        <v>61</v>
      </c>
      <c r="C57" s="104">
        <f>(4900000*0.164351/100)*1000</f>
        <v>8053199.0000000009</v>
      </c>
      <c r="D57" s="104">
        <f>(4900000*0.164351/100)*1000-2000000</f>
        <v>6053199.0000000009</v>
      </c>
      <c r="E57" s="104">
        <f>(4900000*0.164351/100)*1000-2000000</f>
        <v>6053199.0000000009</v>
      </c>
      <c r="F57" s="109">
        <v>5051465.68</v>
      </c>
      <c r="G57" s="105">
        <v>8425000</v>
      </c>
      <c r="H57" s="88"/>
    </row>
    <row r="58" spans="1:8" s="98" customFormat="1" ht="12.75" hidden="1" customHeight="1" x14ac:dyDescent="0.2">
      <c r="A58" s="106">
        <v>1121</v>
      </c>
      <c r="B58" s="107" t="s">
        <v>62</v>
      </c>
      <c r="C58" s="104">
        <f>(45100000*0.164351/100)*1000</f>
        <v>74122300.999999985</v>
      </c>
      <c r="D58" s="104">
        <f>(45100000*0.164351/100)*1000-16000000</f>
        <v>58122300.999999985</v>
      </c>
      <c r="E58" s="104">
        <f>(45100000*0.164351/100)*1000-16000000</f>
        <v>58122300.999999985</v>
      </c>
      <c r="F58" s="109">
        <v>33335383.719999999</v>
      </c>
      <c r="G58" s="105">
        <f>(50430000-49560000)/2+49560000</f>
        <v>49995000</v>
      </c>
      <c r="H58" s="88"/>
    </row>
    <row r="59" spans="1:8" s="98" customFormat="1" ht="12.75" hidden="1" customHeight="1" x14ac:dyDescent="0.2">
      <c r="A59" s="106">
        <v>1122</v>
      </c>
      <c r="B59" s="107" t="s">
        <v>63</v>
      </c>
      <c r="C59" s="109">
        <v>25000000</v>
      </c>
      <c r="D59" s="109">
        <v>22015870</v>
      </c>
      <c r="E59" s="109">
        <v>22015870</v>
      </c>
      <c r="F59" s="109">
        <v>22015870</v>
      </c>
      <c r="G59" s="109">
        <v>23000000</v>
      </c>
      <c r="H59" s="88"/>
    </row>
    <row r="60" spans="1:8" s="98" customFormat="1" ht="12.75" hidden="1" customHeight="1" x14ac:dyDescent="0.2">
      <c r="A60" s="106">
        <v>1211</v>
      </c>
      <c r="B60" s="107" t="s">
        <v>64</v>
      </c>
      <c r="C60" s="104">
        <f>(113000000*0.164351/100)*1000</f>
        <v>185716630</v>
      </c>
      <c r="D60" s="104">
        <f>(113000000*0.164351/100)*1000-26000000</f>
        <v>159716630</v>
      </c>
      <c r="E60" s="104">
        <f>(113000000*0.164351/100)*1000-26000000</f>
        <v>159716630</v>
      </c>
      <c r="F60" s="109">
        <v>105223217.38</v>
      </c>
      <c r="G60" s="105">
        <f>(168370000-160100000)/2+160100000</f>
        <v>164235000</v>
      </c>
      <c r="H60" s="88"/>
    </row>
    <row r="61" spans="1:8" s="98" customFormat="1" ht="12.75" hidden="1" customHeight="1" x14ac:dyDescent="0.2">
      <c r="A61" s="106">
        <v>1334</v>
      </c>
      <c r="B61" s="107" t="s">
        <v>65</v>
      </c>
      <c r="C61" s="109">
        <v>50000</v>
      </c>
      <c r="D61" s="109">
        <v>53936.2</v>
      </c>
      <c r="E61" s="109">
        <v>53936.2</v>
      </c>
      <c r="F61" s="108">
        <v>104468.8</v>
      </c>
      <c r="G61" s="105">
        <v>50000</v>
      </c>
      <c r="H61" s="88"/>
    </row>
    <row r="62" spans="1:8" s="98" customFormat="1" ht="12.75" hidden="1" customHeight="1" x14ac:dyDescent="0.2">
      <c r="A62" s="106">
        <v>1335</v>
      </c>
      <c r="B62" s="107" t="s">
        <v>66</v>
      </c>
      <c r="C62" s="109">
        <v>5000</v>
      </c>
      <c r="D62" s="109">
        <v>19055.240000000002</v>
      </c>
      <c r="E62" s="109">
        <v>19055.240000000002</v>
      </c>
      <c r="F62" s="109">
        <v>23555.24</v>
      </c>
      <c r="G62" s="105">
        <v>5000</v>
      </c>
      <c r="H62" s="88"/>
    </row>
    <row r="63" spans="1:8" s="98" customFormat="1" ht="12.75" hidden="1" customHeight="1" x14ac:dyDescent="0.2">
      <c r="A63" s="106">
        <v>1336</v>
      </c>
      <c r="B63" s="107" t="s">
        <v>67</v>
      </c>
      <c r="C63" s="109">
        <v>0</v>
      </c>
      <c r="D63" s="109">
        <v>2800</v>
      </c>
      <c r="E63" s="109">
        <v>2800</v>
      </c>
      <c r="F63" s="109">
        <v>2800</v>
      </c>
      <c r="G63" s="105">
        <v>0</v>
      </c>
      <c r="H63" s="88"/>
    </row>
    <row r="64" spans="1:8" s="98" customFormat="1" ht="26.25" hidden="1" customHeight="1" x14ac:dyDescent="0.2">
      <c r="A64" s="106">
        <v>1340</v>
      </c>
      <c r="B64" s="110" t="s">
        <v>68</v>
      </c>
      <c r="C64" s="109">
        <v>13000000</v>
      </c>
      <c r="D64" s="109">
        <v>13000000</v>
      </c>
      <c r="E64" s="109">
        <v>13000000</v>
      </c>
      <c r="F64" s="109">
        <v>11581542.619999999</v>
      </c>
      <c r="G64" s="109">
        <v>13000000</v>
      </c>
      <c r="H64" s="88"/>
    </row>
    <row r="65" spans="1:34" s="98" customFormat="1" ht="12.75" hidden="1" customHeight="1" x14ac:dyDescent="0.2">
      <c r="A65" s="106">
        <v>1341</v>
      </c>
      <c r="B65" s="107" t="s">
        <v>69</v>
      </c>
      <c r="C65" s="109">
        <v>650000</v>
      </c>
      <c r="D65" s="109">
        <v>650000</v>
      </c>
      <c r="E65" s="109">
        <v>650000</v>
      </c>
      <c r="F65" s="109">
        <v>593763.6</v>
      </c>
      <c r="G65" s="105">
        <v>650000</v>
      </c>
      <c r="H65" s="88"/>
    </row>
    <row r="66" spans="1:34" s="98" customFormat="1" ht="12.75" hidden="1" customHeight="1" x14ac:dyDescent="0.2">
      <c r="A66" s="106">
        <v>1343</v>
      </c>
      <c r="B66" s="107" t="s">
        <v>70</v>
      </c>
      <c r="C66" s="108">
        <f>SUM(C67:C69)</f>
        <v>405000</v>
      </c>
      <c r="D66" s="108">
        <f>SUM(D67:D69)</f>
        <v>305000</v>
      </c>
      <c r="E66" s="108">
        <f>SUM(E67:E69)</f>
        <v>280000</v>
      </c>
      <c r="F66" s="108">
        <f>SUM(F67:F69)</f>
        <v>200753</v>
      </c>
      <c r="G66" s="108">
        <f>SUM(G67:G69)</f>
        <v>385000</v>
      </c>
      <c r="H66" s="32"/>
    </row>
    <row r="67" spans="1:34" ht="12.75" hidden="1" customHeight="1" x14ac:dyDescent="0.2">
      <c r="A67" s="111"/>
      <c r="B67" s="112" t="s">
        <v>71</v>
      </c>
      <c r="C67" s="113">
        <v>300000</v>
      </c>
      <c r="D67" s="113">
        <v>200000</v>
      </c>
      <c r="E67" s="113">
        <v>180000</v>
      </c>
      <c r="F67" s="113">
        <v>153032</v>
      </c>
      <c r="G67" s="114">
        <v>300000</v>
      </c>
      <c r="H67" s="88"/>
    </row>
    <row r="68" spans="1:34" ht="12.75" hidden="1" customHeight="1" x14ac:dyDescent="0.2">
      <c r="A68" s="111"/>
      <c r="B68" s="112" t="s">
        <v>72</v>
      </c>
      <c r="C68" s="113">
        <v>55000</v>
      </c>
      <c r="D68" s="113">
        <v>55000</v>
      </c>
      <c r="E68" s="113">
        <v>50000</v>
      </c>
      <c r="F68" s="113">
        <v>35271</v>
      </c>
      <c r="G68" s="114">
        <v>60000</v>
      </c>
      <c r="H68" s="88"/>
    </row>
    <row r="69" spans="1:34" ht="12.75" hidden="1" customHeight="1" x14ac:dyDescent="0.2">
      <c r="A69" s="111"/>
      <c r="B69" s="112" t="s">
        <v>73</v>
      </c>
      <c r="C69" s="113">
        <v>50000</v>
      </c>
      <c r="D69" s="113">
        <v>50000</v>
      </c>
      <c r="E69" s="113">
        <v>50000</v>
      </c>
      <c r="F69" s="113">
        <v>12450</v>
      </c>
      <c r="G69" s="114">
        <v>25000</v>
      </c>
      <c r="H69" s="88"/>
    </row>
    <row r="70" spans="1:34" s="98" customFormat="1" ht="34.5" hidden="1" customHeight="1" x14ac:dyDescent="0.2">
      <c r="A70" s="106">
        <v>1346</v>
      </c>
      <c r="B70" s="110" t="s">
        <v>74</v>
      </c>
      <c r="C70" s="108">
        <f>SUM(C71:C72)</f>
        <v>90000</v>
      </c>
      <c r="D70" s="108">
        <f>SUM(D71:D72)</f>
        <v>122296</v>
      </c>
      <c r="E70" s="108">
        <f>SUM(E71:E72)</f>
        <v>156000</v>
      </c>
      <c r="F70" s="108">
        <f>SUM(F71:F72)</f>
        <v>132518</v>
      </c>
      <c r="G70" s="105">
        <f>SUM(G71:G72)</f>
        <v>95000</v>
      </c>
      <c r="H70" s="32"/>
    </row>
    <row r="71" spans="1:34" s="2" customFormat="1" hidden="1" x14ac:dyDescent="0.2">
      <c r="A71" s="115"/>
      <c r="B71" s="116" t="s">
        <v>75</v>
      </c>
      <c r="C71" s="113">
        <v>0</v>
      </c>
      <c r="D71" s="113">
        <v>7580</v>
      </c>
      <c r="E71" s="117">
        <v>16000</v>
      </c>
      <c r="F71" s="117">
        <v>12120</v>
      </c>
      <c r="G71" s="114">
        <v>5000</v>
      </c>
      <c r="H71" s="32"/>
    </row>
    <row r="72" spans="1:34" s="118" customFormat="1" hidden="1" x14ac:dyDescent="0.2">
      <c r="A72" s="119"/>
      <c r="B72" s="120" t="s">
        <v>76</v>
      </c>
      <c r="C72" s="121">
        <v>90000</v>
      </c>
      <c r="D72" s="121">
        <v>114716</v>
      </c>
      <c r="E72" s="122">
        <v>140000</v>
      </c>
      <c r="F72" s="122">
        <v>120398</v>
      </c>
      <c r="G72" s="123">
        <v>90000</v>
      </c>
      <c r="H72" s="124"/>
    </row>
    <row r="73" spans="1:34" s="98" customFormat="1" ht="12.75" hidden="1" customHeight="1" x14ac:dyDescent="0.2">
      <c r="A73" s="106">
        <v>1353</v>
      </c>
      <c r="B73" s="107" t="s">
        <v>77</v>
      </c>
      <c r="C73" s="109">
        <v>575000</v>
      </c>
      <c r="D73" s="109">
        <v>575000</v>
      </c>
      <c r="E73" s="109">
        <v>500000</v>
      </c>
      <c r="F73" s="109">
        <v>297300</v>
      </c>
      <c r="G73" s="105">
        <v>600000</v>
      </c>
      <c r="H73" s="88"/>
    </row>
    <row r="74" spans="1:34" s="98" customFormat="1" ht="12.75" hidden="1" customHeight="1" x14ac:dyDescent="0.2">
      <c r="A74" s="106">
        <v>1356</v>
      </c>
      <c r="B74" s="107" t="s">
        <v>78</v>
      </c>
      <c r="C74" s="109">
        <v>250000</v>
      </c>
      <c r="D74" s="109">
        <v>250000</v>
      </c>
      <c r="E74" s="109">
        <v>250000</v>
      </c>
      <c r="F74" s="109">
        <v>242547.84</v>
      </c>
      <c r="G74" s="109">
        <v>250000</v>
      </c>
      <c r="H74" s="32"/>
    </row>
    <row r="75" spans="1:34" s="98" customFormat="1" ht="12.75" hidden="1" customHeight="1" x14ac:dyDescent="0.2">
      <c r="A75" s="106">
        <v>1359</v>
      </c>
      <c r="B75" s="107" t="s">
        <v>79</v>
      </c>
      <c r="C75" s="109">
        <v>0</v>
      </c>
      <c r="D75" s="109">
        <v>0</v>
      </c>
      <c r="E75" s="109">
        <v>0</v>
      </c>
      <c r="F75" s="109">
        <v>45000</v>
      </c>
      <c r="G75" s="105">
        <v>0</v>
      </c>
      <c r="H75" s="32"/>
    </row>
    <row r="76" spans="1:34" s="98" customFormat="1" ht="12.75" hidden="1" customHeight="1" x14ac:dyDescent="0.2">
      <c r="A76" s="106">
        <v>1361</v>
      </c>
      <c r="B76" s="107" t="s">
        <v>80</v>
      </c>
      <c r="C76" s="108">
        <f>SUM(C77:C82)</f>
        <v>8666000</v>
      </c>
      <c r="D76" s="108">
        <f>SUM(D77:D82)</f>
        <v>7466000</v>
      </c>
      <c r="E76" s="108">
        <f>SUM(E77:E82)</f>
        <v>7515000</v>
      </c>
      <c r="F76" s="108">
        <f>SUM(F77:F82)</f>
        <v>6006885</v>
      </c>
      <c r="G76" s="108">
        <f>SUM(G77:G82)</f>
        <v>8086000</v>
      </c>
      <c r="H76" s="88"/>
    </row>
    <row r="77" spans="1:34" ht="12.75" hidden="1" customHeight="1" x14ac:dyDescent="0.2">
      <c r="A77" s="111"/>
      <c r="B77" s="112" t="s">
        <v>81</v>
      </c>
      <c r="C77" s="113">
        <v>5000000</v>
      </c>
      <c r="D77" s="113">
        <v>5000000</v>
      </c>
      <c r="E77" s="113">
        <v>5000000</v>
      </c>
      <c r="F77" s="113">
        <v>4004540</v>
      </c>
      <c r="G77" s="114">
        <v>5500000</v>
      </c>
      <c r="H77" s="88"/>
    </row>
    <row r="78" spans="1:34" ht="39" hidden="1" customHeight="1" x14ac:dyDescent="0.2">
      <c r="A78" s="111"/>
      <c r="B78" s="125" t="s">
        <v>82</v>
      </c>
      <c r="C78" s="113">
        <f>(378+2+30+10)*1000</f>
        <v>420000</v>
      </c>
      <c r="D78" s="113">
        <v>300000</v>
      </c>
      <c r="E78" s="113">
        <v>391000</v>
      </c>
      <c r="F78" s="113">
        <v>276560</v>
      </c>
      <c r="G78" s="114">
        <v>400000</v>
      </c>
      <c r="H78" s="32"/>
    </row>
    <row r="79" spans="1:34" ht="12.75" hidden="1" customHeight="1" x14ac:dyDescent="0.2">
      <c r="A79" s="111"/>
      <c r="B79" s="112" t="s">
        <v>83</v>
      </c>
      <c r="C79" s="113">
        <v>1300000</v>
      </c>
      <c r="D79" s="113">
        <v>1000000</v>
      </c>
      <c r="E79" s="113">
        <v>1000000</v>
      </c>
      <c r="F79" s="113">
        <v>752450</v>
      </c>
      <c r="G79" s="114">
        <v>1000000</v>
      </c>
      <c r="H79" s="88"/>
    </row>
    <row r="80" spans="1:34" s="126" customFormat="1" ht="12.75" hidden="1" customHeight="1" x14ac:dyDescent="0.2">
      <c r="A80" s="127"/>
      <c r="B80" s="128" t="s">
        <v>84</v>
      </c>
      <c r="C80" s="121">
        <v>1780000</v>
      </c>
      <c r="D80" s="121">
        <v>1000000</v>
      </c>
      <c r="E80" s="121">
        <v>950000</v>
      </c>
      <c r="F80" s="121">
        <v>803265</v>
      </c>
      <c r="G80" s="123">
        <v>1000000</v>
      </c>
      <c r="H80" s="129"/>
      <c r="I80" s="130"/>
      <c r="J80" s="130"/>
      <c r="K80" s="130"/>
      <c r="L80" s="130"/>
      <c r="M80" s="130"/>
      <c r="N80" s="130"/>
      <c r="O80" s="130"/>
      <c r="P80" s="130"/>
      <c r="Q80" s="130"/>
      <c r="R80" s="130"/>
      <c r="S80" s="130"/>
      <c r="T80" s="130"/>
      <c r="U80" s="130"/>
      <c r="V80" s="130"/>
      <c r="W80" s="130"/>
      <c r="X80" s="130"/>
      <c r="Y80" s="130"/>
      <c r="Z80" s="130"/>
      <c r="AA80" s="130"/>
      <c r="AB80" s="130"/>
      <c r="AC80" s="130"/>
      <c r="AD80" s="130"/>
      <c r="AE80" s="130"/>
      <c r="AF80" s="130"/>
      <c r="AG80" s="130"/>
      <c r="AH80" s="130"/>
    </row>
    <row r="81" spans="1:8" ht="12.75" hidden="1" customHeight="1" x14ac:dyDescent="0.2">
      <c r="A81" s="111"/>
      <c r="B81" s="112" t="s">
        <v>85</v>
      </c>
      <c r="C81" s="113">
        <v>162000</v>
      </c>
      <c r="D81" s="113">
        <v>162000</v>
      </c>
      <c r="E81" s="113">
        <v>170000</v>
      </c>
      <c r="F81" s="113">
        <v>167170</v>
      </c>
      <c r="G81" s="113">
        <v>182000</v>
      </c>
      <c r="H81" s="88"/>
    </row>
    <row r="82" spans="1:8" ht="12.75" hidden="1" customHeight="1" x14ac:dyDescent="0.2">
      <c r="A82" s="111"/>
      <c r="B82" s="112" t="s">
        <v>86</v>
      </c>
      <c r="C82" s="113">
        <v>4000</v>
      </c>
      <c r="D82" s="113">
        <f>1200+2800</f>
        <v>4000</v>
      </c>
      <c r="E82" s="113">
        <v>4000</v>
      </c>
      <c r="F82" s="113">
        <f>100+2800</f>
        <v>2900</v>
      </c>
      <c r="G82" s="114">
        <v>4000</v>
      </c>
      <c r="H82" s="88"/>
    </row>
    <row r="83" spans="1:8" ht="12.75" hidden="1" customHeight="1" x14ac:dyDescent="0.2">
      <c r="A83" s="106">
        <v>1381</v>
      </c>
      <c r="B83" s="107" t="s">
        <v>87</v>
      </c>
      <c r="C83" s="109">
        <v>1500000</v>
      </c>
      <c r="D83" s="109">
        <v>1500000</v>
      </c>
      <c r="E83" s="109">
        <v>1700000</v>
      </c>
      <c r="F83" s="109">
        <v>1597761.76</v>
      </c>
      <c r="G83" s="105">
        <v>1700000</v>
      </c>
      <c r="H83" s="88"/>
    </row>
    <row r="84" spans="1:8" ht="12.75" hidden="1" customHeight="1" x14ac:dyDescent="0.2">
      <c r="A84" s="106">
        <v>1385</v>
      </c>
      <c r="B84" s="107" t="s">
        <v>88</v>
      </c>
      <c r="C84" s="109">
        <v>12000000</v>
      </c>
      <c r="D84" s="109">
        <v>8000000</v>
      </c>
      <c r="E84" s="109">
        <v>8000000</v>
      </c>
      <c r="F84" s="109">
        <v>6888358.1799999997</v>
      </c>
      <c r="G84" s="105">
        <v>10000000</v>
      </c>
      <c r="H84" s="88"/>
    </row>
    <row r="85" spans="1:8" s="98" customFormat="1" ht="12.75" hidden="1" customHeight="1" x14ac:dyDescent="0.2">
      <c r="A85" s="106">
        <v>1511</v>
      </c>
      <c r="B85" s="107" t="s">
        <v>89</v>
      </c>
      <c r="C85" s="109">
        <f>11000000+1000000</f>
        <v>12000000</v>
      </c>
      <c r="D85" s="109">
        <f>11000000+1000000</f>
        <v>12000000</v>
      </c>
      <c r="E85" s="109">
        <f>11000000+1000000</f>
        <v>12000000</v>
      </c>
      <c r="F85" s="109">
        <v>8478581.9299999997</v>
      </c>
      <c r="G85" s="109">
        <v>12500000</v>
      </c>
      <c r="H85" s="88"/>
    </row>
    <row r="86" spans="1:8" s="98" customFormat="1" ht="12.75" hidden="1" customHeight="1" x14ac:dyDescent="0.2">
      <c r="A86" s="131"/>
      <c r="B86" s="132"/>
      <c r="C86" s="133"/>
      <c r="D86" s="133"/>
      <c r="E86" s="133"/>
      <c r="F86" s="134"/>
      <c r="G86" s="135"/>
      <c r="H86" s="88"/>
    </row>
    <row r="87" spans="1:8" s="98" customFormat="1" ht="18.75" hidden="1" customHeight="1" x14ac:dyDescent="0.25">
      <c r="A87" s="136"/>
      <c r="B87" s="64" t="s">
        <v>10</v>
      </c>
      <c r="C87" s="137">
        <f>SUM(C88,C101:C104,C116:C117,C128:C129,C142:C145,C162:C163,C175)</f>
        <v>127930181</v>
      </c>
      <c r="D87" s="137">
        <f>SUM(D88,D101:D104,D116:D117,D128:D129,D142:D145,D162:D163,D175)</f>
        <v>68787440.480000004</v>
      </c>
      <c r="E87" s="137">
        <f>SUM(E88,E101:E104,E116:E117,E128:E129,E142:E145,E162:E163,E175)</f>
        <v>121409960.75000001</v>
      </c>
      <c r="F87" s="137">
        <f>SUM(F88,F101:F104,F116:F117,F128:F129,F142:F145,F162:F163,F175)</f>
        <v>86272625.189999998</v>
      </c>
      <c r="G87" s="137">
        <f>SUM(G88,G101:G104,G116:G117,G128:G129,G142:G145,G162:G163,G175)</f>
        <v>127897541.26000001</v>
      </c>
      <c r="H87" s="88"/>
    </row>
    <row r="88" spans="1:8" s="98" customFormat="1" ht="12.75" hidden="1" customHeight="1" x14ac:dyDescent="0.2">
      <c r="A88" s="138">
        <v>2111</v>
      </c>
      <c r="B88" s="139" t="s">
        <v>90</v>
      </c>
      <c r="C88" s="140">
        <f>SUM(C89:C100)</f>
        <v>13114500</v>
      </c>
      <c r="D88" s="140">
        <f>SUM(D89:D100)</f>
        <v>13361889.02</v>
      </c>
      <c r="E88" s="140">
        <f>SUM(E89:E100)</f>
        <v>12789499.02</v>
      </c>
      <c r="F88" s="140">
        <f>SUM(F89:F100)</f>
        <v>9157928.2999999989</v>
      </c>
      <c r="G88" s="140">
        <f>SUM(G89:G100)</f>
        <v>13681500</v>
      </c>
      <c r="H88" s="88"/>
    </row>
    <row r="89" spans="1:8" ht="12.75" hidden="1" customHeight="1" x14ac:dyDescent="0.2">
      <c r="A89" s="141"/>
      <c r="B89" s="128" t="s">
        <v>91</v>
      </c>
      <c r="C89" s="121">
        <v>0</v>
      </c>
      <c r="D89" s="121">
        <v>0</v>
      </c>
      <c r="E89" s="113">
        <v>510</v>
      </c>
      <c r="F89" s="113">
        <v>510</v>
      </c>
      <c r="G89" s="114">
        <v>0</v>
      </c>
      <c r="H89" s="88"/>
    </row>
    <row r="90" spans="1:8" ht="12.75" hidden="1" customHeight="1" x14ac:dyDescent="0.2">
      <c r="A90" s="141"/>
      <c r="B90" s="128" t="s">
        <v>92</v>
      </c>
      <c r="C90" s="121">
        <v>1000000</v>
      </c>
      <c r="D90" s="113">
        <v>1000000</v>
      </c>
      <c r="E90" s="113">
        <v>1000000</v>
      </c>
      <c r="F90" s="113">
        <v>241188</v>
      </c>
      <c r="G90" s="114">
        <v>1000000</v>
      </c>
      <c r="H90" s="88"/>
    </row>
    <row r="91" spans="1:8" s="130" customFormat="1" ht="12.75" hidden="1" customHeight="1" x14ac:dyDescent="0.2">
      <c r="A91" s="127"/>
      <c r="B91" s="128" t="s">
        <v>93</v>
      </c>
      <c r="C91" s="121">
        <v>720000</v>
      </c>
      <c r="D91" s="121">
        <v>440588</v>
      </c>
      <c r="E91" s="121">
        <v>440588</v>
      </c>
      <c r="F91" s="121">
        <v>367675.18</v>
      </c>
      <c r="G91" s="123">
        <v>720000</v>
      </c>
      <c r="H91" s="129"/>
    </row>
    <row r="92" spans="1:8" ht="12.75" hidden="1" customHeight="1" x14ac:dyDescent="0.2">
      <c r="A92" s="127"/>
      <c r="B92" s="128" t="s">
        <v>94</v>
      </c>
      <c r="C92" s="121">
        <v>10000</v>
      </c>
      <c r="D92" s="121">
        <v>8000</v>
      </c>
      <c r="E92" s="113">
        <v>7000</v>
      </c>
      <c r="F92" s="113">
        <v>6360</v>
      </c>
      <c r="G92" s="114">
        <v>0</v>
      </c>
      <c r="H92" s="88"/>
    </row>
    <row r="93" spans="1:8" ht="12.75" hidden="1" customHeight="1" x14ac:dyDescent="0.2">
      <c r="A93" s="127"/>
      <c r="B93" s="128" t="s">
        <v>95</v>
      </c>
      <c r="C93" s="121">
        <v>5000000</v>
      </c>
      <c r="D93" s="121">
        <v>3950000</v>
      </c>
      <c r="E93" s="121">
        <v>3950000</v>
      </c>
      <c r="F93" s="121">
        <v>2939196.16</v>
      </c>
      <c r="G93" s="114">
        <v>5200000</v>
      </c>
      <c r="H93" s="88"/>
    </row>
    <row r="94" spans="1:8" ht="12.75" hidden="1" customHeight="1" x14ac:dyDescent="0.2">
      <c r="A94" s="127"/>
      <c r="B94" s="128" t="s">
        <v>96</v>
      </c>
      <c r="C94" s="121">
        <v>1248000</v>
      </c>
      <c r="D94" s="121">
        <v>1248000</v>
      </c>
      <c r="E94" s="113">
        <v>800000</v>
      </c>
      <c r="F94" s="113">
        <v>670841.93999999994</v>
      </c>
      <c r="G94" s="114">
        <v>1600000</v>
      </c>
      <c r="H94" s="88"/>
    </row>
    <row r="95" spans="1:8" ht="12.75" hidden="1" customHeight="1" x14ac:dyDescent="0.2">
      <c r="A95" s="127"/>
      <c r="B95" s="128" t="s">
        <v>97</v>
      </c>
      <c r="C95" s="121">
        <v>2685000</v>
      </c>
      <c r="D95" s="121">
        <v>2685000</v>
      </c>
      <c r="E95" s="121">
        <v>2685000</v>
      </c>
      <c r="F95" s="113">
        <v>1781568</v>
      </c>
      <c r="G95" s="114">
        <v>2610000</v>
      </c>
      <c r="H95" s="88"/>
    </row>
    <row r="96" spans="1:8" ht="12.75" hidden="1" customHeight="1" x14ac:dyDescent="0.2">
      <c r="A96" s="127"/>
      <c r="B96" s="128" t="s">
        <v>98</v>
      </c>
      <c r="C96" s="121">
        <v>0</v>
      </c>
      <c r="D96" s="121">
        <v>1578801.02</v>
      </c>
      <c r="E96" s="121">
        <v>1578801.02</v>
      </c>
      <c r="F96" s="121">
        <v>1578801.02</v>
      </c>
      <c r="G96" s="142">
        <v>0</v>
      </c>
      <c r="H96" s="88"/>
    </row>
    <row r="97" spans="1:8" ht="12.75" hidden="1" customHeight="1" x14ac:dyDescent="0.2">
      <c r="A97" s="127"/>
      <c r="B97" s="128" t="s">
        <v>99</v>
      </c>
      <c r="C97" s="121">
        <v>0</v>
      </c>
      <c r="D97" s="121">
        <v>0</v>
      </c>
      <c r="E97" s="113">
        <v>2100</v>
      </c>
      <c r="F97" s="113">
        <v>2100</v>
      </c>
      <c r="G97" s="114">
        <v>0</v>
      </c>
      <c r="H97" s="88"/>
    </row>
    <row r="98" spans="1:8" ht="12.75" hidden="1" customHeight="1" x14ac:dyDescent="0.2">
      <c r="A98" s="127"/>
      <c r="B98" s="128" t="s">
        <v>100</v>
      </c>
      <c r="C98" s="121">
        <v>2400000</v>
      </c>
      <c r="D98" s="121">
        <v>2400000</v>
      </c>
      <c r="E98" s="113">
        <v>2300000</v>
      </c>
      <c r="F98" s="113">
        <v>1569489</v>
      </c>
      <c r="G98" s="114">
        <v>2500000</v>
      </c>
      <c r="H98" s="88"/>
    </row>
    <row r="99" spans="1:8" ht="12.75" hidden="1" customHeight="1" x14ac:dyDescent="0.2">
      <c r="A99" s="127"/>
      <c r="B99" s="128" t="s">
        <v>101</v>
      </c>
      <c r="C99" s="121">
        <v>51000</v>
      </c>
      <c r="D99" s="121">
        <v>51000</v>
      </c>
      <c r="E99" s="143">
        <v>25000</v>
      </c>
      <c r="F99" s="143">
        <v>0</v>
      </c>
      <c r="G99" s="114">
        <v>51000</v>
      </c>
      <c r="H99" s="88"/>
    </row>
    <row r="100" spans="1:8" ht="12.75" hidden="1" customHeight="1" x14ac:dyDescent="0.2">
      <c r="A100" s="127"/>
      <c r="B100" s="128" t="s">
        <v>102</v>
      </c>
      <c r="C100" s="121">
        <v>500</v>
      </c>
      <c r="D100" s="121">
        <v>500</v>
      </c>
      <c r="E100" s="113">
        <v>500</v>
      </c>
      <c r="F100" s="113">
        <v>199</v>
      </c>
      <c r="G100" s="114">
        <v>500</v>
      </c>
      <c r="H100" s="88"/>
    </row>
    <row r="101" spans="1:8" s="98" customFormat="1" ht="12.75" hidden="1" customHeight="1" x14ac:dyDescent="0.2">
      <c r="A101" s="141">
        <v>2119</v>
      </c>
      <c r="B101" s="144" t="s">
        <v>103</v>
      </c>
      <c r="C101" s="145">
        <v>1000000</v>
      </c>
      <c r="D101" s="145">
        <v>1000000</v>
      </c>
      <c r="E101" s="109">
        <v>500000</v>
      </c>
      <c r="F101" s="109">
        <v>318632.28000000003</v>
      </c>
      <c r="G101" s="105">
        <v>1700000</v>
      </c>
      <c r="H101" s="88"/>
    </row>
    <row r="102" spans="1:8" s="98" customFormat="1" ht="12.75" hidden="1" customHeight="1" x14ac:dyDescent="0.2">
      <c r="A102" s="141">
        <v>2122</v>
      </c>
      <c r="B102" s="144" t="s">
        <v>104</v>
      </c>
      <c r="C102" s="145">
        <v>2697894</v>
      </c>
      <c r="D102" s="145">
        <v>2697894</v>
      </c>
      <c r="E102" s="145">
        <v>2697894</v>
      </c>
      <c r="F102" s="109">
        <v>668259.12</v>
      </c>
      <c r="G102" s="105">
        <v>2798840.36</v>
      </c>
      <c r="H102" s="88"/>
    </row>
    <row r="103" spans="1:8" s="98" customFormat="1" ht="27" hidden="1" customHeight="1" x14ac:dyDescent="0.2">
      <c r="A103" s="141">
        <v>2131</v>
      </c>
      <c r="B103" s="146" t="s">
        <v>105</v>
      </c>
      <c r="C103" s="145">
        <v>2000000</v>
      </c>
      <c r="D103" s="145">
        <v>2000000</v>
      </c>
      <c r="E103" s="109">
        <v>1200000</v>
      </c>
      <c r="F103" s="113">
        <v>798850.94</v>
      </c>
      <c r="G103" s="105">
        <v>1650000</v>
      </c>
      <c r="H103" s="88"/>
    </row>
    <row r="104" spans="1:8" s="98" customFormat="1" ht="12.75" hidden="1" customHeight="1" x14ac:dyDescent="0.2">
      <c r="A104" s="141">
        <v>2132</v>
      </c>
      <c r="B104" s="144" t="s">
        <v>106</v>
      </c>
      <c r="C104" s="145">
        <f>SUM(C105:C115)</f>
        <v>88887787</v>
      </c>
      <c r="D104" s="145">
        <f>SUM(D105:D115)</f>
        <v>33418124</v>
      </c>
      <c r="E104" s="145">
        <f>SUM(E105:E115)</f>
        <v>88081881</v>
      </c>
      <c r="F104" s="145">
        <f>SUM(F105:F115)</f>
        <v>64267915.219999999</v>
      </c>
      <c r="G104" s="145">
        <f>SUM(G105:G115)</f>
        <v>92969200.900000006</v>
      </c>
      <c r="H104" s="88"/>
    </row>
    <row r="105" spans="1:8" ht="12.75" hidden="1" customHeight="1" x14ac:dyDescent="0.2">
      <c r="A105" s="127"/>
      <c r="B105" s="128" t="s">
        <v>107</v>
      </c>
      <c r="C105" s="121">
        <v>689530</v>
      </c>
      <c r="D105" s="121">
        <v>713477</v>
      </c>
      <c r="E105" s="113">
        <v>750000</v>
      </c>
      <c r="F105" s="113">
        <v>738822.71</v>
      </c>
      <c r="G105" s="114">
        <v>750000</v>
      </c>
      <c r="H105" s="88"/>
    </row>
    <row r="106" spans="1:8" ht="12.75" hidden="1" customHeight="1" x14ac:dyDescent="0.2">
      <c r="A106" s="127"/>
      <c r="B106" s="128" t="s">
        <v>108</v>
      </c>
      <c r="C106" s="121">
        <v>200</v>
      </c>
      <c r="D106" s="121">
        <v>200</v>
      </c>
      <c r="E106" s="113">
        <v>301</v>
      </c>
      <c r="F106" s="113">
        <v>301</v>
      </c>
      <c r="G106" s="114">
        <v>0</v>
      </c>
      <c r="H106" s="88"/>
    </row>
    <row r="107" spans="1:8" ht="12.75" hidden="1" customHeight="1" x14ac:dyDescent="0.2">
      <c r="A107" s="127"/>
      <c r="B107" s="128" t="s">
        <v>109</v>
      </c>
      <c r="C107" s="121">
        <v>600000</v>
      </c>
      <c r="D107" s="121">
        <v>600000</v>
      </c>
      <c r="E107" s="113">
        <v>800000</v>
      </c>
      <c r="F107" s="113">
        <v>624638.59</v>
      </c>
      <c r="G107" s="114">
        <v>600000</v>
      </c>
      <c r="H107" s="88"/>
    </row>
    <row r="108" spans="1:8" ht="12.75" hidden="1" customHeight="1" x14ac:dyDescent="0.2">
      <c r="A108" s="127"/>
      <c r="B108" s="128" t="s">
        <v>110</v>
      </c>
      <c r="C108" s="121">
        <v>270000</v>
      </c>
      <c r="D108" s="121">
        <v>275040</v>
      </c>
      <c r="E108" s="113">
        <v>275040</v>
      </c>
      <c r="F108" s="113">
        <v>254790</v>
      </c>
      <c r="G108" s="114">
        <v>276000</v>
      </c>
      <c r="H108" s="88"/>
    </row>
    <row r="109" spans="1:8" ht="25.5" hidden="1" customHeight="1" x14ac:dyDescent="0.2">
      <c r="A109" s="127"/>
      <c r="B109" s="147" t="s">
        <v>111</v>
      </c>
      <c r="C109" s="121">
        <v>50941650</v>
      </c>
      <c r="D109" s="113"/>
      <c r="E109" s="113">
        <v>50000000</v>
      </c>
      <c r="F109" s="113">
        <v>33165192.109999999</v>
      </c>
      <c r="G109" s="114">
        <v>52865000</v>
      </c>
      <c r="H109" s="88"/>
    </row>
    <row r="110" spans="1:8" ht="12.75" hidden="1" customHeight="1" x14ac:dyDescent="0.2">
      <c r="A110" s="127"/>
      <c r="B110" s="128" t="s">
        <v>112</v>
      </c>
      <c r="C110" s="121">
        <v>7405</v>
      </c>
      <c r="D110" s="121">
        <v>7405</v>
      </c>
      <c r="E110" s="113">
        <v>14000</v>
      </c>
      <c r="F110" s="113">
        <v>10430</v>
      </c>
      <c r="G110" s="114">
        <f>83405+3+1194792.9</f>
        <v>1278200.8999999999</v>
      </c>
      <c r="H110" s="88"/>
    </row>
    <row r="111" spans="1:8" ht="12.75" hidden="1" customHeight="1" x14ac:dyDescent="0.2">
      <c r="A111" s="127"/>
      <c r="B111" s="128" t="s">
        <v>113</v>
      </c>
      <c r="C111" s="121">
        <v>325002</v>
      </c>
      <c r="D111" s="121">
        <v>325002</v>
      </c>
      <c r="E111" s="113">
        <v>325002</v>
      </c>
      <c r="F111" s="113">
        <v>238617.99</v>
      </c>
      <c r="G111" s="114">
        <v>420000</v>
      </c>
      <c r="H111" s="88"/>
    </row>
    <row r="112" spans="1:8" ht="36.75" hidden="1" customHeight="1" x14ac:dyDescent="0.2">
      <c r="A112" s="127"/>
      <c r="B112" s="120" t="s">
        <v>114</v>
      </c>
      <c r="C112" s="121">
        <f>13000000+3000000+240000+12000+726000+150000</f>
        <v>17128000</v>
      </c>
      <c r="D112" s="121">
        <f>(13000000-1400000)+726000+12000+240000</f>
        <v>12578000</v>
      </c>
      <c r="E112" s="121">
        <v>17000000</v>
      </c>
      <c r="F112" s="113">
        <v>10326987.32</v>
      </c>
      <c r="G112" s="114">
        <f>13500000+3000000+240000+20000+746000+216000+134000</f>
        <v>17856000</v>
      </c>
      <c r="H112" s="88"/>
    </row>
    <row r="113" spans="1:47" ht="12.75" hidden="1" customHeight="1" x14ac:dyDescent="0.2">
      <c r="A113" s="127"/>
      <c r="B113" s="128" t="s">
        <v>115</v>
      </c>
      <c r="C113" s="121">
        <v>18881000</v>
      </c>
      <c r="D113" s="121">
        <v>18881000</v>
      </c>
      <c r="E113" s="113">
        <v>18881538</v>
      </c>
      <c r="F113" s="113">
        <v>18881538</v>
      </c>
      <c r="G113" s="114">
        <v>18881000</v>
      </c>
      <c r="H113" s="88"/>
    </row>
    <row r="114" spans="1:47" ht="12.75" hidden="1" customHeight="1" x14ac:dyDescent="0.2">
      <c r="A114" s="127"/>
      <c r="B114" s="128" t="s">
        <v>116</v>
      </c>
      <c r="C114" s="121">
        <v>18000</v>
      </c>
      <c r="D114" s="121">
        <v>18000</v>
      </c>
      <c r="E114" s="121">
        <v>18000</v>
      </c>
      <c r="F114" s="113">
        <f>9300+3056.5</f>
        <v>12356.5</v>
      </c>
      <c r="G114" s="114">
        <v>18000</v>
      </c>
      <c r="H114" s="148"/>
    </row>
    <row r="115" spans="1:47" ht="12.75" hidden="1" customHeight="1" x14ac:dyDescent="0.2">
      <c r="A115" s="127"/>
      <c r="B115" s="128" t="s">
        <v>117</v>
      </c>
      <c r="C115" s="121">
        <v>27000</v>
      </c>
      <c r="D115" s="121">
        <v>20000</v>
      </c>
      <c r="E115" s="113">
        <v>18000</v>
      </c>
      <c r="F115" s="113">
        <v>14241</v>
      </c>
      <c r="G115" s="114">
        <v>25000</v>
      </c>
      <c r="H115" s="88"/>
    </row>
    <row r="116" spans="1:47" s="98" customFormat="1" ht="12.75" hidden="1" customHeight="1" x14ac:dyDescent="0.2">
      <c r="A116" s="141">
        <v>2141</v>
      </c>
      <c r="B116" s="144" t="s">
        <v>118</v>
      </c>
      <c r="C116" s="145">
        <v>750000</v>
      </c>
      <c r="D116" s="145">
        <v>1000000</v>
      </c>
      <c r="E116" s="109">
        <v>1050000</v>
      </c>
      <c r="F116" s="109">
        <v>983498.08</v>
      </c>
      <c r="G116" s="105">
        <v>300000</v>
      </c>
      <c r="H116" s="88"/>
    </row>
    <row r="117" spans="1:47" s="98" customFormat="1" ht="12.75" hidden="1" customHeight="1" x14ac:dyDescent="0.2">
      <c r="A117" s="141">
        <v>2212</v>
      </c>
      <c r="B117" s="144" t="s">
        <v>119</v>
      </c>
      <c r="C117" s="145">
        <f>SUM(C118:C127)</f>
        <v>15260000</v>
      </c>
      <c r="D117" s="145">
        <f>SUM(D118:D127)</f>
        <v>10130000</v>
      </c>
      <c r="E117" s="145">
        <f>SUM(E118:E127)</f>
        <v>10025670.600000001</v>
      </c>
      <c r="F117" s="145">
        <f>SUM(F118:F127)</f>
        <v>5942047.5999999996</v>
      </c>
      <c r="G117" s="145">
        <f>SUM(G118:G127)</f>
        <v>11127000</v>
      </c>
      <c r="H117" s="88"/>
    </row>
    <row r="118" spans="1:47" ht="12.75" hidden="1" customHeight="1" x14ac:dyDescent="0.2">
      <c r="A118" s="127"/>
      <c r="B118" s="128" t="s">
        <v>120</v>
      </c>
      <c r="C118" s="121">
        <v>10000</v>
      </c>
      <c r="D118" s="121">
        <v>10000</v>
      </c>
      <c r="E118" s="113">
        <v>13000</v>
      </c>
      <c r="F118" s="113">
        <v>11100</v>
      </c>
      <c r="G118" s="114">
        <v>12000</v>
      </c>
      <c r="H118" s="88"/>
    </row>
    <row r="119" spans="1:47" ht="12.75" hidden="1" customHeight="1" x14ac:dyDescent="0.2">
      <c r="A119" s="127"/>
      <c r="B119" s="128" t="s">
        <v>121</v>
      </c>
      <c r="C119" s="121">
        <v>50000</v>
      </c>
      <c r="D119" s="121">
        <v>50000</v>
      </c>
      <c r="E119" s="113">
        <v>50000</v>
      </c>
      <c r="F119" s="113">
        <v>75300</v>
      </c>
      <c r="G119" s="114">
        <v>50000</v>
      </c>
      <c r="H119" s="88"/>
    </row>
    <row r="120" spans="1:47" ht="12.75" hidden="1" customHeight="1" x14ac:dyDescent="0.2">
      <c r="A120" s="127"/>
      <c r="B120" s="128" t="s">
        <v>122</v>
      </c>
      <c r="C120" s="121">
        <v>2600000</v>
      </c>
      <c r="D120" s="121">
        <v>2600000</v>
      </c>
      <c r="E120" s="113">
        <v>1800000</v>
      </c>
      <c r="F120" s="113">
        <v>1189645</v>
      </c>
      <c r="G120" s="114">
        <v>2000000</v>
      </c>
      <c r="H120" s="88"/>
    </row>
    <row r="121" spans="1:47" ht="12.75" hidden="1" customHeight="1" x14ac:dyDescent="0.2">
      <c r="A121" s="127"/>
      <c r="B121" s="128" t="s">
        <v>123</v>
      </c>
      <c r="C121" s="121">
        <v>11500000</v>
      </c>
      <c r="D121" s="121">
        <v>6500000</v>
      </c>
      <c r="E121" s="113">
        <v>7000000</v>
      </c>
      <c r="F121" s="113">
        <v>3920133</v>
      </c>
      <c r="G121" s="114">
        <v>8000000</v>
      </c>
      <c r="H121" s="88"/>
    </row>
    <row r="122" spans="1:47" ht="12.75" hidden="1" customHeight="1" x14ac:dyDescent="0.2">
      <c r="A122" s="127"/>
      <c r="B122" s="128" t="s">
        <v>124</v>
      </c>
      <c r="C122" s="121">
        <v>0</v>
      </c>
      <c r="D122" s="121">
        <v>0</v>
      </c>
      <c r="E122" s="113">
        <v>183943.8</v>
      </c>
      <c r="F122" s="113">
        <v>183943.8</v>
      </c>
      <c r="G122" s="114">
        <v>0</v>
      </c>
      <c r="H122" s="88"/>
    </row>
    <row r="123" spans="1:47" ht="12.75" hidden="1" customHeight="1" x14ac:dyDescent="0.2">
      <c r="A123" s="127"/>
      <c r="B123" s="128" t="s">
        <v>125</v>
      </c>
      <c r="C123" s="121">
        <v>0</v>
      </c>
      <c r="D123" s="121">
        <v>0</v>
      </c>
      <c r="E123" s="113">
        <v>3726.8</v>
      </c>
      <c r="F123" s="113">
        <v>3726.8</v>
      </c>
      <c r="G123" s="114">
        <v>0</v>
      </c>
      <c r="H123" s="88"/>
    </row>
    <row r="124" spans="1:47" ht="12.75" hidden="1" customHeight="1" x14ac:dyDescent="0.2">
      <c r="A124" s="127"/>
      <c r="B124" s="128" t="s">
        <v>126</v>
      </c>
      <c r="C124" s="121">
        <v>0</v>
      </c>
      <c r="D124" s="113">
        <v>0</v>
      </c>
      <c r="E124" s="113">
        <v>10000</v>
      </c>
      <c r="F124" s="113">
        <v>0</v>
      </c>
      <c r="G124" s="114">
        <v>0</v>
      </c>
      <c r="H124" s="88"/>
    </row>
    <row r="125" spans="1:47" ht="12.75" hidden="1" customHeight="1" x14ac:dyDescent="0.2">
      <c r="A125" s="127"/>
      <c r="B125" s="128" t="s">
        <v>127</v>
      </c>
      <c r="C125" s="121">
        <v>650000</v>
      </c>
      <c r="D125" s="121">
        <v>550000</v>
      </c>
      <c r="E125" s="113">
        <v>550000</v>
      </c>
      <c r="F125" s="113">
        <v>274358</v>
      </c>
      <c r="G125" s="114">
        <v>650000</v>
      </c>
      <c r="H125" s="88"/>
    </row>
    <row r="126" spans="1:47" ht="12.75" hidden="1" customHeight="1" x14ac:dyDescent="0.2">
      <c r="A126" s="127"/>
      <c r="B126" s="128" t="s">
        <v>128</v>
      </c>
      <c r="C126" s="121">
        <v>350000</v>
      </c>
      <c r="D126" s="121">
        <v>350000</v>
      </c>
      <c r="E126" s="113">
        <v>350000</v>
      </c>
      <c r="F126" s="113">
        <v>231991</v>
      </c>
      <c r="G126" s="114">
        <v>350000</v>
      </c>
      <c r="H126" s="88"/>
    </row>
    <row r="127" spans="1:47" s="126" customFormat="1" ht="12.75" hidden="1" customHeight="1" x14ac:dyDescent="0.2">
      <c r="A127" s="111"/>
      <c r="B127" s="112" t="s">
        <v>129</v>
      </c>
      <c r="C127" s="149">
        <v>100000</v>
      </c>
      <c r="D127" s="149">
        <v>70000</v>
      </c>
      <c r="E127" s="113">
        <v>65000</v>
      </c>
      <c r="F127" s="113">
        <v>51850</v>
      </c>
      <c r="G127" s="114">
        <v>65000</v>
      </c>
      <c r="H127" s="88"/>
      <c r="I127" s="1"/>
      <c r="J127" s="1"/>
      <c r="K127" s="1"/>
      <c r="L127" s="1"/>
      <c r="M127" s="1"/>
      <c r="N127" s="1"/>
      <c r="O127" s="1"/>
      <c r="P127" s="1"/>
      <c r="Q127" s="1"/>
      <c r="R127" s="1"/>
      <c r="S127" s="1"/>
      <c r="T127" s="1"/>
      <c r="U127" s="1"/>
      <c r="V127" s="1"/>
      <c r="W127" s="1"/>
      <c r="X127" s="1"/>
      <c r="Y127" s="1"/>
      <c r="Z127" s="1"/>
      <c r="AA127" s="1"/>
      <c r="AB127" s="1"/>
      <c r="AC127" s="1"/>
      <c r="AD127" s="1"/>
      <c r="AE127" s="1"/>
      <c r="AF127" s="1"/>
      <c r="AG127" s="1"/>
      <c r="AH127" s="1"/>
      <c r="AI127" s="1"/>
      <c r="AJ127" s="1"/>
      <c r="AK127" s="1"/>
      <c r="AL127" s="1"/>
      <c r="AM127" s="1"/>
      <c r="AN127" s="1"/>
      <c r="AO127" s="1"/>
      <c r="AP127" s="1"/>
      <c r="AQ127" s="1"/>
      <c r="AR127" s="1"/>
      <c r="AS127" s="1"/>
      <c r="AT127" s="1"/>
      <c r="AU127" s="1"/>
    </row>
    <row r="128" spans="1:47" s="98" customFormat="1" ht="12.75" hidden="1" customHeight="1" x14ac:dyDescent="0.2">
      <c r="A128" s="141">
        <v>2222</v>
      </c>
      <c r="B128" s="144" t="s">
        <v>130</v>
      </c>
      <c r="C128" s="145">
        <v>0</v>
      </c>
      <c r="D128" s="145">
        <v>18066.169999999998</v>
      </c>
      <c r="E128" s="145">
        <v>18066.169999999998</v>
      </c>
      <c r="F128" s="145">
        <v>18066.169999999998</v>
      </c>
      <c r="G128" s="105">
        <v>0</v>
      </c>
      <c r="H128" s="88"/>
    </row>
    <row r="129" spans="1:14" ht="12.75" hidden="1" customHeight="1" x14ac:dyDescent="0.2">
      <c r="A129" s="106">
        <v>2229</v>
      </c>
      <c r="B129" s="107" t="s">
        <v>131</v>
      </c>
      <c r="C129" s="109">
        <f>SUM(C130:C141)</f>
        <v>0</v>
      </c>
      <c r="D129" s="109">
        <f>SUM(D130:D141)</f>
        <v>664078.59000000008</v>
      </c>
      <c r="E129" s="109">
        <f>SUM(E130:E141)</f>
        <v>755988.00000000012</v>
      </c>
      <c r="F129" s="109">
        <f>SUM(F130:F141)</f>
        <v>755988.00000000012</v>
      </c>
      <c r="G129" s="109">
        <f>SUM(G130:G141)</f>
        <v>0</v>
      </c>
      <c r="H129" s="88"/>
      <c r="N129" s="150"/>
    </row>
    <row r="130" spans="1:14" ht="12.75" hidden="1" customHeight="1" x14ac:dyDescent="0.2">
      <c r="A130" s="112"/>
      <c r="B130" s="112" t="s">
        <v>132</v>
      </c>
      <c r="C130" s="151">
        <v>0</v>
      </c>
      <c r="D130" s="151">
        <v>452562.59</v>
      </c>
      <c r="E130" s="151">
        <v>452562.59</v>
      </c>
      <c r="F130" s="151">
        <v>452562.59</v>
      </c>
      <c r="G130" s="114">
        <v>0</v>
      </c>
      <c r="H130" s="88"/>
      <c r="N130" s="150"/>
    </row>
    <row r="131" spans="1:14" ht="12.75" hidden="1" customHeight="1" x14ac:dyDescent="0.2">
      <c r="A131" s="112"/>
      <c r="B131" s="112" t="s">
        <v>133</v>
      </c>
      <c r="C131" s="151">
        <v>0</v>
      </c>
      <c r="D131" s="151">
        <v>7004</v>
      </c>
      <c r="E131" s="151">
        <v>7004</v>
      </c>
      <c r="F131" s="152">
        <v>7004</v>
      </c>
      <c r="G131" s="114">
        <v>0</v>
      </c>
      <c r="H131" s="88"/>
      <c r="N131" s="150"/>
    </row>
    <row r="132" spans="1:14" ht="12.75" hidden="1" customHeight="1" x14ac:dyDescent="0.2">
      <c r="A132" s="112"/>
      <c r="B132" s="112" t="s">
        <v>134</v>
      </c>
      <c r="C132" s="151">
        <v>0</v>
      </c>
      <c r="D132" s="151">
        <v>204512</v>
      </c>
      <c r="E132" s="152">
        <v>296297</v>
      </c>
      <c r="F132" s="152">
        <v>296297</v>
      </c>
      <c r="G132" s="114">
        <v>0</v>
      </c>
      <c r="H132" s="88"/>
      <c r="N132" s="150"/>
    </row>
    <row r="133" spans="1:14" ht="12.75" hidden="1" customHeight="1" x14ac:dyDescent="0.2">
      <c r="A133" s="112"/>
      <c r="B133" s="112" t="s">
        <v>135</v>
      </c>
      <c r="C133" s="151">
        <v>0</v>
      </c>
      <c r="D133" s="151"/>
      <c r="E133" s="151"/>
      <c r="F133" s="152"/>
      <c r="G133" s="114">
        <v>0</v>
      </c>
      <c r="H133" s="88"/>
      <c r="N133" s="150"/>
    </row>
    <row r="134" spans="1:14" ht="12.75" hidden="1" customHeight="1" x14ac:dyDescent="0.2">
      <c r="A134" s="112"/>
      <c r="B134" s="112" t="s">
        <v>136</v>
      </c>
      <c r="C134" s="151">
        <v>0</v>
      </c>
      <c r="D134" s="151"/>
      <c r="E134" s="151"/>
      <c r="F134" s="152"/>
      <c r="G134" s="114">
        <v>0</v>
      </c>
      <c r="H134" s="88"/>
      <c r="N134" s="150"/>
    </row>
    <row r="135" spans="1:14" ht="12.75" hidden="1" customHeight="1" x14ac:dyDescent="0.2">
      <c r="A135" s="112"/>
      <c r="B135" s="112" t="s">
        <v>137</v>
      </c>
      <c r="C135" s="151">
        <v>0</v>
      </c>
      <c r="D135" s="151"/>
      <c r="E135" s="151"/>
      <c r="F135" s="152"/>
      <c r="G135" s="114">
        <v>0</v>
      </c>
      <c r="H135" s="88"/>
      <c r="N135" s="150"/>
    </row>
    <row r="136" spans="1:14" ht="12.75" hidden="1" customHeight="1" x14ac:dyDescent="0.2">
      <c r="A136" s="112"/>
      <c r="B136" s="112" t="s">
        <v>138</v>
      </c>
      <c r="C136" s="151">
        <v>0</v>
      </c>
      <c r="D136" s="151"/>
      <c r="E136" s="151"/>
      <c r="F136" s="152"/>
      <c r="G136" s="114">
        <v>0</v>
      </c>
      <c r="H136" s="88"/>
      <c r="N136" s="150"/>
    </row>
    <row r="137" spans="1:14" ht="12.75" hidden="1" customHeight="1" x14ac:dyDescent="0.2">
      <c r="A137" s="112"/>
      <c r="B137" s="112" t="s">
        <v>139</v>
      </c>
      <c r="C137" s="151">
        <v>0</v>
      </c>
      <c r="D137" s="151"/>
      <c r="E137" s="151"/>
      <c r="F137" s="152"/>
      <c r="G137" s="114">
        <v>0</v>
      </c>
      <c r="H137" s="88"/>
      <c r="N137" s="150"/>
    </row>
    <row r="138" spans="1:14" ht="12.75" hidden="1" customHeight="1" x14ac:dyDescent="0.2">
      <c r="A138" s="112"/>
      <c r="B138" s="112" t="s">
        <v>140</v>
      </c>
      <c r="C138" s="151">
        <v>0</v>
      </c>
      <c r="D138" s="151"/>
      <c r="E138" s="151"/>
      <c r="F138" s="152"/>
      <c r="G138" s="114">
        <v>0</v>
      </c>
      <c r="H138" s="88"/>
      <c r="N138" s="150"/>
    </row>
    <row r="139" spans="1:14" ht="12.75" hidden="1" customHeight="1" x14ac:dyDescent="0.2">
      <c r="A139" s="112"/>
      <c r="B139" s="112" t="s">
        <v>141</v>
      </c>
      <c r="C139" s="151">
        <v>0</v>
      </c>
      <c r="D139" s="151"/>
      <c r="E139" s="151"/>
      <c r="F139" s="152"/>
      <c r="G139" s="114">
        <v>0</v>
      </c>
      <c r="H139" s="88"/>
      <c r="N139" s="150"/>
    </row>
    <row r="140" spans="1:14" ht="12.75" hidden="1" customHeight="1" x14ac:dyDescent="0.2">
      <c r="A140" s="112"/>
      <c r="B140" s="112" t="s">
        <v>142</v>
      </c>
      <c r="C140" s="151">
        <v>0</v>
      </c>
      <c r="D140" s="151"/>
      <c r="E140" s="151"/>
      <c r="F140" s="152"/>
      <c r="G140" s="114">
        <v>0</v>
      </c>
      <c r="H140" s="88"/>
      <c r="N140" s="150"/>
    </row>
    <row r="141" spans="1:14" ht="12.75" hidden="1" customHeight="1" x14ac:dyDescent="0.2">
      <c r="A141" s="112"/>
      <c r="B141" s="112" t="s">
        <v>143</v>
      </c>
      <c r="C141" s="151">
        <v>0</v>
      </c>
      <c r="D141" s="151">
        <v>0</v>
      </c>
      <c r="E141" s="152">
        <v>124.41</v>
      </c>
      <c r="F141" s="152">
        <v>124.41</v>
      </c>
      <c r="G141" s="114">
        <v>0</v>
      </c>
      <c r="H141" s="88"/>
      <c r="N141" s="150"/>
    </row>
    <row r="142" spans="1:14" ht="12.75" hidden="1" customHeight="1" x14ac:dyDescent="0.2">
      <c r="A142" s="141">
        <v>2310</v>
      </c>
      <c r="B142" s="144" t="s">
        <v>144</v>
      </c>
      <c r="C142" s="145">
        <v>0</v>
      </c>
      <c r="D142" s="145">
        <v>0</v>
      </c>
      <c r="E142" s="109">
        <v>1746</v>
      </c>
      <c r="F142" s="153">
        <v>1746</v>
      </c>
      <c r="G142" s="105">
        <v>0</v>
      </c>
      <c r="H142" s="88"/>
    </row>
    <row r="143" spans="1:14" ht="12.75" hidden="1" customHeight="1" x14ac:dyDescent="0.2">
      <c r="A143" s="141">
        <v>2321</v>
      </c>
      <c r="B143" s="144" t="s">
        <v>145</v>
      </c>
      <c r="C143" s="145">
        <v>100000</v>
      </c>
      <c r="D143" s="154">
        <v>107200</v>
      </c>
      <c r="E143" s="109">
        <v>107200</v>
      </c>
      <c r="F143" s="153">
        <v>57200</v>
      </c>
      <c r="G143" s="105">
        <v>100000</v>
      </c>
      <c r="H143" s="88"/>
    </row>
    <row r="144" spans="1:14" ht="12.75" hidden="1" customHeight="1" x14ac:dyDescent="0.2">
      <c r="A144" s="141">
        <v>2322</v>
      </c>
      <c r="B144" s="144" t="s">
        <v>146</v>
      </c>
      <c r="C144" s="145">
        <v>250000</v>
      </c>
      <c r="D144" s="145">
        <v>250000</v>
      </c>
      <c r="E144" s="109">
        <f>67694.39+78579</f>
        <v>146273.39000000001</v>
      </c>
      <c r="F144" s="109">
        <f>67694.39+78579</f>
        <v>146273.39000000001</v>
      </c>
      <c r="G144" s="105">
        <v>0</v>
      </c>
      <c r="H144" s="88"/>
    </row>
    <row r="145" spans="1:8" s="98" customFormat="1" ht="12.75" hidden="1" customHeight="1" x14ac:dyDescent="0.2">
      <c r="A145" s="141">
        <v>2324</v>
      </c>
      <c r="B145" s="144" t="s">
        <v>147</v>
      </c>
      <c r="C145" s="145">
        <f>SUM(C146:C161)</f>
        <v>3510000</v>
      </c>
      <c r="D145" s="145">
        <f>SUM(D146:D161)</f>
        <v>3158112</v>
      </c>
      <c r="E145" s="145">
        <f>SUM(E146:E161)</f>
        <v>2960288.7800000003</v>
      </c>
      <c r="F145" s="145">
        <f>SUM(F146:F161)</f>
        <v>2184399.1100000003</v>
      </c>
      <c r="G145" s="145">
        <f>SUM(G146:G161)</f>
        <v>3211000</v>
      </c>
      <c r="H145" s="88"/>
    </row>
    <row r="146" spans="1:8" s="98" customFormat="1" ht="12.75" hidden="1" customHeight="1" x14ac:dyDescent="0.2">
      <c r="A146" s="141"/>
      <c r="B146" s="155" t="s">
        <v>148</v>
      </c>
      <c r="C146" s="121">
        <v>5000</v>
      </c>
      <c r="D146" s="121">
        <v>5000</v>
      </c>
      <c r="E146" s="113">
        <v>8000</v>
      </c>
      <c r="F146" s="113">
        <v>6393</v>
      </c>
      <c r="G146" s="114">
        <v>8000</v>
      </c>
      <c r="H146" s="88"/>
    </row>
    <row r="147" spans="1:8" s="98" customFormat="1" ht="12.75" hidden="1" customHeight="1" x14ac:dyDescent="0.2">
      <c r="A147" s="141"/>
      <c r="B147" s="155" t="s">
        <v>121</v>
      </c>
      <c r="C147" s="121">
        <v>30000</v>
      </c>
      <c r="D147" s="121">
        <v>30000</v>
      </c>
      <c r="E147" s="113">
        <v>30000</v>
      </c>
      <c r="F147" s="113">
        <v>28300</v>
      </c>
      <c r="G147" s="114">
        <v>30000</v>
      </c>
      <c r="H147" s="88"/>
    </row>
    <row r="148" spans="1:8" s="98" customFormat="1" ht="12.75" hidden="1" customHeight="1" x14ac:dyDescent="0.2">
      <c r="A148" s="141"/>
      <c r="B148" s="155" t="s">
        <v>149</v>
      </c>
      <c r="C148" s="121">
        <v>300000</v>
      </c>
      <c r="D148" s="121">
        <v>300000</v>
      </c>
      <c r="E148" s="149">
        <v>225000</v>
      </c>
      <c r="F148" s="149">
        <v>145163</v>
      </c>
      <c r="G148" s="114">
        <v>250000</v>
      </c>
      <c r="H148" s="88"/>
    </row>
    <row r="149" spans="1:8" s="98" customFormat="1" ht="12.75" hidden="1" customHeight="1" x14ac:dyDescent="0.2">
      <c r="A149" s="141"/>
      <c r="B149" s="155" t="s">
        <v>150</v>
      </c>
      <c r="C149" s="121">
        <v>400000</v>
      </c>
      <c r="D149" s="121">
        <v>400000</v>
      </c>
      <c r="E149" s="113">
        <v>253688.78</v>
      </c>
      <c r="F149" s="113">
        <v>253688.78</v>
      </c>
      <c r="G149" s="114">
        <v>200000</v>
      </c>
      <c r="H149" s="88"/>
    </row>
    <row r="150" spans="1:8" s="98" customFormat="1" ht="12.75" hidden="1" customHeight="1" x14ac:dyDescent="0.2">
      <c r="A150" s="141"/>
      <c r="B150" s="155" t="s">
        <v>151</v>
      </c>
      <c r="C150" s="121">
        <v>20000</v>
      </c>
      <c r="D150" s="121">
        <v>0</v>
      </c>
      <c r="E150" s="151">
        <v>6000</v>
      </c>
      <c r="F150" s="152">
        <f>3847.98+6384.85</f>
        <v>10232.83</v>
      </c>
      <c r="G150" s="114">
        <v>10000</v>
      </c>
      <c r="H150" s="88"/>
    </row>
    <row r="151" spans="1:8" ht="12.75" hidden="1" customHeight="1" x14ac:dyDescent="0.2">
      <c r="A151" s="156"/>
      <c r="B151" s="157" t="s">
        <v>152</v>
      </c>
      <c r="C151" s="121">
        <v>0</v>
      </c>
      <c r="D151" s="121">
        <v>17512</v>
      </c>
      <c r="E151" s="151">
        <v>0</v>
      </c>
      <c r="F151" s="152">
        <v>18269</v>
      </c>
      <c r="G151" s="114">
        <v>0</v>
      </c>
      <c r="H151" s="88"/>
    </row>
    <row r="152" spans="1:8" ht="12.75" hidden="1" customHeight="1" x14ac:dyDescent="0.2">
      <c r="A152" s="156"/>
      <c r="B152" s="157" t="s">
        <v>153</v>
      </c>
      <c r="C152" s="121">
        <v>0</v>
      </c>
      <c r="D152" s="121">
        <v>300000</v>
      </c>
      <c r="E152" s="121">
        <v>300000</v>
      </c>
      <c r="F152" s="121">
        <v>300000</v>
      </c>
      <c r="G152" s="114">
        <v>0</v>
      </c>
      <c r="H152" s="88"/>
    </row>
    <row r="153" spans="1:8" ht="12.75" hidden="1" customHeight="1" x14ac:dyDescent="0.2">
      <c r="A153" s="156"/>
      <c r="B153" s="157" t="s">
        <v>154</v>
      </c>
      <c r="C153" s="121">
        <v>0</v>
      </c>
      <c r="D153" s="121">
        <v>50600</v>
      </c>
      <c r="E153" s="121">
        <v>50600</v>
      </c>
      <c r="F153" s="121">
        <v>50600</v>
      </c>
      <c r="G153" s="114">
        <v>50000</v>
      </c>
      <c r="H153" s="88"/>
    </row>
    <row r="154" spans="1:8" s="158" customFormat="1" ht="12.75" hidden="1" customHeight="1" x14ac:dyDescent="0.2">
      <c r="A154" s="127"/>
      <c r="B154" s="128" t="s">
        <v>155</v>
      </c>
      <c r="C154" s="113">
        <v>2000000</v>
      </c>
      <c r="D154" s="113">
        <v>2000000</v>
      </c>
      <c r="E154" s="151">
        <v>2000000</v>
      </c>
      <c r="F154" s="152">
        <v>1303484.5</v>
      </c>
      <c r="G154" s="114">
        <v>2000000</v>
      </c>
      <c r="H154" s="88"/>
    </row>
    <row r="155" spans="1:8" s="158" customFormat="1" ht="12.75" hidden="1" customHeight="1" x14ac:dyDescent="0.2">
      <c r="A155" s="127"/>
      <c r="B155" s="128" t="s">
        <v>156</v>
      </c>
      <c r="C155" s="113">
        <v>0</v>
      </c>
      <c r="D155" s="113"/>
      <c r="E155" s="151"/>
      <c r="F155" s="152"/>
      <c r="G155" s="114">
        <v>0</v>
      </c>
      <c r="H155" s="88"/>
    </row>
    <row r="156" spans="1:8" s="158" customFormat="1" ht="12.75" hidden="1" customHeight="1" x14ac:dyDescent="0.2">
      <c r="A156" s="127"/>
      <c r="B156" s="128" t="s">
        <v>157</v>
      </c>
      <c r="C156" s="121">
        <v>0</v>
      </c>
      <c r="D156" s="121"/>
      <c r="E156" s="151"/>
      <c r="F156" s="152"/>
      <c r="G156" s="114">
        <v>0</v>
      </c>
      <c r="H156" s="88"/>
    </row>
    <row r="157" spans="1:8" s="158" customFormat="1" ht="12.75" hidden="1" customHeight="1" x14ac:dyDescent="0.2">
      <c r="A157" s="127"/>
      <c r="B157" s="128" t="s">
        <v>158</v>
      </c>
      <c r="C157" s="121">
        <v>5000</v>
      </c>
      <c r="D157" s="121">
        <v>5000</v>
      </c>
      <c r="E157" s="151">
        <v>2000</v>
      </c>
      <c r="F157" s="152">
        <v>783</v>
      </c>
      <c r="G157" s="114">
        <v>3000</v>
      </c>
      <c r="H157" s="88"/>
    </row>
    <row r="158" spans="1:8" s="158" customFormat="1" ht="12.75" hidden="1" customHeight="1" x14ac:dyDescent="0.2">
      <c r="A158" s="127"/>
      <c r="B158" s="128" t="s">
        <v>159</v>
      </c>
      <c r="C158" s="121">
        <v>50000</v>
      </c>
      <c r="D158" s="121">
        <v>50000</v>
      </c>
      <c r="E158" s="151">
        <v>85000</v>
      </c>
      <c r="F158" s="152">
        <v>67485</v>
      </c>
      <c r="G158" s="114">
        <v>70000</v>
      </c>
      <c r="H158" s="88"/>
    </row>
    <row r="159" spans="1:8" s="158" customFormat="1" ht="12.75" hidden="1" customHeight="1" x14ac:dyDescent="0.2">
      <c r="A159" s="127"/>
      <c r="B159" s="128" t="s">
        <v>160</v>
      </c>
      <c r="C159" s="121">
        <v>0</v>
      </c>
      <c r="D159" s="121"/>
      <c r="E159" s="151"/>
      <c r="F159" s="152"/>
      <c r="G159" s="114">
        <v>0</v>
      </c>
      <c r="H159" s="88"/>
    </row>
    <row r="160" spans="1:8" s="158" customFormat="1" ht="12.75" hidden="1" customHeight="1" x14ac:dyDescent="0.2">
      <c r="A160" s="127"/>
      <c r="B160" s="128" t="s">
        <v>161</v>
      </c>
      <c r="C160" s="121">
        <v>50000</v>
      </c>
      <c r="D160" s="121"/>
      <c r="E160" s="151"/>
      <c r="F160" s="152"/>
      <c r="G160" s="114">
        <v>0</v>
      </c>
      <c r="H160" s="88"/>
    </row>
    <row r="161" spans="1:14" s="158" customFormat="1" ht="12.75" hidden="1" customHeight="1" x14ac:dyDescent="0.2">
      <c r="A161" s="127"/>
      <c r="B161" s="128" t="s">
        <v>162</v>
      </c>
      <c r="C161" s="113">
        <v>650000</v>
      </c>
      <c r="D161" s="113">
        <v>0</v>
      </c>
      <c r="E161" s="151">
        <v>0</v>
      </c>
      <c r="F161" s="152">
        <v>0</v>
      </c>
      <c r="G161" s="114">
        <v>590000</v>
      </c>
      <c r="H161" s="88"/>
    </row>
    <row r="162" spans="1:14" ht="12.75" hidden="1" customHeight="1" x14ac:dyDescent="0.2">
      <c r="A162" s="141">
        <v>2328</v>
      </c>
      <c r="B162" s="144" t="s">
        <v>163</v>
      </c>
      <c r="C162" s="145">
        <v>0</v>
      </c>
      <c r="D162" s="145"/>
      <c r="E162" s="109"/>
      <c r="F162" s="109"/>
      <c r="G162" s="105">
        <v>0</v>
      </c>
      <c r="H162" s="88"/>
    </row>
    <row r="163" spans="1:14" s="98" customFormat="1" ht="12.75" hidden="1" customHeight="1" x14ac:dyDescent="0.2">
      <c r="A163" s="141">
        <v>2329</v>
      </c>
      <c r="B163" s="144" t="s">
        <v>164</v>
      </c>
      <c r="C163" s="145">
        <f>SUM(C164:C174)</f>
        <v>360000</v>
      </c>
      <c r="D163" s="145">
        <f>SUM(D164:D174)</f>
        <v>682076.7</v>
      </c>
      <c r="E163" s="145">
        <f>SUM(E164:E174)</f>
        <v>775453.79</v>
      </c>
      <c r="F163" s="145">
        <f>SUM(F164:F174)</f>
        <v>671820.98</v>
      </c>
      <c r="G163" s="145">
        <f>SUM(G164:G174)</f>
        <v>360000</v>
      </c>
      <c r="H163" s="88"/>
    </row>
    <row r="164" spans="1:14" s="98" customFormat="1" ht="12.75" hidden="1" customHeight="1" x14ac:dyDescent="0.2">
      <c r="A164" s="106"/>
      <c r="B164" s="159" t="s">
        <v>165</v>
      </c>
      <c r="C164" s="113">
        <v>0</v>
      </c>
      <c r="D164" s="113">
        <v>181121</v>
      </c>
      <c r="E164" s="113">
        <v>181121</v>
      </c>
      <c r="F164" s="113">
        <v>181121</v>
      </c>
      <c r="G164" s="114">
        <v>0</v>
      </c>
      <c r="H164" s="88"/>
      <c r="N164" s="150"/>
    </row>
    <row r="165" spans="1:14" ht="12.75" hidden="1" customHeight="1" x14ac:dyDescent="0.2">
      <c r="A165" s="127"/>
      <c r="B165" s="128" t="s">
        <v>166</v>
      </c>
      <c r="C165" s="121">
        <v>5000</v>
      </c>
      <c r="D165" s="121"/>
      <c r="E165" s="151"/>
      <c r="F165" s="152"/>
      <c r="G165" s="114">
        <v>0</v>
      </c>
      <c r="H165" s="88"/>
    </row>
    <row r="166" spans="1:14" ht="12.75" hidden="1" customHeight="1" x14ac:dyDescent="0.2">
      <c r="A166" s="127"/>
      <c r="B166" s="128" t="s">
        <v>167</v>
      </c>
      <c r="C166" s="121">
        <v>0</v>
      </c>
      <c r="D166" s="121">
        <v>145955.70000000001</v>
      </c>
      <c r="E166" s="151">
        <v>148964.69</v>
      </c>
      <c r="F166" s="151">
        <v>148964.69</v>
      </c>
      <c r="G166" s="114">
        <v>0</v>
      </c>
      <c r="H166" s="88"/>
    </row>
    <row r="167" spans="1:14" ht="12.75" hidden="1" customHeight="1" x14ac:dyDescent="0.2">
      <c r="A167" s="127"/>
      <c r="B167" s="128" t="s">
        <v>168</v>
      </c>
      <c r="C167" s="121">
        <v>0</v>
      </c>
      <c r="D167" s="121">
        <v>0</v>
      </c>
      <c r="E167" s="151">
        <v>57446.6</v>
      </c>
      <c r="F167" s="151">
        <v>57446.6</v>
      </c>
      <c r="G167" s="114">
        <v>0</v>
      </c>
      <c r="H167" s="88"/>
    </row>
    <row r="168" spans="1:14" ht="12.75" hidden="1" customHeight="1" x14ac:dyDescent="0.2">
      <c r="A168" s="127"/>
      <c r="B168" s="128" t="s">
        <v>169</v>
      </c>
      <c r="C168" s="121">
        <v>270000</v>
      </c>
      <c r="D168" s="121">
        <v>270000</v>
      </c>
      <c r="E168" s="151">
        <v>270000</v>
      </c>
      <c r="F168" s="152">
        <v>190060</v>
      </c>
      <c r="G168" s="114">
        <v>270000</v>
      </c>
      <c r="H168" s="88"/>
    </row>
    <row r="169" spans="1:14" ht="12.75" hidden="1" customHeight="1" x14ac:dyDescent="0.2">
      <c r="A169" s="127"/>
      <c r="B169" s="128" t="s">
        <v>170</v>
      </c>
      <c r="C169" s="121">
        <v>45000</v>
      </c>
      <c r="D169" s="121">
        <v>45000</v>
      </c>
      <c r="E169" s="151">
        <v>74865</v>
      </c>
      <c r="F169" s="152">
        <v>62807.19</v>
      </c>
      <c r="G169" s="114">
        <v>50000</v>
      </c>
      <c r="H169" s="88"/>
    </row>
    <row r="170" spans="1:14" ht="12.75" hidden="1" customHeight="1" x14ac:dyDescent="0.2">
      <c r="A170" s="127"/>
      <c r="B170" s="128" t="s">
        <v>171</v>
      </c>
      <c r="C170" s="121">
        <v>40000</v>
      </c>
      <c r="D170" s="121">
        <v>40000</v>
      </c>
      <c r="E170" s="151">
        <v>40000</v>
      </c>
      <c r="F170" s="160">
        <v>28365</v>
      </c>
      <c r="G170" s="114">
        <v>40000</v>
      </c>
      <c r="H170" s="88"/>
    </row>
    <row r="171" spans="1:14" ht="12.75" hidden="1" customHeight="1" x14ac:dyDescent="0.2">
      <c r="A171" s="127"/>
      <c r="B171" s="128" t="s">
        <v>172</v>
      </c>
      <c r="C171" s="121">
        <v>0</v>
      </c>
      <c r="D171" s="121">
        <v>0</v>
      </c>
      <c r="E171" s="151">
        <v>3056.5</v>
      </c>
      <c r="F171" s="151">
        <v>3056.5</v>
      </c>
      <c r="G171" s="114">
        <v>0</v>
      </c>
      <c r="H171" s="88"/>
    </row>
    <row r="172" spans="1:14" ht="12.75" hidden="1" customHeight="1" x14ac:dyDescent="0.2">
      <c r="A172" s="127"/>
      <c r="B172" s="128" t="s">
        <v>173</v>
      </c>
      <c r="C172" s="121">
        <v>0</v>
      </c>
      <c r="D172" s="121"/>
      <c r="E172" s="151"/>
      <c r="F172" s="160"/>
      <c r="G172" s="114">
        <v>0</v>
      </c>
      <c r="H172" s="88"/>
    </row>
    <row r="173" spans="1:14" ht="12.75" hidden="1" customHeight="1" x14ac:dyDescent="0.2">
      <c r="A173" s="127"/>
      <c r="B173" s="128" t="s">
        <v>174</v>
      </c>
      <c r="C173" s="121">
        <v>0</v>
      </c>
      <c r="D173" s="121"/>
      <c r="E173" s="151"/>
      <c r="F173" s="160"/>
      <c r="G173" s="114">
        <v>0</v>
      </c>
      <c r="H173" s="88"/>
    </row>
    <row r="174" spans="1:14" ht="12.75" hidden="1" customHeight="1" x14ac:dyDescent="0.2">
      <c r="A174" s="127"/>
      <c r="B174" s="128" t="s">
        <v>175</v>
      </c>
      <c r="C174" s="121">
        <v>0</v>
      </c>
      <c r="D174" s="121"/>
      <c r="E174" s="151"/>
      <c r="F174" s="160"/>
      <c r="G174" s="114">
        <v>0</v>
      </c>
      <c r="H174" s="88"/>
    </row>
    <row r="175" spans="1:14" ht="24.75" hidden="1" customHeight="1" x14ac:dyDescent="0.2">
      <c r="A175" s="141">
        <v>2411</v>
      </c>
      <c r="B175" s="146" t="s">
        <v>176</v>
      </c>
      <c r="C175" s="145">
        <v>0</v>
      </c>
      <c r="D175" s="145">
        <v>300000</v>
      </c>
      <c r="E175" s="109">
        <v>300000</v>
      </c>
      <c r="F175" s="109">
        <v>300000</v>
      </c>
      <c r="G175" s="105">
        <v>0</v>
      </c>
      <c r="H175" s="32"/>
    </row>
    <row r="176" spans="1:14" ht="12.75" hidden="1" customHeight="1" x14ac:dyDescent="0.2">
      <c r="A176" s="161"/>
      <c r="B176" s="162"/>
      <c r="C176" s="163"/>
      <c r="D176" s="163"/>
      <c r="E176" s="164"/>
      <c r="F176" s="165"/>
      <c r="G176" s="166"/>
      <c r="H176" s="88"/>
    </row>
    <row r="177" spans="1:8" s="98" customFormat="1" ht="18.75" hidden="1" customHeight="1" x14ac:dyDescent="0.25">
      <c r="A177" s="167"/>
      <c r="B177" s="168" t="s">
        <v>11</v>
      </c>
      <c r="C177" s="169">
        <f>SUM(C178,C179,C188:C192)</f>
        <v>52475517</v>
      </c>
      <c r="D177" s="169">
        <f>SUM(D178,D179,D188:D192)</f>
        <v>52226112.700000003</v>
      </c>
      <c r="E177" s="169">
        <f>SUM(E178,E179,E188:E192)</f>
        <v>23220062.699999999</v>
      </c>
      <c r="F177" s="169">
        <f>SUM(F178,F179,F188:F192)</f>
        <v>15702229.899999999</v>
      </c>
      <c r="G177" s="169">
        <f>SUM(G178,G179,G188:G192)</f>
        <v>109511899.31</v>
      </c>
      <c r="H177" s="88"/>
    </row>
    <row r="178" spans="1:8" s="98" customFormat="1" ht="25.5" hidden="1" x14ac:dyDescent="0.2">
      <c r="A178" s="138">
        <v>3111</v>
      </c>
      <c r="B178" s="170" t="s">
        <v>177</v>
      </c>
      <c r="C178" s="140">
        <v>37500000</v>
      </c>
      <c r="D178" s="140">
        <v>37500000</v>
      </c>
      <c r="E178" s="171">
        <v>7950000</v>
      </c>
      <c r="F178" s="172">
        <v>582367.19999999995</v>
      </c>
      <c r="G178" s="173">
        <f>(5.95+3.9+44.064+14.478+0.8+1.8+0.4+2.5)*1000000</f>
        <v>73892000</v>
      </c>
      <c r="H178" s="88"/>
    </row>
    <row r="179" spans="1:8" s="98" customFormat="1" ht="12.75" hidden="1" customHeight="1" x14ac:dyDescent="0.2">
      <c r="A179" s="141">
        <v>3112</v>
      </c>
      <c r="B179" s="141" t="s">
        <v>178</v>
      </c>
      <c r="C179" s="145">
        <f>SUM(C180:C187)</f>
        <v>10708739</v>
      </c>
      <c r="D179" s="145">
        <f>SUM(D180:D187)</f>
        <v>1875000</v>
      </c>
      <c r="E179" s="174">
        <f>SUM(E180:E187)</f>
        <v>2418950</v>
      </c>
      <c r="F179" s="175">
        <f>SUM(F180:F187)</f>
        <v>2268750</v>
      </c>
      <c r="G179" s="145">
        <f>SUM(G180:G187)</f>
        <v>19516800</v>
      </c>
      <c r="H179" s="88"/>
    </row>
    <row r="180" spans="1:8" s="98" customFormat="1" ht="12.75" hidden="1" customHeight="1" x14ac:dyDescent="0.2">
      <c r="A180" s="141"/>
      <c r="B180" s="176" t="s">
        <v>179</v>
      </c>
      <c r="C180" s="121">
        <v>2342000</v>
      </c>
      <c r="D180" s="121"/>
      <c r="E180" s="177">
        <v>0</v>
      </c>
      <c r="F180" s="178"/>
      <c r="G180" s="114">
        <v>1427000</v>
      </c>
      <c r="H180" s="88"/>
    </row>
    <row r="181" spans="1:8" s="98" customFormat="1" ht="12.75" hidden="1" customHeight="1" x14ac:dyDescent="0.2">
      <c r="A181" s="141"/>
      <c r="B181" s="176" t="s">
        <v>180</v>
      </c>
      <c r="C181" s="121">
        <v>1910000</v>
      </c>
      <c r="D181" s="121"/>
      <c r="E181" s="177">
        <v>0</v>
      </c>
      <c r="F181" s="178"/>
      <c r="G181" s="114">
        <v>0</v>
      </c>
      <c r="H181" s="88"/>
    </row>
    <row r="182" spans="1:8" s="98" customFormat="1" ht="12.75" hidden="1" customHeight="1" x14ac:dyDescent="0.2">
      <c r="A182" s="141"/>
      <c r="B182" s="176" t="s">
        <v>181</v>
      </c>
      <c r="C182" s="160">
        <v>2794000</v>
      </c>
      <c r="D182" s="179"/>
      <c r="E182" s="177">
        <v>150200</v>
      </c>
      <c r="F182" s="178"/>
      <c r="G182" s="113">
        <f>4209000-150200</f>
        <v>4058800</v>
      </c>
      <c r="H182" s="88"/>
    </row>
    <row r="183" spans="1:8" s="98" customFormat="1" ht="12.75" hidden="1" customHeight="1" x14ac:dyDescent="0.2">
      <c r="A183" s="141"/>
      <c r="B183" s="176" t="s">
        <v>182</v>
      </c>
      <c r="C183" s="179">
        <v>2364000</v>
      </c>
      <c r="D183" s="179"/>
      <c r="E183" s="177">
        <v>0</v>
      </c>
      <c r="F183" s="178"/>
      <c r="G183" s="113">
        <v>2581000</v>
      </c>
      <c r="H183" s="88"/>
    </row>
    <row r="184" spans="1:8" s="98" customFormat="1" ht="12.75" hidden="1" customHeight="1" x14ac:dyDescent="0.2">
      <c r="A184" s="141"/>
      <c r="B184" s="176" t="s">
        <v>183</v>
      </c>
      <c r="C184" s="179">
        <v>1298739</v>
      </c>
      <c r="D184" s="179"/>
      <c r="E184" s="177">
        <v>0</v>
      </c>
      <c r="F184" s="178"/>
      <c r="G184" s="114">
        <v>3000000</v>
      </c>
      <c r="H184" s="88"/>
    </row>
    <row r="185" spans="1:8" s="98" customFormat="1" ht="12.75" hidden="1" customHeight="1" x14ac:dyDescent="0.2">
      <c r="A185" s="141"/>
      <c r="B185" s="176" t="s">
        <v>184</v>
      </c>
      <c r="C185" s="179">
        <v>0</v>
      </c>
      <c r="D185" s="179">
        <v>0</v>
      </c>
      <c r="E185" s="177">
        <v>0</v>
      </c>
      <c r="F185" s="178">
        <v>0</v>
      </c>
      <c r="G185" s="114">
        <v>3000000</v>
      </c>
      <c r="H185" s="88"/>
    </row>
    <row r="186" spans="1:8" s="98" customFormat="1" ht="12.75" hidden="1" customHeight="1" x14ac:dyDescent="0.2">
      <c r="A186" s="141"/>
      <c r="B186" s="176" t="s">
        <v>185</v>
      </c>
      <c r="C186" s="179">
        <v>0</v>
      </c>
      <c r="D186" s="179"/>
      <c r="E186" s="177"/>
      <c r="F186" s="178"/>
      <c r="G186" s="114">
        <v>5450000</v>
      </c>
      <c r="H186" s="88"/>
    </row>
    <row r="187" spans="1:8" s="98" customFormat="1" ht="12.75" hidden="1" customHeight="1" x14ac:dyDescent="0.2">
      <c r="A187" s="141"/>
      <c r="B187" s="176" t="s">
        <v>186</v>
      </c>
      <c r="C187" s="179">
        <v>0</v>
      </c>
      <c r="D187" s="179">
        <v>1875000</v>
      </c>
      <c r="E187" s="177">
        <v>2268750</v>
      </c>
      <c r="F187" s="178">
        <v>2268750</v>
      </c>
      <c r="G187" s="114">
        <v>0</v>
      </c>
      <c r="H187" s="88"/>
    </row>
    <row r="188" spans="1:8" s="98" customFormat="1" ht="12.75" hidden="1" customHeight="1" x14ac:dyDescent="0.2">
      <c r="A188" s="141">
        <v>3113</v>
      </c>
      <c r="B188" s="141" t="s">
        <v>187</v>
      </c>
      <c r="C188" s="145">
        <v>0</v>
      </c>
      <c r="D188" s="145"/>
      <c r="E188" s="180"/>
      <c r="F188" s="181"/>
      <c r="G188" s="105">
        <v>0</v>
      </c>
      <c r="H188" s="88"/>
    </row>
    <row r="189" spans="1:8" s="98" customFormat="1" ht="12.75" hidden="1" customHeight="1" x14ac:dyDescent="0.2">
      <c r="A189" s="141">
        <v>3119</v>
      </c>
      <c r="B189" s="141" t="s">
        <v>188</v>
      </c>
      <c r="C189" s="145">
        <v>0</v>
      </c>
      <c r="D189" s="145">
        <v>12770000</v>
      </c>
      <c r="E189" s="174">
        <v>12770000</v>
      </c>
      <c r="F189" s="175">
        <v>12770000</v>
      </c>
      <c r="G189" s="105">
        <v>0</v>
      </c>
      <c r="H189" s="88"/>
    </row>
    <row r="190" spans="1:8" s="98" customFormat="1" ht="12.75" hidden="1" customHeight="1" x14ac:dyDescent="0.2">
      <c r="A190" s="141">
        <v>3121</v>
      </c>
      <c r="B190" s="141" t="s">
        <v>189</v>
      </c>
      <c r="C190" s="145">
        <v>0</v>
      </c>
      <c r="D190" s="145">
        <v>81112.7</v>
      </c>
      <c r="E190" s="180">
        <v>81112.7</v>
      </c>
      <c r="F190" s="181">
        <v>81112.7</v>
      </c>
      <c r="G190" s="105">
        <v>400000</v>
      </c>
      <c r="H190" s="88"/>
    </row>
    <row r="191" spans="1:8" s="98" customFormat="1" hidden="1" x14ac:dyDescent="0.2">
      <c r="A191" s="141">
        <v>3122</v>
      </c>
      <c r="B191" s="182" t="s">
        <v>190</v>
      </c>
      <c r="C191" s="145">
        <v>0</v>
      </c>
      <c r="D191" s="145"/>
      <c r="E191" s="180"/>
      <c r="F191" s="181"/>
      <c r="G191" s="105">
        <v>0</v>
      </c>
      <c r="H191" s="88"/>
    </row>
    <row r="192" spans="1:8" s="98" customFormat="1" ht="12.75" hidden="1" customHeight="1" x14ac:dyDescent="0.2">
      <c r="A192" s="141">
        <v>3129</v>
      </c>
      <c r="B192" s="141" t="s">
        <v>191</v>
      </c>
      <c r="C192" s="145">
        <f>SUM(C193:C195)</f>
        <v>4266778</v>
      </c>
      <c r="D192" s="145">
        <f>SUM(D193:D195)</f>
        <v>0</v>
      </c>
      <c r="E192" s="174">
        <f>SUM(E193:E195)</f>
        <v>0</v>
      </c>
      <c r="F192" s="175">
        <f>SUM(F193:F195)</f>
        <v>0</v>
      </c>
      <c r="G192" s="145">
        <f>SUM(G193:G196)</f>
        <v>15703099.310000001</v>
      </c>
      <c r="H192" s="88"/>
    </row>
    <row r="193" spans="1:8" s="98" customFormat="1" ht="12.75" hidden="1" customHeight="1" x14ac:dyDescent="0.2">
      <c r="A193" s="183"/>
      <c r="B193" s="176" t="s">
        <v>192</v>
      </c>
      <c r="C193" s="121">
        <v>500000</v>
      </c>
      <c r="D193" s="121"/>
      <c r="E193" s="177">
        <v>0</v>
      </c>
      <c r="F193" s="178"/>
      <c r="G193" s="114"/>
      <c r="H193" s="32"/>
    </row>
    <row r="194" spans="1:8" s="98" customFormat="1" ht="12.75" hidden="1" customHeight="1" x14ac:dyDescent="0.2">
      <c r="A194" s="183"/>
      <c r="B194" s="176" t="s">
        <v>193</v>
      </c>
      <c r="C194" s="121">
        <v>1200000</v>
      </c>
      <c r="D194" s="121"/>
      <c r="E194" s="177">
        <v>0</v>
      </c>
      <c r="F194" s="178"/>
      <c r="G194" s="114">
        <v>1053570</v>
      </c>
      <c r="H194" s="32"/>
    </row>
    <row r="195" spans="1:8" s="98" customFormat="1" ht="12" hidden="1" customHeight="1" x14ac:dyDescent="0.2">
      <c r="A195" s="141"/>
      <c r="B195" s="127" t="s">
        <v>194</v>
      </c>
      <c r="C195" s="121">
        <v>2566778</v>
      </c>
      <c r="D195" s="121"/>
      <c r="E195" s="177"/>
      <c r="F195" s="178"/>
      <c r="G195" s="113">
        <v>0</v>
      </c>
      <c r="H195" s="32"/>
    </row>
    <row r="196" spans="1:8" s="98" customFormat="1" ht="12" hidden="1" customHeight="1" x14ac:dyDescent="0.2">
      <c r="A196" s="183"/>
      <c r="B196" s="176" t="s">
        <v>195</v>
      </c>
      <c r="C196" s="121">
        <v>0</v>
      </c>
      <c r="D196" s="121">
        <v>0</v>
      </c>
      <c r="E196" s="184">
        <v>0</v>
      </c>
      <c r="F196" s="185">
        <v>0</v>
      </c>
      <c r="G196" s="114">
        <v>14649529.310000001</v>
      </c>
      <c r="H196" s="32"/>
    </row>
    <row r="197" spans="1:8" s="98" customFormat="1" hidden="1" x14ac:dyDescent="0.2">
      <c r="A197" s="183"/>
      <c r="B197" s="186"/>
      <c r="C197" s="187"/>
      <c r="D197" s="187"/>
      <c r="E197" s="184"/>
      <c r="F197" s="185"/>
      <c r="G197" s="166"/>
      <c r="H197" s="88"/>
    </row>
    <row r="198" spans="1:8" s="98" customFormat="1" ht="18.75" hidden="1" customHeight="1" x14ac:dyDescent="0.25">
      <c r="A198" s="188"/>
      <c r="B198" s="168" t="s">
        <v>196</v>
      </c>
      <c r="C198" s="169">
        <f>SUM(C199:C203,C215,C223,C229:C230,C235,C246)</f>
        <v>59771600.0035</v>
      </c>
      <c r="D198" s="169">
        <f>SUM(D199,D202:D203,D215,D223,D229:D230,D235,D246)</f>
        <v>138526988.82350001</v>
      </c>
      <c r="E198" s="169">
        <f>SUM(E199,E202:E203,E215,E223,E229:E230,E235,E246)</f>
        <v>129994865.9535</v>
      </c>
      <c r="F198" s="189">
        <f>SUM(F199,F202:F203,F215,F223,F229:F230,F235,F246)</f>
        <v>120624289.91999999</v>
      </c>
      <c r="G198" s="169">
        <f>SUM(G199,G202:G203,G215,G223,G229:G230,G235,G246)</f>
        <v>80631238.653500006</v>
      </c>
      <c r="H198" s="88"/>
    </row>
    <row r="199" spans="1:8" s="98" customFormat="1" ht="12.75" hidden="1" customHeight="1" x14ac:dyDescent="0.2">
      <c r="A199" s="190">
        <v>4111</v>
      </c>
      <c r="B199" s="190" t="s">
        <v>197</v>
      </c>
      <c r="C199" s="191">
        <f>SUM(C200:C201)</f>
        <v>0</v>
      </c>
      <c r="D199" s="191">
        <f>SUM(D200:D201)</f>
        <v>29776000</v>
      </c>
      <c r="E199" s="191">
        <f>SUM(E200:E201)</f>
        <v>29776000</v>
      </c>
      <c r="F199" s="192">
        <f>SUM(F200:F201)</f>
        <v>29776000</v>
      </c>
      <c r="G199" s="191">
        <f>SUM(G200:G201)</f>
        <v>0</v>
      </c>
      <c r="H199" s="88"/>
    </row>
    <row r="200" spans="1:8" s="98" customFormat="1" ht="12.75" hidden="1" customHeight="1" x14ac:dyDescent="0.2">
      <c r="A200" s="190"/>
      <c r="B200" s="193" t="s">
        <v>198</v>
      </c>
      <c r="C200" s="194">
        <v>0</v>
      </c>
      <c r="D200" s="194">
        <v>29075000</v>
      </c>
      <c r="E200" s="194">
        <v>29075000</v>
      </c>
      <c r="F200" s="195">
        <v>29075000</v>
      </c>
      <c r="G200" s="194">
        <v>0</v>
      </c>
      <c r="H200" s="88"/>
    </row>
    <row r="201" spans="1:8" s="98" customFormat="1" ht="12.75" hidden="1" customHeight="1" x14ac:dyDescent="0.2">
      <c r="A201" s="190"/>
      <c r="B201" s="193" t="s">
        <v>199</v>
      </c>
      <c r="C201" s="194">
        <v>0</v>
      </c>
      <c r="D201" s="194">
        <v>701000</v>
      </c>
      <c r="E201" s="194">
        <v>701000</v>
      </c>
      <c r="F201" s="195">
        <v>701000</v>
      </c>
      <c r="G201" s="194">
        <v>0</v>
      </c>
      <c r="H201" s="88"/>
    </row>
    <row r="202" spans="1:8" ht="89.25" hidden="1" x14ac:dyDescent="0.2">
      <c r="A202" s="139">
        <v>4112</v>
      </c>
      <c r="B202" s="196" t="s">
        <v>200</v>
      </c>
      <c r="C202" s="197">
        <f>958935.0949+709659.9826+520950+433320+542800+39919+4236063.649+7723640.937+23616817.65+627210+1363000+1530786+236555+42.69</f>
        <v>42539700.0035</v>
      </c>
      <c r="D202" s="197">
        <f>958935.0949+709659.9826+520950+433320+542800+39919+4236063.649+7723640.937+23616817.65+627210+1363000+1530786+236555+42.69</f>
        <v>42539700.0035</v>
      </c>
      <c r="E202" s="197">
        <f>958935.0949+709659.9826+520950+433320+542800+39919+4236063.649+7723640.937+23616817.65+627210+1363000+1530786+236555+42.69</f>
        <v>42539700.0035</v>
      </c>
      <c r="F202" s="172">
        <v>28247765</v>
      </c>
      <c r="G202" s="105">
        <f>(958935.0949+709659.9826+520950+433320+542800+39919+4236063.649+7723640.937+23616817.65+627210+1363000+1530786+236555+42.69)+918800</f>
        <v>43458500.0035</v>
      </c>
      <c r="H202" s="32"/>
    </row>
    <row r="203" spans="1:8" s="98" customFormat="1" ht="12.75" hidden="1" customHeight="1" x14ac:dyDescent="0.2">
      <c r="A203" s="144">
        <v>4116</v>
      </c>
      <c r="B203" s="144" t="s">
        <v>201</v>
      </c>
      <c r="C203" s="145">
        <f>SUM(C204:C214)</f>
        <v>7642000</v>
      </c>
      <c r="D203" s="145">
        <f>SUM(D204:D214)</f>
        <v>14769583.75</v>
      </c>
      <c r="E203" s="145">
        <f>SUM(E204:E214)</f>
        <v>10988960.879999999</v>
      </c>
      <c r="F203" s="175">
        <f>SUM(F204:F214)</f>
        <v>18582960.879999999</v>
      </c>
      <c r="G203" s="145">
        <f>SUM(G204:G214)</f>
        <v>8333206</v>
      </c>
      <c r="H203" s="88"/>
    </row>
    <row r="204" spans="1:8" ht="12.75" hidden="1" customHeight="1" x14ac:dyDescent="0.2">
      <c r="A204" s="128"/>
      <c r="B204" s="112" t="s">
        <v>202</v>
      </c>
      <c r="C204" s="113">
        <v>50000</v>
      </c>
      <c r="D204" s="113">
        <v>7594000</v>
      </c>
      <c r="E204" s="113">
        <v>0</v>
      </c>
      <c r="F204" s="178">
        <v>7594000</v>
      </c>
      <c r="G204" s="114">
        <v>50000</v>
      </c>
      <c r="H204" s="88"/>
    </row>
    <row r="205" spans="1:8" ht="12.75" hidden="1" customHeight="1" x14ac:dyDescent="0.2">
      <c r="A205" s="128"/>
      <c r="B205" s="128" t="s">
        <v>203</v>
      </c>
      <c r="C205" s="121">
        <v>192000</v>
      </c>
      <c r="D205" s="121">
        <v>120000</v>
      </c>
      <c r="E205" s="113">
        <v>120000</v>
      </c>
      <c r="F205" s="178">
        <v>120000</v>
      </c>
      <c r="G205" s="114">
        <v>0</v>
      </c>
      <c r="H205" s="88"/>
    </row>
    <row r="206" spans="1:8" ht="12.75" hidden="1" customHeight="1" x14ac:dyDescent="0.2">
      <c r="A206" s="144"/>
      <c r="B206" s="155" t="s">
        <v>204</v>
      </c>
      <c r="C206" s="121">
        <v>7400000</v>
      </c>
      <c r="D206" s="121">
        <v>3376250</v>
      </c>
      <c r="E206" s="121">
        <v>7189627.1299999999</v>
      </c>
      <c r="F206" s="198">
        <v>7189627.1299999999</v>
      </c>
      <c r="G206" s="114">
        <v>7145900</v>
      </c>
      <c r="H206" s="88"/>
    </row>
    <row r="207" spans="1:8" ht="12.75" hidden="1" customHeight="1" x14ac:dyDescent="0.2">
      <c r="A207" s="112"/>
      <c r="B207" s="112" t="s">
        <v>205</v>
      </c>
      <c r="C207" s="121">
        <v>0</v>
      </c>
      <c r="D207" s="121">
        <v>1137306</v>
      </c>
      <c r="E207" s="121">
        <v>1137306</v>
      </c>
      <c r="F207" s="198">
        <v>1137306</v>
      </c>
      <c r="G207" s="114">
        <v>1137306</v>
      </c>
      <c r="H207" s="88"/>
    </row>
    <row r="208" spans="1:8" ht="12.75" hidden="1" customHeight="1" x14ac:dyDescent="0.2">
      <c r="A208" s="199"/>
      <c r="B208" s="112" t="s">
        <v>206</v>
      </c>
      <c r="C208" s="200">
        <v>0</v>
      </c>
      <c r="D208" s="200">
        <v>554488</v>
      </c>
      <c r="E208" s="200">
        <v>554488</v>
      </c>
      <c r="F208" s="201">
        <v>554488</v>
      </c>
      <c r="G208" s="114"/>
      <c r="H208" s="88"/>
    </row>
    <row r="209" spans="1:14" s="98" customFormat="1" ht="12.75" hidden="1" customHeight="1" x14ac:dyDescent="0.2">
      <c r="A209" s="202"/>
      <c r="B209" s="112" t="s">
        <v>207</v>
      </c>
      <c r="C209" s="203">
        <v>0</v>
      </c>
      <c r="D209" s="203">
        <v>1249.8499999999999</v>
      </c>
      <c r="E209" s="203">
        <v>1249.8499999999999</v>
      </c>
      <c r="F209" s="204">
        <v>1249.8499999999999</v>
      </c>
      <c r="G209" s="114"/>
      <c r="H209" s="88"/>
      <c r="N209" s="150"/>
    </row>
    <row r="210" spans="1:14" s="98" customFormat="1" ht="12.75" hidden="1" customHeight="1" x14ac:dyDescent="0.2">
      <c r="A210" s="202"/>
      <c r="B210" s="112" t="s">
        <v>208</v>
      </c>
      <c r="C210" s="160">
        <v>0</v>
      </c>
      <c r="D210" s="160">
        <v>24996.9</v>
      </c>
      <c r="E210" s="160">
        <v>24996.9</v>
      </c>
      <c r="F210" s="205">
        <v>24996.9</v>
      </c>
      <c r="G210" s="114"/>
      <c r="H210" s="88"/>
      <c r="N210" s="150"/>
    </row>
    <row r="211" spans="1:14" s="98" customFormat="1" ht="12.75" hidden="1" customHeight="1" x14ac:dyDescent="0.2">
      <c r="A211" s="202"/>
      <c r="B211" s="112" t="s">
        <v>209</v>
      </c>
      <c r="C211" s="160">
        <v>0</v>
      </c>
      <c r="D211" s="160">
        <v>270497</v>
      </c>
      <c r="E211" s="160">
        <v>270497</v>
      </c>
      <c r="F211" s="205">
        <v>270497</v>
      </c>
      <c r="G211" s="114"/>
      <c r="H211" s="88"/>
      <c r="N211" s="150"/>
    </row>
    <row r="212" spans="1:14" s="98" customFormat="1" ht="12.75" hidden="1" customHeight="1" x14ac:dyDescent="0.2">
      <c r="A212" s="202"/>
      <c r="B212" s="112" t="s">
        <v>210</v>
      </c>
      <c r="C212" s="160">
        <v>0</v>
      </c>
      <c r="D212" s="160">
        <v>1009796</v>
      </c>
      <c r="E212" s="160">
        <v>1009796</v>
      </c>
      <c r="F212" s="205">
        <v>1009796</v>
      </c>
      <c r="G212" s="114"/>
      <c r="H212" s="88"/>
      <c r="N212" s="150"/>
    </row>
    <row r="213" spans="1:14" s="98" customFormat="1" ht="12.75" hidden="1" customHeight="1" x14ac:dyDescent="0.2">
      <c r="A213" s="202"/>
      <c r="B213" s="112" t="s">
        <v>211</v>
      </c>
      <c r="C213" s="160">
        <v>0</v>
      </c>
      <c r="D213" s="160">
        <v>89000</v>
      </c>
      <c r="E213" s="203">
        <v>89000</v>
      </c>
      <c r="F213" s="185">
        <v>89000</v>
      </c>
      <c r="G213" s="114"/>
      <c r="H213" s="88"/>
      <c r="N213" s="150"/>
    </row>
    <row r="214" spans="1:14" s="98" customFormat="1" ht="12.75" hidden="1" customHeight="1" x14ac:dyDescent="0.2">
      <c r="A214" s="202"/>
      <c r="B214" s="112" t="s">
        <v>212</v>
      </c>
      <c r="C214" s="160">
        <v>0</v>
      </c>
      <c r="D214" s="160">
        <v>592000</v>
      </c>
      <c r="E214" s="160">
        <v>592000</v>
      </c>
      <c r="F214" s="205">
        <v>592000</v>
      </c>
      <c r="G214" s="114"/>
      <c r="H214" s="88"/>
      <c r="N214" s="150"/>
    </row>
    <row r="215" spans="1:14" ht="12.75" hidden="1" customHeight="1" x14ac:dyDescent="0.2">
      <c r="A215" s="144">
        <v>4121</v>
      </c>
      <c r="B215" s="144" t="s">
        <v>213</v>
      </c>
      <c r="C215" s="145">
        <f>SUM(C216:C222)</f>
        <v>305500</v>
      </c>
      <c r="D215" s="145">
        <f>SUM(D216:D222)</f>
        <v>350000</v>
      </c>
      <c r="E215" s="145">
        <f>SUM(E216:E222)</f>
        <v>375000</v>
      </c>
      <c r="F215" s="175">
        <f>SUM(F216:F222)</f>
        <v>373564</v>
      </c>
      <c r="G215" s="145">
        <f>SUM(G216:G222)</f>
        <v>1631120</v>
      </c>
      <c r="H215" s="88"/>
    </row>
    <row r="216" spans="1:14" ht="12.75" hidden="1" customHeight="1" x14ac:dyDescent="0.2">
      <c r="A216" s="144"/>
      <c r="B216" s="128" t="s">
        <v>214</v>
      </c>
      <c r="C216" s="121">
        <v>300000</v>
      </c>
      <c r="D216" s="121">
        <v>300000</v>
      </c>
      <c r="E216" s="113">
        <v>328000</v>
      </c>
      <c r="F216" s="178">
        <v>328000</v>
      </c>
      <c r="G216" s="114">
        <v>260000</v>
      </c>
      <c r="H216" s="88"/>
    </row>
    <row r="217" spans="1:14" hidden="1" x14ac:dyDescent="0.2">
      <c r="A217" s="144"/>
      <c r="B217" s="128" t="s">
        <v>215</v>
      </c>
      <c r="C217" s="121">
        <v>5000</v>
      </c>
      <c r="D217" s="121">
        <v>5000</v>
      </c>
      <c r="E217" s="113">
        <v>2000</v>
      </c>
      <c r="F217" s="178">
        <v>564</v>
      </c>
      <c r="G217" s="114">
        <v>3000</v>
      </c>
      <c r="H217" s="88"/>
    </row>
    <row r="218" spans="1:14" ht="12.75" hidden="1" customHeight="1" x14ac:dyDescent="0.2">
      <c r="A218" s="107"/>
      <c r="B218" s="112" t="s">
        <v>216</v>
      </c>
      <c r="C218" s="113">
        <v>0</v>
      </c>
      <c r="D218" s="113"/>
      <c r="E218" s="113"/>
      <c r="F218" s="178"/>
      <c r="G218" s="114"/>
      <c r="H218" s="88"/>
      <c r="N218" s="150"/>
    </row>
    <row r="219" spans="1:14" ht="12.75" hidden="1" customHeight="1" x14ac:dyDescent="0.2">
      <c r="A219" s="107"/>
      <c r="B219" s="112" t="s">
        <v>217</v>
      </c>
      <c r="C219" s="113">
        <v>0</v>
      </c>
      <c r="D219" s="113">
        <v>45000</v>
      </c>
      <c r="E219" s="113">
        <v>45000</v>
      </c>
      <c r="F219" s="178">
        <v>45000</v>
      </c>
      <c r="G219" s="114">
        <v>735147</v>
      </c>
      <c r="H219" s="88"/>
      <c r="N219" s="150"/>
    </row>
    <row r="220" spans="1:14" ht="12.75" hidden="1" customHeight="1" x14ac:dyDescent="0.2">
      <c r="A220" s="107"/>
      <c r="B220" s="112" t="s">
        <v>218</v>
      </c>
      <c r="C220" s="113">
        <v>0</v>
      </c>
      <c r="D220" s="113">
        <v>0</v>
      </c>
      <c r="E220" s="113">
        <v>0</v>
      </c>
      <c r="F220" s="178">
        <v>0</v>
      </c>
      <c r="G220" s="114">
        <v>632973</v>
      </c>
      <c r="H220" s="88"/>
      <c r="N220" s="150"/>
    </row>
    <row r="221" spans="1:14" ht="12.75" hidden="1" customHeight="1" x14ac:dyDescent="0.2">
      <c r="A221" s="107"/>
      <c r="B221" s="112" t="s">
        <v>219</v>
      </c>
      <c r="C221" s="113">
        <v>0</v>
      </c>
      <c r="D221" s="113"/>
      <c r="E221" s="113"/>
      <c r="F221" s="178"/>
      <c r="G221" s="114"/>
      <c r="H221" s="88"/>
    </row>
    <row r="222" spans="1:14" hidden="1" x14ac:dyDescent="0.2">
      <c r="A222" s="144"/>
      <c r="B222" s="128" t="s">
        <v>220</v>
      </c>
      <c r="C222" s="121">
        <v>500</v>
      </c>
      <c r="D222" s="121"/>
      <c r="E222" s="113"/>
      <c r="F222" s="178"/>
      <c r="G222" s="114"/>
      <c r="H222" s="88"/>
    </row>
    <row r="223" spans="1:14" ht="12.75" hidden="1" customHeight="1" x14ac:dyDescent="0.2">
      <c r="A223" s="107">
        <v>4122</v>
      </c>
      <c r="B223" s="110" t="s">
        <v>221</v>
      </c>
      <c r="C223" s="109">
        <f>SUM(C224:C228)</f>
        <v>0</v>
      </c>
      <c r="D223" s="109">
        <f>SUM(D224:D228)</f>
        <v>8314467</v>
      </c>
      <c r="E223" s="109">
        <f>SUM(E224:E228)</f>
        <v>6737967</v>
      </c>
      <c r="F223" s="181">
        <f>SUM(F224:F228)</f>
        <v>6723467</v>
      </c>
      <c r="G223" s="109">
        <f>SUM(G224:G228)</f>
        <v>0</v>
      </c>
      <c r="H223" s="88"/>
      <c r="N223" s="150"/>
    </row>
    <row r="224" spans="1:14" s="98" customFormat="1" ht="12.75" hidden="1" customHeight="1" x14ac:dyDescent="0.2">
      <c r="A224" s="202"/>
      <c r="B224" s="199" t="s">
        <v>222</v>
      </c>
      <c r="C224" s="203">
        <v>0</v>
      </c>
      <c r="D224" s="203">
        <v>10000</v>
      </c>
      <c r="E224" s="203">
        <v>10000</v>
      </c>
      <c r="F224" s="204">
        <v>10000</v>
      </c>
      <c r="G224" s="114">
        <v>0</v>
      </c>
      <c r="H224" s="88"/>
      <c r="N224" s="150"/>
    </row>
    <row r="225" spans="1:14" s="98" customFormat="1" ht="12.75" hidden="1" customHeight="1" x14ac:dyDescent="0.2">
      <c r="A225" s="202"/>
      <c r="B225" s="199" t="s">
        <v>223</v>
      </c>
      <c r="C225" s="203">
        <v>0</v>
      </c>
      <c r="D225" s="203">
        <v>24467</v>
      </c>
      <c r="E225" s="203">
        <v>24467</v>
      </c>
      <c r="F225" s="204">
        <v>24467</v>
      </c>
      <c r="G225" s="114"/>
      <c r="H225" s="88"/>
      <c r="N225" s="150"/>
    </row>
    <row r="226" spans="1:14" s="98" customFormat="1" ht="12.75" hidden="1" customHeight="1" x14ac:dyDescent="0.2">
      <c r="A226" s="202"/>
      <c r="B226" s="199" t="s">
        <v>224</v>
      </c>
      <c r="C226" s="203">
        <v>0</v>
      </c>
      <c r="D226" s="203">
        <v>29000</v>
      </c>
      <c r="E226" s="160">
        <v>29000</v>
      </c>
      <c r="F226" s="178">
        <v>14500</v>
      </c>
      <c r="G226" s="114"/>
      <c r="H226" s="88"/>
      <c r="N226" s="150"/>
    </row>
    <row r="227" spans="1:14" s="98" customFormat="1" ht="12.75" hidden="1" customHeight="1" x14ac:dyDescent="0.2">
      <c r="A227" s="202"/>
      <c r="B227" s="199" t="s">
        <v>225</v>
      </c>
      <c r="C227" s="203">
        <v>0</v>
      </c>
      <c r="D227" s="203">
        <v>3153000</v>
      </c>
      <c r="E227" s="160">
        <f>3153000/2</f>
        <v>1576500</v>
      </c>
      <c r="F227" s="205">
        <f>3153000/2</f>
        <v>1576500</v>
      </c>
      <c r="G227" s="114">
        <v>0</v>
      </c>
      <c r="H227" s="88"/>
      <c r="N227" s="150"/>
    </row>
    <row r="228" spans="1:14" ht="12.75" hidden="1" customHeight="1" x14ac:dyDescent="0.2">
      <c r="A228" s="107"/>
      <c r="B228" s="112" t="s">
        <v>226</v>
      </c>
      <c r="C228" s="121">
        <v>0</v>
      </c>
      <c r="D228" s="121">
        <v>5098000</v>
      </c>
      <c r="E228" s="121">
        <v>5098000</v>
      </c>
      <c r="F228" s="198">
        <v>5098000</v>
      </c>
      <c r="G228" s="114">
        <v>0</v>
      </c>
      <c r="H228" s="88"/>
      <c r="N228" s="150"/>
    </row>
    <row r="229" spans="1:14" s="98" customFormat="1" ht="12.75" hidden="1" customHeight="1" x14ac:dyDescent="0.2">
      <c r="A229" s="206" t="s">
        <v>227</v>
      </c>
      <c r="B229" s="144" t="s">
        <v>228</v>
      </c>
      <c r="C229" s="145">
        <v>6084400</v>
      </c>
      <c r="D229" s="145">
        <v>6084400</v>
      </c>
      <c r="E229" s="145">
        <v>6084400</v>
      </c>
      <c r="F229" s="207">
        <v>4563402.03</v>
      </c>
      <c r="G229" s="105">
        <v>5900000</v>
      </c>
      <c r="H229" s="88"/>
    </row>
    <row r="230" spans="1:14" s="98" customFormat="1" ht="12.75" hidden="1" customHeight="1" x14ac:dyDescent="0.2">
      <c r="A230" s="144">
        <v>4213</v>
      </c>
      <c r="B230" s="144" t="s">
        <v>229</v>
      </c>
      <c r="C230" s="145">
        <f>SUM(C231:C234)</f>
        <v>0</v>
      </c>
      <c r="D230" s="145">
        <f>SUM(D231:D234)</f>
        <v>1018657.06</v>
      </c>
      <c r="E230" s="145">
        <f>SUM(E231:E234)</f>
        <v>1018657.06</v>
      </c>
      <c r="F230" s="175">
        <f>SUM(F231:F234)</f>
        <v>0</v>
      </c>
      <c r="G230" s="145">
        <f>SUM(G231:G234)</f>
        <v>450000</v>
      </c>
      <c r="H230" s="88"/>
    </row>
    <row r="231" spans="1:14" s="2" customFormat="1" ht="12.75" hidden="1" customHeight="1" x14ac:dyDescent="0.2">
      <c r="A231" s="155"/>
      <c r="B231" s="119" t="s">
        <v>230</v>
      </c>
      <c r="C231" s="121">
        <v>0</v>
      </c>
      <c r="D231" s="121">
        <v>420000</v>
      </c>
      <c r="E231" s="121">
        <v>420000</v>
      </c>
      <c r="F231" s="208">
        <v>0</v>
      </c>
      <c r="G231" s="114">
        <v>250000</v>
      </c>
      <c r="H231" s="88"/>
    </row>
    <row r="232" spans="1:14" s="2" customFormat="1" ht="12.75" hidden="1" customHeight="1" x14ac:dyDescent="0.2">
      <c r="A232" s="155"/>
      <c r="B232" s="119" t="s">
        <v>231</v>
      </c>
      <c r="C232" s="121">
        <v>0</v>
      </c>
      <c r="D232" s="121">
        <v>0</v>
      </c>
      <c r="E232" s="121">
        <v>0</v>
      </c>
      <c r="F232" s="208">
        <v>0</v>
      </c>
      <c r="G232" s="114">
        <v>200000</v>
      </c>
      <c r="H232" s="88"/>
    </row>
    <row r="233" spans="1:14" s="2" customFormat="1" ht="12.75" hidden="1" customHeight="1" x14ac:dyDescent="0.2">
      <c r="A233" s="155"/>
      <c r="B233" s="119" t="s">
        <v>232</v>
      </c>
      <c r="C233" s="121">
        <v>0</v>
      </c>
      <c r="D233" s="121">
        <v>215516.54</v>
      </c>
      <c r="E233" s="121">
        <v>215516.54</v>
      </c>
      <c r="F233" s="208">
        <v>0</v>
      </c>
      <c r="G233" s="114"/>
      <c r="H233" s="88"/>
    </row>
    <row r="234" spans="1:14" s="2" customFormat="1" ht="12.75" hidden="1" customHeight="1" x14ac:dyDescent="0.2">
      <c r="A234" s="155"/>
      <c r="B234" s="119" t="s">
        <v>233</v>
      </c>
      <c r="C234" s="121">
        <v>0</v>
      </c>
      <c r="D234" s="121">
        <v>383140.52</v>
      </c>
      <c r="E234" s="121">
        <v>383140.52</v>
      </c>
      <c r="F234" s="208">
        <v>0</v>
      </c>
      <c r="G234" s="114"/>
      <c r="H234" s="88"/>
    </row>
    <row r="235" spans="1:14" s="98" customFormat="1" ht="12.75" hidden="1" customHeight="1" x14ac:dyDescent="0.2">
      <c r="A235" s="107">
        <v>4216</v>
      </c>
      <c r="B235" s="209" t="s">
        <v>234</v>
      </c>
      <c r="C235" s="210">
        <f>SUM(C238:C244)</f>
        <v>0</v>
      </c>
      <c r="D235" s="210">
        <f>SUM(D238:D245)</f>
        <v>32060081.009999998</v>
      </c>
      <c r="E235" s="210">
        <f>SUM(E238:E245)</f>
        <v>32060081.009999998</v>
      </c>
      <c r="F235" s="211">
        <f>SUM(F238:F245)</f>
        <v>32060081.009999998</v>
      </c>
      <c r="G235" s="210">
        <f>SUM(G236:G245)</f>
        <v>11598412.65</v>
      </c>
      <c r="H235" s="88"/>
      <c r="N235" s="150"/>
    </row>
    <row r="236" spans="1:14" s="98" customFormat="1" ht="12.75" hidden="1" customHeight="1" x14ac:dyDescent="0.2">
      <c r="A236" s="202"/>
      <c r="B236" s="199" t="s">
        <v>235</v>
      </c>
      <c r="C236" s="212">
        <v>0</v>
      </c>
      <c r="D236" s="212">
        <v>0</v>
      </c>
      <c r="E236" s="113">
        <v>0</v>
      </c>
      <c r="F236" s="178">
        <v>0</v>
      </c>
      <c r="G236" s="114">
        <v>5992790.4299999997</v>
      </c>
      <c r="H236" s="88"/>
      <c r="N236" s="150"/>
    </row>
    <row r="237" spans="1:14" s="98" customFormat="1" ht="12.75" hidden="1" customHeight="1" x14ac:dyDescent="0.2">
      <c r="A237" s="202"/>
      <c r="B237" s="199" t="s">
        <v>236</v>
      </c>
      <c r="C237" s="212">
        <v>0</v>
      </c>
      <c r="D237" s="212">
        <v>0</v>
      </c>
      <c r="E237" s="113">
        <v>0</v>
      </c>
      <c r="F237" s="178">
        <v>0</v>
      </c>
      <c r="G237" s="114">
        <v>3605622.22</v>
      </c>
      <c r="H237" s="88"/>
      <c r="N237" s="150"/>
    </row>
    <row r="238" spans="1:14" s="98" customFormat="1" ht="12.75" hidden="1" customHeight="1" x14ac:dyDescent="0.2">
      <c r="A238" s="202"/>
      <c r="B238" s="199" t="s">
        <v>237</v>
      </c>
      <c r="C238" s="203">
        <v>0</v>
      </c>
      <c r="D238" s="203"/>
      <c r="E238" s="160"/>
      <c r="F238" s="178"/>
      <c r="G238" s="114"/>
      <c r="H238" s="88"/>
      <c r="N238" s="150"/>
    </row>
    <row r="239" spans="1:14" s="98" customFormat="1" ht="12.75" hidden="1" customHeight="1" x14ac:dyDescent="0.2">
      <c r="A239" s="202"/>
      <c r="B239" s="112" t="s">
        <v>238</v>
      </c>
      <c r="C239" s="203">
        <v>0</v>
      </c>
      <c r="D239" s="203">
        <v>192679.67</v>
      </c>
      <c r="E239" s="203">
        <v>192679.67</v>
      </c>
      <c r="F239" s="204">
        <v>192679.67</v>
      </c>
      <c r="G239" s="114"/>
      <c r="H239" s="88"/>
      <c r="N239" s="150"/>
    </row>
    <row r="240" spans="1:14" s="98" customFormat="1" ht="12.75" hidden="1" customHeight="1" x14ac:dyDescent="0.2">
      <c r="A240" s="202"/>
      <c r="B240" s="112" t="s">
        <v>239</v>
      </c>
      <c r="C240" s="203">
        <v>0</v>
      </c>
      <c r="D240" s="203">
        <v>6386647.3399999999</v>
      </c>
      <c r="E240" s="203">
        <v>6386647.3399999999</v>
      </c>
      <c r="F240" s="204">
        <v>6386647.3399999999</v>
      </c>
      <c r="G240" s="114"/>
      <c r="H240" s="88"/>
      <c r="N240" s="150"/>
    </row>
    <row r="241" spans="1:14" ht="12.75" hidden="1" customHeight="1" x14ac:dyDescent="0.2">
      <c r="A241" s="112"/>
      <c r="B241" s="112" t="s">
        <v>240</v>
      </c>
      <c r="C241" s="160">
        <v>0</v>
      </c>
      <c r="D241" s="160">
        <v>5887.5</v>
      </c>
      <c r="E241" s="160">
        <v>5887.5</v>
      </c>
      <c r="F241" s="178">
        <v>5887.5</v>
      </c>
      <c r="G241" s="114"/>
      <c r="H241" s="88"/>
      <c r="N241" s="150"/>
    </row>
    <row r="242" spans="1:14" ht="12.75" hidden="1" customHeight="1" x14ac:dyDescent="0.2">
      <c r="A242" s="112"/>
      <c r="B242" s="112" t="s">
        <v>241</v>
      </c>
      <c r="C242" s="160">
        <v>0</v>
      </c>
      <c r="D242" s="160">
        <v>100087.5</v>
      </c>
      <c r="E242" s="160">
        <v>100087.5</v>
      </c>
      <c r="F242" s="178">
        <v>100087.5</v>
      </c>
      <c r="G242" s="114"/>
      <c r="H242" s="88"/>
      <c r="N242" s="150"/>
    </row>
    <row r="243" spans="1:14" s="98" customFormat="1" ht="12.75" hidden="1" customHeight="1" x14ac:dyDescent="0.2">
      <c r="A243" s="183"/>
      <c r="B243" s="213" t="s">
        <v>242</v>
      </c>
      <c r="C243" s="214">
        <v>0</v>
      </c>
      <c r="D243" s="214">
        <v>0</v>
      </c>
      <c r="E243" s="214">
        <v>0</v>
      </c>
      <c r="F243" s="215">
        <v>0</v>
      </c>
      <c r="G243" s="179">
        <v>2000000</v>
      </c>
    </row>
    <row r="244" spans="1:14" ht="12.75" hidden="1" customHeight="1" x14ac:dyDescent="0.2">
      <c r="A244" s="112"/>
      <c r="B244" s="111" t="s">
        <v>243</v>
      </c>
      <c r="C244" s="160">
        <v>0</v>
      </c>
      <c r="D244" s="160">
        <v>25326779</v>
      </c>
      <c r="E244" s="160">
        <v>25326779</v>
      </c>
      <c r="F244" s="205">
        <v>25326779</v>
      </c>
      <c r="G244" s="114"/>
      <c r="H244" s="88"/>
      <c r="N244" s="150"/>
    </row>
    <row r="245" spans="1:14" ht="12.75" hidden="1" customHeight="1" x14ac:dyDescent="0.2">
      <c r="A245" s="112"/>
      <c r="B245" s="111" t="s">
        <v>244</v>
      </c>
      <c r="C245" s="160">
        <v>0</v>
      </c>
      <c r="D245" s="160">
        <v>48000</v>
      </c>
      <c r="E245" s="160">
        <v>48000</v>
      </c>
      <c r="F245" s="205">
        <v>48000</v>
      </c>
      <c r="G245" s="114"/>
      <c r="H245" s="88"/>
      <c r="N245" s="150"/>
    </row>
    <row r="246" spans="1:14" s="98" customFormat="1" ht="12.75" hidden="1" customHeight="1" x14ac:dyDescent="0.2">
      <c r="A246" s="144">
        <v>4222</v>
      </c>
      <c r="B246" s="182" t="s">
        <v>245</v>
      </c>
      <c r="C246" s="216">
        <f>SUM(C247:C250)</f>
        <v>3200000</v>
      </c>
      <c r="D246" s="216">
        <f>SUM(D247:D250)</f>
        <v>3614100</v>
      </c>
      <c r="E246" s="216">
        <f>SUM(E247:E250)</f>
        <v>414100</v>
      </c>
      <c r="F246" s="217">
        <f>SUM(F247:F250)</f>
        <v>297050</v>
      </c>
      <c r="G246" s="216">
        <f>SUM(G247:G250)</f>
        <v>9260000</v>
      </c>
      <c r="H246" s="32"/>
    </row>
    <row r="247" spans="1:14" s="2" customFormat="1" ht="12.75" hidden="1" customHeight="1" x14ac:dyDescent="0.2">
      <c r="A247" s="218"/>
      <c r="B247" s="219" t="s">
        <v>246</v>
      </c>
      <c r="C247" s="220">
        <v>3200000</v>
      </c>
      <c r="D247" s="220">
        <v>3200000</v>
      </c>
      <c r="E247" s="113"/>
      <c r="F247" s="178">
        <v>0</v>
      </c>
      <c r="G247" s="114">
        <v>3700000</v>
      </c>
      <c r="H247" s="32"/>
    </row>
    <row r="248" spans="1:14" s="98" customFormat="1" ht="12.75" hidden="1" customHeight="1" x14ac:dyDescent="0.2">
      <c r="A248" s="202"/>
      <c r="B248" s="199" t="s">
        <v>247</v>
      </c>
      <c r="C248" s="203">
        <v>0</v>
      </c>
      <c r="D248" s="203">
        <v>114100</v>
      </c>
      <c r="E248" s="160">
        <v>114100</v>
      </c>
      <c r="F248" s="178">
        <v>57050</v>
      </c>
      <c r="G248" s="114">
        <v>0</v>
      </c>
      <c r="H248" s="88"/>
      <c r="N248" s="150"/>
    </row>
    <row r="249" spans="1:14" s="98" customFormat="1" ht="12.75" hidden="1" customHeight="1" x14ac:dyDescent="0.2">
      <c r="A249" s="202"/>
      <c r="B249" s="199" t="s">
        <v>248</v>
      </c>
      <c r="C249" s="203">
        <v>0</v>
      </c>
      <c r="D249" s="203">
        <v>0</v>
      </c>
      <c r="E249" s="160">
        <v>0</v>
      </c>
      <c r="F249" s="178">
        <v>0</v>
      </c>
      <c r="G249" s="114">
        <v>5500000</v>
      </c>
      <c r="H249" s="88"/>
      <c r="N249" s="150"/>
    </row>
    <row r="250" spans="1:14" s="2" customFormat="1" ht="12.75" hidden="1" customHeight="1" x14ac:dyDescent="0.2">
      <c r="A250" s="218"/>
      <c r="B250" s="219" t="s">
        <v>249</v>
      </c>
      <c r="C250" s="220">
        <v>0</v>
      </c>
      <c r="D250" s="220">
        <v>300000</v>
      </c>
      <c r="E250" s="113">
        <v>300000</v>
      </c>
      <c r="F250" s="178">
        <v>240000</v>
      </c>
      <c r="G250" s="114">
        <v>60000</v>
      </c>
      <c r="H250" s="32"/>
    </row>
    <row r="251" spans="1:14" s="98" customFormat="1" ht="12.75" hidden="1" customHeight="1" x14ac:dyDescent="0.2">
      <c r="A251" s="221"/>
      <c r="B251" s="222"/>
      <c r="C251" s="163"/>
      <c r="D251" s="163"/>
      <c r="E251" s="223"/>
      <c r="F251" s="224"/>
      <c r="G251" s="223"/>
      <c r="H251" s="32"/>
    </row>
    <row r="252" spans="1:14" s="98" customFormat="1" ht="20.25" hidden="1" x14ac:dyDescent="0.3">
      <c r="A252" s="225"/>
      <c r="B252" s="90" t="s">
        <v>13</v>
      </c>
      <c r="C252" s="226">
        <f>SUM(C53+C87+C177+C198)</f>
        <v>684758000.00349998</v>
      </c>
      <c r="D252" s="226">
        <f>SUM(D53+D87+D177+D198)</f>
        <v>631052499.44350004</v>
      </c>
      <c r="E252" s="226">
        <f>SUM(E53+E87+E177+E198)</f>
        <v>646319550.84350002</v>
      </c>
      <c r="F252" s="226">
        <f>SUM(F53+F87+F177+F198)</f>
        <v>478397673.65999997</v>
      </c>
      <c r="G252" s="226">
        <f>SUM(G53+G87+G177+G198)</f>
        <v>705456679.22349989</v>
      </c>
      <c r="H252" s="32"/>
    </row>
    <row r="253" spans="1:14" s="98" customFormat="1" ht="12.75" hidden="1" customHeight="1" x14ac:dyDescent="0.25">
      <c r="A253" s="227"/>
      <c r="B253" s="228"/>
      <c r="C253" s="188"/>
      <c r="D253" s="188"/>
      <c r="E253" s="229"/>
      <c r="F253" s="230"/>
      <c r="G253" s="231"/>
      <c r="H253" s="32"/>
    </row>
    <row r="254" spans="1:14" s="98" customFormat="1" ht="15.75" hidden="1" x14ac:dyDescent="0.25">
      <c r="A254" s="167"/>
      <c r="B254" s="168" t="s">
        <v>14</v>
      </c>
      <c r="C254" s="232">
        <f>SUM(C255:C259)</f>
        <v>185331265.00000003</v>
      </c>
      <c r="D254" s="232">
        <f>SUM(D255:D259)</f>
        <v>169553420.91000003</v>
      </c>
      <c r="E254" s="232">
        <f>SUM(E255:E259)</f>
        <v>126483312.56</v>
      </c>
      <c r="F254" s="232">
        <f>SUM(F255:F259)</f>
        <v>-56083079.149999999</v>
      </c>
      <c r="G254" s="232">
        <f>SUM(G255:G259)</f>
        <v>180864066.03</v>
      </c>
      <c r="H254" s="32"/>
    </row>
    <row r="255" spans="1:14" ht="24.75" hidden="1" x14ac:dyDescent="0.2">
      <c r="A255" s="138">
        <v>8115</v>
      </c>
      <c r="B255" s="233" t="s">
        <v>250</v>
      </c>
      <c r="C255" s="140">
        <f>65936477.92+70000000</f>
        <v>135936477.92000002</v>
      </c>
      <c r="D255" s="140">
        <f>(65936477.92+70000000)-15777844.09</f>
        <v>120158633.83000001</v>
      </c>
      <c r="E255" s="105">
        <v>79088525.480000004</v>
      </c>
      <c r="F255" s="105">
        <v>-104450283.08</v>
      </c>
      <c r="G255" s="105">
        <f>34176081.95-197003+150200-1160000</f>
        <v>32969278.950000003</v>
      </c>
      <c r="H255" s="32"/>
    </row>
    <row r="256" spans="1:14" hidden="1" x14ac:dyDescent="0.2">
      <c r="A256" s="102">
        <v>8117</v>
      </c>
      <c r="B256" s="234" t="s">
        <v>251</v>
      </c>
      <c r="C256" s="197">
        <v>50000000</v>
      </c>
      <c r="D256" s="197">
        <v>50000000</v>
      </c>
      <c r="E256" s="197">
        <v>0</v>
      </c>
      <c r="F256" s="197">
        <v>50000000</v>
      </c>
      <c r="G256" s="105">
        <v>0</v>
      </c>
      <c r="H256" s="32"/>
    </row>
    <row r="257" spans="1:8" ht="24.75" hidden="1" x14ac:dyDescent="0.2">
      <c r="A257" s="102">
        <v>8123</v>
      </c>
      <c r="B257" s="234" t="s">
        <v>252</v>
      </c>
      <c r="C257" s="197">
        <v>0</v>
      </c>
      <c r="D257" s="197">
        <v>0</v>
      </c>
      <c r="E257" s="197">
        <v>0</v>
      </c>
      <c r="F257" s="197">
        <v>0</v>
      </c>
      <c r="G257" s="105">
        <v>100000000</v>
      </c>
      <c r="H257" s="32"/>
    </row>
    <row r="258" spans="1:8" ht="12.75" hidden="1" customHeight="1" x14ac:dyDescent="0.2">
      <c r="A258" s="102">
        <v>8125</v>
      </c>
      <c r="B258" s="234" t="s">
        <v>253</v>
      </c>
      <c r="C258" s="197">
        <v>0</v>
      </c>
      <c r="D258" s="197">
        <v>0</v>
      </c>
      <c r="E258" s="197">
        <v>50000000</v>
      </c>
      <c r="F258" s="197">
        <v>0</v>
      </c>
      <c r="G258" s="105">
        <v>50000000</v>
      </c>
      <c r="H258" s="32"/>
    </row>
    <row r="259" spans="1:8" s="235" customFormat="1" ht="12.75" hidden="1" customHeight="1" x14ac:dyDescent="0.4">
      <c r="A259" s="141">
        <v>8901</v>
      </c>
      <c r="B259" s="182" t="s">
        <v>254</v>
      </c>
      <c r="C259" s="145">
        <f>SUM(C260:C261)</f>
        <v>-605212.92000000004</v>
      </c>
      <c r="D259" s="145">
        <f>SUM(D260:D261)</f>
        <v>-605212.92000000004</v>
      </c>
      <c r="E259" s="145">
        <f>SUM(E260:E261)</f>
        <v>-2605212.92</v>
      </c>
      <c r="F259" s="145">
        <f>SUM(F260:F261)</f>
        <v>-1632796.07</v>
      </c>
      <c r="G259" s="145">
        <f>SUM(G260:G261)</f>
        <v>-2105212.92</v>
      </c>
      <c r="H259" s="32"/>
    </row>
    <row r="260" spans="1:8" s="236" customFormat="1" ht="12.75" hidden="1" customHeight="1" x14ac:dyDescent="0.35">
      <c r="A260" s="119"/>
      <c r="B260" s="237" t="s">
        <v>255</v>
      </c>
      <c r="C260" s="121">
        <v>-605212.92000000004</v>
      </c>
      <c r="D260" s="121">
        <v>-605212.92000000004</v>
      </c>
      <c r="E260" s="121">
        <v>-605212.92000000004</v>
      </c>
      <c r="F260" s="113">
        <v>-302606.46000000002</v>
      </c>
      <c r="G260" s="121">
        <v>-605212.92000000004</v>
      </c>
      <c r="H260" s="32"/>
    </row>
    <row r="261" spans="1:8" ht="12.75" hidden="1" customHeight="1" x14ac:dyDescent="0.2">
      <c r="A261" s="127"/>
      <c r="B261" s="127" t="s">
        <v>256</v>
      </c>
      <c r="C261" s="179">
        <v>0</v>
      </c>
      <c r="D261" s="179">
        <v>0</v>
      </c>
      <c r="E261" s="121">
        <v>-2000000</v>
      </c>
      <c r="F261" s="121">
        <f>-1632796.07+302606.46</f>
        <v>-1330189.6100000001</v>
      </c>
      <c r="G261" s="114">
        <v>-1500000</v>
      </c>
      <c r="H261" s="32"/>
    </row>
    <row r="262" spans="1:8" ht="12.75" hidden="1" customHeight="1" x14ac:dyDescent="0.2">
      <c r="A262" s="238"/>
      <c r="B262" s="238"/>
      <c r="C262" s="239"/>
      <c r="D262" s="239"/>
      <c r="E262" s="240"/>
      <c r="F262" s="240"/>
      <c r="G262" s="241"/>
      <c r="H262" s="32"/>
    </row>
    <row r="263" spans="1:8" s="85" customFormat="1" ht="24" hidden="1" customHeight="1" x14ac:dyDescent="0.4">
      <c r="A263" s="242"/>
      <c r="B263" s="35" t="s">
        <v>15</v>
      </c>
      <c r="C263" s="243">
        <f>SUM(C252+C254)</f>
        <v>870089265.00349998</v>
      </c>
      <c r="D263" s="243">
        <f>SUM(D252+D254)</f>
        <v>800605920.35350013</v>
      </c>
      <c r="E263" s="243">
        <f>SUM(E252+E254)</f>
        <v>772802863.40350008</v>
      </c>
      <c r="F263" s="243">
        <f>SUM(F252+F254)</f>
        <v>422314594.50999999</v>
      </c>
      <c r="G263" s="243">
        <f>SUM(G252+G254)</f>
        <v>886320745.25349987</v>
      </c>
      <c r="H263" s="32"/>
    </row>
    <row r="264" spans="1:8" s="244" customFormat="1" ht="26.25" hidden="1" x14ac:dyDescent="0.4">
      <c r="A264" s="245"/>
      <c r="B264" s="246"/>
      <c r="C264" s="247"/>
      <c r="D264" s="247"/>
      <c r="E264" s="248"/>
      <c r="F264" s="248"/>
      <c r="G264" s="249"/>
      <c r="H264" s="32"/>
    </row>
    <row r="265" spans="1:8" s="98" customFormat="1" ht="20.25" hidden="1" x14ac:dyDescent="0.3">
      <c r="A265" s="250"/>
      <c r="B265" s="90" t="s">
        <v>257</v>
      </c>
      <c r="C265" s="90"/>
      <c r="D265" s="90"/>
      <c r="E265" s="230"/>
      <c r="F265" s="230"/>
      <c r="G265" s="231"/>
      <c r="H265" s="32"/>
    </row>
    <row r="266" spans="1:8" ht="20.25" hidden="1" x14ac:dyDescent="0.3">
      <c r="A266" s="251"/>
      <c r="B266" s="90" t="s">
        <v>258</v>
      </c>
      <c r="C266" s="91">
        <f>C267+C280+C301+C315</f>
        <v>52448677</v>
      </c>
      <c r="D266" s="91">
        <f>D267+D280+D301+D315</f>
        <v>50917338</v>
      </c>
      <c r="E266" s="91">
        <f>E267+E280+E301+E315</f>
        <v>47778764.609999999</v>
      </c>
      <c r="F266" s="91">
        <f>F267+F280+F301+F315</f>
        <v>26310888.520000003</v>
      </c>
      <c r="G266" s="91">
        <f>G267+G280+G301+G315</f>
        <v>47057788.329999998</v>
      </c>
      <c r="H266" s="32"/>
    </row>
    <row r="267" spans="1:8" ht="15.75" hidden="1" x14ac:dyDescent="0.2">
      <c r="A267" s="252"/>
      <c r="B267" s="252" t="s">
        <v>259</v>
      </c>
      <c r="C267" s="253">
        <f>SUM(C268+C272+C277)</f>
        <v>1895000</v>
      </c>
      <c r="D267" s="253">
        <f>SUM(D268+D272+D277)</f>
        <v>1895000</v>
      </c>
      <c r="E267" s="253">
        <f>SUM(E268+E272+E277)</f>
        <v>1895000</v>
      </c>
      <c r="F267" s="253">
        <f>SUM(F268+F272+F277)</f>
        <v>440288.54000000004</v>
      </c>
      <c r="G267" s="253">
        <f>SUM(G268+G272+G277)</f>
        <v>1985000</v>
      </c>
      <c r="H267" s="32"/>
    </row>
    <row r="268" spans="1:8" hidden="1" x14ac:dyDescent="0.2">
      <c r="A268" s="254">
        <v>2310</v>
      </c>
      <c r="B268" s="254" t="s">
        <v>260</v>
      </c>
      <c r="C268" s="255">
        <f>SUM(C269:C271)</f>
        <v>495000</v>
      </c>
      <c r="D268" s="255">
        <f>SUM(D269:D271)</f>
        <v>495000</v>
      </c>
      <c r="E268" s="255">
        <f>SUM(E269:E271)</f>
        <v>495000</v>
      </c>
      <c r="F268" s="255">
        <f>SUM(F269:F271)</f>
        <v>71678</v>
      </c>
      <c r="G268" s="140">
        <f>SUM(G269:G271)</f>
        <v>265000</v>
      </c>
      <c r="H268" s="32"/>
    </row>
    <row r="269" spans="1:8" hidden="1" x14ac:dyDescent="0.2">
      <c r="A269" s="256" t="s">
        <v>261</v>
      </c>
      <c r="B269" s="128" t="s">
        <v>262</v>
      </c>
      <c r="C269" s="121">
        <v>15000</v>
      </c>
      <c r="D269" s="121">
        <v>15000</v>
      </c>
      <c r="E269" s="113">
        <v>15000</v>
      </c>
      <c r="F269" s="113">
        <v>0</v>
      </c>
      <c r="G269" s="114">
        <v>15000</v>
      </c>
      <c r="H269" s="32"/>
    </row>
    <row r="270" spans="1:8" hidden="1" x14ac:dyDescent="0.2">
      <c r="A270" s="256" t="s">
        <v>263</v>
      </c>
      <c r="B270" s="128" t="s">
        <v>264</v>
      </c>
      <c r="C270" s="257">
        <f>350000+30000</f>
        <v>380000</v>
      </c>
      <c r="D270" s="257">
        <v>380000</v>
      </c>
      <c r="E270" s="113">
        <v>380000</v>
      </c>
      <c r="F270" s="113">
        <v>0</v>
      </c>
      <c r="G270" s="114">
        <v>150000</v>
      </c>
      <c r="H270" s="32"/>
    </row>
    <row r="271" spans="1:8" hidden="1" x14ac:dyDescent="0.2">
      <c r="A271" s="256" t="s">
        <v>265</v>
      </c>
      <c r="B271" s="128" t="s">
        <v>266</v>
      </c>
      <c r="C271" s="121">
        <v>100000</v>
      </c>
      <c r="D271" s="121">
        <v>100000</v>
      </c>
      <c r="E271" s="114">
        <v>100000</v>
      </c>
      <c r="F271" s="114">
        <v>71678</v>
      </c>
      <c r="G271" s="114">
        <v>100000</v>
      </c>
      <c r="H271" s="88"/>
    </row>
    <row r="272" spans="1:8" hidden="1" x14ac:dyDescent="0.2">
      <c r="A272" s="144">
        <v>2321</v>
      </c>
      <c r="B272" s="144" t="s">
        <v>267</v>
      </c>
      <c r="C272" s="145">
        <f>SUM(C273+C274+C275+C276)</f>
        <v>1400000</v>
      </c>
      <c r="D272" s="145">
        <f>SUM(D273:D276)</f>
        <v>1400000</v>
      </c>
      <c r="E272" s="145">
        <f>SUM(E273:E276)</f>
        <v>1400000</v>
      </c>
      <c r="F272" s="145">
        <f>SUM(F273:F276)</f>
        <v>368610.54000000004</v>
      </c>
      <c r="G272" s="145">
        <f>SUM(G273:G276)</f>
        <v>1470000</v>
      </c>
      <c r="H272" s="32"/>
    </row>
    <row r="273" spans="1:8" hidden="1" x14ac:dyDescent="0.2">
      <c r="A273" s="256" t="s">
        <v>268</v>
      </c>
      <c r="B273" s="128" t="s">
        <v>269</v>
      </c>
      <c r="C273" s="121">
        <v>170000</v>
      </c>
      <c r="D273" s="121">
        <v>170000</v>
      </c>
      <c r="E273" s="113">
        <v>170000</v>
      </c>
      <c r="F273" s="113">
        <v>89294.34</v>
      </c>
      <c r="G273" s="114">
        <v>170000</v>
      </c>
      <c r="H273" s="88"/>
    </row>
    <row r="274" spans="1:8" hidden="1" x14ac:dyDescent="0.2">
      <c r="A274" s="256" t="s">
        <v>270</v>
      </c>
      <c r="B274" s="128" t="s">
        <v>271</v>
      </c>
      <c r="C274" s="121">
        <f>330000+100000</f>
        <v>430000</v>
      </c>
      <c r="D274" s="121">
        <v>730000</v>
      </c>
      <c r="E274" s="121">
        <v>730000</v>
      </c>
      <c r="F274" s="121">
        <v>188262.2</v>
      </c>
      <c r="G274" s="114">
        <v>500000</v>
      </c>
      <c r="H274" s="88"/>
    </row>
    <row r="275" spans="1:8" hidden="1" x14ac:dyDescent="0.2">
      <c r="A275" s="256" t="s">
        <v>272</v>
      </c>
      <c r="B275" s="128" t="s">
        <v>273</v>
      </c>
      <c r="C275" s="121">
        <v>500000</v>
      </c>
      <c r="D275" s="121">
        <v>200000</v>
      </c>
      <c r="E275" s="121">
        <v>200000</v>
      </c>
      <c r="F275" s="121">
        <v>91054</v>
      </c>
      <c r="G275" s="114">
        <v>500000</v>
      </c>
      <c r="H275" s="88"/>
    </row>
    <row r="276" spans="1:8" s="2" customFormat="1" ht="24.75" hidden="1" x14ac:dyDescent="0.2">
      <c r="A276" s="256" t="s">
        <v>272</v>
      </c>
      <c r="B276" s="120" t="s">
        <v>274</v>
      </c>
      <c r="C276" s="121">
        <v>300000</v>
      </c>
      <c r="D276" s="121">
        <v>300000</v>
      </c>
      <c r="E276" s="113">
        <v>300000</v>
      </c>
      <c r="F276" s="113">
        <v>0</v>
      </c>
      <c r="G276" s="114">
        <v>300000</v>
      </c>
      <c r="H276" s="32"/>
    </row>
    <row r="277" spans="1:8" hidden="1" x14ac:dyDescent="0.2">
      <c r="A277" s="144">
        <v>2333</v>
      </c>
      <c r="B277" s="144" t="s">
        <v>275</v>
      </c>
      <c r="C277" s="145">
        <f>SUM(C278:C279)</f>
        <v>0</v>
      </c>
      <c r="D277" s="145">
        <f>SUM(D278:D279)</f>
        <v>0</v>
      </c>
      <c r="E277" s="145">
        <f>SUM(E278:E279)</f>
        <v>0</v>
      </c>
      <c r="F277" s="145">
        <f>SUM(F278:F279)</f>
        <v>0</v>
      </c>
      <c r="G277" s="145">
        <f>SUM(G278:G279)</f>
        <v>250000</v>
      </c>
      <c r="H277" s="32"/>
    </row>
    <row r="278" spans="1:8" hidden="1" x14ac:dyDescent="0.2">
      <c r="A278" s="256" t="s">
        <v>276</v>
      </c>
      <c r="B278" s="128" t="s">
        <v>277</v>
      </c>
      <c r="C278" s="121">
        <v>0</v>
      </c>
      <c r="D278" s="121">
        <v>0</v>
      </c>
      <c r="E278" s="113">
        <v>0</v>
      </c>
      <c r="F278" s="113">
        <v>0</v>
      </c>
      <c r="G278" s="114">
        <v>100000</v>
      </c>
      <c r="H278" s="88"/>
    </row>
    <row r="279" spans="1:8" hidden="1" x14ac:dyDescent="0.2">
      <c r="A279" s="256" t="s">
        <v>278</v>
      </c>
      <c r="B279" s="128" t="s">
        <v>273</v>
      </c>
      <c r="C279" s="121">
        <v>0</v>
      </c>
      <c r="D279" s="121">
        <v>0</v>
      </c>
      <c r="E279" s="121">
        <v>0</v>
      </c>
      <c r="F279" s="121">
        <v>0</v>
      </c>
      <c r="G279" s="114">
        <v>150000</v>
      </c>
      <c r="H279" s="88"/>
    </row>
    <row r="280" spans="1:8" s="98" customFormat="1" ht="15.75" hidden="1" x14ac:dyDescent="0.25">
      <c r="A280" s="168"/>
      <c r="B280" s="168" t="s">
        <v>279</v>
      </c>
      <c r="C280" s="253">
        <f>SUM(C281+C293+C298)</f>
        <v>28251000</v>
      </c>
      <c r="D280" s="253">
        <f>SUM(D281+D293+D298)</f>
        <v>26869575</v>
      </c>
      <c r="E280" s="253">
        <f>SUM(E281+E293+E298)</f>
        <v>24033615</v>
      </c>
      <c r="F280" s="253">
        <f>SUM(F281+F293+F298)</f>
        <v>14287648.27</v>
      </c>
      <c r="G280" s="253">
        <f>SUM(G281+G293+G298)</f>
        <v>27050000</v>
      </c>
      <c r="H280" s="88"/>
    </row>
    <row r="281" spans="1:8" s="98" customFormat="1" hidden="1" x14ac:dyDescent="0.2">
      <c r="A281" s="258">
        <v>2212</v>
      </c>
      <c r="B281" s="259" t="s">
        <v>280</v>
      </c>
      <c r="C281" s="140">
        <f>SUM(C282,C286:C292)</f>
        <v>27881000</v>
      </c>
      <c r="D281" s="140">
        <f>SUM(D282,D286:D292)</f>
        <v>26496875</v>
      </c>
      <c r="E281" s="140">
        <f>SUM(E282,E286:E292)</f>
        <v>23660915</v>
      </c>
      <c r="F281" s="140">
        <f>SUM(F282,F286:F292)</f>
        <v>14197571.84</v>
      </c>
      <c r="G281" s="140">
        <f>SUM(G282,G286:G292)</f>
        <v>26600000</v>
      </c>
      <c r="H281" s="88"/>
    </row>
    <row r="282" spans="1:8" s="2" customFormat="1" hidden="1" x14ac:dyDescent="0.2">
      <c r="A282" s="155"/>
      <c r="B282" s="260" t="s">
        <v>281</v>
      </c>
      <c r="C282" s="121">
        <f>SUM(C283:C285)</f>
        <v>5025000</v>
      </c>
      <c r="D282" s="121">
        <f>SUM(D283:D285)</f>
        <v>5025000</v>
      </c>
      <c r="E282" s="121">
        <v>2200000</v>
      </c>
      <c r="F282" s="121">
        <f>SUM(F283:F285)</f>
        <v>0</v>
      </c>
      <c r="G282" s="121">
        <f>SUM(G283:G285)</f>
        <v>2400000</v>
      </c>
      <c r="H282" s="88"/>
    </row>
    <row r="283" spans="1:8" s="98" customFormat="1" hidden="1" x14ac:dyDescent="0.2">
      <c r="A283" s="256" t="s">
        <v>282</v>
      </c>
      <c r="B283" s="261" t="s">
        <v>283</v>
      </c>
      <c r="C283" s="121">
        <v>2500000</v>
      </c>
      <c r="D283" s="121">
        <v>2500000</v>
      </c>
      <c r="E283" s="160">
        <v>0</v>
      </c>
      <c r="F283" s="113">
        <v>0</v>
      </c>
      <c r="G283" s="114">
        <v>2200000</v>
      </c>
      <c r="H283" s="88"/>
    </row>
    <row r="284" spans="1:8" s="98" customFormat="1" hidden="1" x14ac:dyDescent="0.2">
      <c r="A284" s="256" t="s">
        <v>282</v>
      </c>
      <c r="B284" s="261" t="s">
        <v>284</v>
      </c>
      <c r="C284" s="121">
        <v>2525000</v>
      </c>
      <c r="D284" s="121">
        <v>2525000</v>
      </c>
      <c r="E284" s="160">
        <v>2525000</v>
      </c>
      <c r="F284" s="113">
        <v>0</v>
      </c>
      <c r="G284" s="114">
        <v>0</v>
      </c>
      <c r="H284" s="88"/>
    </row>
    <row r="285" spans="1:8" s="98" customFormat="1" hidden="1" x14ac:dyDescent="0.2">
      <c r="A285" s="256" t="s">
        <v>282</v>
      </c>
      <c r="B285" s="261" t="s">
        <v>285</v>
      </c>
      <c r="C285" s="123">
        <v>0</v>
      </c>
      <c r="D285" s="123">
        <v>0</v>
      </c>
      <c r="E285" s="160">
        <v>0</v>
      </c>
      <c r="F285" s="113">
        <v>0</v>
      </c>
      <c r="G285" s="114">
        <v>200000</v>
      </c>
      <c r="H285" s="88"/>
    </row>
    <row r="286" spans="1:8" s="98" customFormat="1" hidden="1" x14ac:dyDescent="0.2">
      <c r="A286" s="256" t="s">
        <v>286</v>
      </c>
      <c r="B286" s="127" t="s">
        <v>287</v>
      </c>
      <c r="C286" s="123">
        <v>2700000</v>
      </c>
      <c r="D286" s="123">
        <v>2711375</v>
      </c>
      <c r="E286" s="160">
        <v>2711375</v>
      </c>
      <c r="F286" s="113">
        <v>2036375</v>
      </c>
      <c r="G286" s="114">
        <v>3500000</v>
      </c>
      <c r="H286" s="88"/>
    </row>
    <row r="287" spans="1:8" s="98" customFormat="1" hidden="1" x14ac:dyDescent="0.2">
      <c r="A287" s="256" t="s">
        <v>286</v>
      </c>
      <c r="B287" s="127" t="s">
        <v>288</v>
      </c>
      <c r="C287" s="200">
        <v>17616000</v>
      </c>
      <c r="D287" s="200">
        <v>17720500</v>
      </c>
      <c r="E287" s="160">
        <v>17720500</v>
      </c>
      <c r="F287" s="113">
        <v>11848500</v>
      </c>
      <c r="G287" s="114">
        <v>18200000</v>
      </c>
      <c r="H287" s="88"/>
    </row>
    <row r="288" spans="1:8" s="98" customFormat="1" hidden="1" x14ac:dyDescent="0.2">
      <c r="A288" s="256" t="s">
        <v>289</v>
      </c>
      <c r="B288" s="127" t="s">
        <v>290</v>
      </c>
      <c r="C288" s="200">
        <v>0</v>
      </c>
      <c r="D288" s="200">
        <v>29040</v>
      </c>
      <c r="E288" s="160">
        <v>29040</v>
      </c>
      <c r="F288" s="113">
        <v>29040</v>
      </c>
      <c r="G288" s="114">
        <v>0</v>
      </c>
      <c r="H288" s="88"/>
    </row>
    <row r="289" spans="1:8" s="98" customFormat="1" hidden="1" x14ac:dyDescent="0.2">
      <c r="A289" s="256" t="s">
        <v>291</v>
      </c>
      <c r="B289" s="127" t="s">
        <v>292</v>
      </c>
      <c r="C289" s="121">
        <v>500000</v>
      </c>
      <c r="D289" s="121">
        <v>500000</v>
      </c>
      <c r="E289" s="179">
        <v>500000</v>
      </c>
      <c r="F289" s="121">
        <v>188197.84</v>
      </c>
      <c r="G289" s="114">
        <v>500000</v>
      </c>
      <c r="H289" s="88"/>
    </row>
    <row r="290" spans="1:8" s="98" customFormat="1" hidden="1" x14ac:dyDescent="0.2">
      <c r="A290" s="256" t="s">
        <v>293</v>
      </c>
      <c r="B290" s="127" t="s">
        <v>294</v>
      </c>
      <c r="C290" s="121">
        <v>500000</v>
      </c>
      <c r="D290" s="121">
        <v>470960</v>
      </c>
      <c r="E290" s="179">
        <v>500000</v>
      </c>
      <c r="F290" s="121">
        <v>95459</v>
      </c>
      <c r="G290" s="114">
        <v>500000</v>
      </c>
      <c r="H290" s="88"/>
    </row>
    <row r="291" spans="1:8" s="98" customFormat="1" hidden="1" x14ac:dyDescent="0.2">
      <c r="A291" s="256" t="s">
        <v>293</v>
      </c>
      <c r="B291" s="127" t="s">
        <v>295</v>
      </c>
      <c r="C291" s="121">
        <v>1500000</v>
      </c>
      <c r="D291" s="121">
        <v>0</v>
      </c>
      <c r="E291" s="179">
        <v>0</v>
      </c>
      <c r="F291" s="121">
        <v>0</v>
      </c>
      <c r="G291" s="114">
        <v>1500000</v>
      </c>
      <c r="H291" s="88"/>
    </row>
    <row r="292" spans="1:8" s="98" customFormat="1" hidden="1" x14ac:dyDescent="0.2">
      <c r="A292" s="256" t="s">
        <v>296</v>
      </c>
      <c r="B292" s="127" t="s">
        <v>297</v>
      </c>
      <c r="C292" s="121">
        <v>40000</v>
      </c>
      <c r="D292" s="121">
        <v>40000</v>
      </c>
      <c r="E292" s="179">
        <v>0</v>
      </c>
      <c r="F292" s="121">
        <v>0</v>
      </c>
      <c r="G292" s="114">
        <v>0</v>
      </c>
      <c r="H292" s="88"/>
    </row>
    <row r="293" spans="1:8" s="98" customFormat="1" hidden="1" x14ac:dyDescent="0.2">
      <c r="A293" s="144">
        <v>2219</v>
      </c>
      <c r="B293" s="262" t="s">
        <v>298</v>
      </c>
      <c r="C293" s="145">
        <f>SUM(C294:C297)</f>
        <v>220000</v>
      </c>
      <c r="D293" s="145">
        <f>SUM(D294:D297)</f>
        <v>222700</v>
      </c>
      <c r="E293" s="145">
        <f>SUM(E294:E297)</f>
        <v>222700</v>
      </c>
      <c r="F293" s="145">
        <f>SUM(F294:F297)</f>
        <v>66091.81</v>
      </c>
      <c r="G293" s="145">
        <f>SUM(G294:G297)</f>
        <v>300000</v>
      </c>
      <c r="H293" s="88"/>
    </row>
    <row r="294" spans="1:8" s="98" customFormat="1" hidden="1" x14ac:dyDescent="0.2">
      <c r="A294" s="256" t="s">
        <v>299</v>
      </c>
      <c r="B294" s="127" t="s">
        <v>300</v>
      </c>
      <c r="C294" s="121">
        <v>0</v>
      </c>
      <c r="D294" s="121">
        <v>0</v>
      </c>
      <c r="E294" s="160">
        <v>0</v>
      </c>
      <c r="F294" s="113">
        <v>0</v>
      </c>
      <c r="G294" s="114">
        <v>100000</v>
      </c>
      <c r="H294" s="88"/>
    </row>
    <row r="295" spans="1:8" s="98" customFormat="1" hidden="1" x14ac:dyDescent="0.2">
      <c r="A295" s="256" t="s">
        <v>301</v>
      </c>
      <c r="B295" s="127" t="s">
        <v>302</v>
      </c>
      <c r="C295" s="123">
        <v>200000</v>
      </c>
      <c r="D295" s="123">
        <v>200000</v>
      </c>
      <c r="E295" s="160">
        <v>200000</v>
      </c>
      <c r="F295" s="113">
        <v>63391.81</v>
      </c>
      <c r="G295" s="114">
        <v>200000</v>
      </c>
      <c r="H295" s="88"/>
    </row>
    <row r="296" spans="1:8" s="98" customFormat="1" hidden="1" x14ac:dyDescent="0.2">
      <c r="A296" s="256" t="s">
        <v>303</v>
      </c>
      <c r="B296" s="127" t="s">
        <v>304</v>
      </c>
      <c r="C296" s="123">
        <v>20000</v>
      </c>
      <c r="D296" s="123">
        <v>20000</v>
      </c>
      <c r="E296" s="160">
        <v>20000</v>
      </c>
      <c r="F296" s="113">
        <v>0</v>
      </c>
      <c r="G296" s="114">
        <v>0</v>
      </c>
      <c r="H296" s="88"/>
    </row>
    <row r="297" spans="1:8" s="98" customFormat="1" hidden="1" x14ac:dyDescent="0.2">
      <c r="A297" s="256" t="s">
        <v>305</v>
      </c>
      <c r="B297" s="127" t="s">
        <v>306</v>
      </c>
      <c r="C297" s="123">
        <v>0</v>
      </c>
      <c r="D297" s="123">
        <v>2700</v>
      </c>
      <c r="E297" s="160">
        <v>2700</v>
      </c>
      <c r="F297" s="113">
        <v>2700</v>
      </c>
      <c r="G297" s="114">
        <v>0</v>
      </c>
      <c r="H297" s="88"/>
    </row>
    <row r="298" spans="1:8" hidden="1" x14ac:dyDescent="0.2">
      <c r="A298" s="144">
        <v>2221</v>
      </c>
      <c r="B298" s="141" t="s">
        <v>307</v>
      </c>
      <c r="C298" s="197">
        <f>SUM(C299:C300)</f>
        <v>150000</v>
      </c>
      <c r="D298" s="197">
        <f>SUM(D299:D300)</f>
        <v>150000</v>
      </c>
      <c r="E298" s="197">
        <f>SUM(E299:E300)</f>
        <v>150000</v>
      </c>
      <c r="F298" s="197">
        <f>SUM(F299:F300)</f>
        <v>23984.62</v>
      </c>
      <c r="G298" s="197">
        <f>SUM(G299:G300)</f>
        <v>150000</v>
      </c>
      <c r="H298" s="88"/>
    </row>
    <row r="299" spans="1:8" hidden="1" x14ac:dyDescent="0.2">
      <c r="A299" s="256" t="s">
        <v>308</v>
      </c>
      <c r="B299" s="119" t="s">
        <v>309</v>
      </c>
      <c r="C299" s="121">
        <v>60000</v>
      </c>
      <c r="D299" s="121">
        <v>60000</v>
      </c>
      <c r="E299" s="121">
        <v>60000</v>
      </c>
      <c r="F299" s="113">
        <v>0</v>
      </c>
      <c r="G299" s="114">
        <v>60000</v>
      </c>
      <c r="H299" s="88"/>
    </row>
    <row r="300" spans="1:8" hidden="1" x14ac:dyDescent="0.2">
      <c r="A300" s="263" t="s">
        <v>310</v>
      </c>
      <c r="B300" s="264" t="s">
        <v>311</v>
      </c>
      <c r="C300" s="265">
        <v>90000</v>
      </c>
      <c r="D300" s="265">
        <v>90000</v>
      </c>
      <c r="E300" s="265">
        <v>90000</v>
      </c>
      <c r="F300" s="266">
        <v>23984.62</v>
      </c>
      <c r="G300" s="114">
        <v>90000</v>
      </c>
      <c r="H300" s="32"/>
    </row>
    <row r="301" spans="1:8" ht="15.75" hidden="1" x14ac:dyDescent="0.25">
      <c r="A301" s="168"/>
      <c r="B301" s="168" t="s">
        <v>312</v>
      </c>
      <c r="C301" s="169">
        <f>C302</f>
        <v>6934000</v>
      </c>
      <c r="D301" s="169">
        <f>D302</f>
        <v>6934000</v>
      </c>
      <c r="E301" s="169">
        <f>E302</f>
        <v>6639123.5999999996</v>
      </c>
      <c r="F301" s="169">
        <f>F302</f>
        <v>3111784.6</v>
      </c>
      <c r="G301" s="169">
        <f>G302</f>
        <v>2334000</v>
      </c>
      <c r="H301" s="88"/>
    </row>
    <row r="302" spans="1:8" hidden="1" x14ac:dyDescent="0.2">
      <c r="A302" s="254">
        <v>3639</v>
      </c>
      <c r="B302" s="254" t="s">
        <v>313</v>
      </c>
      <c r="C302" s="140">
        <f>SUM(C303:C314)</f>
        <v>6934000</v>
      </c>
      <c r="D302" s="140">
        <f>SUM(D303:D314)</f>
        <v>6934000</v>
      </c>
      <c r="E302" s="140">
        <f>SUM(E303:E314)</f>
        <v>6639123.5999999996</v>
      </c>
      <c r="F302" s="140">
        <f>SUM(F303:F314)</f>
        <v>3111784.6</v>
      </c>
      <c r="G302" s="140">
        <f>SUM(G303:G314)</f>
        <v>2334000</v>
      </c>
      <c r="H302" s="88"/>
    </row>
    <row r="303" spans="1:8" hidden="1" x14ac:dyDescent="0.2">
      <c r="A303" s="256" t="s">
        <v>314</v>
      </c>
      <c r="B303" s="155" t="s">
        <v>315</v>
      </c>
      <c r="C303" s="121">
        <v>6200000</v>
      </c>
      <c r="D303" s="121">
        <v>6200000</v>
      </c>
      <c r="E303" s="160">
        <v>5700000</v>
      </c>
      <c r="F303" s="113">
        <v>2900000</v>
      </c>
      <c r="G303" s="267">
        <v>1600000</v>
      </c>
      <c r="H303" s="88"/>
    </row>
    <row r="304" spans="1:8" hidden="1" x14ac:dyDescent="0.2">
      <c r="A304" s="256" t="s">
        <v>316</v>
      </c>
      <c r="B304" s="128" t="s">
        <v>317</v>
      </c>
      <c r="C304" s="121">
        <v>150000</v>
      </c>
      <c r="D304" s="121">
        <v>150000</v>
      </c>
      <c r="E304" s="203">
        <v>150000</v>
      </c>
      <c r="F304" s="113">
        <v>3206.5</v>
      </c>
      <c r="G304" s="114">
        <v>150000</v>
      </c>
      <c r="H304" s="88"/>
    </row>
    <row r="305" spans="1:8" hidden="1" x14ac:dyDescent="0.2">
      <c r="A305" s="268" t="s">
        <v>316</v>
      </c>
      <c r="B305" s="213" t="s">
        <v>318</v>
      </c>
      <c r="C305" s="121">
        <v>50000</v>
      </c>
      <c r="D305" s="121">
        <v>50000</v>
      </c>
      <c r="E305" s="121">
        <v>50000</v>
      </c>
      <c r="F305" s="121">
        <v>0</v>
      </c>
      <c r="G305" s="114">
        <v>50000</v>
      </c>
      <c r="H305" s="88"/>
    </row>
    <row r="306" spans="1:8" hidden="1" x14ac:dyDescent="0.2">
      <c r="A306" s="269" t="s">
        <v>319</v>
      </c>
      <c r="B306" s="128" t="s">
        <v>320</v>
      </c>
      <c r="C306" s="200">
        <v>50000</v>
      </c>
      <c r="D306" s="200">
        <v>15000</v>
      </c>
      <c r="E306" s="121">
        <v>15000</v>
      </c>
      <c r="F306" s="121">
        <v>0</v>
      </c>
      <c r="G306" s="114">
        <v>50000</v>
      </c>
      <c r="H306" s="88"/>
    </row>
    <row r="307" spans="1:8" hidden="1" x14ac:dyDescent="0.2">
      <c r="A307" s="269" t="s">
        <v>321</v>
      </c>
      <c r="B307" s="128" t="s">
        <v>322</v>
      </c>
      <c r="C307" s="121">
        <v>10000</v>
      </c>
      <c r="D307" s="200">
        <v>10000</v>
      </c>
      <c r="E307" s="121">
        <v>10000</v>
      </c>
      <c r="F307" s="121">
        <v>0</v>
      </c>
      <c r="G307" s="114">
        <v>10000</v>
      </c>
      <c r="H307" s="88"/>
    </row>
    <row r="308" spans="1:8" hidden="1" x14ac:dyDescent="0.2">
      <c r="A308" s="269" t="s">
        <v>323</v>
      </c>
      <c r="B308" s="128" t="s">
        <v>324</v>
      </c>
      <c r="C308" s="200">
        <v>4000</v>
      </c>
      <c r="D308" s="200">
        <v>4000</v>
      </c>
      <c r="E308" s="121">
        <v>4000</v>
      </c>
      <c r="F308" s="121">
        <v>0</v>
      </c>
      <c r="G308" s="114">
        <v>4000</v>
      </c>
      <c r="H308" s="88"/>
    </row>
    <row r="309" spans="1:8" hidden="1" x14ac:dyDescent="0.2">
      <c r="A309" s="269" t="s">
        <v>325</v>
      </c>
      <c r="B309" s="128" t="s">
        <v>326</v>
      </c>
      <c r="C309" s="200">
        <v>50000</v>
      </c>
      <c r="D309" s="200">
        <v>50000</v>
      </c>
      <c r="E309" s="121">
        <v>40123.599999999999</v>
      </c>
      <c r="F309" s="121">
        <v>40123.599999999999</v>
      </c>
      <c r="G309" s="114">
        <v>50000</v>
      </c>
      <c r="H309" s="88"/>
    </row>
    <row r="310" spans="1:8" hidden="1" x14ac:dyDescent="0.2">
      <c r="A310" s="269" t="s">
        <v>321</v>
      </c>
      <c r="B310" s="128" t="s">
        <v>327</v>
      </c>
      <c r="C310" s="200">
        <v>110000</v>
      </c>
      <c r="D310" s="200">
        <v>110000</v>
      </c>
      <c r="E310" s="121">
        <v>110000</v>
      </c>
      <c r="F310" s="121">
        <v>51689.5</v>
      </c>
      <c r="G310" s="114">
        <v>110000</v>
      </c>
      <c r="H310" s="88"/>
    </row>
    <row r="311" spans="1:8" hidden="1" x14ac:dyDescent="0.2">
      <c r="A311" s="269" t="s">
        <v>323</v>
      </c>
      <c r="B311" s="128" t="s">
        <v>328</v>
      </c>
      <c r="C311" s="200">
        <v>250000</v>
      </c>
      <c r="D311" s="200">
        <v>250000</v>
      </c>
      <c r="E311" s="121">
        <v>250000</v>
      </c>
      <c r="F311" s="121">
        <v>58704</v>
      </c>
      <c r="G311" s="114">
        <v>250000</v>
      </c>
      <c r="H311" s="88"/>
    </row>
    <row r="312" spans="1:8" hidden="1" x14ac:dyDescent="0.2">
      <c r="A312" s="269" t="s">
        <v>329</v>
      </c>
      <c r="B312" s="128" t="s">
        <v>330</v>
      </c>
      <c r="C312" s="200">
        <v>0</v>
      </c>
      <c r="D312" s="200">
        <v>35000</v>
      </c>
      <c r="E312" s="121">
        <v>250000</v>
      </c>
      <c r="F312" s="121">
        <v>35000</v>
      </c>
      <c r="G312" s="114">
        <v>0</v>
      </c>
      <c r="H312" s="88"/>
    </row>
    <row r="313" spans="1:8" hidden="1" x14ac:dyDescent="0.2">
      <c r="A313" s="269" t="s">
        <v>331</v>
      </c>
      <c r="B313" s="128" t="s">
        <v>332</v>
      </c>
      <c r="C313" s="200">
        <v>20000</v>
      </c>
      <c r="D313" s="200">
        <v>20000</v>
      </c>
      <c r="E313" s="121">
        <v>20000</v>
      </c>
      <c r="F313" s="121">
        <v>10000</v>
      </c>
      <c r="G313" s="114">
        <v>20000</v>
      </c>
      <c r="H313" s="88"/>
    </row>
    <row r="314" spans="1:8" hidden="1" x14ac:dyDescent="0.2">
      <c r="A314" s="256" t="s">
        <v>333</v>
      </c>
      <c r="B314" s="128" t="s">
        <v>334</v>
      </c>
      <c r="C314" s="200">
        <v>40000</v>
      </c>
      <c r="D314" s="200">
        <v>40000</v>
      </c>
      <c r="E314" s="121">
        <v>40000</v>
      </c>
      <c r="F314" s="121">
        <v>13061</v>
      </c>
      <c r="G314" s="114">
        <v>40000</v>
      </c>
      <c r="H314" s="88"/>
    </row>
    <row r="315" spans="1:8" ht="15.75" hidden="1" x14ac:dyDescent="0.25">
      <c r="A315" s="168"/>
      <c r="B315" s="168" t="s">
        <v>335</v>
      </c>
      <c r="C315" s="169">
        <f>SUM(C316,C319,C325,C333,C338,C348,C351)</f>
        <v>15368677</v>
      </c>
      <c r="D315" s="270">
        <f>SUM(D316,D319,D325,D333,D338,D348,D351)</f>
        <v>15218763</v>
      </c>
      <c r="E315" s="270">
        <f>SUM(E316,E319,E325,E333,E338,E348,E351)</f>
        <v>15211026.01</v>
      </c>
      <c r="F315" s="270">
        <f>SUM(F316,F319,F325,F333,F338,F348,F351)</f>
        <v>8471167.1100000013</v>
      </c>
      <c r="G315" s="270">
        <f>SUM(G316,G319,G325,G333,G338,G348,G351)</f>
        <v>15688788.33</v>
      </c>
      <c r="H315" s="88"/>
    </row>
    <row r="316" spans="1:8" hidden="1" x14ac:dyDescent="0.2">
      <c r="A316" s="254">
        <v>3341</v>
      </c>
      <c r="B316" s="254" t="s">
        <v>336</v>
      </c>
      <c r="C316" s="140">
        <f>SUM(C317:C318)</f>
        <v>150000</v>
      </c>
      <c r="D316" s="140">
        <f>SUM(D317:D318)</f>
        <v>150000</v>
      </c>
      <c r="E316" s="140">
        <f>SUM(E317:E318)</f>
        <v>150000</v>
      </c>
      <c r="F316" s="140">
        <f>SUM(F317:F318)</f>
        <v>12799.96</v>
      </c>
      <c r="G316" s="140">
        <f>SUM(G317:G318)</f>
        <v>150000</v>
      </c>
      <c r="H316" s="88"/>
    </row>
    <row r="317" spans="1:8" hidden="1" x14ac:dyDescent="0.2">
      <c r="A317" s="256" t="s">
        <v>337</v>
      </c>
      <c r="B317" s="155" t="s">
        <v>338</v>
      </c>
      <c r="C317" s="121">
        <v>150000</v>
      </c>
      <c r="D317" s="121">
        <v>146125</v>
      </c>
      <c r="E317" s="160">
        <v>146125</v>
      </c>
      <c r="F317" s="113">
        <v>8924.9599999999991</v>
      </c>
      <c r="G317" s="114">
        <v>145000</v>
      </c>
      <c r="H317" s="88"/>
    </row>
    <row r="318" spans="1:8" hidden="1" x14ac:dyDescent="0.2">
      <c r="A318" s="256" t="s">
        <v>339</v>
      </c>
      <c r="B318" s="155" t="s">
        <v>340</v>
      </c>
      <c r="C318" s="121">
        <v>0</v>
      </c>
      <c r="D318" s="121">
        <v>3875</v>
      </c>
      <c r="E318" s="160">
        <v>3875</v>
      </c>
      <c r="F318" s="113">
        <v>3875</v>
      </c>
      <c r="G318" s="114">
        <v>5000</v>
      </c>
      <c r="H318" s="88"/>
    </row>
    <row r="319" spans="1:8" hidden="1" x14ac:dyDescent="0.2">
      <c r="A319" s="139">
        <v>3421</v>
      </c>
      <c r="B319" s="144" t="s">
        <v>341</v>
      </c>
      <c r="C319" s="145">
        <f>SUM(C320:C324)</f>
        <v>830000</v>
      </c>
      <c r="D319" s="145">
        <f>SUM(D320:D324)</f>
        <v>830000</v>
      </c>
      <c r="E319" s="145">
        <f>SUM(E320:E324)</f>
        <v>830000</v>
      </c>
      <c r="F319" s="145">
        <f>SUM(F320:F324)</f>
        <v>315449.28000000003</v>
      </c>
      <c r="G319" s="145">
        <f>SUM(G320:G324)</f>
        <v>1880000</v>
      </c>
      <c r="H319" s="88"/>
    </row>
    <row r="320" spans="1:8" hidden="1" x14ac:dyDescent="0.2">
      <c r="A320" s="256" t="s">
        <v>342</v>
      </c>
      <c r="B320" s="271" t="s">
        <v>343</v>
      </c>
      <c r="C320" s="121">
        <v>10000</v>
      </c>
      <c r="D320" s="121">
        <v>10000</v>
      </c>
      <c r="E320" s="160">
        <v>10000</v>
      </c>
      <c r="F320" s="113">
        <v>0</v>
      </c>
      <c r="G320" s="123">
        <v>1000000</v>
      </c>
      <c r="H320" s="88"/>
    </row>
    <row r="321" spans="1:8" hidden="1" x14ac:dyDescent="0.2">
      <c r="A321" s="256" t="s">
        <v>344</v>
      </c>
      <c r="B321" s="271" t="s">
        <v>345</v>
      </c>
      <c r="C321" s="121">
        <v>100000</v>
      </c>
      <c r="D321" s="121">
        <v>100000</v>
      </c>
      <c r="E321" s="160">
        <v>100000</v>
      </c>
      <c r="F321" s="113">
        <v>0</v>
      </c>
      <c r="G321" s="123">
        <v>110000</v>
      </c>
      <c r="H321" s="88"/>
    </row>
    <row r="322" spans="1:8" hidden="1" x14ac:dyDescent="0.2">
      <c r="A322" s="268" t="s">
        <v>346</v>
      </c>
      <c r="B322" s="271" t="s">
        <v>347</v>
      </c>
      <c r="C322" s="121">
        <v>120000</v>
      </c>
      <c r="D322" s="121">
        <v>140000</v>
      </c>
      <c r="E322" s="160">
        <v>140000</v>
      </c>
      <c r="F322" s="113">
        <v>120456</v>
      </c>
      <c r="G322" s="123">
        <v>120000</v>
      </c>
      <c r="H322" s="88"/>
    </row>
    <row r="323" spans="1:8" hidden="1" x14ac:dyDescent="0.2">
      <c r="A323" s="256" t="s">
        <v>348</v>
      </c>
      <c r="B323" s="271" t="s">
        <v>349</v>
      </c>
      <c r="C323" s="121">
        <v>300000</v>
      </c>
      <c r="D323" s="121">
        <v>280000</v>
      </c>
      <c r="E323" s="160">
        <v>280000</v>
      </c>
      <c r="F323" s="113">
        <v>14520</v>
      </c>
      <c r="G323" s="123">
        <v>300000</v>
      </c>
      <c r="H323" s="88"/>
    </row>
    <row r="324" spans="1:8" hidden="1" x14ac:dyDescent="0.2">
      <c r="A324" s="256" t="s">
        <v>350</v>
      </c>
      <c r="B324" s="272" t="s">
        <v>351</v>
      </c>
      <c r="C324" s="121">
        <v>300000</v>
      </c>
      <c r="D324" s="121">
        <v>300000</v>
      </c>
      <c r="E324" s="160">
        <v>300000</v>
      </c>
      <c r="F324" s="113">
        <v>180473.28</v>
      </c>
      <c r="G324" s="114">
        <v>350000</v>
      </c>
      <c r="H324" s="88"/>
    </row>
    <row r="325" spans="1:8" hidden="1" x14ac:dyDescent="0.2">
      <c r="A325" s="144">
        <v>3613</v>
      </c>
      <c r="B325" s="144" t="s">
        <v>352</v>
      </c>
      <c r="C325" s="145">
        <f>SUM(C326:C332)</f>
        <v>895000</v>
      </c>
      <c r="D325" s="145">
        <f>SUM(D326:D332)</f>
        <v>995000</v>
      </c>
      <c r="E325" s="145">
        <f>SUM(E326:E332)</f>
        <v>995000</v>
      </c>
      <c r="F325" s="145">
        <f>SUM(F326:F332)</f>
        <v>349404.45</v>
      </c>
      <c r="G325" s="145">
        <f>SUM(G326:G332)</f>
        <v>995000</v>
      </c>
      <c r="H325" s="88"/>
    </row>
    <row r="326" spans="1:8" hidden="1" x14ac:dyDescent="0.2">
      <c r="A326" s="273" t="s">
        <v>353</v>
      </c>
      <c r="B326" s="274" t="s">
        <v>354</v>
      </c>
      <c r="C326" s="121">
        <v>5000</v>
      </c>
      <c r="D326" s="121">
        <v>5000</v>
      </c>
      <c r="E326" s="160">
        <v>5000</v>
      </c>
      <c r="F326" s="113">
        <v>0</v>
      </c>
      <c r="G326" s="114">
        <v>5000</v>
      </c>
      <c r="H326" s="88"/>
    </row>
    <row r="327" spans="1:8" hidden="1" x14ac:dyDescent="0.2">
      <c r="A327" s="273" t="s">
        <v>355</v>
      </c>
      <c r="B327" s="274" t="s">
        <v>356</v>
      </c>
      <c r="C327" s="121">
        <v>5000</v>
      </c>
      <c r="D327" s="121">
        <v>5000</v>
      </c>
      <c r="E327" s="160">
        <v>5000</v>
      </c>
      <c r="F327" s="113">
        <v>0</v>
      </c>
      <c r="G327" s="114">
        <v>5000</v>
      </c>
      <c r="H327" s="88"/>
    </row>
    <row r="328" spans="1:8" ht="12.75" hidden="1" customHeight="1" x14ac:dyDescent="0.2">
      <c r="A328" s="273" t="s">
        <v>357</v>
      </c>
      <c r="B328" s="128" t="s">
        <v>358</v>
      </c>
      <c r="C328" s="121">
        <v>175000</v>
      </c>
      <c r="D328" s="121">
        <v>175000</v>
      </c>
      <c r="E328" s="152">
        <v>175000</v>
      </c>
      <c r="F328" s="152">
        <v>33982.589999999997</v>
      </c>
      <c r="G328" s="114">
        <v>175000</v>
      </c>
      <c r="H328" s="88"/>
    </row>
    <row r="329" spans="1:8" hidden="1" x14ac:dyDescent="0.2">
      <c r="A329" s="273" t="s">
        <v>359</v>
      </c>
      <c r="B329" s="128" t="s">
        <v>360</v>
      </c>
      <c r="C329" s="121">
        <v>200000</v>
      </c>
      <c r="D329" s="121">
        <v>200000</v>
      </c>
      <c r="E329" s="114">
        <v>200000</v>
      </c>
      <c r="F329" s="114">
        <v>172638.85</v>
      </c>
      <c r="G329" s="114">
        <v>200000</v>
      </c>
      <c r="H329" s="88"/>
    </row>
    <row r="330" spans="1:8" hidden="1" x14ac:dyDescent="0.2">
      <c r="A330" s="273" t="s">
        <v>361</v>
      </c>
      <c r="B330" s="128" t="s">
        <v>362</v>
      </c>
      <c r="C330" s="121">
        <v>250000</v>
      </c>
      <c r="D330" s="121">
        <v>350000</v>
      </c>
      <c r="E330" s="114">
        <v>350000</v>
      </c>
      <c r="F330" s="114">
        <v>106312</v>
      </c>
      <c r="G330" s="114">
        <v>250000</v>
      </c>
      <c r="H330" s="88"/>
    </row>
    <row r="331" spans="1:8" hidden="1" x14ac:dyDescent="0.2">
      <c r="A331" s="273" t="s">
        <v>361</v>
      </c>
      <c r="B331" s="128" t="s">
        <v>363</v>
      </c>
      <c r="C331" s="121">
        <v>60000</v>
      </c>
      <c r="D331" s="121">
        <v>60000</v>
      </c>
      <c r="E331" s="114">
        <v>60000</v>
      </c>
      <c r="F331" s="114">
        <v>0</v>
      </c>
      <c r="G331" s="114">
        <v>60000</v>
      </c>
      <c r="H331" s="88"/>
    </row>
    <row r="332" spans="1:8" hidden="1" x14ac:dyDescent="0.2">
      <c r="A332" s="273" t="s">
        <v>364</v>
      </c>
      <c r="B332" s="128" t="s">
        <v>365</v>
      </c>
      <c r="C332" s="121">
        <v>200000</v>
      </c>
      <c r="D332" s="121">
        <v>200000</v>
      </c>
      <c r="E332" s="114">
        <v>200000</v>
      </c>
      <c r="F332" s="114">
        <v>36471.01</v>
      </c>
      <c r="G332" s="114">
        <v>300000</v>
      </c>
      <c r="H332" s="88"/>
    </row>
    <row r="333" spans="1:8" hidden="1" x14ac:dyDescent="0.2">
      <c r="A333" s="144">
        <v>3631</v>
      </c>
      <c r="B333" s="144" t="s">
        <v>366</v>
      </c>
      <c r="C333" s="145">
        <f>SUM(C334:C337)</f>
        <v>9150000</v>
      </c>
      <c r="D333" s="145">
        <f>SUM(D334:D337)</f>
        <v>9176125</v>
      </c>
      <c r="E333" s="145">
        <f>SUM(E334:E337)</f>
        <v>9176125</v>
      </c>
      <c r="F333" s="145">
        <f>SUM(F334:F337)</f>
        <v>6071448.4100000001</v>
      </c>
      <c r="G333" s="145">
        <f>SUM(G334:G337)</f>
        <v>9200000</v>
      </c>
      <c r="H333" s="88"/>
    </row>
    <row r="334" spans="1:8" hidden="1" x14ac:dyDescent="0.2">
      <c r="A334" s="273" t="s">
        <v>367</v>
      </c>
      <c r="B334" s="128" t="s">
        <v>368</v>
      </c>
      <c r="C334" s="121">
        <v>0</v>
      </c>
      <c r="D334" s="121">
        <v>100000</v>
      </c>
      <c r="E334" s="113">
        <v>100000</v>
      </c>
      <c r="F334" s="113">
        <v>16456</v>
      </c>
      <c r="G334" s="114">
        <v>600000</v>
      </c>
      <c r="H334" s="88"/>
    </row>
    <row r="335" spans="1:8" hidden="1" x14ac:dyDescent="0.2">
      <c r="A335" s="273" t="s">
        <v>369</v>
      </c>
      <c r="B335" s="128" t="s">
        <v>370</v>
      </c>
      <c r="C335" s="121">
        <v>700000</v>
      </c>
      <c r="D335" s="121">
        <v>600000</v>
      </c>
      <c r="E335" s="113">
        <v>600000</v>
      </c>
      <c r="F335" s="113">
        <v>8418.58</v>
      </c>
      <c r="G335" s="114">
        <v>100000</v>
      </c>
      <c r="H335" s="88"/>
    </row>
    <row r="336" spans="1:8" hidden="1" x14ac:dyDescent="0.2">
      <c r="A336" s="256" t="s">
        <v>371</v>
      </c>
      <c r="B336" s="128" t="s">
        <v>372</v>
      </c>
      <c r="C336" s="121">
        <v>3950000</v>
      </c>
      <c r="D336" s="121">
        <v>3976125</v>
      </c>
      <c r="E336" s="152">
        <v>3976125</v>
      </c>
      <c r="F336" s="152">
        <v>2666125</v>
      </c>
      <c r="G336" s="114">
        <v>4000000</v>
      </c>
      <c r="H336" s="88"/>
    </row>
    <row r="337" spans="1:8" hidden="1" x14ac:dyDescent="0.2">
      <c r="A337" s="256" t="s">
        <v>373</v>
      </c>
      <c r="B337" s="128" t="s">
        <v>374</v>
      </c>
      <c r="C337" s="121">
        <v>4500000</v>
      </c>
      <c r="D337" s="121">
        <v>4500000</v>
      </c>
      <c r="E337" s="117">
        <v>4500000</v>
      </c>
      <c r="F337" s="152">
        <v>3380448.83</v>
      </c>
      <c r="G337" s="114">
        <v>4500000</v>
      </c>
      <c r="H337" s="88"/>
    </row>
    <row r="338" spans="1:8" hidden="1" x14ac:dyDescent="0.2">
      <c r="A338" s="144">
        <v>3632</v>
      </c>
      <c r="B338" s="144" t="s">
        <v>375</v>
      </c>
      <c r="C338" s="145">
        <f>SUM(C339,C345:C347)</f>
        <v>4130000</v>
      </c>
      <c r="D338" s="145">
        <f>SUM(D339,D345:D347)</f>
        <v>3853961</v>
      </c>
      <c r="E338" s="145">
        <f>SUM(E339,E345:E347)</f>
        <v>3846112.6799999997</v>
      </c>
      <c r="F338" s="145">
        <f>SUM(F339,F345:F347)</f>
        <v>1713276.68</v>
      </c>
      <c r="G338" s="145">
        <f>SUM(G339,G345:G347)</f>
        <v>3250000</v>
      </c>
      <c r="H338" s="88"/>
    </row>
    <row r="339" spans="1:8" hidden="1" x14ac:dyDescent="0.2">
      <c r="A339" s="155"/>
      <c r="B339" s="155" t="s">
        <v>376</v>
      </c>
      <c r="C339" s="121">
        <f>SUM(C340:C344)</f>
        <v>1530000</v>
      </c>
      <c r="D339" s="121">
        <f>SUM(D340:D344)</f>
        <v>730000</v>
      </c>
      <c r="E339" s="121">
        <f>SUM(E340:E344)</f>
        <v>722151.67999999993</v>
      </c>
      <c r="F339" s="121">
        <f>SUM(F340:F344)</f>
        <v>351151.68</v>
      </c>
      <c r="G339" s="121">
        <f>SUM(G340:G344)</f>
        <v>650000</v>
      </c>
      <c r="H339" s="88"/>
    </row>
    <row r="340" spans="1:8" hidden="1" x14ac:dyDescent="0.2">
      <c r="A340" s="256" t="s">
        <v>377</v>
      </c>
      <c r="B340" s="128" t="s">
        <v>378</v>
      </c>
      <c r="C340" s="121">
        <v>371000</v>
      </c>
      <c r="D340" s="121">
        <v>371000</v>
      </c>
      <c r="E340" s="220">
        <v>371000</v>
      </c>
      <c r="F340" s="220">
        <v>0</v>
      </c>
      <c r="G340" s="114">
        <v>0</v>
      </c>
      <c r="H340" s="88"/>
    </row>
    <row r="341" spans="1:8" s="2" customFormat="1" hidden="1" x14ac:dyDescent="0.2">
      <c r="A341" s="256" t="s">
        <v>377</v>
      </c>
      <c r="B341" s="128" t="s">
        <v>379</v>
      </c>
      <c r="C341" s="121">
        <v>240000</v>
      </c>
      <c r="D341" s="121">
        <v>240000</v>
      </c>
      <c r="E341" s="121">
        <v>232571.68</v>
      </c>
      <c r="F341" s="275">
        <v>232571.68</v>
      </c>
      <c r="G341" s="114">
        <v>0</v>
      </c>
      <c r="H341" s="88"/>
    </row>
    <row r="342" spans="1:8" hidden="1" x14ac:dyDescent="0.2">
      <c r="A342" s="256" t="s">
        <v>377</v>
      </c>
      <c r="B342" s="128" t="s">
        <v>380</v>
      </c>
      <c r="C342" s="121">
        <v>119000</v>
      </c>
      <c r="D342" s="121">
        <v>119000</v>
      </c>
      <c r="E342" s="148">
        <v>118580</v>
      </c>
      <c r="F342" s="148">
        <v>118580</v>
      </c>
      <c r="G342" s="114">
        <v>0</v>
      </c>
      <c r="H342" s="88"/>
    </row>
    <row r="343" spans="1:8" hidden="1" x14ac:dyDescent="0.2">
      <c r="A343" s="256" t="s">
        <v>377</v>
      </c>
      <c r="B343" s="128" t="s">
        <v>381</v>
      </c>
      <c r="C343" s="121">
        <v>500000</v>
      </c>
      <c r="D343" s="121">
        <v>0</v>
      </c>
      <c r="E343" s="275">
        <v>0</v>
      </c>
      <c r="F343" s="275">
        <v>0</v>
      </c>
      <c r="G343" s="114">
        <v>0</v>
      </c>
      <c r="H343" s="88"/>
    </row>
    <row r="344" spans="1:8" hidden="1" x14ac:dyDescent="0.2">
      <c r="A344" s="256" t="s">
        <v>377</v>
      </c>
      <c r="B344" s="128" t="s">
        <v>382</v>
      </c>
      <c r="C344" s="121">
        <v>300000</v>
      </c>
      <c r="D344" s="121">
        <v>0</v>
      </c>
      <c r="E344" s="177">
        <v>0</v>
      </c>
      <c r="F344" s="177">
        <v>0</v>
      </c>
      <c r="G344" s="114">
        <v>650000</v>
      </c>
      <c r="H344" s="88"/>
    </row>
    <row r="345" spans="1:8" hidden="1" x14ac:dyDescent="0.2">
      <c r="A345" s="256" t="s">
        <v>383</v>
      </c>
      <c r="B345" s="128" t="s">
        <v>384</v>
      </c>
      <c r="C345" s="121">
        <v>2000000</v>
      </c>
      <c r="D345" s="121">
        <v>2523961</v>
      </c>
      <c r="E345" s="177">
        <v>2523961</v>
      </c>
      <c r="F345" s="177">
        <v>1362125</v>
      </c>
      <c r="G345" s="114">
        <v>2500000</v>
      </c>
      <c r="H345" s="88"/>
    </row>
    <row r="346" spans="1:8" s="98" customFormat="1" hidden="1" x14ac:dyDescent="0.2">
      <c r="A346" s="256" t="s">
        <v>385</v>
      </c>
      <c r="B346" s="128" t="s">
        <v>386</v>
      </c>
      <c r="C346" s="121">
        <v>500000</v>
      </c>
      <c r="D346" s="121">
        <v>500000</v>
      </c>
      <c r="E346" s="177">
        <v>500000</v>
      </c>
      <c r="F346" s="177">
        <v>0</v>
      </c>
      <c r="G346" s="123">
        <v>0</v>
      </c>
      <c r="H346" s="88"/>
    </row>
    <row r="347" spans="1:8" s="98" customFormat="1" hidden="1" x14ac:dyDescent="0.2">
      <c r="A347" s="256" t="s">
        <v>387</v>
      </c>
      <c r="B347" s="128" t="s">
        <v>388</v>
      </c>
      <c r="C347" s="121">
        <v>100000</v>
      </c>
      <c r="D347" s="121">
        <v>100000</v>
      </c>
      <c r="E347" s="177">
        <v>100000</v>
      </c>
      <c r="F347" s="177">
        <v>0</v>
      </c>
      <c r="G347" s="114">
        <v>100000</v>
      </c>
      <c r="H347" s="88"/>
    </row>
    <row r="348" spans="1:8" s="98" customFormat="1" hidden="1" x14ac:dyDescent="0.2">
      <c r="A348" s="144">
        <v>3639</v>
      </c>
      <c r="B348" s="144" t="s">
        <v>389</v>
      </c>
      <c r="C348" s="145">
        <f>SUM(C349:C350)</f>
        <v>13677</v>
      </c>
      <c r="D348" s="145">
        <f>SUM(D349:D350)</f>
        <v>13677</v>
      </c>
      <c r="E348" s="145">
        <f>SUM(E349:E350)</f>
        <v>13788.33</v>
      </c>
      <c r="F348" s="145">
        <f>SUM(F349:F350)</f>
        <v>8788.33</v>
      </c>
      <c r="G348" s="145">
        <f>SUM(G349:G350)</f>
        <v>13788.33</v>
      </c>
      <c r="H348" s="88"/>
    </row>
    <row r="349" spans="1:8" s="98" customFormat="1" hidden="1" x14ac:dyDescent="0.2">
      <c r="A349" s="256" t="s">
        <v>390</v>
      </c>
      <c r="B349" s="274" t="s">
        <v>391</v>
      </c>
      <c r="C349" s="121">
        <v>8677</v>
      </c>
      <c r="D349" s="121">
        <v>8788.33</v>
      </c>
      <c r="E349" s="121">
        <v>8788.33</v>
      </c>
      <c r="F349" s="121">
        <v>8788.33</v>
      </c>
      <c r="G349" s="121">
        <v>8788.33</v>
      </c>
      <c r="H349" s="88"/>
    </row>
    <row r="350" spans="1:8" s="98" customFormat="1" hidden="1" x14ac:dyDescent="0.2">
      <c r="A350" s="273" t="s">
        <v>392</v>
      </c>
      <c r="B350" s="128" t="s">
        <v>393</v>
      </c>
      <c r="C350" s="121">
        <v>5000</v>
      </c>
      <c r="D350" s="121">
        <v>4888.67</v>
      </c>
      <c r="E350" s="275">
        <v>5000</v>
      </c>
      <c r="F350" s="275">
        <v>0</v>
      </c>
      <c r="G350" s="114">
        <v>5000</v>
      </c>
      <c r="H350" s="88"/>
    </row>
    <row r="351" spans="1:8" s="98" customFormat="1" hidden="1" x14ac:dyDescent="0.2">
      <c r="A351" s="144">
        <v>3699</v>
      </c>
      <c r="B351" s="144" t="s">
        <v>394</v>
      </c>
      <c r="C351" s="145">
        <f>SUM(C352)</f>
        <v>200000</v>
      </c>
      <c r="D351" s="145">
        <f>SUM(D352)</f>
        <v>200000</v>
      </c>
      <c r="E351" s="145">
        <f>SUM(E352)</f>
        <v>200000</v>
      </c>
      <c r="F351" s="145">
        <f>SUM(F352)</f>
        <v>0</v>
      </c>
      <c r="G351" s="145">
        <f>SUM(G352)</f>
        <v>200000</v>
      </c>
      <c r="H351" s="88"/>
    </row>
    <row r="352" spans="1:8" s="98" customFormat="1" hidden="1" x14ac:dyDescent="0.2">
      <c r="A352" s="256" t="s">
        <v>395</v>
      </c>
      <c r="B352" s="128" t="s">
        <v>396</v>
      </c>
      <c r="C352" s="121">
        <v>200000</v>
      </c>
      <c r="D352" s="121">
        <v>200000</v>
      </c>
      <c r="E352" s="177">
        <v>200000</v>
      </c>
      <c r="F352" s="177">
        <v>0</v>
      </c>
      <c r="G352" s="114">
        <v>200000</v>
      </c>
      <c r="H352" s="88"/>
    </row>
    <row r="353" spans="1:8" s="98" customFormat="1" hidden="1" x14ac:dyDescent="0.2">
      <c r="A353" s="268"/>
      <c r="B353" s="276"/>
      <c r="C353" s="200"/>
      <c r="D353" s="200"/>
      <c r="E353" s="184"/>
      <c r="F353" s="184"/>
      <c r="G353" s="266"/>
      <c r="H353" s="88"/>
    </row>
    <row r="354" spans="1:8" s="98" customFormat="1" ht="20.25" hidden="1" x14ac:dyDescent="0.2">
      <c r="A354" s="277"/>
      <c r="B354" s="278" t="s">
        <v>397</v>
      </c>
      <c r="C354" s="279">
        <f>SUM(C355+C370+C432+C445+C476)</f>
        <v>79701343</v>
      </c>
      <c r="D354" s="280">
        <f>SUM(D355+D370+D432+D445+D476)</f>
        <v>69000343</v>
      </c>
      <c r="E354" s="281">
        <f>SUM(E355+E370+E432+E445+E476)</f>
        <v>1689192.23</v>
      </c>
      <c r="F354" s="279">
        <f>SUM(F355+F370+F432+F445+F476)</f>
        <v>5818563.0100000007</v>
      </c>
      <c r="G354" s="282">
        <f>SUM(G355+G370+G432+G445+G476)</f>
        <v>106524000</v>
      </c>
      <c r="H354" s="88"/>
    </row>
    <row r="355" spans="1:8" s="98" customFormat="1" ht="15.75" hidden="1" x14ac:dyDescent="0.2">
      <c r="A355" s="283"/>
      <c r="B355" s="284" t="s">
        <v>398</v>
      </c>
      <c r="C355" s="285">
        <f>SUM(C356+C361+C368)</f>
        <v>1000000</v>
      </c>
      <c r="D355" s="286">
        <f>SUM(D356+D361+D368)</f>
        <v>1004840</v>
      </c>
      <c r="E355" s="287">
        <f>SUM(E356+E361+E368)</f>
        <v>374258.72</v>
      </c>
      <c r="F355" s="288">
        <f>SUM(F356+F361+F368)</f>
        <v>380258.72</v>
      </c>
      <c r="G355" s="287">
        <f>SUM(G356+G361+G368)</f>
        <v>5530000</v>
      </c>
      <c r="H355" s="88"/>
    </row>
    <row r="356" spans="1:8" s="98" customFormat="1" hidden="1" x14ac:dyDescent="0.2">
      <c r="A356" s="289">
        <v>2310</v>
      </c>
      <c r="B356" s="290" t="s">
        <v>399</v>
      </c>
      <c r="C356" s="291">
        <f>SUM(C357:C360)</f>
        <v>150000</v>
      </c>
      <c r="D356" s="292">
        <f>SUM(D357:D360)</f>
        <v>150000</v>
      </c>
      <c r="E356" s="173">
        <f>SUM(E357:E360)</f>
        <v>0</v>
      </c>
      <c r="F356" s="293">
        <f>SUM(F357:F360)</f>
        <v>6000</v>
      </c>
      <c r="G356" s="173">
        <f>SUM(G357:G360)</f>
        <v>4950000</v>
      </c>
      <c r="H356" s="88"/>
    </row>
    <row r="357" spans="1:8" s="98" customFormat="1" hidden="1" x14ac:dyDescent="0.2">
      <c r="A357" s="294" t="s">
        <v>400</v>
      </c>
      <c r="B357" s="159" t="s">
        <v>401</v>
      </c>
      <c r="C357" s="295">
        <v>0</v>
      </c>
      <c r="D357" s="296">
        <v>8420</v>
      </c>
      <c r="E357" s="113"/>
      <c r="F357" s="297">
        <v>6000</v>
      </c>
      <c r="G357" s="113">
        <v>4800000</v>
      </c>
      <c r="H357" s="88"/>
    </row>
    <row r="358" spans="1:8" s="98" customFormat="1" hidden="1" x14ac:dyDescent="0.2">
      <c r="A358" s="294" t="s">
        <v>402</v>
      </c>
      <c r="B358" s="159" t="s">
        <v>403</v>
      </c>
      <c r="C358" s="295">
        <v>50000</v>
      </c>
      <c r="D358" s="296">
        <v>50000</v>
      </c>
      <c r="E358" s="113"/>
      <c r="F358" s="297">
        <v>0</v>
      </c>
      <c r="G358" s="113">
        <v>0</v>
      </c>
      <c r="H358" s="88"/>
    </row>
    <row r="359" spans="1:8" s="98" customFormat="1" hidden="1" x14ac:dyDescent="0.2">
      <c r="A359" s="294" t="s">
        <v>404</v>
      </c>
      <c r="B359" s="159" t="s">
        <v>405</v>
      </c>
      <c r="C359" s="295">
        <v>50000</v>
      </c>
      <c r="D359" s="296">
        <v>50000</v>
      </c>
      <c r="E359" s="113"/>
      <c r="F359" s="297">
        <v>0</v>
      </c>
      <c r="G359" s="113">
        <v>100000</v>
      </c>
      <c r="H359" s="88"/>
    </row>
    <row r="360" spans="1:8" s="98" customFormat="1" hidden="1" x14ac:dyDescent="0.2">
      <c r="A360" s="294" t="s">
        <v>406</v>
      </c>
      <c r="B360" s="159" t="s">
        <v>407</v>
      </c>
      <c r="C360" s="295">
        <v>50000</v>
      </c>
      <c r="D360" s="298">
        <v>41580</v>
      </c>
      <c r="E360" s="113"/>
      <c r="F360" s="299">
        <v>0</v>
      </c>
      <c r="G360" s="113">
        <v>50000</v>
      </c>
      <c r="H360" s="88"/>
    </row>
    <row r="361" spans="1:8" s="98" customFormat="1" hidden="1" x14ac:dyDescent="0.2">
      <c r="A361" s="106">
        <v>2321</v>
      </c>
      <c r="B361" s="107" t="s">
        <v>408</v>
      </c>
      <c r="C361" s="300">
        <f>SUM(C362:C366)</f>
        <v>850000</v>
      </c>
      <c r="D361" s="301">
        <f>SUM(D362:D366)</f>
        <v>850000</v>
      </c>
      <c r="E361" s="109">
        <f>SUM(E362:E366)</f>
        <v>369418.72</v>
      </c>
      <c r="F361" s="302">
        <f>SUM(F362:F366)</f>
        <v>369418.72</v>
      </c>
      <c r="G361" s="105">
        <f>SUM(G362:G367)</f>
        <v>580000</v>
      </c>
      <c r="H361" s="88"/>
    </row>
    <row r="362" spans="1:8" s="98" customFormat="1" hidden="1" x14ac:dyDescent="0.2">
      <c r="A362" s="294" t="s">
        <v>409</v>
      </c>
      <c r="B362" s="159" t="s">
        <v>410</v>
      </c>
      <c r="C362" s="303">
        <v>400000</v>
      </c>
      <c r="D362" s="304">
        <v>400000</v>
      </c>
      <c r="E362" s="113">
        <v>369418.72</v>
      </c>
      <c r="F362" s="305">
        <v>369418.72</v>
      </c>
      <c r="G362" s="113">
        <v>0</v>
      </c>
      <c r="H362" s="88"/>
    </row>
    <row r="363" spans="1:8" s="98" customFormat="1" hidden="1" x14ac:dyDescent="0.2">
      <c r="A363" s="294" t="s">
        <v>411</v>
      </c>
      <c r="B363" s="306" t="s">
        <v>412</v>
      </c>
      <c r="C363" s="295">
        <v>300000</v>
      </c>
      <c r="D363" s="304">
        <v>300000</v>
      </c>
      <c r="E363" s="114">
        <v>0</v>
      </c>
      <c r="F363" s="305">
        <v>0</v>
      </c>
      <c r="G363" s="113">
        <v>0</v>
      </c>
      <c r="H363" s="88"/>
    </row>
    <row r="364" spans="1:8" s="98" customFormat="1" hidden="1" x14ac:dyDescent="0.2">
      <c r="A364" s="294" t="s">
        <v>413</v>
      </c>
      <c r="B364" s="159" t="s">
        <v>414</v>
      </c>
      <c r="C364" s="303">
        <v>0</v>
      </c>
      <c r="D364" s="304">
        <v>0</v>
      </c>
      <c r="E364" s="113">
        <v>0</v>
      </c>
      <c r="F364" s="305">
        <v>0</v>
      </c>
      <c r="G364" s="113">
        <v>30000</v>
      </c>
      <c r="H364" s="88"/>
    </row>
    <row r="365" spans="1:8" s="98" customFormat="1" hidden="1" x14ac:dyDescent="0.2">
      <c r="A365" s="294" t="s">
        <v>415</v>
      </c>
      <c r="B365" s="159" t="s">
        <v>416</v>
      </c>
      <c r="C365" s="303">
        <v>100000</v>
      </c>
      <c r="D365" s="304">
        <v>100000</v>
      </c>
      <c r="E365" s="113"/>
      <c r="F365" s="305">
        <v>0</v>
      </c>
      <c r="G365" s="113">
        <v>400000</v>
      </c>
      <c r="H365" s="88"/>
    </row>
    <row r="366" spans="1:8" s="98" customFormat="1" hidden="1" x14ac:dyDescent="0.2">
      <c r="A366" s="294" t="s">
        <v>417</v>
      </c>
      <c r="B366" s="159" t="s">
        <v>418</v>
      </c>
      <c r="C366" s="303">
        <v>50000</v>
      </c>
      <c r="D366" s="304">
        <v>50000</v>
      </c>
      <c r="E366" s="113"/>
      <c r="F366" s="305">
        <v>0</v>
      </c>
      <c r="G366" s="114">
        <v>50000</v>
      </c>
      <c r="H366" s="88"/>
    </row>
    <row r="367" spans="1:8" s="98" customFormat="1" hidden="1" x14ac:dyDescent="0.2">
      <c r="A367" s="294" t="s">
        <v>419</v>
      </c>
      <c r="B367" s="159" t="s">
        <v>420</v>
      </c>
      <c r="C367" s="303">
        <v>0</v>
      </c>
      <c r="D367" s="304">
        <v>0</v>
      </c>
      <c r="E367" s="113">
        <v>0</v>
      </c>
      <c r="F367" s="305">
        <v>0</v>
      </c>
      <c r="G367" s="113">
        <v>100000</v>
      </c>
      <c r="H367" s="88"/>
    </row>
    <row r="368" spans="1:8" hidden="1" x14ac:dyDescent="0.2">
      <c r="A368" s="106">
        <v>2333</v>
      </c>
      <c r="B368" s="107" t="s">
        <v>421</v>
      </c>
      <c r="C368" s="300">
        <f>SUM(C369)</f>
        <v>0</v>
      </c>
      <c r="D368" s="301">
        <f>SUM(D369)</f>
        <v>4840</v>
      </c>
      <c r="E368" s="109">
        <f>SUM(E369)</f>
        <v>4840</v>
      </c>
      <c r="F368" s="302">
        <f>SUM(F369)</f>
        <v>4840</v>
      </c>
      <c r="G368" s="109">
        <f>SUM(G369)</f>
        <v>0</v>
      </c>
      <c r="H368" s="88"/>
    </row>
    <row r="369" spans="1:8" hidden="1" x14ac:dyDescent="0.2">
      <c r="A369" s="307" t="s">
        <v>422</v>
      </c>
      <c r="B369" s="308" t="s">
        <v>423</v>
      </c>
      <c r="C369" s="309">
        <v>0</v>
      </c>
      <c r="D369" s="310">
        <v>4840</v>
      </c>
      <c r="E369" s="143">
        <v>4840</v>
      </c>
      <c r="F369" s="311">
        <v>4840</v>
      </c>
      <c r="G369" s="143">
        <v>0</v>
      </c>
      <c r="H369" s="88"/>
    </row>
    <row r="370" spans="1:8" ht="15.75" hidden="1" x14ac:dyDescent="0.25">
      <c r="A370" s="312"/>
      <c r="B370" s="64" t="s">
        <v>424</v>
      </c>
      <c r="C370" s="285">
        <f>SUM(C371+C392+C427)</f>
        <v>28360000</v>
      </c>
      <c r="D370" s="286">
        <f>SUM(D371+D392+D427)</f>
        <v>26188160</v>
      </c>
      <c r="E370" s="287">
        <f>SUM(E371+E392+E427)</f>
        <v>850886.86</v>
      </c>
      <c r="F370" s="288">
        <f>SUM(F371+F392+F427)</f>
        <v>3217923.7600000002</v>
      </c>
      <c r="G370" s="287">
        <f>SUM(G371+G392+G427)</f>
        <v>41500500</v>
      </c>
      <c r="H370" s="88"/>
    </row>
    <row r="371" spans="1:8" hidden="1" x14ac:dyDescent="0.2">
      <c r="A371" s="289">
        <v>2212</v>
      </c>
      <c r="B371" s="290" t="s">
        <v>425</v>
      </c>
      <c r="C371" s="291">
        <f>SUM(C372:C387)</f>
        <v>8970000</v>
      </c>
      <c r="D371" s="292">
        <f>SUM(D372:D387)</f>
        <v>6790000</v>
      </c>
      <c r="E371" s="173">
        <f>SUM(E372:E387)</f>
        <v>104410.5</v>
      </c>
      <c r="F371" s="293">
        <f>SUM(F372:F387)</f>
        <v>2229037.41</v>
      </c>
      <c r="G371" s="173">
        <f>SUM(G372:G391)</f>
        <v>14360000</v>
      </c>
      <c r="H371" s="88"/>
    </row>
    <row r="372" spans="1:8" hidden="1" x14ac:dyDescent="0.2">
      <c r="A372" s="294" t="s">
        <v>293</v>
      </c>
      <c r="B372" s="159" t="s">
        <v>426</v>
      </c>
      <c r="C372" s="295">
        <v>200000</v>
      </c>
      <c r="D372" s="296">
        <v>200000</v>
      </c>
      <c r="E372" s="113"/>
      <c r="F372" s="297">
        <v>68480</v>
      </c>
      <c r="G372" s="113">
        <v>250000</v>
      </c>
      <c r="H372" s="88"/>
    </row>
    <row r="373" spans="1:8" hidden="1" x14ac:dyDescent="0.2">
      <c r="A373" s="294" t="s">
        <v>291</v>
      </c>
      <c r="B373" s="159" t="s">
        <v>427</v>
      </c>
      <c r="C373" s="295">
        <v>6000000</v>
      </c>
      <c r="D373" s="296">
        <v>4470000</v>
      </c>
      <c r="E373" s="113"/>
      <c r="F373" s="297">
        <v>1948524.91</v>
      </c>
      <c r="G373" s="113">
        <v>5000000</v>
      </c>
      <c r="H373" s="88"/>
    </row>
    <row r="374" spans="1:8" hidden="1" x14ac:dyDescent="0.2">
      <c r="A374" s="294" t="s">
        <v>428</v>
      </c>
      <c r="B374" s="159" t="s">
        <v>429</v>
      </c>
      <c r="C374" s="295">
        <v>600000</v>
      </c>
      <c r="D374" s="296">
        <v>600000</v>
      </c>
      <c r="E374" s="113"/>
      <c r="F374" s="297">
        <v>0</v>
      </c>
      <c r="G374" s="113">
        <v>700000</v>
      </c>
      <c r="H374" s="88"/>
    </row>
    <row r="375" spans="1:8" hidden="1" x14ac:dyDescent="0.2">
      <c r="A375" s="294" t="s">
        <v>430</v>
      </c>
      <c r="B375" s="159" t="s">
        <v>431</v>
      </c>
      <c r="C375" s="295">
        <v>150000</v>
      </c>
      <c r="D375" s="296">
        <v>150000</v>
      </c>
      <c r="E375" s="113"/>
      <c r="F375" s="297">
        <v>0</v>
      </c>
      <c r="G375" s="113">
        <v>2300000</v>
      </c>
      <c r="H375" s="88"/>
    </row>
    <row r="376" spans="1:8" hidden="1" x14ac:dyDescent="0.2">
      <c r="A376" s="294" t="s">
        <v>432</v>
      </c>
      <c r="B376" s="159" t="s">
        <v>433</v>
      </c>
      <c r="C376" s="295">
        <v>50000</v>
      </c>
      <c r="D376" s="296">
        <v>48648</v>
      </c>
      <c r="E376" s="113">
        <v>48327</v>
      </c>
      <c r="F376" s="297">
        <v>48327</v>
      </c>
      <c r="G376" s="113">
        <v>0</v>
      </c>
      <c r="H376" s="88"/>
    </row>
    <row r="377" spans="1:8" hidden="1" x14ac:dyDescent="0.2">
      <c r="A377" s="294" t="s">
        <v>434</v>
      </c>
      <c r="B377" s="159" t="s">
        <v>435</v>
      </c>
      <c r="C377" s="295">
        <v>300000</v>
      </c>
      <c r="D377" s="296">
        <v>104000</v>
      </c>
      <c r="E377" s="113"/>
      <c r="F377" s="297">
        <v>0</v>
      </c>
      <c r="G377" s="113">
        <v>0</v>
      </c>
      <c r="H377" s="88"/>
    </row>
    <row r="378" spans="1:8" hidden="1" x14ac:dyDescent="0.2">
      <c r="A378" s="294" t="s">
        <v>436</v>
      </c>
      <c r="B378" s="159" t="s">
        <v>437</v>
      </c>
      <c r="C378" s="295">
        <v>50000</v>
      </c>
      <c r="D378" s="296">
        <v>110352</v>
      </c>
      <c r="E378" s="113"/>
      <c r="F378" s="297">
        <v>20449</v>
      </c>
      <c r="G378" s="113">
        <v>1500000</v>
      </c>
      <c r="H378" s="88"/>
    </row>
    <row r="379" spans="1:8" hidden="1" x14ac:dyDescent="0.2">
      <c r="A379" s="294" t="s">
        <v>438</v>
      </c>
      <c r="B379" s="159" t="s">
        <v>439</v>
      </c>
      <c r="C379" s="295">
        <v>200000</v>
      </c>
      <c r="D379" s="296">
        <v>200000</v>
      </c>
      <c r="E379" s="113"/>
      <c r="F379" s="297">
        <v>44770</v>
      </c>
      <c r="G379" s="113">
        <v>170000</v>
      </c>
      <c r="H379" s="88"/>
    </row>
    <row r="380" spans="1:8" hidden="1" x14ac:dyDescent="0.2">
      <c r="A380" s="294" t="s">
        <v>440</v>
      </c>
      <c r="B380" s="159" t="s">
        <v>441</v>
      </c>
      <c r="C380" s="295">
        <v>600000</v>
      </c>
      <c r="D380" s="296">
        <v>50000</v>
      </c>
      <c r="E380" s="113"/>
      <c r="F380" s="297">
        <v>0</v>
      </c>
      <c r="G380" s="113">
        <v>200000</v>
      </c>
      <c r="H380" s="88"/>
    </row>
    <row r="381" spans="1:8" hidden="1" x14ac:dyDescent="0.2">
      <c r="A381" s="294" t="s">
        <v>442</v>
      </c>
      <c r="B381" s="159" t="s">
        <v>443</v>
      </c>
      <c r="C381" s="295">
        <v>70000</v>
      </c>
      <c r="D381" s="296">
        <v>70000</v>
      </c>
      <c r="E381" s="113"/>
      <c r="F381" s="297">
        <v>29335</v>
      </c>
      <c r="G381" s="113">
        <v>0</v>
      </c>
      <c r="H381" s="88"/>
    </row>
    <row r="382" spans="1:8" hidden="1" x14ac:dyDescent="0.2">
      <c r="A382" s="294" t="s">
        <v>444</v>
      </c>
      <c r="B382" s="159" t="s">
        <v>445</v>
      </c>
      <c r="C382" s="295">
        <v>150000</v>
      </c>
      <c r="D382" s="296">
        <v>150000</v>
      </c>
      <c r="E382" s="113"/>
      <c r="F382" s="297">
        <v>13068</v>
      </c>
      <c r="G382" s="113">
        <v>1400000</v>
      </c>
      <c r="H382" s="88"/>
    </row>
    <row r="383" spans="1:8" hidden="1" x14ac:dyDescent="0.2">
      <c r="A383" s="294" t="s">
        <v>446</v>
      </c>
      <c r="B383" s="159" t="s">
        <v>447</v>
      </c>
      <c r="C383" s="295">
        <v>0</v>
      </c>
      <c r="D383" s="296">
        <v>80000</v>
      </c>
      <c r="E383" s="113" t="s">
        <v>448</v>
      </c>
      <c r="F383" s="297">
        <v>0</v>
      </c>
      <c r="G383" s="113">
        <f>350000+300000</f>
        <v>650000</v>
      </c>
      <c r="H383" s="88"/>
    </row>
    <row r="384" spans="1:8" hidden="1" x14ac:dyDescent="0.2">
      <c r="A384" s="294" t="s">
        <v>449</v>
      </c>
      <c r="B384" s="159" t="s">
        <v>450</v>
      </c>
      <c r="C384" s="295">
        <v>0</v>
      </c>
      <c r="D384" s="296">
        <v>57000</v>
      </c>
      <c r="E384" s="113">
        <v>56083.5</v>
      </c>
      <c r="F384" s="297">
        <v>56083.5</v>
      </c>
      <c r="G384" s="113">
        <v>650000</v>
      </c>
      <c r="H384" s="88"/>
    </row>
    <row r="385" spans="1:8" hidden="1" x14ac:dyDescent="0.2">
      <c r="A385" s="294" t="s">
        <v>451</v>
      </c>
      <c r="B385" s="159" t="s">
        <v>452</v>
      </c>
      <c r="C385" s="295">
        <v>0</v>
      </c>
      <c r="D385" s="296">
        <v>0</v>
      </c>
      <c r="E385" s="113">
        <v>0</v>
      </c>
      <c r="F385" s="297">
        <v>0</v>
      </c>
      <c r="G385" s="113">
        <v>90000</v>
      </c>
      <c r="H385" s="88"/>
    </row>
    <row r="386" spans="1:8" hidden="1" x14ac:dyDescent="0.2">
      <c r="A386" s="294" t="s">
        <v>453</v>
      </c>
      <c r="B386" s="159" t="s">
        <v>454</v>
      </c>
      <c r="C386" s="295">
        <v>100000</v>
      </c>
      <c r="D386" s="296">
        <v>100000</v>
      </c>
      <c r="E386" s="113"/>
      <c r="F386" s="297">
        <v>0</v>
      </c>
      <c r="G386" s="113">
        <v>350000</v>
      </c>
      <c r="H386" s="88"/>
    </row>
    <row r="387" spans="1:8" hidden="1" x14ac:dyDescent="0.2">
      <c r="A387" s="294" t="s">
        <v>455</v>
      </c>
      <c r="B387" s="159" t="s">
        <v>456</v>
      </c>
      <c r="C387" s="295">
        <v>500000</v>
      </c>
      <c r="D387" s="296">
        <v>400000</v>
      </c>
      <c r="E387" s="113"/>
      <c r="F387" s="297">
        <v>0</v>
      </c>
      <c r="G387" s="113">
        <v>500000</v>
      </c>
      <c r="H387" s="88"/>
    </row>
    <row r="388" spans="1:8" hidden="1" x14ac:dyDescent="0.2">
      <c r="A388" s="294" t="s">
        <v>457</v>
      </c>
      <c r="B388" s="159" t="s">
        <v>458</v>
      </c>
      <c r="C388" s="295">
        <v>0</v>
      </c>
      <c r="D388" s="296">
        <v>0</v>
      </c>
      <c r="E388" s="113">
        <v>0</v>
      </c>
      <c r="F388" s="297">
        <v>0</v>
      </c>
      <c r="G388" s="113">
        <v>100000</v>
      </c>
      <c r="H388" s="88"/>
    </row>
    <row r="389" spans="1:8" hidden="1" x14ac:dyDescent="0.2">
      <c r="A389" s="294" t="s">
        <v>457</v>
      </c>
      <c r="B389" s="159" t="s">
        <v>459</v>
      </c>
      <c r="C389" s="295">
        <v>0</v>
      </c>
      <c r="D389" s="296">
        <v>0</v>
      </c>
      <c r="E389" s="113">
        <v>0</v>
      </c>
      <c r="F389" s="297">
        <v>0</v>
      </c>
      <c r="G389" s="113">
        <v>400000</v>
      </c>
      <c r="H389" s="88"/>
    </row>
    <row r="390" spans="1:8" hidden="1" x14ac:dyDescent="0.2">
      <c r="A390" s="294" t="s">
        <v>457</v>
      </c>
      <c r="B390" s="159" t="s">
        <v>460</v>
      </c>
      <c r="C390" s="295">
        <v>0</v>
      </c>
      <c r="D390" s="296">
        <v>0</v>
      </c>
      <c r="E390" s="113">
        <v>0</v>
      </c>
      <c r="F390" s="297">
        <v>0</v>
      </c>
      <c r="G390" s="113">
        <v>0</v>
      </c>
      <c r="H390" s="88"/>
    </row>
    <row r="391" spans="1:8" hidden="1" x14ac:dyDescent="0.2">
      <c r="A391" s="294" t="s">
        <v>457</v>
      </c>
      <c r="B391" s="159" t="s">
        <v>461</v>
      </c>
      <c r="C391" s="295">
        <v>0</v>
      </c>
      <c r="D391" s="296">
        <v>0</v>
      </c>
      <c r="E391" s="113">
        <v>0</v>
      </c>
      <c r="F391" s="297">
        <v>0</v>
      </c>
      <c r="G391" s="113">
        <v>100000</v>
      </c>
      <c r="H391" s="88"/>
    </row>
    <row r="392" spans="1:8" hidden="1" x14ac:dyDescent="0.2">
      <c r="A392" s="106">
        <v>2219</v>
      </c>
      <c r="B392" s="107" t="s">
        <v>462</v>
      </c>
      <c r="C392" s="300">
        <f>SUM(C393:C426)</f>
        <v>19390000</v>
      </c>
      <c r="D392" s="313">
        <f>SUM(D393:D426)</f>
        <v>18843480</v>
      </c>
      <c r="E392" s="109">
        <f>SUM(E393:E426)</f>
        <v>206710.5</v>
      </c>
      <c r="F392" s="153">
        <f>SUM(F393:F426)</f>
        <v>724205.41999999993</v>
      </c>
      <c r="G392" s="109">
        <f>SUM(G393:G426)</f>
        <v>27080500</v>
      </c>
      <c r="H392" s="88"/>
    </row>
    <row r="393" spans="1:8" hidden="1" x14ac:dyDescent="0.2">
      <c r="A393" s="294" t="s">
        <v>299</v>
      </c>
      <c r="B393" s="159" t="s">
        <v>463</v>
      </c>
      <c r="C393" s="295">
        <v>200000</v>
      </c>
      <c r="D393" s="296">
        <v>200000</v>
      </c>
      <c r="E393" s="113"/>
      <c r="F393" s="297">
        <v>19688</v>
      </c>
      <c r="G393" s="113">
        <v>200000</v>
      </c>
      <c r="H393" s="88"/>
    </row>
    <row r="394" spans="1:8" hidden="1" x14ac:dyDescent="0.2">
      <c r="A394" s="294" t="s">
        <v>301</v>
      </c>
      <c r="B394" s="159" t="s">
        <v>464</v>
      </c>
      <c r="C394" s="295">
        <v>3000000</v>
      </c>
      <c r="D394" s="296">
        <v>3000000</v>
      </c>
      <c r="E394" s="113"/>
      <c r="F394" s="297">
        <v>0</v>
      </c>
      <c r="G394" s="113">
        <v>3000000</v>
      </c>
      <c r="H394" s="88"/>
    </row>
    <row r="395" spans="1:8" hidden="1" x14ac:dyDescent="0.2">
      <c r="A395" s="294" t="s">
        <v>465</v>
      </c>
      <c r="B395" s="159" t="s">
        <v>466</v>
      </c>
      <c r="C395" s="295">
        <v>100000</v>
      </c>
      <c r="D395" s="296">
        <v>100000</v>
      </c>
      <c r="E395" s="113" t="s">
        <v>448</v>
      </c>
      <c r="F395" s="297">
        <v>0</v>
      </c>
      <c r="G395" s="113">
        <v>0</v>
      </c>
      <c r="H395" s="88"/>
    </row>
    <row r="396" spans="1:8" hidden="1" x14ac:dyDescent="0.2">
      <c r="A396" s="294" t="s">
        <v>467</v>
      </c>
      <c r="B396" s="159" t="s">
        <v>468</v>
      </c>
      <c r="C396" s="295">
        <v>200000</v>
      </c>
      <c r="D396" s="296">
        <v>233530</v>
      </c>
      <c r="E396" s="113"/>
      <c r="F396" s="297">
        <v>0</v>
      </c>
      <c r="G396" s="113">
        <v>200000</v>
      </c>
      <c r="H396" s="88"/>
    </row>
    <row r="397" spans="1:8" hidden="1" x14ac:dyDescent="0.2">
      <c r="A397" s="294" t="s">
        <v>469</v>
      </c>
      <c r="B397" s="159" t="s">
        <v>470</v>
      </c>
      <c r="C397" s="295">
        <v>600000</v>
      </c>
      <c r="D397" s="296">
        <v>600000</v>
      </c>
      <c r="E397" s="113"/>
      <c r="F397" s="297">
        <v>9680</v>
      </c>
      <c r="G397" s="113">
        <v>8650000</v>
      </c>
      <c r="H397" s="88"/>
    </row>
    <row r="398" spans="1:8" hidden="1" x14ac:dyDescent="0.2">
      <c r="A398" s="294" t="s">
        <v>471</v>
      </c>
      <c r="B398" s="159" t="s">
        <v>472</v>
      </c>
      <c r="C398" s="295">
        <v>100000</v>
      </c>
      <c r="D398" s="296">
        <v>100000</v>
      </c>
      <c r="E398" s="113"/>
      <c r="F398" s="297">
        <v>0</v>
      </c>
      <c r="G398" s="113">
        <v>300000</v>
      </c>
      <c r="H398" s="88"/>
    </row>
    <row r="399" spans="1:8" hidden="1" x14ac:dyDescent="0.2">
      <c r="A399" s="294" t="s">
        <v>473</v>
      </c>
      <c r="B399" s="159" t="s">
        <v>474</v>
      </c>
      <c r="C399" s="295">
        <v>500000</v>
      </c>
      <c r="D399" s="296">
        <v>50000</v>
      </c>
      <c r="E399" s="113" t="s">
        <v>448</v>
      </c>
      <c r="F399" s="297">
        <v>0</v>
      </c>
      <c r="G399" s="113">
        <v>50000</v>
      </c>
      <c r="H399" s="88"/>
    </row>
    <row r="400" spans="1:8" hidden="1" x14ac:dyDescent="0.2">
      <c r="A400" s="294" t="s">
        <v>475</v>
      </c>
      <c r="B400" s="159" t="s">
        <v>476</v>
      </c>
      <c r="C400" s="295">
        <v>80000</v>
      </c>
      <c r="D400" s="296">
        <v>80000</v>
      </c>
      <c r="E400" s="113" t="s">
        <v>448</v>
      </c>
      <c r="F400" s="297">
        <v>0</v>
      </c>
      <c r="G400" s="113">
        <v>150000</v>
      </c>
      <c r="H400" s="88"/>
    </row>
    <row r="401" spans="1:8" hidden="1" x14ac:dyDescent="0.2">
      <c r="A401" s="294" t="s">
        <v>477</v>
      </c>
      <c r="B401" s="159" t="s">
        <v>478</v>
      </c>
      <c r="C401" s="295">
        <v>70000</v>
      </c>
      <c r="D401" s="296">
        <v>70000</v>
      </c>
      <c r="E401" s="113" t="s">
        <v>448</v>
      </c>
      <c r="F401" s="297">
        <v>3000</v>
      </c>
      <c r="G401" s="113">
        <v>0</v>
      </c>
      <c r="H401" s="88"/>
    </row>
    <row r="402" spans="1:8" hidden="1" x14ac:dyDescent="0.2">
      <c r="A402" s="294" t="s">
        <v>479</v>
      </c>
      <c r="B402" s="159" t="s">
        <v>480</v>
      </c>
      <c r="C402" s="295">
        <v>120000</v>
      </c>
      <c r="D402" s="296">
        <v>120000</v>
      </c>
      <c r="E402" s="113" t="s">
        <v>448</v>
      </c>
      <c r="F402" s="297">
        <v>0</v>
      </c>
      <c r="G402" s="113">
        <v>0</v>
      </c>
      <c r="H402" s="88"/>
    </row>
    <row r="403" spans="1:8" hidden="1" x14ac:dyDescent="0.2">
      <c r="A403" s="294" t="s">
        <v>481</v>
      </c>
      <c r="B403" s="159" t="s">
        <v>482</v>
      </c>
      <c r="C403" s="295">
        <v>500000</v>
      </c>
      <c r="D403" s="296">
        <v>500000</v>
      </c>
      <c r="E403" s="113" t="s">
        <v>448</v>
      </c>
      <c r="F403" s="297">
        <v>3100</v>
      </c>
      <c r="G403" s="113">
        <v>50000</v>
      </c>
      <c r="H403" s="88"/>
    </row>
    <row r="404" spans="1:8" hidden="1" x14ac:dyDescent="0.2">
      <c r="A404" s="294" t="s">
        <v>483</v>
      </c>
      <c r="B404" s="159" t="s">
        <v>484</v>
      </c>
      <c r="C404" s="295">
        <v>2050000</v>
      </c>
      <c r="D404" s="296">
        <v>2950000</v>
      </c>
      <c r="E404" s="113"/>
      <c r="F404" s="297">
        <v>296291.92</v>
      </c>
      <c r="G404" s="113">
        <v>0</v>
      </c>
      <c r="H404" s="88"/>
    </row>
    <row r="405" spans="1:8" hidden="1" x14ac:dyDescent="0.2">
      <c r="A405" s="294" t="s">
        <v>485</v>
      </c>
      <c r="B405" s="159" t="s">
        <v>486</v>
      </c>
      <c r="C405" s="295">
        <v>500000</v>
      </c>
      <c r="D405" s="296">
        <v>16950</v>
      </c>
      <c r="E405" s="113">
        <v>7000</v>
      </c>
      <c r="F405" s="297">
        <v>7000</v>
      </c>
      <c r="G405" s="113">
        <v>0</v>
      </c>
      <c r="H405" s="88"/>
    </row>
    <row r="406" spans="1:8" hidden="1" x14ac:dyDescent="0.2">
      <c r="A406" s="294" t="s">
        <v>487</v>
      </c>
      <c r="B406" s="159" t="s">
        <v>488</v>
      </c>
      <c r="C406" s="295">
        <v>500000</v>
      </c>
      <c r="D406" s="296">
        <v>0</v>
      </c>
      <c r="E406" s="113">
        <v>0</v>
      </c>
      <c r="F406" s="297">
        <v>0</v>
      </c>
      <c r="G406" s="113">
        <v>0</v>
      </c>
      <c r="H406" s="88"/>
    </row>
    <row r="407" spans="1:8" hidden="1" x14ac:dyDescent="0.2">
      <c r="A407" s="294" t="s">
        <v>489</v>
      </c>
      <c r="B407" s="159" t="s">
        <v>490</v>
      </c>
      <c r="C407" s="295">
        <v>0</v>
      </c>
      <c r="D407" s="296">
        <v>0</v>
      </c>
      <c r="E407" s="113">
        <v>0</v>
      </c>
      <c r="F407" s="297">
        <v>0</v>
      </c>
      <c r="G407" s="113">
        <v>1200000</v>
      </c>
      <c r="H407" s="88"/>
    </row>
    <row r="408" spans="1:8" hidden="1" x14ac:dyDescent="0.2">
      <c r="A408" s="294" t="s">
        <v>491</v>
      </c>
      <c r="B408" s="159" t="s">
        <v>492</v>
      </c>
      <c r="C408" s="295">
        <v>500000</v>
      </c>
      <c r="D408" s="296">
        <v>500000</v>
      </c>
      <c r="E408" s="113"/>
      <c r="F408" s="297">
        <v>169642</v>
      </c>
      <c r="G408" s="113">
        <v>160500</v>
      </c>
      <c r="H408" s="88"/>
    </row>
    <row r="409" spans="1:8" hidden="1" x14ac:dyDescent="0.2">
      <c r="A409" s="294" t="s">
        <v>493</v>
      </c>
      <c r="B409" s="159" t="s">
        <v>494</v>
      </c>
      <c r="C409" s="295">
        <v>10000000</v>
      </c>
      <c r="D409" s="296">
        <v>10000000</v>
      </c>
      <c r="E409" s="113"/>
      <c r="F409" s="297">
        <v>0</v>
      </c>
      <c r="G409" s="113">
        <v>8500000</v>
      </c>
      <c r="H409" s="88"/>
    </row>
    <row r="410" spans="1:8" hidden="1" x14ac:dyDescent="0.2">
      <c r="A410" s="294" t="s">
        <v>495</v>
      </c>
      <c r="B410" s="159" t="s">
        <v>496</v>
      </c>
      <c r="C410" s="295">
        <v>100000</v>
      </c>
      <c r="D410" s="296">
        <v>0</v>
      </c>
      <c r="E410" s="113">
        <v>0</v>
      </c>
      <c r="F410" s="297">
        <v>0</v>
      </c>
      <c r="G410" s="113">
        <v>100000</v>
      </c>
      <c r="H410" s="88"/>
    </row>
    <row r="411" spans="1:8" hidden="1" x14ac:dyDescent="0.2">
      <c r="A411" s="294" t="s">
        <v>497</v>
      </c>
      <c r="B411" s="159" t="s">
        <v>498</v>
      </c>
      <c r="C411" s="295">
        <v>0</v>
      </c>
      <c r="D411" s="296">
        <v>0</v>
      </c>
      <c r="E411" s="113">
        <v>0</v>
      </c>
      <c r="F411" s="297">
        <v>0</v>
      </c>
      <c r="G411" s="113">
        <v>550000</v>
      </c>
      <c r="H411" s="88"/>
    </row>
    <row r="412" spans="1:8" hidden="1" x14ac:dyDescent="0.2">
      <c r="A412" s="294" t="s">
        <v>499</v>
      </c>
      <c r="B412" s="159" t="s">
        <v>500</v>
      </c>
      <c r="C412" s="295">
        <v>0</v>
      </c>
      <c r="D412" s="296">
        <v>20000</v>
      </c>
      <c r="E412" s="113" t="s">
        <v>448</v>
      </c>
      <c r="F412" s="297">
        <v>16093</v>
      </c>
      <c r="G412" s="113">
        <v>1500000</v>
      </c>
      <c r="H412" s="88"/>
    </row>
    <row r="413" spans="1:8" hidden="1" x14ac:dyDescent="0.2">
      <c r="A413" s="294" t="s">
        <v>501</v>
      </c>
      <c r="B413" s="159" t="s">
        <v>502</v>
      </c>
      <c r="C413" s="295">
        <v>200000</v>
      </c>
      <c r="D413" s="296">
        <v>233000</v>
      </c>
      <c r="E413" s="113">
        <v>199710.5</v>
      </c>
      <c r="F413" s="297">
        <v>199710.5</v>
      </c>
      <c r="G413" s="113">
        <v>200000</v>
      </c>
      <c r="H413" s="88"/>
    </row>
    <row r="414" spans="1:8" hidden="1" x14ac:dyDescent="0.2">
      <c r="A414" s="294" t="s">
        <v>503</v>
      </c>
      <c r="B414" s="159" t="s">
        <v>504</v>
      </c>
      <c r="C414" s="295">
        <v>70000</v>
      </c>
      <c r="D414" s="296">
        <v>70000</v>
      </c>
      <c r="E414" s="113"/>
      <c r="F414" s="297">
        <v>0</v>
      </c>
      <c r="G414" s="113">
        <v>70000</v>
      </c>
      <c r="H414" s="88"/>
    </row>
    <row r="415" spans="1:8" hidden="1" x14ac:dyDescent="0.2">
      <c r="A415" s="294" t="s">
        <v>505</v>
      </c>
      <c r="B415" s="159" t="s">
        <v>506</v>
      </c>
      <c r="C415" s="295">
        <v>0</v>
      </c>
      <c r="D415" s="296">
        <v>0</v>
      </c>
      <c r="E415" s="113">
        <v>0</v>
      </c>
      <c r="F415" s="297">
        <v>0</v>
      </c>
      <c r="G415" s="113">
        <v>500000</v>
      </c>
      <c r="H415" s="88"/>
    </row>
    <row r="416" spans="1:8" hidden="1" x14ac:dyDescent="0.2">
      <c r="A416" s="294" t="s">
        <v>505</v>
      </c>
      <c r="B416" s="159" t="s">
        <v>507</v>
      </c>
      <c r="C416" s="295">
        <v>0</v>
      </c>
      <c r="D416" s="296">
        <v>0</v>
      </c>
      <c r="E416" s="113">
        <v>0</v>
      </c>
      <c r="F416" s="297">
        <v>0</v>
      </c>
      <c r="G416" s="113">
        <v>200000</v>
      </c>
      <c r="H416" s="88"/>
    </row>
    <row r="417" spans="1:8" hidden="1" x14ac:dyDescent="0.2">
      <c r="A417" s="294" t="s">
        <v>505</v>
      </c>
      <c r="B417" s="159" t="s">
        <v>508</v>
      </c>
      <c r="C417" s="295">
        <v>0</v>
      </c>
      <c r="D417" s="296">
        <v>0</v>
      </c>
      <c r="E417" s="113">
        <v>0</v>
      </c>
      <c r="F417" s="297">
        <v>0</v>
      </c>
      <c r="G417" s="113">
        <v>100000</v>
      </c>
      <c r="H417" s="88"/>
    </row>
    <row r="418" spans="1:8" hidden="1" x14ac:dyDescent="0.2">
      <c r="A418" s="294" t="s">
        <v>505</v>
      </c>
      <c r="B418" s="159" t="s">
        <v>509</v>
      </c>
      <c r="C418" s="295">
        <v>0</v>
      </c>
      <c r="D418" s="296">
        <v>0</v>
      </c>
      <c r="E418" s="113">
        <v>0</v>
      </c>
      <c r="F418" s="297">
        <v>0</v>
      </c>
      <c r="G418" s="113">
        <v>100000</v>
      </c>
      <c r="H418" s="88"/>
    </row>
    <row r="419" spans="1:8" hidden="1" x14ac:dyDescent="0.2">
      <c r="A419" s="294" t="s">
        <v>505</v>
      </c>
      <c r="B419" s="159" t="s">
        <v>510</v>
      </c>
      <c r="C419" s="295">
        <v>0</v>
      </c>
      <c r="D419" s="296">
        <v>0</v>
      </c>
      <c r="E419" s="113">
        <v>0</v>
      </c>
      <c r="F419" s="297">
        <v>0</v>
      </c>
      <c r="G419" s="113">
        <v>100000</v>
      </c>
      <c r="H419" s="88"/>
    </row>
    <row r="420" spans="1:8" hidden="1" x14ac:dyDescent="0.2">
      <c r="A420" s="294" t="s">
        <v>505</v>
      </c>
      <c r="B420" s="159" t="s">
        <v>511</v>
      </c>
      <c r="C420" s="295">
        <v>0</v>
      </c>
      <c r="D420" s="296">
        <v>0</v>
      </c>
      <c r="E420" s="113">
        <v>0</v>
      </c>
      <c r="F420" s="297">
        <v>0</v>
      </c>
      <c r="G420" s="113">
        <v>150000</v>
      </c>
      <c r="H420" s="88"/>
    </row>
    <row r="421" spans="1:8" hidden="1" x14ac:dyDescent="0.2">
      <c r="A421" s="294" t="s">
        <v>505</v>
      </c>
      <c r="B421" s="159" t="s">
        <v>512</v>
      </c>
      <c r="C421" s="295">
        <v>0</v>
      </c>
      <c r="D421" s="296">
        <v>0</v>
      </c>
      <c r="E421" s="113">
        <v>0</v>
      </c>
      <c r="F421" s="297">
        <v>0</v>
      </c>
      <c r="G421" s="113">
        <v>100000</v>
      </c>
      <c r="H421" s="88"/>
    </row>
    <row r="422" spans="1:8" hidden="1" x14ac:dyDescent="0.2">
      <c r="A422" s="294" t="s">
        <v>505</v>
      </c>
      <c r="B422" s="159" t="s">
        <v>513</v>
      </c>
      <c r="C422" s="295">
        <v>0</v>
      </c>
      <c r="D422" s="296">
        <v>0</v>
      </c>
      <c r="E422" s="113">
        <v>0</v>
      </c>
      <c r="F422" s="297">
        <v>0</v>
      </c>
      <c r="G422" s="113">
        <v>100000</v>
      </c>
      <c r="H422" s="32"/>
    </row>
    <row r="423" spans="1:8" hidden="1" x14ac:dyDescent="0.2">
      <c r="A423" s="294" t="s">
        <v>505</v>
      </c>
      <c r="B423" s="159" t="s">
        <v>514</v>
      </c>
      <c r="C423" s="295">
        <v>0</v>
      </c>
      <c r="D423" s="296">
        <v>0</v>
      </c>
      <c r="E423" s="113">
        <v>0</v>
      </c>
      <c r="F423" s="297">
        <v>0</v>
      </c>
      <c r="G423" s="113">
        <v>150000</v>
      </c>
      <c r="H423" s="88"/>
    </row>
    <row r="424" spans="1:8" hidden="1" x14ac:dyDescent="0.2">
      <c r="A424" s="294" t="s">
        <v>505</v>
      </c>
      <c r="B424" s="159" t="s">
        <v>515</v>
      </c>
      <c r="C424" s="295">
        <v>0</v>
      </c>
      <c r="D424" s="296">
        <v>0</v>
      </c>
      <c r="E424" s="113">
        <v>0</v>
      </c>
      <c r="F424" s="297">
        <v>0</v>
      </c>
      <c r="G424" s="113">
        <v>700000</v>
      </c>
      <c r="H424" s="88"/>
    </row>
    <row r="425" spans="1:8" hidden="1" x14ac:dyDescent="0.2">
      <c r="A425" s="294" t="s">
        <v>505</v>
      </c>
      <c r="B425" s="159" t="s">
        <v>516</v>
      </c>
      <c r="C425" s="295">
        <v>0</v>
      </c>
      <c r="D425" s="296">
        <v>0</v>
      </c>
      <c r="E425" s="113">
        <v>0</v>
      </c>
      <c r="F425" s="297">
        <v>0</v>
      </c>
      <c r="G425" s="113">
        <v>0</v>
      </c>
      <c r="H425" s="88"/>
    </row>
    <row r="426" spans="1:8" hidden="1" x14ac:dyDescent="0.2">
      <c r="A426" s="294" t="s">
        <v>505</v>
      </c>
      <c r="B426" s="159" t="s">
        <v>517</v>
      </c>
      <c r="C426" s="295">
        <v>0</v>
      </c>
      <c r="D426" s="296">
        <v>0</v>
      </c>
      <c r="E426" s="113">
        <v>0</v>
      </c>
      <c r="F426" s="297">
        <v>0</v>
      </c>
      <c r="G426" s="113">
        <v>0</v>
      </c>
      <c r="H426" s="88"/>
    </row>
    <row r="427" spans="1:8" hidden="1" x14ac:dyDescent="0.2">
      <c r="A427" s="106">
        <v>2221</v>
      </c>
      <c r="B427" s="107" t="s">
        <v>518</v>
      </c>
      <c r="C427" s="300">
        <f>SUM(C428:C430)</f>
        <v>0</v>
      </c>
      <c r="D427" s="313">
        <f>SUM(D428:D430)</f>
        <v>554680</v>
      </c>
      <c r="E427" s="109">
        <f>SUM(E428:E430)</f>
        <v>539765.86</v>
      </c>
      <c r="F427" s="153">
        <f>SUM(F428:F430)</f>
        <v>264680.93</v>
      </c>
      <c r="G427" s="109">
        <f>SUM(G428:G431)</f>
        <v>60000</v>
      </c>
      <c r="H427" s="88"/>
    </row>
    <row r="428" spans="1:8" hidden="1" x14ac:dyDescent="0.2">
      <c r="A428" s="294" t="s">
        <v>519</v>
      </c>
      <c r="B428" s="159" t="s">
        <v>520</v>
      </c>
      <c r="C428" s="295">
        <v>0</v>
      </c>
      <c r="D428" s="296">
        <v>4840</v>
      </c>
      <c r="E428" s="113">
        <v>4840</v>
      </c>
      <c r="F428" s="297">
        <v>4840</v>
      </c>
      <c r="G428" s="113">
        <v>0</v>
      </c>
      <c r="H428" s="88"/>
    </row>
    <row r="429" spans="1:8" hidden="1" x14ac:dyDescent="0.2">
      <c r="A429" s="294" t="s">
        <v>521</v>
      </c>
      <c r="B429" s="159" t="s">
        <v>522</v>
      </c>
      <c r="C429" s="295">
        <v>0</v>
      </c>
      <c r="D429" s="296">
        <v>4840</v>
      </c>
      <c r="E429" s="113">
        <v>4840</v>
      </c>
      <c r="F429" s="297">
        <v>4840</v>
      </c>
      <c r="G429" s="113">
        <v>0</v>
      </c>
      <c r="H429" s="88"/>
    </row>
    <row r="430" spans="1:8" hidden="1" x14ac:dyDescent="0.2">
      <c r="A430" s="294" t="s">
        <v>523</v>
      </c>
      <c r="B430" s="159" t="s">
        <v>524</v>
      </c>
      <c r="C430" s="295">
        <v>0</v>
      </c>
      <c r="D430" s="296">
        <v>545000</v>
      </c>
      <c r="E430" s="113">
        <v>530085.86</v>
      </c>
      <c r="F430" s="297">
        <v>255000.93</v>
      </c>
      <c r="G430" s="113">
        <v>0</v>
      </c>
      <c r="H430" s="88"/>
    </row>
    <row r="431" spans="1:8" hidden="1" x14ac:dyDescent="0.2">
      <c r="A431" s="307" t="s">
        <v>525</v>
      </c>
      <c r="B431" s="314" t="s">
        <v>526</v>
      </c>
      <c r="C431" s="315">
        <v>0</v>
      </c>
      <c r="D431" s="316">
        <v>0</v>
      </c>
      <c r="E431" s="241">
        <v>0</v>
      </c>
      <c r="F431" s="317">
        <v>0</v>
      </c>
      <c r="G431" s="241">
        <v>60000</v>
      </c>
      <c r="H431" s="88"/>
    </row>
    <row r="432" spans="1:8" ht="15.75" hidden="1" x14ac:dyDescent="0.25">
      <c r="A432" s="312"/>
      <c r="B432" s="64" t="s">
        <v>527</v>
      </c>
      <c r="C432" s="285">
        <f>SUM(C433+C435)</f>
        <v>10270000</v>
      </c>
      <c r="D432" s="286">
        <f>SUM(D433+D435)</f>
        <v>4360000</v>
      </c>
      <c r="E432" s="287">
        <f>SUM(E433+E435)</f>
        <v>1000</v>
      </c>
      <c r="F432" s="288">
        <f>SUM(F433+F435)</f>
        <v>1152211.8800000001</v>
      </c>
      <c r="G432" s="287">
        <f>SUM(G433+G435)</f>
        <v>6295000</v>
      </c>
      <c r="H432" s="88"/>
    </row>
    <row r="433" spans="1:8" hidden="1" x14ac:dyDescent="0.2">
      <c r="A433" s="289">
        <v>3613</v>
      </c>
      <c r="B433" s="290" t="s">
        <v>528</v>
      </c>
      <c r="C433" s="291">
        <f>C434</f>
        <v>900000</v>
      </c>
      <c r="D433" s="292">
        <f>D434</f>
        <v>400000</v>
      </c>
      <c r="E433" s="173">
        <f>E434</f>
        <v>0</v>
      </c>
      <c r="F433" s="293">
        <f>F434</f>
        <v>8000</v>
      </c>
      <c r="G433" s="173">
        <f>G434</f>
        <v>550000</v>
      </c>
      <c r="H433" s="88"/>
    </row>
    <row r="434" spans="1:8" hidden="1" x14ac:dyDescent="0.2">
      <c r="A434" s="294" t="s">
        <v>529</v>
      </c>
      <c r="B434" s="159" t="s">
        <v>530</v>
      </c>
      <c r="C434" s="295">
        <v>900000</v>
      </c>
      <c r="D434" s="296">
        <v>400000</v>
      </c>
      <c r="E434" s="113">
        <v>0</v>
      </c>
      <c r="F434" s="297">
        <v>8000</v>
      </c>
      <c r="G434" s="113">
        <v>550000</v>
      </c>
      <c r="H434" s="88"/>
    </row>
    <row r="435" spans="1:8" hidden="1" x14ac:dyDescent="0.2">
      <c r="A435" s="106">
        <v>3639</v>
      </c>
      <c r="B435" s="107" t="s">
        <v>531</v>
      </c>
      <c r="C435" s="300">
        <f>SUM(C436:C444)</f>
        <v>9370000</v>
      </c>
      <c r="D435" s="313">
        <f>SUM(D436:D444)</f>
        <v>3960000</v>
      </c>
      <c r="E435" s="109">
        <f>SUM(E436:E444)</f>
        <v>1000</v>
      </c>
      <c r="F435" s="153">
        <f>SUM(F436:F444)</f>
        <v>1144211.8800000001</v>
      </c>
      <c r="G435" s="109">
        <f>SUM(G436:G444)</f>
        <v>5745000</v>
      </c>
      <c r="H435" s="88"/>
    </row>
    <row r="436" spans="1:8" hidden="1" x14ac:dyDescent="0.2">
      <c r="A436" s="294" t="s">
        <v>532</v>
      </c>
      <c r="B436" s="159" t="s">
        <v>533</v>
      </c>
      <c r="C436" s="295">
        <v>260000</v>
      </c>
      <c r="D436" s="296">
        <v>0</v>
      </c>
      <c r="E436" s="113">
        <v>0</v>
      </c>
      <c r="F436" s="297">
        <v>0</v>
      </c>
      <c r="G436" s="113">
        <v>650000</v>
      </c>
      <c r="H436" s="88"/>
    </row>
    <row r="437" spans="1:8" hidden="1" x14ac:dyDescent="0.2">
      <c r="A437" s="294" t="s">
        <v>534</v>
      </c>
      <c r="B437" s="159" t="s">
        <v>535</v>
      </c>
      <c r="C437" s="295">
        <v>50000</v>
      </c>
      <c r="D437" s="296">
        <v>50000</v>
      </c>
      <c r="E437" s="113"/>
      <c r="F437" s="297">
        <v>12717.55</v>
      </c>
      <c r="G437" s="113">
        <v>20000</v>
      </c>
      <c r="H437" s="88"/>
    </row>
    <row r="438" spans="1:8" hidden="1" x14ac:dyDescent="0.2">
      <c r="A438" s="294" t="s">
        <v>536</v>
      </c>
      <c r="B438" s="159" t="s">
        <v>537</v>
      </c>
      <c r="C438" s="295">
        <v>0</v>
      </c>
      <c r="D438" s="296">
        <v>0</v>
      </c>
      <c r="E438" s="113">
        <v>0</v>
      </c>
      <c r="F438" s="297">
        <v>0</v>
      </c>
      <c r="G438" s="113">
        <v>20000</v>
      </c>
      <c r="H438" s="88"/>
    </row>
    <row r="439" spans="1:8" hidden="1" x14ac:dyDescent="0.2">
      <c r="A439" s="294" t="s">
        <v>538</v>
      </c>
      <c r="B439" s="159" t="s">
        <v>539</v>
      </c>
      <c r="C439" s="295">
        <v>0</v>
      </c>
      <c r="D439" s="296">
        <v>1000</v>
      </c>
      <c r="E439" s="113">
        <v>1000</v>
      </c>
      <c r="F439" s="297">
        <v>1000</v>
      </c>
      <c r="G439" s="113">
        <v>470000</v>
      </c>
      <c r="H439" s="88"/>
    </row>
    <row r="440" spans="1:8" ht="36" hidden="1" x14ac:dyDescent="0.2">
      <c r="A440" s="294" t="s">
        <v>540</v>
      </c>
      <c r="B440" s="318" t="s">
        <v>541</v>
      </c>
      <c r="C440" s="295">
        <v>8950000</v>
      </c>
      <c r="D440" s="296">
        <v>3756600</v>
      </c>
      <c r="E440" s="113" t="s">
        <v>448</v>
      </c>
      <c r="F440" s="297">
        <v>1129022.33</v>
      </c>
      <c r="G440" s="113">
        <v>4540000</v>
      </c>
      <c r="H440" s="88"/>
    </row>
    <row r="441" spans="1:8" hidden="1" x14ac:dyDescent="0.2">
      <c r="A441" s="294" t="s">
        <v>542</v>
      </c>
      <c r="B441" s="159" t="s">
        <v>543</v>
      </c>
      <c r="C441" s="295">
        <v>10000</v>
      </c>
      <c r="D441" s="296">
        <v>10000</v>
      </c>
      <c r="E441" s="113" t="s">
        <v>448</v>
      </c>
      <c r="F441" s="297">
        <v>1472</v>
      </c>
      <c r="G441" s="113">
        <v>45000</v>
      </c>
      <c r="H441" s="88"/>
    </row>
    <row r="442" spans="1:8" hidden="1" x14ac:dyDescent="0.2">
      <c r="A442" s="294" t="s">
        <v>544</v>
      </c>
      <c r="B442" s="159" t="s">
        <v>545</v>
      </c>
      <c r="C442" s="295">
        <v>50000</v>
      </c>
      <c r="D442" s="296">
        <v>0</v>
      </c>
      <c r="E442" s="113">
        <v>0</v>
      </c>
      <c r="F442" s="297">
        <v>0</v>
      </c>
      <c r="G442" s="113">
        <v>0</v>
      </c>
      <c r="H442" s="88"/>
    </row>
    <row r="443" spans="1:8" hidden="1" x14ac:dyDescent="0.2">
      <c r="A443" s="294" t="s">
        <v>546</v>
      </c>
      <c r="B443" s="159" t="s">
        <v>547</v>
      </c>
      <c r="C443" s="295">
        <v>50000</v>
      </c>
      <c r="D443" s="296">
        <v>50000</v>
      </c>
      <c r="E443" s="113" t="s">
        <v>448</v>
      </c>
      <c r="F443" s="297">
        <v>0</v>
      </c>
      <c r="G443" s="113">
        <v>0</v>
      </c>
      <c r="H443" s="88"/>
    </row>
    <row r="444" spans="1:8" hidden="1" x14ac:dyDescent="0.2">
      <c r="A444" s="307" t="s">
        <v>548</v>
      </c>
      <c r="B444" s="314" t="s">
        <v>549</v>
      </c>
      <c r="C444" s="315">
        <v>0</v>
      </c>
      <c r="D444" s="316">
        <v>92400</v>
      </c>
      <c r="E444" s="241"/>
      <c r="F444" s="317">
        <v>0</v>
      </c>
      <c r="G444" s="241">
        <v>0</v>
      </c>
      <c r="H444" s="88"/>
    </row>
    <row r="445" spans="1:8" ht="15.75" hidden="1" x14ac:dyDescent="0.25">
      <c r="A445" s="312"/>
      <c r="B445" s="64" t="s">
        <v>550</v>
      </c>
      <c r="C445" s="319">
        <f>SUM(C446,C449,C455,C469,C472)</f>
        <v>38897343</v>
      </c>
      <c r="D445" s="320">
        <f>SUM(D446,D449,D455,D469,D472)</f>
        <v>36797343</v>
      </c>
      <c r="E445" s="137">
        <f>SUM(E446,E449,E455,E469,E472)</f>
        <v>313046.65000000002</v>
      </c>
      <c r="F445" s="321">
        <f>SUM(F446,F449,F455,F469,F472)</f>
        <v>963168.65</v>
      </c>
      <c r="G445" s="137">
        <f>SUM(G446,G449,G455,G469,G472)</f>
        <v>52726000</v>
      </c>
      <c r="H445" s="88"/>
    </row>
    <row r="446" spans="1:8" hidden="1" x14ac:dyDescent="0.2">
      <c r="A446" s="289">
        <v>3412</v>
      </c>
      <c r="B446" s="290" t="s">
        <v>551</v>
      </c>
      <c r="C446" s="291">
        <f>SUM(C447:C448)</f>
        <v>0</v>
      </c>
      <c r="D446" s="292">
        <f>SUM(D447:D448)</f>
        <v>0</v>
      </c>
      <c r="E446" s="173">
        <f>SUM(E447:E448)</f>
        <v>0</v>
      </c>
      <c r="F446" s="293">
        <f>SUM(F447:F448)</f>
        <v>0</v>
      </c>
      <c r="G446" s="173">
        <f>SUM(G447:G448)</f>
        <v>2500000</v>
      </c>
      <c r="H446" s="88"/>
    </row>
    <row r="447" spans="1:8" hidden="1" x14ac:dyDescent="0.2">
      <c r="A447" s="294" t="s">
        <v>552</v>
      </c>
      <c r="B447" s="159" t="s">
        <v>553</v>
      </c>
      <c r="C447" s="295">
        <v>0</v>
      </c>
      <c r="D447" s="296">
        <v>0</v>
      </c>
      <c r="E447" s="113">
        <v>0</v>
      </c>
      <c r="F447" s="297">
        <v>0</v>
      </c>
      <c r="G447" s="113">
        <v>500000</v>
      </c>
      <c r="H447" s="88"/>
    </row>
    <row r="448" spans="1:8" hidden="1" x14ac:dyDescent="0.2">
      <c r="A448" s="294" t="s">
        <v>552</v>
      </c>
      <c r="B448" s="159" t="s">
        <v>554</v>
      </c>
      <c r="C448" s="295">
        <v>0</v>
      </c>
      <c r="D448" s="296">
        <v>0</v>
      </c>
      <c r="E448" s="113">
        <v>0</v>
      </c>
      <c r="F448" s="297">
        <v>0</v>
      </c>
      <c r="G448" s="113">
        <v>2000000</v>
      </c>
      <c r="H448" s="88"/>
    </row>
    <row r="449" spans="1:8" hidden="1" x14ac:dyDescent="0.2">
      <c r="A449" s="106">
        <v>3613</v>
      </c>
      <c r="B449" s="107" t="s">
        <v>555</v>
      </c>
      <c r="C449" s="300">
        <f>SUM(C450:C454)</f>
        <v>542343</v>
      </c>
      <c r="D449" s="313">
        <f>SUM(D450:D454)</f>
        <v>542343</v>
      </c>
      <c r="E449" s="109">
        <f>SUM(E450:E454)</f>
        <v>0</v>
      </c>
      <c r="F449" s="153">
        <f>SUM(F450:F454)</f>
        <v>48400</v>
      </c>
      <c r="G449" s="109">
        <f>SUM(G450:G454)</f>
        <v>8010000</v>
      </c>
      <c r="H449" s="88"/>
    </row>
    <row r="450" spans="1:8" hidden="1" x14ac:dyDescent="0.2">
      <c r="A450" s="294" t="s">
        <v>556</v>
      </c>
      <c r="B450" s="159" t="s">
        <v>557</v>
      </c>
      <c r="C450" s="295">
        <v>72343</v>
      </c>
      <c r="D450" s="296">
        <v>72343</v>
      </c>
      <c r="E450" s="113" t="s">
        <v>448</v>
      </c>
      <c r="F450" s="297">
        <v>0</v>
      </c>
      <c r="G450" s="113">
        <v>0</v>
      </c>
      <c r="H450" s="88"/>
    </row>
    <row r="451" spans="1:8" hidden="1" x14ac:dyDescent="0.2">
      <c r="A451" s="294" t="s">
        <v>558</v>
      </c>
      <c r="B451" s="159" t="s">
        <v>559</v>
      </c>
      <c r="C451" s="295">
        <v>300000</v>
      </c>
      <c r="D451" s="296">
        <v>300000</v>
      </c>
      <c r="E451" s="113"/>
      <c r="F451" s="297">
        <v>0</v>
      </c>
      <c r="G451" s="113">
        <v>200000</v>
      </c>
      <c r="H451" s="88"/>
    </row>
    <row r="452" spans="1:8" hidden="1" x14ac:dyDescent="0.2">
      <c r="A452" s="294" t="s">
        <v>560</v>
      </c>
      <c r="B452" s="159" t="s">
        <v>561</v>
      </c>
      <c r="C452" s="295">
        <v>70000</v>
      </c>
      <c r="D452" s="296">
        <v>70000</v>
      </c>
      <c r="E452" s="113"/>
      <c r="F452" s="297">
        <v>0</v>
      </c>
      <c r="G452" s="113">
        <v>10000</v>
      </c>
      <c r="H452" s="88"/>
    </row>
    <row r="453" spans="1:8" hidden="1" x14ac:dyDescent="0.2">
      <c r="A453" s="294" t="s">
        <v>562</v>
      </c>
      <c r="B453" s="159" t="s">
        <v>563</v>
      </c>
      <c r="C453" s="295">
        <v>100000</v>
      </c>
      <c r="D453" s="296">
        <v>100000</v>
      </c>
      <c r="E453" s="113"/>
      <c r="F453" s="297">
        <v>48400</v>
      </c>
      <c r="G453" s="113">
        <v>7800000</v>
      </c>
      <c r="H453" s="88"/>
    </row>
    <row r="454" spans="1:8" hidden="1" x14ac:dyDescent="0.2">
      <c r="A454" s="294" t="s">
        <v>564</v>
      </c>
      <c r="B454" s="159" t="s">
        <v>565</v>
      </c>
      <c r="C454" s="295">
        <v>0</v>
      </c>
      <c r="D454" s="296">
        <v>0</v>
      </c>
      <c r="E454" s="113">
        <v>0</v>
      </c>
      <c r="F454" s="297">
        <v>0</v>
      </c>
      <c r="G454" s="113">
        <v>0</v>
      </c>
      <c r="H454" s="88"/>
    </row>
    <row r="455" spans="1:8" hidden="1" x14ac:dyDescent="0.2">
      <c r="A455" s="106">
        <v>3631</v>
      </c>
      <c r="B455" s="107" t="s">
        <v>566</v>
      </c>
      <c r="C455" s="300">
        <f>SUM(C456:C468)</f>
        <v>3555000</v>
      </c>
      <c r="D455" s="313">
        <f>SUM(D456:D468)</f>
        <v>3055000</v>
      </c>
      <c r="E455" s="109">
        <f>SUM(E456:E468)</f>
        <v>313046.65000000002</v>
      </c>
      <c r="F455" s="153">
        <f>SUM(F456:F468)</f>
        <v>344272.65</v>
      </c>
      <c r="G455" s="109">
        <f>SUM(G456:G468)</f>
        <v>10716000</v>
      </c>
      <c r="H455" s="88"/>
    </row>
    <row r="456" spans="1:8" hidden="1" x14ac:dyDescent="0.2">
      <c r="A456" s="294" t="s">
        <v>567</v>
      </c>
      <c r="B456" s="159" t="s">
        <v>568</v>
      </c>
      <c r="C456" s="295">
        <v>500000</v>
      </c>
      <c r="D456" s="296">
        <v>295000</v>
      </c>
      <c r="E456" s="113"/>
      <c r="F456" s="297">
        <v>0</v>
      </c>
      <c r="G456" s="113">
        <v>0</v>
      </c>
      <c r="H456" s="32"/>
    </row>
    <row r="457" spans="1:8" hidden="1" x14ac:dyDescent="0.2">
      <c r="A457" s="294" t="s">
        <v>569</v>
      </c>
      <c r="B457" s="159" t="s">
        <v>570</v>
      </c>
      <c r="C457" s="295">
        <v>230000</v>
      </c>
      <c r="D457" s="296">
        <v>230000</v>
      </c>
      <c r="E457" s="113">
        <v>192909.68</v>
      </c>
      <c r="F457" s="297">
        <v>192909.68</v>
      </c>
      <c r="G457" s="113">
        <v>0</v>
      </c>
      <c r="H457" s="88"/>
    </row>
    <row r="458" spans="1:8" hidden="1" x14ac:dyDescent="0.2">
      <c r="A458" s="294" t="s">
        <v>571</v>
      </c>
      <c r="B458" s="159" t="s">
        <v>572</v>
      </c>
      <c r="C458" s="295">
        <v>700000</v>
      </c>
      <c r="D458" s="296">
        <v>700000</v>
      </c>
      <c r="E458" s="113" t="s">
        <v>448</v>
      </c>
      <c r="F458" s="297">
        <v>0</v>
      </c>
      <c r="G458" s="113">
        <v>0</v>
      </c>
      <c r="H458" s="88"/>
    </row>
    <row r="459" spans="1:8" hidden="1" x14ac:dyDescent="0.2">
      <c r="A459" s="294" t="s">
        <v>573</v>
      </c>
      <c r="B459" s="159" t="s">
        <v>574</v>
      </c>
      <c r="C459" s="295">
        <v>200000</v>
      </c>
      <c r="D459" s="296">
        <v>200000</v>
      </c>
      <c r="E459" s="113"/>
      <c r="F459" s="297">
        <v>0</v>
      </c>
      <c r="G459" s="113">
        <v>6600000</v>
      </c>
      <c r="H459" s="88"/>
    </row>
    <row r="460" spans="1:8" hidden="1" x14ac:dyDescent="0.2">
      <c r="A460" s="294" t="s">
        <v>575</v>
      </c>
      <c r="B460" s="159" t="s">
        <v>576</v>
      </c>
      <c r="C460" s="295">
        <v>35000</v>
      </c>
      <c r="D460" s="296">
        <v>40000</v>
      </c>
      <c r="E460" s="113">
        <v>39546.97</v>
      </c>
      <c r="F460" s="297">
        <v>39546.97</v>
      </c>
      <c r="G460" s="113">
        <v>0</v>
      </c>
      <c r="H460" s="88"/>
    </row>
    <row r="461" spans="1:8" hidden="1" x14ac:dyDescent="0.2">
      <c r="A461" s="294" t="s">
        <v>577</v>
      </c>
      <c r="B461" s="159" t="s">
        <v>578</v>
      </c>
      <c r="C461" s="295">
        <v>80000</v>
      </c>
      <c r="D461" s="296">
        <v>80000</v>
      </c>
      <c r="E461" s="113">
        <v>59290</v>
      </c>
      <c r="F461" s="297">
        <v>59290</v>
      </c>
      <c r="G461" s="113">
        <v>1400000</v>
      </c>
      <c r="H461" s="88"/>
    </row>
    <row r="462" spans="1:8" hidden="1" x14ac:dyDescent="0.2">
      <c r="A462" s="294" t="s">
        <v>579</v>
      </c>
      <c r="B462" s="159" t="s">
        <v>580</v>
      </c>
      <c r="C462" s="295">
        <v>1400000</v>
      </c>
      <c r="D462" s="296">
        <v>1100000</v>
      </c>
      <c r="E462" s="113" t="s">
        <v>448</v>
      </c>
      <c r="F462" s="297">
        <v>31226</v>
      </c>
      <c r="G462" s="113">
        <v>0</v>
      </c>
      <c r="H462" s="88"/>
    </row>
    <row r="463" spans="1:8" hidden="1" x14ac:dyDescent="0.2">
      <c r="A463" s="294" t="s">
        <v>581</v>
      </c>
      <c r="B463" s="159" t="s">
        <v>582</v>
      </c>
      <c r="C463" s="295">
        <v>60000</v>
      </c>
      <c r="D463" s="296">
        <v>60000</v>
      </c>
      <c r="E463" s="113">
        <v>21300</v>
      </c>
      <c r="F463" s="297">
        <v>21300</v>
      </c>
      <c r="G463" s="113">
        <v>0</v>
      </c>
      <c r="H463" s="88"/>
    </row>
    <row r="464" spans="1:8" hidden="1" x14ac:dyDescent="0.2">
      <c r="A464" s="294" t="s">
        <v>583</v>
      </c>
      <c r="B464" s="159" t="s">
        <v>584</v>
      </c>
      <c r="C464" s="295">
        <v>100000</v>
      </c>
      <c r="D464" s="296">
        <v>100000</v>
      </c>
      <c r="E464" s="113" t="s">
        <v>448</v>
      </c>
      <c r="F464" s="297">
        <v>0</v>
      </c>
      <c r="G464" s="113">
        <v>1466000</v>
      </c>
      <c r="H464" s="88"/>
    </row>
    <row r="465" spans="1:8" hidden="1" x14ac:dyDescent="0.2">
      <c r="A465" s="294" t="s">
        <v>585</v>
      </c>
      <c r="B465" s="159" t="s">
        <v>586</v>
      </c>
      <c r="C465" s="295">
        <v>100000</v>
      </c>
      <c r="D465" s="296">
        <v>100000</v>
      </c>
      <c r="E465" s="113" t="s">
        <v>448</v>
      </c>
      <c r="F465" s="297">
        <v>0</v>
      </c>
      <c r="G465" s="113">
        <v>0</v>
      </c>
      <c r="H465" s="88"/>
    </row>
    <row r="466" spans="1:8" hidden="1" x14ac:dyDescent="0.2">
      <c r="A466" s="294" t="s">
        <v>587</v>
      </c>
      <c r="B466" s="159" t="s">
        <v>588</v>
      </c>
      <c r="C466" s="295">
        <v>90000</v>
      </c>
      <c r="D466" s="296">
        <v>90000</v>
      </c>
      <c r="E466" s="113" t="s">
        <v>448</v>
      </c>
      <c r="F466" s="297">
        <v>0</v>
      </c>
      <c r="G466" s="113">
        <v>0</v>
      </c>
      <c r="H466" s="88"/>
    </row>
    <row r="467" spans="1:8" hidden="1" x14ac:dyDescent="0.2">
      <c r="A467" s="294" t="s">
        <v>589</v>
      </c>
      <c r="B467" s="159" t="s">
        <v>590</v>
      </c>
      <c r="C467" s="295">
        <v>60000</v>
      </c>
      <c r="D467" s="296">
        <v>60000</v>
      </c>
      <c r="E467" s="113" t="s">
        <v>448</v>
      </c>
      <c r="F467" s="297">
        <v>0</v>
      </c>
      <c r="G467" s="113">
        <v>1200000</v>
      </c>
      <c r="H467" s="88"/>
    </row>
    <row r="468" spans="1:8" hidden="1" x14ac:dyDescent="0.2">
      <c r="A468" s="294" t="s">
        <v>591</v>
      </c>
      <c r="B468" s="159" t="s">
        <v>592</v>
      </c>
      <c r="C468" s="295">
        <v>0</v>
      </c>
      <c r="D468" s="296">
        <v>0</v>
      </c>
      <c r="E468" s="113">
        <v>0</v>
      </c>
      <c r="F468" s="297">
        <v>0</v>
      </c>
      <c r="G468" s="113">
        <v>50000</v>
      </c>
      <c r="H468" s="88"/>
    </row>
    <row r="469" spans="1:8" hidden="1" x14ac:dyDescent="0.2">
      <c r="A469" s="106">
        <v>3632</v>
      </c>
      <c r="B469" s="107" t="s">
        <v>593</v>
      </c>
      <c r="C469" s="300">
        <f>SUM(C470:C471)</f>
        <v>1400000</v>
      </c>
      <c r="D469" s="313">
        <f>SUM(D470:D471)</f>
        <v>900000</v>
      </c>
      <c r="E469" s="109">
        <f>SUM(E470:E471)</f>
        <v>0</v>
      </c>
      <c r="F469" s="153">
        <f>SUM(F470:F471)</f>
        <v>457240</v>
      </c>
      <c r="G469" s="109">
        <f>SUM(G470:G471)</f>
        <v>0</v>
      </c>
      <c r="H469" s="88"/>
    </row>
    <row r="470" spans="1:8" hidden="1" x14ac:dyDescent="0.2">
      <c r="A470" s="294" t="s">
        <v>594</v>
      </c>
      <c r="B470" s="159" t="s">
        <v>595</v>
      </c>
      <c r="C470" s="295">
        <v>0</v>
      </c>
      <c r="D470" s="296">
        <v>900000</v>
      </c>
      <c r="E470" s="113"/>
      <c r="F470" s="297">
        <v>457240</v>
      </c>
      <c r="G470" s="113">
        <v>0</v>
      </c>
      <c r="H470" s="88"/>
    </row>
    <row r="471" spans="1:8" hidden="1" x14ac:dyDescent="0.2">
      <c r="A471" s="294" t="s">
        <v>596</v>
      </c>
      <c r="B471" s="159" t="s">
        <v>595</v>
      </c>
      <c r="C471" s="295">
        <v>1400000</v>
      </c>
      <c r="D471" s="296">
        <v>0</v>
      </c>
      <c r="E471" s="113">
        <v>0</v>
      </c>
      <c r="F471" s="297">
        <v>0</v>
      </c>
      <c r="G471" s="113">
        <v>0</v>
      </c>
      <c r="H471" s="88"/>
    </row>
    <row r="472" spans="1:8" hidden="1" x14ac:dyDescent="0.2">
      <c r="A472" s="106">
        <v>3633</v>
      </c>
      <c r="B472" s="107" t="s">
        <v>597</v>
      </c>
      <c r="C472" s="300">
        <f>SUM(C473:C475)</f>
        <v>33400000</v>
      </c>
      <c r="D472" s="313">
        <f>SUM(D473:D475)</f>
        <v>32300000</v>
      </c>
      <c r="E472" s="109">
        <f>SUM(E473:E475)</f>
        <v>0</v>
      </c>
      <c r="F472" s="153">
        <f>SUM(F473:F475)</f>
        <v>113256</v>
      </c>
      <c r="G472" s="109">
        <f>SUM(G473:G475)</f>
        <v>31500000</v>
      </c>
      <c r="H472" s="88"/>
    </row>
    <row r="473" spans="1:8" hidden="1" x14ac:dyDescent="0.2">
      <c r="A473" s="294" t="s">
        <v>598</v>
      </c>
      <c r="B473" s="159" t="s">
        <v>599</v>
      </c>
      <c r="C473" s="295">
        <v>3000000</v>
      </c>
      <c r="D473" s="296">
        <v>2000000</v>
      </c>
      <c r="E473" s="113"/>
      <c r="F473" s="297">
        <v>0</v>
      </c>
      <c r="G473" s="113">
        <v>1500000</v>
      </c>
      <c r="H473" s="88"/>
    </row>
    <row r="474" spans="1:8" hidden="1" x14ac:dyDescent="0.2">
      <c r="A474" s="294" t="s">
        <v>600</v>
      </c>
      <c r="B474" s="159" t="s">
        <v>601</v>
      </c>
      <c r="C474" s="295">
        <v>30000000</v>
      </c>
      <c r="D474" s="296">
        <v>30000000</v>
      </c>
      <c r="E474" s="113"/>
      <c r="F474" s="297">
        <v>48400</v>
      </c>
      <c r="G474" s="113">
        <v>30000000</v>
      </c>
      <c r="H474" s="88"/>
    </row>
    <row r="475" spans="1:8" hidden="1" x14ac:dyDescent="0.2">
      <c r="A475" s="307" t="s">
        <v>602</v>
      </c>
      <c r="B475" s="322" t="s">
        <v>603</v>
      </c>
      <c r="C475" s="323">
        <v>400000</v>
      </c>
      <c r="D475" s="324">
        <v>300000</v>
      </c>
      <c r="E475" s="266"/>
      <c r="F475" s="325">
        <v>64856</v>
      </c>
      <c r="G475" s="266">
        <v>0</v>
      </c>
      <c r="H475" s="88"/>
    </row>
    <row r="476" spans="1:8" ht="15.75" hidden="1" x14ac:dyDescent="0.25">
      <c r="A476" s="312"/>
      <c r="B476" s="64" t="s">
        <v>604</v>
      </c>
      <c r="C476" s="285">
        <f>SUM(C477:C480)</f>
        <v>1174000</v>
      </c>
      <c r="D476" s="286">
        <f>SUM(D477:D480)</f>
        <v>650000</v>
      </c>
      <c r="E476" s="287">
        <f>SUM(E477:E480)</f>
        <v>150000</v>
      </c>
      <c r="F476" s="288">
        <f>SUM(F477:F480)</f>
        <v>105000</v>
      </c>
      <c r="G476" s="287">
        <f>SUM(G477:G480)</f>
        <v>472500</v>
      </c>
      <c r="H476" s="88"/>
    </row>
    <row r="477" spans="1:8" hidden="1" x14ac:dyDescent="0.2">
      <c r="A477" s="326" t="s">
        <v>605</v>
      </c>
      <c r="B477" s="306" t="s">
        <v>606</v>
      </c>
      <c r="C477" s="303">
        <v>287000</v>
      </c>
      <c r="D477" s="327">
        <v>250000</v>
      </c>
      <c r="E477" s="114" t="s">
        <v>448</v>
      </c>
      <c r="F477" s="328">
        <v>0</v>
      </c>
      <c r="G477" s="114">
        <v>150000</v>
      </c>
      <c r="H477" s="88"/>
    </row>
    <row r="478" spans="1:8" hidden="1" x14ac:dyDescent="0.2">
      <c r="A478" s="294" t="s">
        <v>607</v>
      </c>
      <c r="B478" s="159" t="s">
        <v>608</v>
      </c>
      <c r="C478" s="295">
        <v>287000</v>
      </c>
      <c r="D478" s="296">
        <v>250000</v>
      </c>
      <c r="E478" s="113" t="s">
        <v>448</v>
      </c>
      <c r="F478" s="297">
        <v>0</v>
      </c>
      <c r="G478" s="113">
        <v>150000</v>
      </c>
      <c r="H478" s="88"/>
    </row>
    <row r="479" spans="1:8" hidden="1" x14ac:dyDescent="0.2">
      <c r="A479" s="294" t="s">
        <v>609</v>
      </c>
      <c r="B479" s="159" t="s">
        <v>610</v>
      </c>
      <c r="C479" s="295">
        <v>600000</v>
      </c>
      <c r="D479" s="296">
        <v>150000</v>
      </c>
      <c r="E479" s="113">
        <v>150000</v>
      </c>
      <c r="F479" s="297">
        <v>105000</v>
      </c>
      <c r="G479" s="113">
        <v>172500</v>
      </c>
      <c r="H479" s="88"/>
    </row>
    <row r="480" spans="1:8" hidden="1" x14ac:dyDescent="0.2">
      <c r="A480" s="329"/>
      <c r="B480" s="314"/>
      <c r="C480" s="315"/>
      <c r="D480" s="316"/>
      <c r="E480" s="241"/>
      <c r="F480" s="317"/>
      <c r="G480" s="241"/>
      <c r="H480" s="88"/>
    </row>
    <row r="481" spans="1:8" ht="20.25" hidden="1" x14ac:dyDescent="0.2">
      <c r="A481" s="330">
        <v>2141</v>
      </c>
      <c r="B481" s="331" t="s">
        <v>31</v>
      </c>
      <c r="C481" s="332">
        <f>SUM(C482:C484)</f>
        <v>3086000</v>
      </c>
      <c r="D481" s="332">
        <f>SUM(D482:D484)</f>
        <v>4456000</v>
      </c>
      <c r="E481" s="332">
        <f>SUM(E482:E484)</f>
        <v>4273000</v>
      </c>
      <c r="F481" s="332">
        <f>SUM(F482:F484)</f>
        <v>3290243</v>
      </c>
      <c r="G481" s="332">
        <f>SUM(G482:G484)</f>
        <v>3640000</v>
      </c>
      <c r="H481" s="88"/>
    </row>
    <row r="482" spans="1:8" ht="31.5" hidden="1" customHeight="1" x14ac:dyDescent="0.2">
      <c r="A482" s="138">
        <v>3341</v>
      </c>
      <c r="B482" s="196" t="s">
        <v>611</v>
      </c>
      <c r="C482" s="333">
        <v>900000</v>
      </c>
      <c r="D482" s="333">
        <v>2270000</v>
      </c>
      <c r="E482" s="334">
        <v>2100000</v>
      </c>
      <c r="F482" s="335">
        <v>2079396</v>
      </c>
      <c r="G482" s="105">
        <v>950000</v>
      </c>
      <c r="H482" s="32"/>
    </row>
    <row r="483" spans="1:8" hidden="1" x14ac:dyDescent="0.2">
      <c r="A483" s="141">
        <v>3399</v>
      </c>
      <c r="B483" s="144" t="s">
        <v>612</v>
      </c>
      <c r="C483" s="145">
        <v>2170000</v>
      </c>
      <c r="D483" s="145">
        <v>2170000</v>
      </c>
      <c r="E483" s="336">
        <v>2170000</v>
      </c>
      <c r="F483" s="337">
        <v>1210847</v>
      </c>
      <c r="G483" s="105">
        <v>2670000</v>
      </c>
      <c r="H483" s="88"/>
    </row>
    <row r="484" spans="1:8" hidden="1" x14ac:dyDescent="0.2">
      <c r="A484" s="338"/>
      <c r="B484" s="144" t="s">
        <v>613</v>
      </c>
      <c r="C484" s="145">
        <v>16000</v>
      </c>
      <c r="D484" s="145">
        <v>16000</v>
      </c>
      <c r="E484" s="339">
        <v>3000</v>
      </c>
      <c r="F484" s="340">
        <v>0</v>
      </c>
      <c r="G484" s="105">
        <v>20000</v>
      </c>
      <c r="H484" s="88"/>
    </row>
    <row r="485" spans="1:8" s="244" customFormat="1" ht="12.75" hidden="1" customHeight="1" x14ac:dyDescent="0.25">
      <c r="A485" s="341"/>
      <c r="B485" s="342"/>
      <c r="C485" s="342"/>
      <c r="D485" s="342"/>
      <c r="E485" s="325"/>
      <c r="F485" s="185"/>
      <c r="G485" s="266"/>
      <c r="H485" s="88"/>
    </row>
    <row r="486" spans="1:8" s="343" customFormat="1" ht="20.25" hidden="1" x14ac:dyDescent="0.3">
      <c r="A486" s="344"/>
      <c r="B486" s="90" t="s">
        <v>614</v>
      </c>
      <c r="C486" s="345">
        <f>SUM(C487:C490)</f>
        <v>10612697</v>
      </c>
      <c r="D486" s="345">
        <v>9354593</v>
      </c>
      <c r="E486" s="345">
        <f>SUM(E487:E490)</f>
        <v>9354593</v>
      </c>
      <c r="F486" s="346">
        <v>5300735.47</v>
      </c>
      <c r="G486" s="345">
        <f>SUM(G487:G490)</f>
        <v>10752956</v>
      </c>
      <c r="H486" s="129"/>
    </row>
    <row r="487" spans="1:8" s="343" customFormat="1" ht="24.75" hidden="1" x14ac:dyDescent="0.2">
      <c r="A487" s="138">
        <v>2141</v>
      </c>
      <c r="B487" s="196" t="s">
        <v>615</v>
      </c>
      <c r="C487" s="145">
        <f>(25+38+64+422+5)*1000</f>
        <v>554000</v>
      </c>
      <c r="D487" s="145">
        <v>703800</v>
      </c>
      <c r="E487" s="347">
        <v>703800</v>
      </c>
      <c r="F487" s="348">
        <v>99904.25</v>
      </c>
      <c r="G487" s="197">
        <v>1226000</v>
      </c>
      <c r="H487" s="124"/>
    </row>
    <row r="488" spans="1:8" s="343" customFormat="1" ht="60.75" hidden="1" x14ac:dyDescent="0.2">
      <c r="A488" s="141">
        <v>2143</v>
      </c>
      <c r="B488" s="146" t="s">
        <v>616</v>
      </c>
      <c r="C488" s="145">
        <v>9407197</v>
      </c>
      <c r="D488" s="145">
        <v>8124293</v>
      </c>
      <c r="E488" s="349">
        <v>8124293</v>
      </c>
      <c r="F488" s="198">
        <v>4990927.7300000004</v>
      </c>
      <c r="G488" s="197">
        <v>8971956</v>
      </c>
      <c r="H488" s="124"/>
    </row>
    <row r="489" spans="1:8" s="343" customFormat="1" hidden="1" x14ac:dyDescent="0.2">
      <c r="A489" s="141">
        <v>3399</v>
      </c>
      <c r="B489" s="144" t="s">
        <v>617</v>
      </c>
      <c r="C489" s="145">
        <v>36500</v>
      </c>
      <c r="D489" s="145">
        <v>36500</v>
      </c>
      <c r="E489" s="175">
        <v>36500</v>
      </c>
      <c r="F489" s="198">
        <v>33332.79</v>
      </c>
      <c r="G489" s="197">
        <v>40000</v>
      </c>
      <c r="H489" s="129"/>
    </row>
    <row r="490" spans="1:8" s="343" customFormat="1" ht="24.75" hidden="1" x14ac:dyDescent="0.2">
      <c r="A490" s="141">
        <v>6223</v>
      </c>
      <c r="B490" s="146" t="s">
        <v>618</v>
      </c>
      <c r="C490" s="145">
        <f>(5+100+5+5+30+280+70+115+5)*1000</f>
        <v>615000</v>
      </c>
      <c r="D490" s="145">
        <v>490000</v>
      </c>
      <c r="E490" s="197">
        <v>490000</v>
      </c>
      <c r="F490" s="123">
        <v>176570.7</v>
      </c>
      <c r="G490" s="197">
        <v>515000</v>
      </c>
      <c r="H490" s="124"/>
    </row>
    <row r="491" spans="1:8" s="98" customFormat="1" hidden="1" x14ac:dyDescent="0.2">
      <c r="A491" s="350"/>
      <c r="B491" s="351"/>
      <c r="C491" s="352"/>
      <c r="D491" s="352"/>
      <c r="E491" s="266"/>
      <c r="F491" s="266"/>
      <c r="G491" s="266"/>
      <c r="H491" s="88"/>
    </row>
    <row r="492" spans="1:8" s="98" customFormat="1" ht="20.25" hidden="1" x14ac:dyDescent="0.2">
      <c r="A492" s="353"/>
      <c r="B492" s="331" t="s">
        <v>33</v>
      </c>
      <c r="C492" s="345">
        <f>SUM(C493,C495,C496)</f>
        <v>6426417</v>
      </c>
      <c r="D492" s="345">
        <f>D496+D495+D493</f>
        <v>6357417</v>
      </c>
      <c r="E492" s="345">
        <f>SUM(E493,E495,E496)</f>
        <v>6413417</v>
      </c>
      <c r="F492" s="281">
        <f>F493+F495+F496</f>
        <v>4365980.75</v>
      </c>
      <c r="G492" s="345">
        <f>SUM(G493,G495,G496)</f>
        <v>7038417</v>
      </c>
      <c r="H492" s="88"/>
    </row>
    <row r="493" spans="1:8" s="98" customFormat="1" hidden="1" x14ac:dyDescent="0.2">
      <c r="A493" s="141">
        <v>2223</v>
      </c>
      <c r="B493" s="141" t="s">
        <v>619</v>
      </c>
      <c r="C493" s="140">
        <f>C494</f>
        <v>76000</v>
      </c>
      <c r="D493" s="140">
        <v>76000</v>
      </c>
      <c r="E493" s="171">
        <v>70000</v>
      </c>
      <c r="F493" s="114">
        <v>42000</v>
      </c>
      <c r="G493" s="105">
        <v>76000</v>
      </c>
      <c r="H493" s="88"/>
    </row>
    <row r="494" spans="1:8" s="98" customFormat="1" hidden="1" x14ac:dyDescent="0.2">
      <c r="A494" s="141"/>
      <c r="B494" s="354" t="s">
        <v>620</v>
      </c>
      <c r="C494" s="121">
        <v>76000</v>
      </c>
      <c r="D494" s="121">
        <v>76000</v>
      </c>
      <c r="E494" s="177">
        <v>70000</v>
      </c>
      <c r="F494" s="113">
        <v>42000</v>
      </c>
      <c r="G494" s="114">
        <v>76000</v>
      </c>
      <c r="H494" s="88"/>
    </row>
    <row r="495" spans="1:8" s="98" customFormat="1" hidden="1" x14ac:dyDescent="0.2">
      <c r="A495" s="141">
        <v>2229</v>
      </c>
      <c r="B495" s="141" t="s">
        <v>621</v>
      </c>
      <c r="C495" s="197">
        <v>0</v>
      </c>
      <c r="D495" s="197">
        <v>71000</v>
      </c>
      <c r="E495" s="180">
        <v>71000</v>
      </c>
      <c r="F495" s="109">
        <v>71000</v>
      </c>
      <c r="G495" s="105">
        <v>0</v>
      </c>
      <c r="H495" s="88"/>
    </row>
    <row r="496" spans="1:8" s="98" customFormat="1" hidden="1" x14ac:dyDescent="0.2">
      <c r="A496" s="141">
        <v>2292</v>
      </c>
      <c r="B496" s="141" t="s">
        <v>622</v>
      </c>
      <c r="C496" s="197">
        <f>SUM(C497:C500)</f>
        <v>6350417</v>
      </c>
      <c r="D496" s="197">
        <f>D497+D498+D499+D500</f>
        <v>6210417</v>
      </c>
      <c r="E496" s="180">
        <f>E497+E498+E499+E500</f>
        <v>6272417</v>
      </c>
      <c r="F496" s="109">
        <v>4252980.75</v>
      </c>
      <c r="G496" s="105">
        <f>G497+G498+G500+G501</f>
        <v>6962417</v>
      </c>
      <c r="H496" s="88"/>
    </row>
    <row r="497" spans="1:8" s="98" customFormat="1" hidden="1" x14ac:dyDescent="0.2">
      <c r="A497" s="141"/>
      <c r="B497" s="127" t="s">
        <v>623</v>
      </c>
      <c r="C497" s="121">
        <v>1112417</v>
      </c>
      <c r="D497" s="121">
        <v>1112417</v>
      </c>
      <c r="E497" s="177">
        <v>1112417</v>
      </c>
      <c r="F497" s="113">
        <v>834312.75</v>
      </c>
      <c r="G497" s="114">
        <v>1112417</v>
      </c>
      <c r="H497" s="88"/>
    </row>
    <row r="498" spans="1:8" s="98" customFormat="1" hidden="1" x14ac:dyDescent="0.2">
      <c r="A498" s="141"/>
      <c r="B498" s="127" t="s">
        <v>624</v>
      </c>
      <c r="C498" s="121">
        <v>5038000</v>
      </c>
      <c r="D498" s="121">
        <v>5038000</v>
      </c>
      <c r="E498" s="177">
        <v>5100000</v>
      </c>
      <c r="F498" s="113">
        <v>3358668</v>
      </c>
      <c r="G498" s="114">
        <v>5100000</v>
      </c>
      <c r="H498" s="88"/>
    </row>
    <row r="499" spans="1:8" s="98" customFormat="1" ht="24.75" hidden="1" x14ac:dyDescent="0.2">
      <c r="A499" s="141"/>
      <c r="B499" s="355" t="s">
        <v>625</v>
      </c>
      <c r="C499" s="121">
        <v>0</v>
      </c>
      <c r="D499" s="121">
        <v>10000</v>
      </c>
      <c r="E499" s="177">
        <v>10000</v>
      </c>
      <c r="F499" s="113">
        <v>10000</v>
      </c>
      <c r="G499" s="114">
        <v>0</v>
      </c>
      <c r="H499" s="32"/>
    </row>
    <row r="500" spans="1:8" s="98" customFormat="1" hidden="1" x14ac:dyDescent="0.2">
      <c r="A500" s="141"/>
      <c r="B500" s="355" t="s">
        <v>626</v>
      </c>
      <c r="C500" s="121">
        <v>200000</v>
      </c>
      <c r="D500" s="121">
        <v>50000</v>
      </c>
      <c r="E500" s="177">
        <v>50000</v>
      </c>
      <c r="F500" s="113">
        <v>50000</v>
      </c>
      <c r="G500" s="114">
        <v>200000</v>
      </c>
      <c r="H500" s="32"/>
    </row>
    <row r="501" spans="1:8" s="98" customFormat="1" hidden="1" x14ac:dyDescent="0.2">
      <c r="A501" s="338"/>
      <c r="B501" s="356" t="s">
        <v>627</v>
      </c>
      <c r="C501" s="220">
        <v>0</v>
      </c>
      <c r="D501" s="220">
        <v>0</v>
      </c>
      <c r="E501" s="177">
        <v>0</v>
      </c>
      <c r="F501" s="113">
        <v>0</v>
      </c>
      <c r="G501" s="113">
        <v>550000</v>
      </c>
      <c r="H501" s="88"/>
    </row>
    <row r="502" spans="1:8" s="98" customFormat="1" hidden="1" x14ac:dyDescent="0.2">
      <c r="A502" s="227"/>
      <c r="B502" s="357"/>
      <c r="C502" s="358"/>
      <c r="D502" s="358"/>
      <c r="E502" s="359"/>
      <c r="F502" s="143"/>
      <c r="G502" s="143"/>
      <c r="H502" s="88"/>
    </row>
    <row r="503" spans="1:8" s="98" customFormat="1" ht="20.25" hidden="1" x14ac:dyDescent="0.3">
      <c r="A503" s="344"/>
      <c r="B503" s="90" t="s">
        <v>34</v>
      </c>
      <c r="C503" s="91">
        <f>SUM(C504:C505)</f>
        <v>112000</v>
      </c>
      <c r="D503" s="36">
        <v>112000</v>
      </c>
      <c r="E503" s="91">
        <f>SUM(E504:E505)</f>
        <v>73000</v>
      </c>
      <c r="F503" s="281">
        <v>33098</v>
      </c>
      <c r="G503" s="91">
        <f>SUM(G504:G505)</f>
        <v>112000</v>
      </c>
      <c r="H503" s="88"/>
    </row>
    <row r="504" spans="1:8" s="98" customFormat="1" ht="12.75" hidden="1" customHeight="1" x14ac:dyDescent="0.2">
      <c r="A504" s="141">
        <v>2223</v>
      </c>
      <c r="B504" s="144" t="s">
        <v>628</v>
      </c>
      <c r="C504" s="145">
        <v>100000</v>
      </c>
      <c r="D504" s="145">
        <v>100000</v>
      </c>
      <c r="E504" s="105">
        <v>70000</v>
      </c>
      <c r="F504" s="105">
        <v>32151</v>
      </c>
      <c r="G504" s="105">
        <v>100000</v>
      </c>
      <c r="H504" s="88"/>
    </row>
    <row r="505" spans="1:8" s="98" customFormat="1" hidden="1" x14ac:dyDescent="0.2">
      <c r="A505" s="141">
        <v>6171</v>
      </c>
      <c r="B505" s="144" t="s">
        <v>629</v>
      </c>
      <c r="C505" s="145">
        <v>12000</v>
      </c>
      <c r="D505" s="145">
        <v>12000</v>
      </c>
      <c r="E505" s="109">
        <v>3000</v>
      </c>
      <c r="F505" s="109">
        <v>947</v>
      </c>
      <c r="G505" s="105">
        <v>12000</v>
      </c>
      <c r="H505" s="88"/>
    </row>
    <row r="506" spans="1:8" s="98" customFormat="1" hidden="1" x14ac:dyDescent="0.2">
      <c r="A506" s="360"/>
      <c r="B506" s="361"/>
      <c r="C506" s="187"/>
      <c r="D506" s="187"/>
      <c r="E506" s="266"/>
      <c r="F506" s="266"/>
      <c r="G506" s="266"/>
      <c r="H506" s="88"/>
    </row>
    <row r="507" spans="1:8" s="98" customFormat="1" ht="20.25" hidden="1" x14ac:dyDescent="0.3">
      <c r="A507" s="252"/>
      <c r="B507" s="93" t="s">
        <v>630</v>
      </c>
      <c r="C507" s="362">
        <f>C508+C509</f>
        <v>500000</v>
      </c>
      <c r="D507" s="362">
        <f>D508+D509</f>
        <v>1201000</v>
      </c>
      <c r="E507" s="363">
        <f>E508+E509</f>
        <v>701000</v>
      </c>
      <c r="F507" s="364">
        <f>F508+F509</f>
        <v>1201000</v>
      </c>
      <c r="G507" s="363">
        <f>G508+G509</f>
        <v>500000</v>
      </c>
      <c r="H507" s="88"/>
    </row>
    <row r="508" spans="1:8" s="98" customFormat="1" hidden="1" x14ac:dyDescent="0.2">
      <c r="A508" s="254">
        <v>6115</v>
      </c>
      <c r="B508" s="107" t="s">
        <v>631</v>
      </c>
      <c r="C508" s="109">
        <v>500000</v>
      </c>
      <c r="D508" s="109">
        <v>1201000</v>
      </c>
      <c r="E508" s="105">
        <v>701000</v>
      </c>
      <c r="F508" s="172">
        <v>1201000</v>
      </c>
      <c r="G508" s="105">
        <v>0</v>
      </c>
      <c r="H508" s="88"/>
    </row>
    <row r="509" spans="1:8" s="98" customFormat="1" hidden="1" x14ac:dyDescent="0.2">
      <c r="A509" s="144"/>
      <c r="B509" s="107" t="s">
        <v>632</v>
      </c>
      <c r="C509" s="109">
        <v>0</v>
      </c>
      <c r="D509" s="109">
        <v>0</v>
      </c>
      <c r="E509" s="109">
        <v>0</v>
      </c>
      <c r="F509" s="181">
        <v>0</v>
      </c>
      <c r="G509" s="109">
        <v>500000</v>
      </c>
      <c r="H509" s="88"/>
    </row>
    <row r="510" spans="1:8" s="98" customFormat="1" hidden="1" x14ac:dyDescent="0.2">
      <c r="A510" s="361"/>
      <c r="B510" s="365"/>
      <c r="C510" s="366"/>
      <c r="D510" s="366"/>
      <c r="E510" s="366"/>
      <c r="F510" s="367"/>
      <c r="G510" s="135"/>
      <c r="H510" s="88"/>
    </row>
    <row r="511" spans="1:8" s="98" customFormat="1" ht="20.25" hidden="1" x14ac:dyDescent="0.3">
      <c r="A511" s="283"/>
      <c r="B511" s="368" t="s">
        <v>36</v>
      </c>
      <c r="C511" s="363">
        <f>C512+C565+C590</f>
        <v>117286140</v>
      </c>
      <c r="D511" s="363">
        <f>D512+D565+D590</f>
        <v>125496783.28</v>
      </c>
      <c r="E511" s="363">
        <f>E512+E565+E590</f>
        <v>125496783.28</v>
      </c>
      <c r="F511" s="363">
        <f>F512+F565+F590</f>
        <v>82606294.439999998</v>
      </c>
      <c r="G511" s="363">
        <f>G512+G565+G590</f>
        <v>160009627.30000001</v>
      </c>
      <c r="H511" s="88"/>
    </row>
    <row r="512" spans="1:8" s="98" customFormat="1" ht="16.5" hidden="1" customHeight="1" x14ac:dyDescent="0.25">
      <c r="A512" s="312"/>
      <c r="B512" s="369" t="s">
        <v>633</v>
      </c>
      <c r="C512" s="169">
        <f>SUM(C513,C533,C564,C559)</f>
        <v>55530000</v>
      </c>
      <c r="D512" s="137">
        <f>SUM(D513,D533,D564,D559)</f>
        <v>50086908.670000002</v>
      </c>
      <c r="E512" s="169">
        <f>SUM(E513,E533,E564,E559)</f>
        <v>50086908.670000002</v>
      </c>
      <c r="F512" s="169">
        <f>SUM(F513,F533,F564,F559)</f>
        <v>24467486.900000002</v>
      </c>
      <c r="G512" s="169">
        <f>SUM(G513,G533,G564,G559)</f>
        <v>78486811.299999997</v>
      </c>
      <c r="H512" s="88"/>
    </row>
    <row r="513" spans="1:8" s="98" customFormat="1" hidden="1" x14ac:dyDescent="0.2">
      <c r="A513" s="102">
        <v>3111</v>
      </c>
      <c r="B513" s="370" t="s">
        <v>634</v>
      </c>
      <c r="C513" s="140">
        <f>SUM(C514:C516)</f>
        <v>11263000</v>
      </c>
      <c r="D513" s="173">
        <f>SUM(D514:D516)</f>
        <v>10511914.67</v>
      </c>
      <c r="E513" s="140">
        <f>SUM(E514:E516)</f>
        <v>10511914.67</v>
      </c>
      <c r="F513" s="140">
        <f>SUM(F514:F516)</f>
        <v>6476550.8700000001</v>
      </c>
      <c r="G513" s="140">
        <f>SUM(G514:G516)</f>
        <v>21243000</v>
      </c>
      <c r="H513" s="88"/>
    </row>
    <row r="514" spans="1:8" s="98" customFormat="1" ht="12.75" hidden="1" customHeight="1" x14ac:dyDescent="0.2">
      <c r="A514" s="111"/>
      <c r="B514" s="371" t="s">
        <v>635</v>
      </c>
      <c r="C514" s="372">
        <f t="shared" ref="C514:G515" si="5">SUM(C519,C529,C524)</f>
        <v>5847000</v>
      </c>
      <c r="D514" s="373">
        <f t="shared" si="5"/>
        <v>5650914.6699999999</v>
      </c>
      <c r="E514" s="372">
        <f t="shared" si="5"/>
        <v>5650914.6699999999</v>
      </c>
      <c r="F514" s="372">
        <f t="shared" si="5"/>
        <v>4173000</v>
      </c>
      <c r="G514" s="372">
        <f t="shared" si="5"/>
        <v>5998000</v>
      </c>
      <c r="H514" s="88"/>
    </row>
    <row r="515" spans="1:8" s="98" customFormat="1" ht="12.75" hidden="1" customHeight="1" x14ac:dyDescent="0.2">
      <c r="A515" s="111"/>
      <c r="B515" s="371" t="s">
        <v>636</v>
      </c>
      <c r="C515" s="372">
        <f t="shared" si="5"/>
        <v>1671000</v>
      </c>
      <c r="D515" s="373">
        <f t="shared" si="5"/>
        <v>1116000</v>
      </c>
      <c r="E515" s="372">
        <f t="shared" si="5"/>
        <v>1116000</v>
      </c>
      <c r="F515" s="372">
        <f t="shared" si="5"/>
        <v>888946.87</v>
      </c>
      <c r="G515" s="372">
        <f t="shared" si="5"/>
        <v>3365000</v>
      </c>
      <c r="H515" s="88"/>
    </row>
    <row r="516" spans="1:8" s="244" customFormat="1" ht="12.75" hidden="1" customHeight="1" x14ac:dyDescent="0.25">
      <c r="A516" s="111"/>
      <c r="B516" s="371" t="s">
        <v>637</v>
      </c>
      <c r="C516" s="372">
        <f>C531+C526</f>
        <v>3745000</v>
      </c>
      <c r="D516" s="373">
        <f>D531+D526</f>
        <v>3745000</v>
      </c>
      <c r="E516" s="372">
        <f>E531+E526</f>
        <v>3745000</v>
      </c>
      <c r="F516" s="372">
        <f>F531+F526</f>
        <v>1414604</v>
      </c>
      <c r="G516" s="372">
        <f>G531+G526+G521</f>
        <v>11880000</v>
      </c>
      <c r="H516" s="88"/>
    </row>
    <row r="517" spans="1:8" s="98" customFormat="1" ht="12.75" hidden="1" customHeight="1" x14ac:dyDescent="0.2">
      <c r="A517" s="111"/>
      <c r="B517" s="371"/>
      <c r="C517" s="372"/>
      <c r="D517" s="373"/>
      <c r="E517" s="372"/>
      <c r="F517" s="372"/>
      <c r="G517" s="372"/>
      <c r="H517" s="88"/>
    </row>
    <row r="518" spans="1:8" s="244" customFormat="1" ht="12.75" hidden="1" customHeight="1" x14ac:dyDescent="0.25">
      <c r="A518" s="111"/>
      <c r="B518" s="125" t="s">
        <v>638</v>
      </c>
      <c r="C518" s="145">
        <f>C519+C520</f>
        <v>1955000</v>
      </c>
      <c r="D518" s="109">
        <f>D519+D520</f>
        <v>1770000</v>
      </c>
      <c r="E518" s="145">
        <f>E519+E520</f>
        <v>1770000</v>
      </c>
      <c r="F518" s="145">
        <f>F519+F520</f>
        <v>1405000</v>
      </c>
      <c r="G518" s="145">
        <f>G519+G520+G521</f>
        <v>11049000</v>
      </c>
      <c r="H518" s="88"/>
    </row>
    <row r="519" spans="1:8" s="98" customFormat="1" ht="12.75" hidden="1" customHeight="1" x14ac:dyDescent="0.2">
      <c r="A519" s="111"/>
      <c r="B519" s="125" t="s">
        <v>639</v>
      </c>
      <c r="C519" s="374">
        <f>1822000-50000</f>
        <v>1772000</v>
      </c>
      <c r="D519" s="374">
        <v>1707000</v>
      </c>
      <c r="E519" s="297">
        <v>1707000</v>
      </c>
      <c r="F519" s="178">
        <v>1342000</v>
      </c>
      <c r="G519" s="114">
        <v>1676000</v>
      </c>
      <c r="H519" s="88"/>
    </row>
    <row r="520" spans="1:8" ht="36.75" hidden="1" x14ac:dyDescent="0.2">
      <c r="A520" s="111" t="s">
        <v>640</v>
      </c>
      <c r="B520" s="125" t="s">
        <v>641</v>
      </c>
      <c r="C520" s="374">
        <f>443000-260000</f>
        <v>183000</v>
      </c>
      <c r="D520" s="374">
        <v>63000</v>
      </c>
      <c r="E520" s="297">
        <v>63000</v>
      </c>
      <c r="F520" s="178">
        <v>63000</v>
      </c>
      <c r="G520" s="114">
        <f>(121+90+70+130+462-100)*1000</f>
        <v>773000</v>
      </c>
      <c r="H520" s="32"/>
    </row>
    <row r="521" spans="1:8" ht="25.5" hidden="1" customHeight="1" x14ac:dyDescent="0.2">
      <c r="A521" s="111"/>
      <c r="B521" s="125" t="s">
        <v>642</v>
      </c>
      <c r="C521" s="374"/>
      <c r="D521" s="374"/>
      <c r="E521" s="297"/>
      <c r="F521" s="178"/>
      <c r="G521" s="114">
        <f>(3600+4000+1000)*1000</f>
        <v>8600000</v>
      </c>
      <c r="H521" s="32"/>
    </row>
    <row r="522" spans="1:8" hidden="1" x14ac:dyDescent="0.2">
      <c r="A522" s="375"/>
      <c r="B522" s="376"/>
      <c r="C522" s="377"/>
      <c r="D522" s="377"/>
      <c r="E522" s="297"/>
      <c r="F522" s="178"/>
      <c r="G522" s="113"/>
      <c r="H522" s="88"/>
    </row>
    <row r="523" spans="1:8" hidden="1" x14ac:dyDescent="0.2">
      <c r="A523" s="111"/>
      <c r="B523" s="378" t="s">
        <v>643</v>
      </c>
      <c r="C523" s="145">
        <f>SUM(C524:C526)</f>
        <v>6931000</v>
      </c>
      <c r="D523" s="109">
        <f>SUM(D524:D526)</f>
        <v>6719914.6699999999</v>
      </c>
      <c r="E523" s="145">
        <f>SUM(E524:E526)</f>
        <v>6719914.6699999999</v>
      </c>
      <c r="F523" s="145">
        <f>SUM(F524:F526)</f>
        <v>3762550.87</v>
      </c>
      <c r="G523" s="145">
        <f>SUM(G524:G526)</f>
        <v>3515000</v>
      </c>
      <c r="H523" s="88"/>
    </row>
    <row r="524" spans="1:8" ht="12.75" hidden="1" customHeight="1" x14ac:dyDescent="0.2">
      <c r="A524" s="111"/>
      <c r="B524" s="125" t="s">
        <v>644</v>
      </c>
      <c r="C524" s="374">
        <f>2441000-50000</f>
        <v>2391000</v>
      </c>
      <c r="D524" s="374">
        <v>2279914.67</v>
      </c>
      <c r="E524" s="297">
        <v>2279914.67</v>
      </c>
      <c r="F524" s="178">
        <v>1667000</v>
      </c>
      <c r="G524" s="114">
        <v>2535000</v>
      </c>
      <c r="H524" s="88"/>
    </row>
    <row r="525" spans="1:8" ht="36.75" hidden="1" x14ac:dyDescent="0.2">
      <c r="A525" s="111"/>
      <c r="B525" s="125" t="s">
        <v>645</v>
      </c>
      <c r="C525" s="374">
        <v>940000</v>
      </c>
      <c r="D525" s="374">
        <v>840000</v>
      </c>
      <c r="E525" s="113">
        <v>840000</v>
      </c>
      <c r="F525" s="113">
        <v>825946.87</v>
      </c>
      <c r="G525" s="114">
        <v>980000</v>
      </c>
      <c r="H525" s="32"/>
    </row>
    <row r="526" spans="1:8" s="379" customFormat="1" ht="13.5" hidden="1" customHeight="1" x14ac:dyDescent="0.2">
      <c r="A526" s="111"/>
      <c r="B526" s="125" t="s">
        <v>646</v>
      </c>
      <c r="C526" s="374">
        <v>3600000</v>
      </c>
      <c r="D526" s="374">
        <v>3600000</v>
      </c>
      <c r="E526" s="297">
        <v>3600000</v>
      </c>
      <c r="F526" s="113">
        <v>1269604</v>
      </c>
      <c r="G526" s="114">
        <v>0</v>
      </c>
      <c r="H526" s="88"/>
    </row>
    <row r="527" spans="1:8" ht="12.75" hidden="1" customHeight="1" x14ac:dyDescent="0.2">
      <c r="A527" s="111"/>
      <c r="B527" s="125"/>
      <c r="C527" s="380"/>
      <c r="D527" s="380"/>
      <c r="E527" s="113"/>
      <c r="F527" s="113"/>
      <c r="G527" s="114"/>
      <c r="H527" s="88"/>
    </row>
    <row r="528" spans="1:8" ht="12.75" hidden="1" customHeight="1" x14ac:dyDescent="0.2">
      <c r="A528" s="111"/>
      <c r="B528" s="125" t="s">
        <v>647</v>
      </c>
      <c r="C528" s="381">
        <f>SUM(C529:C531)</f>
        <v>2377000</v>
      </c>
      <c r="D528" s="382">
        <f>SUM(D529:D531)</f>
        <v>2022000</v>
      </c>
      <c r="E528" s="381">
        <f>SUM(E529:E531)</f>
        <v>2022000</v>
      </c>
      <c r="F528" s="381">
        <f>SUM(F529:F531)</f>
        <v>1309000</v>
      </c>
      <c r="G528" s="381">
        <f>SUM(G529:G531)</f>
        <v>6679000</v>
      </c>
      <c r="H528" s="88"/>
    </row>
    <row r="529" spans="1:8" ht="12.75" hidden="1" customHeight="1" x14ac:dyDescent="0.2">
      <c r="A529" s="111"/>
      <c r="B529" s="125" t="s">
        <v>639</v>
      </c>
      <c r="C529" s="374">
        <f>1671000+60000+3000-50000</f>
        <v>1684000</v>
      </c>
      <c r="D529" s="374">
        <v>1664000</v>
      </c>
      <c r="E529" s="113">
        <v>1664000</v>
      </c>
      <c r="F529" s="113">
        <v>1164000</v>
      </c>
      <c r="G529" s="114">
        <v>1787000</v>
      </c>
      <c r="H529" s="88"/>
    </row>
    <row r="530" spans="1:8" ht="44.25" hidden="1" customHeight="1" x14ac:dyDescent="0.2">
      <c r="A530" s="111"/>
      <c r="B530" s="125" t="s">
        <v>648</v>
      </c>
      <c r="C530" s="374">
        <f>2127000-1200000-379000</f>
        <v>548000</v>
      </c>
      <c r="D530" s="374">
        <v>213000</v>
      </c>
      <c r="E530" s="297">
        <v>213000</v>
      </c>
      <c r="F530" s="178">
        <v>0</v>
      </c>
      <c r="G530" s="114">
        <f>+(368+237+417+210+260+120)*1000</f>
        <v>1612000</v>
      </c>
      <c r="H530" s="32"/>
    </row>
    <row r="531" spans="1:8" ht="23.25" hidden="1" customHeight="1" x14ac:dyDescent="0.2">
      <c r="A531" s="111"/>
      <c r="B531" s="125" t="s">
        <v>649</v>
      </c>
      <c r="C531" s="374">
        <f>338000-193000</f>
        <v>145000</v>
      </c>
      <c r="D531" s="374">
        <v>145000</v>
      </c>
      <c r="E531" s="178">
        <v>145000</v>
      </c>
      <c r="F531" s="178">
        <v>145000</v>
      </c>
      <c r="G531" s="114">
        <v>3280000</v>
      </c>
      <c r="H531" s="88"/>
    </row>
    <row r="532" spans="1:8" ht="12.75" hidden="1" customHeight="1" x14ac:dyDescent="0.2">
      <c r="A532" s="111"/>
      <c r="B532" s="125"/>
      <c r="C532" s="383"/>
      <c r="D532" s="383"/>
      <c r="E532" s="114"/>
      <c r="F532" s="384"/>
      <c r="G532" s="114"/>
      <c r="H532" s="88"/>
    </row>
    <row r="533" spans="1:8" hidden="1" x14ac:dyDescent="0.2">
      <c r="A533" s="106">
        <v>3113</v>
      </c>
      <c r="B533" s="110" t="s">
        <v>650</v>
      </c>
      <c r="C533" s="145">
        <f>SUM(C534:C537)</f>
        <v>39833000</v>
      </c>
      <c r="D533" s="109">
        <f>SUM(D534:D537)</f>
        <v>37828000</v>
      </c>
      <c r="E533" s="145">
        <f>SUM(E534:E537)</f>
        <v>37828000</v>
      </c>
      <c r="F533" s="145">
        <f>SUM(F534:F537)</f>
        <v>16623211.620000001</v>
      </c>
      <c r="G533" s="145">
        <f>SUM(G534:G537)</f>
        <v>35699000</v>
      </c>
      <c r="H533" s="88"/>
    </row>
    <row r="534" spans="1:8" ht="12.75" hidden="1" customHeight="1" x14ac:dyDescent="0.2">
      <c r="A534" s="106"/>
      <c r="B534" s="147" t="s">
        <v>651</v>
      </c>
      <c r="C534" s="374">
        <f>+(200+108+50+42)*1000</f>
        <v>400000</v>
      </c>
      <c r="D534" s="374">
        <v>385000</v>
      </c>
      <c r="E534" s="113">
        <v>385000</v>
      </c>
      <c r="F534" s="178">
        <v>112670</v>
      </c>
      <c r="G534" s="114">
        <v>400000</v>
      </c>
      <c r="H534" s="88"/>
    </row>
    <row r="535" spans="1:8" ht="12.75" hidden="1" customHeight="1" x14ac:dyDescent="0.2">
      <c r="A535" s="111"/>
      <c r="B535" s="125" t="s">
        <v>652</v>
      </c>
      <c r="C535" s="385">
        <f t="shared" ref="C535:G536" si="6">SUM(C545,C550,C540,C555)</f>
        <v>19377000</v>
      </c>
      <c r="D535" s="374">
        <f t="shared" si="6"/>
        <v>18807000</v>
      </c>
      <c r="E535" s="385">
        <f t="shared" si="6"/>
        <v>18807000</v>
      </c>
      <c r="F535" s="385">
        <f t="shared" si="6"/>
        <v>13777068.82</v>
      </c>
      <c r="G535" s="385">
        <f t="shared" si="6"/>
        <v>18701000</v>
      </c>
      <c r="H535" s="88"/>
    </row>
    <row r="536" spans="1:8" ht="12.75" hidden="1" customHeight="1" x14ac:dyDescent="0.2">
      <c r="A536" s="111"/>
      <c r="B536" s="125" t="s">
        <v>653</v>
      </c>
      <c r="C536" s="385">
        <f t="shared" si="6"/>
        <v>10759000</v>
      </c>
      <c r="D536" s="374">
        <f t="shared" si="6"/>
        <v>9059000</v>
      </c>
      <c r="E536" s="385">
        <f t="shared" si="6"/>
        <v>9059000</v>
      </c>
      <c r="F536" s="385">
        <f t="shared" si="6"/>
        <v>2403562.31</v>
      </c>
      <c r="G536" s="385">
        <f t="shared" si="6"/>
        <v>10054000</v>
      </c>
      <c r="H536" s="88"/>
    </row>
    <row r="537" spans="1:8" ht="12.75" hidden="1" customHeight="1" x14ac:dyDescent="0.2">
      <c r="A537" s="111"/>
      <c r="B537" s="125" t="s">
        <v>654</v>
      </c>
      <c r="C537" s="385">
        <f>C542+C547+C552+C557</f>
        <v>9297000</v>
      </c>
      <c r="D537" s="374">
        <f>D542+D547+D552+D557</f>
        <v>9577000</v>
      </c>
      <c r="E537" s="385">
        <f>E542+E547+E552+E557</f>
        <v>9577000</v>
      </c>
      <c r="F537" s="385">
        <f>F542+F547+F552+F557</f>
        <v>329910.49</v>
      </c>
      <c r="G537" s="385">
        <f>G542+G547+G552+G557</f>
        <v>6544000</v>
      </c>
      <c r="H537" s="32"/>
    </row>
    <row r="538" spans="1:8" s="98" customFormat="1" ht="12.75" hidden="1" customHeight="1" x14ac:dyDescent="0.2">
      <c r="A538" s="111"/>
      <c r="B538" s="125"/>
      <c r="C538" s="374"/>
      <c r="D538" s="374"/>
      <c r="E538" s="374"/>
      <c r="F538" s="374"/>
      <c r="G538" s="374"/>
      <c r="H538" s="386"/>
    </row>
    <row r="539" spans="1:8" hidden="1" x14ac:dyDescent="0.2">
      <c r="A539" s="111"/>
      <c r="B539" s="125" t="s">
        <v>655</v>
      </c>
      <c r="C539" s="145">
        <f>SUM(C540:C542)</f>
        <v>7839000</v>
      </c>
      <c r="D539" s="109">
        <f>SUM(D540:D542)</f>
        <v>7849000</v>
      </c>
      <c r="E539" s="145">
        <f>SUM(E540:E542)</f>
        <v>7849000</v>
      </c>
      <c r="F539" s="145">
        <f>SUM(F540:F542)</f>
        <v>5274946</v>
      </c>
      <c r="G539" s="145">
        <f>SUM(G540:G542)</f>
        <v>11137000</v>
      </c>
      <c r="H539" s="387"/>
    </row>
    <row r="540" spans="1:8" ht="12.75" hidden="1" customHeight="1" x14ac:dyDescent="0.2">
      <c r="A540" s="111"/>
      <c r="B540" s="125" t="s">
        <v>656</v>
      </c>
      <c r="C540" s="383">
        <f>6959000-40000</f>
        <v>6919000</v>
      </c>
      <c r="D540" s="383">
        <v>6649000</v>
      </c>
      <c r="E540" s="113">
        <v>6649000</v>
      </c>
      <c r="F540" s="113">
        <v>4869000</v>
      </c>
      <c r="G540" s="114">
        <v>6333000</v>
      </c>
      <c r="H540" s="387"/>
    </row>
    <row r="541" spans="1:8" ht="24.75" hidden="1" x14ac:dyDescent="0.2">
      <c r="A541" s="111"/>
      <c r="B541" s="125" t="s">
        <v>657</v>
      </c>
      <c r="C541" s="374">
        <v>280000</v>
      </c>
      <c r="D541" s="374">
        <v>280000</v>
      </c>
      <c r="E541" s="113">
        <v>280000</v>
      </c>
      <c r="F541" s="113">
        <v>263166</v>
      </c>
      <c r="G541" s="114">
        <v>1178000</v>
      </c>
      <c r="H541" s="387"/>
    </row>
    <row r="542" spans="1:8" ht="44.25" hidden="1" customHeight="1" x14ac:dyDescent="0.2">
      <c r="A542" s="111"/>
      <c r="B542" s="125" t="s">
        <v>658</v>
      </c>
      <c r="C542" s="374">
        <f>590000+50000</f>
        <v>640000</v>
      </c>
      <c r="D542" s="374">
        <v>920000</v>
      </c>
      <c r="E542" s="113">
        <v>920000</v>
      </c>
      <c r="F542" s="113">
        <v>142780</v>
      </c>
      <c r="G542" s="114">
        <f>(150+3000+300+70+192+85+129-300)*1000</f>
        <v>3626000</v>
      </c>
      <c r="H542" s="32"/>
    </row>
    <row r="543" spans="1:8" ht="12.75" hidden="1" customHeight="1" x14ac:dyDescent="0.2">
      <c r="A543" s="111"/>
      <c r="B543" s="125"/>
      <c r="C543" s="374"/>
      <c r="D543" s="374"/>
      <c r="E543" s="388"/>
      <c r="F543" s="388"/>
      <c r="G543" s="113"/>
      <c r="H543" s="88"/>
    </row>
    <row r="544" spans="1:8" hidden="1" x14ac:dyDescent="0.2">
      <c r="A544" s="111"/>
      <c r="B544" s="125" t="s">
        <v>659</v>
      </c>
      <c r="C544" s="145">
        <f>SUM(C545:C547)</f>
        <v>12511000</v>
      </c>
      <c r="D544" s="109">
        <f>SUM(D545:D547)</f>
        <v>12411000</v>
      </c>
      <c r="E544" s="145">
        <f>SUM(E545:E547)</f>
        <v>12411000</v>
      </c>
      <c r="F544" s="145">
        <f>SUM(F545:F547)</f>
        <v>3359199.31</v>
      </c>
      <c r="G544" s="145">
        <f>SUM(G545:G547)</f>
        <v>4954000</v>
      </c>
      <c r="H544" s="88"/>
    </row>
    <row r="545" spans="1:8" ht="12.75" hidden="1" customHeight="1" x14ac:dyDescent="0.2">
      <c r="A545" s="111"/>
      <c r="B545" s="125" t="s">
        <v>660</v>
      </c>
      <c r="C545" s="374">
        <f>4261000-20000</f>
        <v>4241000</v>
      </c>
      <c r="D545" s="374">
        <v>4141000</v>
      </c>
      <c r="E545" s="114">
        <v>4141000</v>
      </c>
      <c r="F545" s="114">
        <v>3259068.82</v>
      </c>
      <c r="G545" s="114">
        <v>3940000</v>
      </c>
      <c r="H545" s="88"/>
    </row>
    <row r="546" spans="1:8" ht="24.75" hidden="1" customHeight="1" x14ac:dyDescent="0.2">
      <c r="A546" s="111"/>
      <c r="B546" s="125" t="s">
        <v>661</v>
      </c>
      <c r="C546" s="374">
        <v>0</v>
      </c>
      <c r="D546" s="374">
        <v>0</v>
      </c>
      <c r="E546" s="113">
        <v>0</v>
      </c>
      <c r="F546" s="113">
        <v>0</v>
      </c>
      <c r="G546" s="114">
        <v>576000</v>
      </c>
      <c r="H546" s="88"/>
    </row>
    <row r="547" spans="1:8" ht="24.75" hidden="1" x14ac:dyDescent="0.2">
      <c r="A547" s="111"/>
      <c r="B547" s="125" t="s">
        <v>662</v>
      </c>
      <c r="C547" s="374">
        <v>8270000</v>
      </c>
      <c r="D547" s="374">
        <v>8270000</v>
      </c>
      <c r="E547" s="113">
        <v>8270000</v>
      </c>
      <c r="F547" s="113">
        <v>100130.49</v>
      </c>
      <c r="G547" s="114">
        <v>438000</v>
      </c>
      <c r="H547" s="32"/>
    </row>
    <row r="548" spans="1:8" ht="12.75" hidden="1" customHeight="1" x14ac:dyDescent="0.2">
      <c r="A548" s="111"/>
      <c r="B548" s="125"/>
      <c r="C548" s="374"/>
      <c r="D548" s="374"/>
      <c r="E548" s="113"/>
      <c r="F548" s="113"/>
      <c r="G548" s="113"/>
      <c r="H548" s="387"/>
    </row>
    <row r="549" spans="1:8" ht="12.75" hidden="1" customHeight="1" x14ac:dyDescent="0.2">
      <c r="A549" s="111"/>
      <c r="B549" s="125" t="s">
        <v>663</v>
      </c>
      <c r="C549" s="145">
        <f>SUM(C550:C552)</f>
        <v>5671000</v>
      </c>
      <c r="D549" s="109">
        <f>SUM(D550:D552)</f>
        <v>3871000</v>
      </c>
      <c r="E549" s="145">
        <f>SUM(E550:E552)</f>
        <v>3871000</v>
      </c>
      <c r="F549" s="145">
        <f>SUM(F550:F552)</f>
        <v>2565194.63</v>
      </c>
      <c r="G549" s="145">
        <f>SUM(G550:G552)</f>
        <v>12515000</v>
      </c>
      <c r="H549" s="387"/>
    </row>
    <row r="550" spans="1:8" ht="12.75" hidden="1" customHeight="1" x14ac:dyDescent="0.2">
      <c r="A550" s="111"/>
      <c r="B550" s="125" t="s">
        <v>664</v>
      </c>
      <c r="C550" s="374">
        <f>3454000-20000</f>
        <v>3434000</v>
      </c>
      <c r="D550" s="374">
        <v>3334000</v>
      </c>
      <c r="E550" s="113">
        <v>3334000</v>
      </c>
      <c r="F550" s="113">
        <v>2356000</v>
      </c>
      <c r="G550" s="114">
        <v>3375000</v>
      </c>
      <c r="H550" s="387"/>
    </row>
    <row r="551" spans="1:8" ht="29.25" hidden="1" customHeight="1" x14ac:dyDescent="0.2">
      <c r="A551" s="111"/>
      <c r="B551" s="125" t="s">
        <v>665</v>
      </c>
      <c r="C551" s="374">
        <v>1850000</v>
      </c>
      <c r="D551" s="374">
        <v>150000</v>
      </c>
      <c r="E551" s="113">
        <v>150000</v>
      </c>
      <c r="F551" s="113">
        <v>122194.63</v>
      </c>
      <c r="G551" s="114">
        <f>(4600+2600+500+400)*1000</f>
        <v>8100000</v>
      </c>
      <c r="H551" s="387"/>
    </row>
    <row r="552" spans="1:8" ht="24.75" hidden="1" x14ac:dyDescent="0.2">
      <c r="A552" s="111"/>
      <c r="B552" s="125" t="s">
        <v>666</v>
      </c>
      <c r="C552" s="374">
        <v>387000</v>
      </c>
      <c r="D552" s="374">
        <v>387000</v>
      </c>
      <c r="E552" s="113">
        <v>387000</v>
      </c>
      <c r="F552" s="113">
        <v>87000</v>
      </c>
      <c r="G552" s="114">
        <f>+(600+600-160)*1000</f>
        <v>1040000</v>
      </c>
      <c r="H552" s="387"/>
    </row>
    <row r="553" spans="1:8" ht="12.75" hidden="1" customHeight="1" x14ac:dyDescent="0.2">
      <c r="A553" s="111"/>
      <c r="B553" s="125"/>
      <c r="C553" s="374"/>
      <c r="D553" s="374"/>
      <c r="E553" s="105"/>
      <c r="F553" s="114"/>
      <c r="G553" s="105"/>
      <c r="H553" s="386"/>
    </row>
    <row r="554" spans="1:8" hidden="1" x14ac:dyDescent="0.2">
      <c r="A554" s="111"/>
      <c r="B554" s="125" t="s">
        <v>667</v>
      </c>
      <c r="C554" s="145">
        <f>SUM(C555:C557)</f>
        <v>13412000</v>
      </c>
      <c r="D554" s="109">
        <f>SUM(D555:D557)</f>
        <v>13312000</v>
      </c>
      <c r="E554" s="145">
        <f>SUM(E555:E557)</f>
        <v>13312000</v>
      </c>
      <c r="F554" s="145">
        <f>SUM(F555:F557)</f>
        <v>5311201.68</v>
      </c>
      <c r="G554" s="145">
        <f>SUM(G555:G557)</f>
        <v>6693000</v>
      </c>
      <c r="H554" s="386"/>
    </row>
    <row r="555" spans="1:8" ht="12.75" hidden="1" customHeight="1" x14ac:dyDescent="0.2">
      <c r="A555" s="111"/>
      <c r="B555" s="125" t="s">
        <v>668</v>
      </c>
      <c r="C555" s="374">
        <f>4803000-20000</f>
        <v>4783000</v>
      </c>
      <c r="D555" s="374">
        <v>4683000</v>
      </c>
      <c r="E555" s="220">
        <v>4683000</v>
      </c>
      <c r="F555" s="220">
        <v>3293000</v>
      </c>
      <c r="G555" s="114">
        <v>5053000</v>
      </c>
      <c r="H555" s="88"/>
    </row>
    <row r="556" spans="1:8" ht="15" hidden="1" x14ac:dyDescent="0.2">
      <c r="A556" s="111"/>
      <c r="B556" s="125" t="s">
        <v>669</v>
      </c>
      <c r="C556" s="374">
        <v>8629000</v>
      </c>
      <c r="D556" s="374">
        <v>8629000</v>
      </c>
      <c r="E556" s="266">
        <v>8629000</v>
      </c>
      <c r="F556" s="266">
        <v>2018201.68</v>
      </c>
      <c r="G556" s="114">
        <v>200000</v>
      </c>
      <c r="H556" s="387"/>
    </row>
    <row r="557" spans="1:8" ht="12.75" hidden="1" customHeight="1" x14ac:dyDescent="0.2">
      <c r="A557" s="111"/>
      <c r="B557" s="125" t="s">
        <v>670</v>
      </c>
      <c r="C557" s="374">
        <f>50000-50000</f>
        <v>0</v>
      </c>
      <c r="D557" s="374">
        <v>0</v>
      </c>
      <c r="E557" s="388">
        <v>0</v>
      </c>
      <c r="F557" s="388">
        <v>0</v>
      </c>
      <c r="G557" s="114">
        <f>(320+1250-130)*1000</f>
        <v>1440000</v>
      </c>
      <c r="H557" s="386"/>
    </row>
    <row r="558" spans="1:8" ht="12.75" hidden="1" customHeight="1" x14ac:dyDescent="0.2">
      <c r="A558" s="111"/>
      <c r="B558" s="125"/>
      <c r="C558" s="374"/>
      <c r="D558" s="374"/>
      <c r="E558" s="121"/>
      <c r="F558" s="121"/>
      <c r="G558" s="114"/>
      <c r="H558" s="386"/>
    </row>
    <row r="559" spans="1:8" hidden="1" x14ac:dyDescent="0.2">
      <c r="A559" s="106">
        <v>3233</v>
      </c>
      <c r="B559" s="110" t="s">
        <v>671</v>
      </c>
      <c r="C559" s="145">
        <f>C560</f>
        <v>4374000</v>
      </c>
      <c r="D559" s="109">
        <f>D560</f>
        <v>1686994</v>
      </c>
      <c r="E559" s="145">
        <f>E560</f>
        <v>1686994</v>
      </c>
      <c r="F559" s="145">
        <f>F560</f>
        <v>1343942</v>
      </c>
      <c r="G559" s="145">
        <f>G560</f>
        <v>21464811.300000001</v>
      </c>
      <c r="H559" s="386"/>
    </row>
    <row r="560" spans="1:8" ht="12.75" hidden="1" customHeight="1" x14ac:dyDescent="0.2">
      <c r="A560" s="106"/>
      <c r="B560" s="125" t="s">
        <v>672</v>
      </c>
      <c r="C560" s="385">
        <f>SUM(C561:C563)</f>
        <v>4374000</v>
      </c>
      <c r="D560" s="374">
        <f>SUM(D561:D563)</f>
        <v>1686994</v>
      </c>
      <c r="E560" s="385">
        <f>SUM(E561:E563)</f>
        <v>1686994</v>
      </c>
      <c r="F560" s="385">
        <f>SUM(F561:F563)</f>
        <v>1343942</v>
      </c>
      <c r="G560" s="385">
        <f>SUM(G561:G563)</f>
        <v>21464811.300000001</v>
      </c>
      <c r="H560" s="386"/>
    </row>
    <row r="561" spans="1:8" ht="12.75" hidden="1" customHeight="1" x14ac:dyDescent="0.2">
      <c r="A561" s="106"/>
      <c r="B561" s="125" t="s">
        <v>673</v>
      </c>
      <c r="C561" s="374">
        <f>1509000+2000+3000</f>
        <v>1514000</v>
      </c>
      <c r="D561" s="374">
        <v>1304000</v>
      </c>
      <c r="E561" s="121">
        <v>1304000</v>
      </c>
      <c r="F561" s="121">
        <v>1076000</v>
      </c>
      <c r="G561" s="114">
        <v>1512000</v>
      </c>
      <c r="H561" s="386"/>
    </row>
    <row r="562" spans="1:8" ht="12.75" hidden="1" customHeight="1" x14ac:dyDescent="0.2">
      <c r="A562" s="106"/>
      <c r="B562" s="125" t="s">
        <v>674</v>
      </c>
      <c r="C562" s="374">
        <f>246000-246000</f>
        <v>0</v>
      </c>
      <c r="D562" s="374">
        <v>0</v>
      </c>
      <c r="E562" s="113">
        <v>0</v>
      </c>
      <c r="F562" s="113">
        <v>0</v>
      </c>
      <c r="G562" s="114">
        <v>150000</v>
      </c>
      <c r="H562" s="386"/>
    </row>
    <row r="563" spans="1:8" ht="24.75" hidden="1" x14ac:dyDescent="0.2">
      <c r="A563" s="106"/>
      <c r="B563" s="125" t="s">
        <v>675</v>
      </c>
      <c r="C563" s="374">
        <f>2943000-83000</f>
        <v>2860000</v>
      </c>
      <c r="D563" s="374">
        <v>382994</v>
      </c>
      <c r="E563" s="113">
        <v>382994</v>
      </c>
      <c r="F563" s="113">
        <v>267942</v>
      </c>
      <c r="G563" s="114">
        <f>+(19797.8113+95+50-140)*1000</f>
        <v>19802811.300000001</v>
      </c>
      <c r="H563" s="32"/>
    </row>
    <row r="564" spans="1:8" s="98" customFormat="1" ht="12.75" hidden="1" customHeight="1" x14ac:dyDescent="0.2">
      <c r="A564" s="106">
        <v>3419</v>
      </c>
      <c r="B564" s="110" t="s">
        <v>676</v>
      </c>
      <c r="C564" s="382">
        <v>60000</v>
      </c>
      <c r="D564" s="382">
        <v>60000</v>
      </c>
      <c r="E564" s="105">
        <v>60000</v>
      </c>
      <c r="F564" s="105">
        <v>23782.41</v>
      </c>
      <c r="G564" s="105">
        <v>80000</v>
      </c>
      <c r="H564" s="88"/>
    </row>
    <row r="565" spans="1:8" s="98" customFormat="1" ht="15.75" hidden="1" x14ac:dyDescent="0.25">
      <c r="A565" s="312"/>
      <c r="B565" s="369" t="s">
        <v>677</v>
      </c>
      <c r="C565" s="169">
        <f>SUM(C566,C570,C573,C578,C581,C588)</f>
        <v>39914000</v>
      </c>
      <c r="D565" s="137">
        <f>SUM(D566,D570,D573,D578,D581,D588)</f>
        <v>39435236.609999999</v>
      </c>
      <c r="E565" s="169">
        <f>SUM(E566,E570,E573,E578,E581,E588)</f>
        <v>39435236.609999999</v>
      </c>
      <c r="F565" s="169">
        <f>SUM(F566,F570,F573,F578,F581,F588)</f>
        <v>25118106.539999999</v>
      </c>
      <c r="G565" s="169">
        <f>SUM(G566,G570,G573,G578,G581,G588)</f>
        <v>63946000</v>
      </c>
      <c r="H565" s="88"/>
    </row>
    <row r="566" spans="1:8" s="98" customFormat="1" hidden="1" x14ac:dyDescent="0.2">
      <c r="A566" s="389">
        <v>3311</v>
      </c>
      <c r="B566" s="390" t="s">
        <v>678</v>
      </c>
      <c r="C566" s="197">
        <f>SUM(C567:C569)</f>
        <v>13652000</v>
      </c>
      <c r="D566" s="105">
        <f>SUM(D567:D569)</f>
        <v>13287856.609999999</v>
      </c>
      <c r="E566" s="197">
        <f>SUM(E567:E569)</f>
        <v>13287856.609999999</v>
      </c>
      <c r="F566" s="197">
        <f>SUM(F567:F569)</f>
        <v>8752492.9000000004</v>
      </c>
      <c r="G566" s="197">
        <f>SUM(G567:G569)</f>
        <v>35844000</v>
      </c>
      <c r="H566" s="88"/>
    </row>
    <row r="567" spans="1:8" s="98" customFormat="1" ht="12.75" hidden="1" customHeight="1" x14ac:dyDescent="0.2">
      <c r="A567" s="391"/>
      <c r="B567" s="392" t="s">
        <v>679</v>
      </c>
      <c r="C567" s="374">
        <f>11611000+511000</f>
        <v>12122000</v>
      </c>
      <c r="D567" s="374">
        <v>11554289.039999999</v>
      </c>
      <c r="E567" s="113">
        <v>11554289.039999999</v>
      </c>
      <c r="F567" s="113">
        <v>7809830.2999999998</v>
      </c>
      <c r="G567" s="114">
        <v>12044000</v>
      </c>
      <c r="H567" s="88"/>
    </row>
    <row r="568" spans="1:8" s="98" customFormat="1" ht="24.75" hidden="1" x14ac:dyDescent="0.2">
      <c r="A568" s="391"/>
      <c r="B568" s="392" t="s">
        <v>680</v>
      </c>
      <c r="C568" s="374">
        <f>1150000+220000-400000</f>
        <v>970000</v>
      </c>
      <c r="D568" s="374">
        <v>970000</v>
      </c>
      <c r="E568" s="113">
        <v>970000</v>
      </c>
      <c r="F568" s="113">
        <v>836182.6</v>
      </c>
      <c r="G568" s="114">
        <f>+(20000+4000-200)*1000</f>
        <v>23800000</v>
      </c>
      <c r="H568" s="32"/>
    </row>
    <row r="569" spans="1:8" s="98" customFormat="1" ht="13.5" hidden="1" customHeight="1" x14ac:dyDescent="0.2">
      <c r="A569" s="391"/>
      <c r="B569" s="392" t="s">
        <v>681</v>
      </c>
      <c r="C569" s="393">
        <f>410000+150000</f>
        <v>560000</v>
      </c>
      <c r="D569" s="393">
        <v>763567.57</v>
      </c>
      <c r="E569" s="200">
        <v>763567.57</v>
      </c>
      <c r="F569" s="200">
        <v>106480</v>
      </c>
      <c r="G569" s="114">
        <v>0</v>
      </c>
      <c r="H569" s="88"/>
    </row>
    <row r="570" spans="1:8" hidden="1" x14ac:dyDescent="0.2">
      <c r="A570" s="394">
        <v>3319</v>
      </c>
      <c r="B570" s="395" t="s">
        <v>682</v>
      </c>
      <c r="C570" s="109">
        <f>SUM(C571:C572)</f>
        <v>1005000</v>
      </c>
      <c r="D570" s="109">
        <f>SUM(D571:D572)</f>
        <v>918000</v>
      </c>
      <c r="E570" s="109">
        <f>SUM(E571:E572)</f>
        <v>918000</v>
      </c>
      <c r="F570" s="109">
        <f>SUM(F571:F572)</f>
        <v>235910.69</v>
      </c>
      <c r="G570" s="109">
        <f>SUM(G571:G572)</f>
        <v>1017000</v>
      </c>
      <c r="H570" s="88"/>
    </row>
    <row r="571" spans="1:8" ht="12.75" hidden="1" customHeight="1" x14ac:dyDescent="0.2">
      <c r="A571" s="394"/>
      <c r="B571" s="396" t="s">
        <v>683</v>
      </c>
      <c r="C571" s="374">
        <v>410000</v>
      </c>
      <c r="D571" s="374">
        <v>410000</v>
      </c>
      <c r="E571" s="113">
        <v>410000</v>
      </c>
      <c r="F571" s="113">
        <v>235910.69</v>
      </c>
      <c r="G571" s="114">
        <f>417000+5000</f>
        <v>422000</v>
      </c>
      <c r="H571" s="32"/>
    </row>
    <row r="572" spans="1:8" ht="24.75" hidden="1" customHeight="1" x14ac:dyDescent="0.2">
      <c r="A572" s="394"/>
      <c r="B572" s="397" t="s">
        <v>684</v>
      </c>
      <c r="C572" s="374">
        <v>595000</v>
      </c>
      <c r="D572" s="374">
        <v>508000</v>
      </c>
      <c r="E572" s="113">
        <v>508000</v>
      </c>
      <c r="F572" s="113"/>
      <c r="G572" s="114">
        <v>595000</v>
      </c>
      <c r="H572" s="88"/>
    </row>
    <row r="573" spans="1:8" hidden="1" x14ac:dyDescent="0.2">
      <c r="A573" s="394">
        <v>3322</v>
      </c>
      <c r="B573" s="395" t="s">
        <v>685</v>
      </c>
      <c r="C573" s="145">
        <f>SUM(C574:C577)</f>
        <v>372000</v>
      </c>
      <c r="D573" s="109">
        <f>SUM(D574:D577)</f>
        <v>443000</v>
      </c>
      <c r="E573" s="145">
        <f>SUM(E574:E577)</f>
        <v>443000</v>
      </c>
      <c r="F573" s="145">
        <f>SUM(F574:F577)</f>
        <v>204341.84</v>
      </c>
      <c r="G573" s="145">
        <f>SUM(G574:G577)</f>
        <v>332000</v>
      </c>
      <c r="H573" s="88"/>
    </row>
    <row r="574" spans="1:8" ht="12.75" hidden="1" customHeight="1" x14ac:dyDescent="0.2">
      <c r="A574" s="391"/>
      <c r="B574" s="396" t="s">
        <v>686</v>
      </c>
      <c r="C574" s="374">
        <v>20000</v>
      </c>
      <c r="D574" s="374">
        <v>20000</v>
      </c>
      <c r="E574" s="121">
        <v>20000</v>
      </c>
      <c r="F574" s="121">
        <v>0</v>
      </c>
      <c r="G574" s="114">
        <v>10000</v>
      </c>
      <c r="H574" s="88"/>
    </row>
    <row r="575" spans="1:8" hidden="1" x14ac:dyDescent="0.2">
      <c r="A575" s="391"/>
      <c r="B575" s="396" t="s">
        <v>687</v>
      </c>
      <c r="C575" s="179">
        <v>40000</v>
      </c>
      <c r="D575" s="160">
        <v>40000</v>
      </c>
      <c r="E575" s="113">
        <v>40000</v>
      </c>
      <c r="F575" s="113">
        <v>0</v>
      </c>
      <c r="G575" s="114">
        <v>0</v>
      </c>
      <c r="H575" s="88"/>
    </row>
    <row r="576" spans="1:8" ht="12.75" hidden="1" customHeight="1" x14ac:dyDescent="0.2">
      <c r="A576" s="391"/>
      <c r="B576" s="392" t="s">
        <v>688</v>
      </c>
      <c r="C576" s="374">
        <v>42000</v>
      </c>
      <c r="D576" s="374">
        <v>42000</v>
      </c>
      <c r="E576" s="121">
        <v>42000</v>
      </c>
      <c r="F576" s="121">
        <v>31428</v>
      </c>
      <c r="G576" s="114">
        <v>42000</v>
      </c>
      <c r="H576" s="88"/>
    </row>
    <row r="577" spans="1:8" s="98" customFormat="1" ht="25.5" hidden="1" x14ac:dyDescent="0.2">
      <c r="A577" s="391"/>
      <c r="B577" s="392" t="s">
        <v>689</v>
      </c>
      <c r="C577" s="374">
        <f>305000-35000</f>
        <v>270000</v>
      </c>
      <c r="D577" s="374">
        <v>341000</v>
      </c>
      <c r="E577" s="121">
        <v>341000</v>
      </c>
      <c r="F577" s="121">
        <v>172913.84</v>
      </c>
      <c r="G577" s="114">
        <v>280000</v>
      </c>
      <c r="H577" s="32"/>
    </row>
    <row r="578" spans="1:8" s="98" customFormat="1" hidden="1" x14ac:dyDescent="0.2">
      <c r="A578" s="394">
        <v>3326</v>
      </c>
      <c r="B578" s="398" t="s">
        <v>690</v>
      </c>
      <c r="C578" s="145">
        <f>SUM(C579:C580)</f>
        <v>126000</v>
      </c>
      <c r="D578" s="109">
        <f>SUM(D579:D580)</f>
        <v>126000</v>
      </c>
      <c r="E578" s="145">
        <f>SUM(E579:E580)</f>
        <v>126000</v>
      </c>
      <c r="F578" s="145">
        <f>SUM(F579:F580)</f>
        <v>624.26</v>
      </c>
      <c r="G578" s="145">
        <f>SUM(G579:G580)</f>
        <v>341000</v>
      </c>
      <c r="H578" s="88"/>
    </row>
    <row r="579" spans="1:8" s="98" customFormat="1" ht="12.75" hidden="1" customHeight="1" x14ac:dyDescent="0.2">
      <c r="A579" s="391"/>
      <c r="B579" s="392" t="s">
        <v>691</v>
      </c>
      <c r="C579" s="374">
        <v>116000</v>
      </c>
      <c r="D579" s="374">
        <v>116000</v>
      </c>
      <c r="E579" s="121">
        <v>116000</v>
      </c>
      <c r="F579" s="121">
        <v>0</v>
      </c>
      <c r="G579" s="114">
        <v>338000</v>
      </c>
      <c r="H579" s="88"/>
    </row>
    <row r="580" spans="1:8" s="98" customFormat="1" ht="12.75" hidden="1" customHeight="1" x14ac:dyDescent="0.2">
      <c r="A580" s="391"/>
      <c r="B580" s="392" t="s">
        <v>692</v>
      </c>
      <c r="C580" s="374">
        <v>10000</v>
      </c>
      <c r="D580" s="374">
        <v>10000</v>
      </c>
      <c r="E580" s="121">
        <v>10000</v>
      </c>
      <c r="F580" s="121">
        <v>624.26</v>
      </c>
      <c r="G580" s="114">
        <v>3000</v>
      </c>
      <c r="H580" s="88"/>
    </row>
    <row r="581" spans="1:8" hidden="1" x14ac:dyDescent="0.2">
      <c r="A581" s="394">
        <v>3392</v>
      </c>
      <c r="B581" s="398" t="s">
        <v>693</v>
      </c>
      <c r="C581" s="145">
        <f>C583+C582</f>
        <v>24609000</v>
      </c>
      <c r="D581" s="109">
        <f>D583+D582</f>
        <v>24510380</v>
      </c>
      <c r="E581" s="145">
        <f>E583+E582</f>
        <v>24510380</v>
      </c>
      <c r="F581" s="145">
        <f>F583+F582</f>
        <v>15864967.85</v>
      </c>
      <c r="G581" s="145">
        <f>G583+G582</f>
        <v>26232000</v>
      </c>
      <c r="H581" s="88"/>
    </row>
    <row r="582" spans="1:8" ht="12.75" hidden="1" customHeight="1" x14ac:dyDescent="0.2">
      <c r="A582" s="394"/>
      <c r="B582" s="392" t="s">
        <v>694</v>
      </c>
      <c r="C582" s="374">
        <v>26000</v>
      </c>
      <c r="D582" s="374">
        <v>26000</v>
      </c>
      <c r="E582" s="113">
        <v>26000</v>
      </c>
      <c r="F582" s="113">
        <v>4000</v>
      </c>
      <c r="G582" s="114">
        <v>26000</v>
      </c>
      <c r="H582" s="32"/>
    </row>
    <row r="583" spans="1:8" hidden="1" x14ac:dyDescent="0.2">
      <c r="A583" s="391"/>
      <c r="B583" s="392" t="s">
        <v>695</v>
      </c>
      <c r="C583" s="145">
        <f>SUM(C584+C587+C586)</f>
        <v>24583000</v>
      </c>
      <c r="D583" s="109">
        <f>SUM(D584+D587+D586)</f>
        <v>24484380</v>
      </c>
      <c r="E583" s="145">
        <f>SUM(E584+E587+E586)</f>
        <v>24484380</v>
      </c>
      <c r="F583" s="145">
        <f>SUM(F584+F587+F586)</f>
        <v>15860967.85</v>
      </c>
      <c r="G583" s="145">
        <f>SUM(G584+G587+G586)</f>
        <v>26206000</v>
      </c>
      <c r="H583" s="32"/>
    </row>
    <row r="584" spans="1:8" ht="12.75" hidden="1" customHeight="1" x14ac:dyDescent="0.2">
      <c r="A584" s="391"/>
      <c r="B584" s="392" t="s">
        <v>696</v>
      </c>
      <c r="C584" s="374">
        <f>22225000+975000</f>
        <v>23200000</v>
      </c>
      <c r="D584" s="374">
        <v>23101380</v>
      </c>
      <c r="E584" s="113">
        <v>23101380</v>
      </c>
      <c r="F584" s="113">
        <v>15574415.85</v>
      </c>
      <c r="G584" s="114">
        <v>24300000</v>
      </c>
      <c r="H584" s="88"/>
    </row>
    <row r="585" spans="1:8" ht="12.75" hidden="1" customHeight="1" x14ac:dyDescent="0.2">
      <c r="A585" s="391"/>
      <c r="B585" s="392" t="s">
        <v>697</v>
      </c>
      <c r="C585" s="374"/>
      <c r="D585" s="374"/>
      <c r="E585" s="113"/>
      <c r="F585" s="113"/>
      <c r="G585" s="114"/>
      <c r="H585" s="32"/>
    </row>
    <row r="586" spans="1:8" s="98" customFormat="1" ht="12.75" hidden="1" customHeight="1" x14ac:dyDescent="0.2">
      <c r="A586" s="391"/>
      <c r="B586" s="392" t="s">
        <v>698</v>
      </c>
      <c r="C586" s="374">
        <v>267000</v>
      </c>
      <c r="D586" s="374">
        <v>267000</v>
      </c>
      <c r="E586" s="113">
        <v>267000</v>
      </c>
      <c r="F586" s="113">
        <v>0</v>
      </c>
      <c r="G586" s="114">
        <v>773000</v>
      </c>
      <c r="H586" s="88"/>
    </row>
    <row r="587" spans="1:8" s="98" customFormat="1" ht="48.75" hidden="1" x14ac:dyDescent="0.2">
      <c r="A587" s="391"/>
      <c r="B587" s="392" t="s">
        <v>699</v>
      </c>
      <c r="C587" s="374">
        <v>1116000</v>
      </c>
      <c r="D587" s="374">
        <v>1116000</v>
      </c>
      <c r="E587" s="113">
        <v>1116000</v>
      </c>
      <c r="F587" s="113">
        <v>286552</v>
      </c>
      <c r="G587" s="114">
        <f>+(415+351+130+310+313+57+157-600)*1000</f>
        <v>1133000</v>
      </c>
      <c r="H587" s="32"/>
    </row>
    <row r="588" spans="1:8" hidden="1" x14ac:dyDescent="0.2">
      <c r="A588" s="394">
        <v>3399</v>
      </c>
      <c r="B588" s="398" t="s">
        <v>700</v>
      </c>
      <c r="C588" s="145">
        <f>C589</f>
        <v>150000</v>
      </c>
      <c r="D588" s="109">
        <f>D589</f>
        <v>150000</v>
      </c>
      <c r="E588" s="145">
        <f>E589</f>
        <v>150000</v>
      </c>
      <c r="F588" s="145">
        <f>F589</f>
        <v>59769</v>
      </c>
      <c r="G588" s="145">
        <f>G589</f>
        <v>180000</v>
      </c>
      <c r="H588" s="88"/>
    </row>
    <row r="589" spans="1:8" ht="12.75" hidden="1" customHeight="1" x14ac:dyDescent="0.2">
      <c r="A589" s="391"/>
      <c r="B589" s="392" t="s">
        <v>701</v>
      </c>
      <c r="C589" s="399">
        <v>150000</v>
      </c>
      <c r="D589" s="399">
        <v>150000</v>
      </c>
      <c r="E589" s="266">
        <v>150000</v>
      </c>
      <c r="F589" s="266">
        <v>59769</v>
      </c>
      <c r="G589" s="114">
        <v>180000</v>
      </c>
      <c r="H589" s="32"/>
    </row>
    <row r="590" spans="1:8" ht="15.75" hidden="1" x14ac:dyDescent="0.25">
      <c r="A590" s="312"/>
      <c r="B590" s="168" t="s">
        <v>702</v>
      </c>
      <c r="C590" s="400">
        <f>C591</f>
        <v>21842140</v>
      </c>
      <c r="D590" s="400">
        <f>D591</f>
        <v>35974638</v>
      </c>
      <c r="E590" s="400">
        <f>E591</f>
        <v>35974638</v>
      </c>
      <c r="F590" s="400">
        <f>F591</f>
        <v>33020701</v>
      </c>
      <c r="G590" s="400">
        <f>G591</f>
        <v>17576816</v>
      </c>
      <c r="H590" s="88"/>
    </row>
    <row r="591" spans="1:8" hidden="1" x14ac:dyDescent="0.2">
      <c r="A591" s="106"/>
      <c r="B591" s="370" t="s">
        <v>703</v>
      </c>
      <c r="C591" s="104">
        <f>SUM(C592:C603)</f>
        <v>21842140</v>
      </c>
      <c r="D591" s="104">
        <f>SUM(D592:D603)</f>
        <v>35974638</v>
      </c>
      <c r="E591" s="104">
        <f>SUM(E592:E603)</f>
        <v>35974638</v>
      </c>
      <c r="F591" s="104">
        <f>SUM(F592:F603)</f>
        <v>33020701</v>
      </c>
      <c r="G591" s="104">
        <f>SUM(G592:G603)</f>
        <v>17576816</v>
      </c>
      <c r="H591" s="88"/>
    </row>
    <row r="592" spans="1:8" s="98" customFormat="1" ht="12.75" hidden="1" customHeight="1" x14ac:dyDescent="0.2">
      <c r="A592" s="111"/>
      <c r="B592" s="125" t="s">
        <v>704</v>
      </c>
      <c r="C592" s="374">
        <v>861000</v>
      </c>
      <c r="D592" s="374">
        <v>775000</v>
      </c>
      <c r="E592" s="121">
        <v>775000</v>
      </c>
      <c r="F592" s="121">
        <v>775000</v>
      </c>
      <c r="G592" s="114">
        <v>893000</v>
      </c>
      <c r="H592" s="88"/>
    </row>
    <row r="593" spans="1:8" s="98" customFormat="1" ht="12.75" hidden="1" customHeight="1" x14ac:dyDescent="0.2">
      <c r="A593" s="111"/>
      <c r="B593" s="125" t="s">
        <v>705</v>
      </c>
      <c r="C593" s="374">
        <v>286000</v>
      </c>
      <c r="D593" s="374">
        <v>262000</v>
      </c>
      <c r="E593" s="113">
        <v>262000</v>
      </c>
      <c r="F593" s="113">
        <v>144000</v>
      </c>
      <c r="G593" s="114">
        <v>297000</v>
      </c>
      <c r="H593" s="88"/>
    </row>
    <row r="594" spans="1:8" s="98" customFormat="1" ht="12.75" hidden="1" customHeight="1" x14ac:dyDescent="0.2">
      <c r="A594" s="111"/>
      <c r="B594" s="125" t="s">
        <v>706</v>
      </c>
      <c r="C594" s="374">
        <v>4250000</v>
      </c>
      <c r="D594" s="374">
        <v>4215000</v>
      </c>
      <c r="E594" s="113">
        <v>4215000</v>
      </c>
      <c r="F594" s="113">
        <v>3861500</v>
      </c>
      <c r="G594" s="114">
        <v>3050000</v>
      </c>
      <c r="H594" s="32"/>
    </row>
    <row r="595" spans="1:8" ht="12.75" hidden="1" customHeight="1" x14ac:dyDescent="0.2">
      <c r="A595" s="111"/>
      <c r="B595" s="125" t="s">
        <v>707</v>
      </c>
      <c r="C595" s="374">
        <v>7593000</v>
      </c>
      <c r="D595" s="374">
        <v>7178000</v>
      </c>
      <c r="E595" s="113">
        <v>7178000</v>
      </c>
      <c r="F595" s="113">
        <v>7011000</v>
      </c>
      <c r="G595" s="114">
        <v>5423000</v>
      </c>
      <c r="H595" s="32"/>
    </row>
    <row r="596" spans="1:8" ht="12.75" hidden="1" customHeight="1" x14ac:dyDescent="0.2">
      <c r="A596" s="111"/>
      <c r="B596" s="125" t="s">
        <v>708</v>
      </c>
      <c r="C596" s="374">
        <v>100000</v>
      </c>
      <c r="D596" s="374">
        <v>95000</v>
      </c>
      <c r="E596" s="113">
        <v>95000</v>
      </c>
      <c r="F596" s="113">
        <v>52000</v>
      </c>
      <c r="G596" s="114">
        <v>40000</v>
      </c>
      <c r="H596" s="88"/>
    </row>
    <row r="597" spans="1:8" ht="12.75" hidden="1" customHeight="1" x14ac:dyDescent="0.2">
      <c r="A597" s="111"/>
      <c r="B597" s="125" t="s">
        <v>709</v>
      </c>
      <c r="C597" s="374">
        <v>6700000</v>
      </c>
      <c r="D597" s="374">
        <v>6701700</v>
      </c>
      <c r="E597" s="121">
        <v>6701700</v>
      </c>
      <c r="F597" s="121">
        <v>5198300</v>
      </c>
      <c r="G597" s="114">
        <v>6500000</v>
      </c>
      <c r="H597" s="88"/>
    </row>
    <row r="598" spans="1:8" ht="12.75" hidden="1" customHeight="1" x14ac:dyDescent="0.2">
      <c r="A598" s="111"/>
      <c r="B598" s="125" t="s">
        <v>710</v>
      </c>
      <c r="C598" s="374">
        <v>0</v>
      </c>
      <c r="D598" s="374">
        <v>932</v>
      </c>
      <c r="E598" s="200">
        <v>932</v>
      </c>
      <c r="F598" s="200">
        <v>-932</v>
      </c>
      <c r="G598" s="114">
        <v>0</v>
      </c>
      <c r="H598" s="88"/>
    </row>
    <row r="599" spans="1:8" ht="12.75" hidden="1" customHeight="1" x14ac:dyDescent="0.2">
      <c r="A599" s="111"/>
      <c r="B599" s="125" t="s">
        <v>711</v>
      </c>
      <c r="C599" s="374">
        <v>0</v>
      </c>
      <c r="D599" s="374">
        <v>6800</v>
      </c>
      <c r="E599" s="200">
        <v>6800</v>
      </c>
      <c r="F599" s="200">
        <v>-6800</v>
      </c>
      <c r="G599" s="114">
        <v>0</v>
      </c>
      <c r="H599" s="88"/>
    </row>
    <row r="600" spans="1:8" ht="12.75" hidden="1" customHeight="1" x14ac:dyDescent="0.2">
      <c r="A600" s="112"/>
      <c r="B600" s="125" t="s">
        <v>712</v>
      </c>
      <c r="C600" s="374">
        <v>740000</v>
      </c>
      <c r="D600" s="374">
        <v>746532</v>
      </c>
      <c r="E600" s="266">
        <v>746532</v>
      </c>
      <c r="F600" s="266">
        <v>702468</v>
      </c>
      <c r="G600" s="114">
        <v>666000</v>
      </c>
      <c r="H600" s="88"/>
    </row>
    <row r="601" spans="1:8" ht="12.75" hidden="1" customHeight="1" x14ac:dyDescent="0.2">
      <c r="A601" s="112"/>
      <c r="B601" s="125" t="s">
        <v>713</v>
      </c>
      <c r="C601" s="374">
        <v>120000</v>
      </c>
      <c r="D601" s="374">
        <v>110000</v>
      </c>
      <c r="E601" s="220">
        <v>110000</v>
      </c>
      <c r="F601" s="220">
        <v>33000</v>
      </c>
      <c r="G601" s="114">
        <v>84000</v>
      </c>
      <c r="H601" s="88"/>
    </row>
    <row r="602" spans="1:8" ht="12.75" hidden="1" customHeight="1" x14ac:dyDescent="0.2">
      <c r="A602" s="112"/>
      <c r="B602" s="125" t="s">
        <v>714</v>
      </c>
      <c r="C602" s="374">
        <v>574000</v>
      </c>
      <c r="D602" s="374">
        <v>500000</v>
      </c>
      <c r="E602" s="123">
        <v>500000</v>
      </c>
      <c r="F602" s="123">
        <v>500000</v>
      </c>
      <c r="G602" s="114">
        <v>0</v>
      </c>
      <c r="H602" s="88"/>
    </row>
    <row r="603" spans="1:8" ht="36.75" hidden="1" x14ac:dyDescent="0.2">
      <c r="A603" s="107"/>
      <c r="B603" s="125" t="s">
        <v>715</v>
      </c>
      <c r="C603" s="374">
        <f>160000+276000+15000+55440+90000+21700</f>
        <v>618140</v>
      </c>
      <c r="D603" s="374">
        <v>15383674</v>
      </c>
      <c r="E603" s="113">
        <v>15383674</v>
      </c>
      <c r="F603" s="113">
        <v>14751165</v>
      </c>
      <c r="G603" s="114">
        <f>+(165+220+33.816+15+90+100)*1000</f>
        <v>623816</v>
      </c>
      <c r="H603" s="32"/>
    </row>
    <row r="604" spans="1:8" ht="21" hidden="1" customHeight="1" x14ac:dyDescent="0.3">
      <c r="A604" s="312"/>
      <c r="B604" s="90" t="s">
        <v>716</v>
      </c>
      <c r="C604" s="401">
        <f>SUM(C606)</f>
        <v>24216100</v>
      </c>
      <c r="D604" s="402">
        <v>26216100</v>
      </c>
      <c r="E604" s="281">
        <v>26000000</v>
      </c>
      <c r="F604" s="281">
        <v>16002050.35</v>
      </c>
      <c r="G604" s="281">
        <f>SUM(G606)</f>
        <v>24084500</v>
      </c>
      <c r="H604" s="88"/>
    </row>
    <row r="605" spans="1:8" ht="12" hidden="1" customHeight="1" x14ac:dyDescent="0.2">
      <c r="A605" s="106">
        <v>5311</v>
      </c>
      <c r="B605" s="141" t="s">
        <v>717</v>
      </c>
      <c r="C605" s="403">
        <f>SUM(C606)</f>
        <v>24216100</v>
      </c>
      <c r="D605" s="403">
        <v>26216100</v>
      </c>
      <c r="E605" s="105">
        <v>26000000</v>
      </c>
      <c r="F605" s="114">
        <v>16002050.35</v>
      </c>
      <c r="G605" s="105">
        <f>SUM(G606)</f>
        <v>24084500</v>
      </c>
      <c r="H605" s="88"/>
    </row>
    <row r="606" spans="1:8" ht="61.5" hidden="1" x14ac:dyDescent="0.2">
      <c r="A606" s="106"/>
      <c r="B606" s="355" t="s">
        <v>718</v>
      </c>
      <c r="C606" s="404">
        <f>(16200+4017.6+1458+2+1+200+2+68+169.5+10+240+10+237+35+3+48+2+529+288+80+15+50+20+25+6+500)*1000</f>
        <v>24216100</v>
      </c>
      <c r="D606" s="404">
        <v>26216100</v>
      </c>
      <c r="E606" s="113">
        <v>26000000</v>
      </c>
      <c r="F606" s="113">
        <v>16002050.35</v>
      </c>
      <c r="G606" s="114">
        <f>(16000+3968+1440+2+275+1+101+127.5+10+240+1+242+30+3+27+2+579+283+80+7+50+10+100+6+500)*1000</f>
        <v>24084500</v>
      </c>
      <c r="H606" s="32"/>
    </row>
    <row r="607" spans="1:8" ht="12.75" hidden="1" customHeight="1" x14ac:dyDescent="0.2">
      <c r="A607" s="405"/>
      <c r="B607" s="406"/>
      <c r="C607" s="407"/>
      <c r="D607" s="407"/>
      <c r="E607" s="266"/>
      <c r="F607" s="266"/>
      <c r="G607" s="143"/>
      <c r="H607" s="32"/>
    </row>
    <row r="608" spans="1:8" ht="20.25" hidden="1" x14ac:dyDescent="0.3">
      <c r="A608" s="312"/>
      <c r="B608" s="90" t="s">
        <v>719</v>
      </c>
      <c r="C608" s="91">
        <f>SUM(C609:C614)+C623</f>
        <v>36789421</v>
      </c>
      <c r="D608" s="36">
        <f>SUM(D609:D614)+D623</f>
        <v>33301421</v>
      </c>
      <c r="E608" s="36">
        <f>SUM(E609:E614)+E623</f>
        <v>30587183.09</v>
      </c>
      <c r="F608" s="36">
        <f>SUM(F609:F614)+F623</f>
        <v>14768627.58</v>
      </c>
      <c r="G608" s="36">
        <f>SUM(G609:G614)+G623</f>
        <v>34895800</v>
      </c>
      <c r="H608" s="88"/>
    </row>
    <row r="609" spans="1:8" s="98" customFormat="1" ht="36.75" hidden="1" x14ac:dyDescent="0.2">
      <c r="A609" s="102">
        <v>5212</v>
      </c>
      <c r="B609" s="196" t="s">
        <v>720</v>
      </c>
      <c r="C609" s="197">
        <f>1000+80000+25000+23000+40000</f>
        <v>169000</v>
      </c>
      <c r="D609" s="197">
        <v>169000</v>
      </c>
      <c r="E609" s="105">
        <v>136000</v>
      </c>
      <c r="F609" s="105">
        <v>38199.1</v>
      </c>
      <c r="G609" s="105">
        <v>169000</v>
      </c>
      <c r="H609" s="32"/>
    </row>
    <row r="610" spans="1:8" s="244" customFormat="1" ht="36.75" hidden="1" x14ac:dyDescent="0.25">
      <c r="A610" s="106">
        <v>5213</v>
      </c>
      <c r="B610" s="146" t="s">
        <v>721</v>
      </c>
      <c r="C610" s="145">
        <f>50000+70000+3000+3000+4000+10000+60000</f>
        <v>200000</v>
      </c>
      <c r="D610" s="145">
        <v>800000</v>
      </c>
      <c r="E610" s="145">
        <v>957907.71</v>
      </c>
      <c r="F610" s="145">
        <v>671490.34</v>
      </c>
      <c r="G610" s="105">
        <v>300000</v>
      </c>
      <c r="H610" s="32"/>
    </row>
    <row r="611" spans="1:8" s="98" customFormat="1" ht="24.75" hidden="1" x14ac:dyDescent="0.2">
      <c r="A611" s="106">
        <v>5273</v>
      </c>
      <c r="B611" s="146" t="s">
        <v>722</v>
      </c>
      <c r="C611" s="145">
        <f>1000+2000+1000+1000</f>
        <v>5000</v>
      </c>
      <c r="D611" s="145">
        <v>5000</v>
      </c>
      <c r="E611" s="109">
        <v>5000</v>
      </c>
      <c r="F611" s="109">
        <v>0</v>
      </c>
      <c r="G611" s="105">
        <v>5000</v>
      </c>
      <c r="H611" s="32"/>
    </row>
    <row r="612" spans="1:8" s="244" customFormat="1" ht="15.75" hidden="1" x14ac:dyDescent="0.25">
      <c r="A612" s="106">
        <v>5511</v>
      </c>
      <c r="B612" s="146" t="s">
        <v>723</v>
      </c>
      <c r="C612" s="145">
        <v>1800000</v>
      </c>
      <c r="D612" s="145">
        <v>1800000</v>
      </c>
      <c r="E612" s="109">
        <v>1645974</v>
      </c>
      <c r="F612" s="109">
        <v>1645974</v>
      </c>
      <c r="G612" s="105">
        <v>1800000</v>
      </c>
      <c r="H612" s="32"/>
    </row>
    <row r="613" spans="1:8" s="244" customFormat="1" ht="36.75" hidden="1" x14ac:dyDescent="0.25">
      <c r="A613" s="106">
        <v>5512</v>
      </c>
      <c r="B613" s="146" t="s">
        <v>724</v>
      </c>
      <c r="C613" s="145">
        <f>40000+50000+5000+12000+3600+5000+7000+35000+4000</f>
        <v>161600</v>
      </c>
      <c r="D613" s="145">
        <v>161600</v>
      </c>
      <c r="E613" s="145">
        <v>161380.54</v>
      </c>
      <c r="F613" s="145">
        <v>103169.81</v>
      </c>
      <c r="G613" s="105">
        <v>332600</v>
      </c>
      <c r="H613" s="32"/>
    </row>
    <row r="614" spans="1:8" s="244" customFormat="1" ht="12.75" hidden="1" customHeight="1" x14ac:dyDescent="0.25">
      <c r="A614" s="106">
        <v>6171</v>
      </c>
      <c r="B614" s="144" t="s">
        <v>725</v>
      </c>
      <c r="C614" s="145">
        <f>SUM(C615:C622)</f>
        <v>33103821</v>
      </c>
      <c r="D614" s="145">
        <f>SUM(D615:D622)</f>
        <v>29015821</v>
      </c>
      <c r="E614" s="145">
        <f>SUM(E615:E622)</f>
        <v>26330920.84</v>
      </c>
      <c r="F614" s="145">
        <f>SUM(F615:F622)</f>
        <v>11460329.33</v>
      </c>
      <c r="G614" s="145">
        <f>SUM(G615:G622)</f>
        <v>30939200</v>
      </c>
      <c r="H614" s="88"/>
    </row>
    <row r="615" spans="1:8" s="244" customFormat="1" ht="144" hidden="1" x14ac:dyDescent="0.25">
      <c r="A615" s="106"/>
      <c r="B615" s="408" t="s">
        <v>726</v>
      </c>
      <c r="C615" s="121">
        <f>(40000+100000+32500+600000+980000+1000000+1000000+2000000+1075000+350000+2100000+1500000+1000+182000+1700000+71000+126000+578200+260000+4655000+100000+500000+2070000+500000+200000+200000+4500+1000+21000+2000)-1000000-400000</f>
        <v>20549200</v>
      </c>
      <c r="D615" s="121">
        <v>16631700</v>
      </c>
      <c r="E615" s="121">
        <v>15433900</v>
      </c>
      <c r="F615" s="121">
        <v>7773789.1399999997</v>
      </c>
      <c r="G615" s="114">
        <f>21917200-1500000</f>
        <v>20417200</v>
      </c>
      <c r="H615" s="32"/>
    </row>
    <row r="616" spans="1:8" s="244" customFormat="1" ht="24" hidden="1" x14ac:dyDescent="0.25">
      <c r="A616" s="106"/>
      <c r="B616" s="408" t="s">
        <v>727</v>
      </c>
      <c r="C616" s="121">
        <f>100000+150000+150000+1000000+600000</f>
        <v>2000000</v>
      </c>
      <c r="D616" s="121">
        <v>2420000</v>
      </c>
      <c r="E616" s="113">
        <v>1904250.45</v>
      </c>
      <c r="F616" s="113">
        <v>548557.02</v>
      </c>
      <c r="G616" s="114">
        <v>480000</v>
      </c>
      <c r="H616" s="32"/>
    </row>
    <row r="617" spans="1:8" s="98" customFormat="1" ht="48" hidden="1" x14ac:dyDescent="0.2">
      <c r="A617" s="111"/>
      <c r="B617" s="409" t="s">
        <v>728</v>
      </c>
      <c r="C617" s="121">
        <f>2040000+395000+33000+10000+3936516+50000+530000+312905</f>
        <v>7307421</v>
      </c>
      <c r="D617" s="121">
        <v>6807421</v>
      </c>
      <c r="E617" s="113">
        <v>6437421</v>
      </c>
      <c r="F617" s="113">
        <v>2355907.66</v>
      </c>
      <c r="G617" s="114">
        <v>5977400</v>
      </c>
      <c r="H617" s="32"/>
    </row>
    <row r="618" spans="1:8" ht="24" hidden="1" x14ac:dyDescent="0.2">
      <c r="A618" s="111"/>
      <c r="B618" s="409" t="s">
        <v>729</v>
      </c>
      <c r="C618" s="121">
        <f>100000+314600+20000+100000+200000+400000+200000+600000</f>
        <v>1934600</v>
      </c>
      <c r="D618" s="121">
        <v>1834600</v>
      </c>
      <c r="E618" s="113">
        <v>1234600</v>
      </c>
      <c r="F618" s="113">
        <v>0</v>
      </c>
      <c r="G618" s="114">
        <v>3071000</v>
      </c>
      <c r="H618" s="32"/>
    </row>
    <row r="619" spans="1:8" ht="36.75" hidden="1" x14ac:dyDescent="0.2">
      <c r="A619" s="111"/>
      <c r="B619" s="147" t="s">
        <v>730</v>
      </c>
      <c r="C619" s="121">
        <f>12000+10000+15000+90000+1000+1000+50000+50000+17000+650000</f>
        <v>896000</v>
      </c>
      <c r="D619" s="121">
        <v>896000</v>
      </c>
      <c r="E619" s="113">
        <v>895649.39</v>
      </c>
      <c r="F619" s="113">
        <v>563472.49</v>
      </c>
      <c r="G619" s="114">
        <f>833000-300000</f>
        <v>533000</v>
      </c>
      <c r="H619" s="32"/>
    </row>
    <row r="620" spans="1:8" hidden="1" x14ac:dyDescent="0.2">
      <c r="A620" s="111"/>
      <c r="B620" s="128" t="s">
        <v>731</v>
      </c>
      <c r="C620" s="121">
        <v>200000</v>
      </c>
      <c r="D620" s="121">
        <v>201500</v>
      </c>
      <c r="E620" s="113">
        <v>201500</v>
      </c>
      <c r="F620" s="113">
        <v>132647.82</v>
      </c>
      <c r="G620" s="114">
        <v>200000</v>
      </c>
      <c r="H620" s="32"/>
    </row>
    <row r="621" spans="1:8" hidden="1" x14ac:dyDescent="0.2">
      <c r="A621" s="111"/>
      <c r="B621" s="128" t="s">
        <v>732</v>
      </c>
      <c r="C621" s="121">
        <v>60000</v>
      </c>
      <c r="D621" s="121">
        <v>61000</v>
      </c>
      <c r="E621" s="113">
        <v>60000</v>
      </c>
      <c r="F621" s="113">
        <v>23746.6</v>
      </c>
      <c r="G621" s="114">
        <v>60000</v>
      </c>
      <c r="H621" s="410"/>
    </row>
    <row r="622" spans="1:8" ht="24.75" hidden="1" x14ac:dyDescent="0.2">
      <c r="A622" s="111"/>
      <c r="B622" s="147" t="s">
        <v>733</v>
      </c>
      <c r="C622" s="121">
        <f>2000+20000+9000+18000+11000+72600+24000</f>
        <v>156600</v>
      </c>
      <c r="D622" s="121">
        <v>163600</v>
      </c>
      <c r="E622" s="121">
        <v>163600</v>
      </c>
      <c r="F622" s="121">
        <v>62208.6</v>
      </c>
      <c r="G622" s="114">
        <v>200600</v>
      </c>
      <c r="H622" s="88"/>
    </row>
    <row r="623" spans="1:8" ht="12.75" hidden="1" customHeight="1" x14ac:dyDescent="0.2">
      <c r="A623" s="106">
        <v>6320</v>
      </c>
      <c r="B623" s="144" t="s">
        <v>734</v>
      </c>
      <c r="C623" s="145">
        <f>1300000+50000</f>
        <v>1350000</v>
      </c>
      <c r="D623" s="145">
        <v>1350000</v>
      </c>
      <c r="E623" s="108">
        <v>1350000</v>
      </c>
      <c r="F623" s="108">
        <v>849465</v>
      </c>
      <c r="G623" s="105">
        <v>1350000</v>
      </c>
      <c r="H623" s="88"/>
    </row>
    <row r="624" spans="1:8" ht="12.75" hidden="1" customHeight="1" x14ac:dyDescent="0.2">
      <c r="A624" s="411"/>
      <c r="B624" s="351"/>
      <c r="C624" s="163"/>
      <c r="D624" s="163"/>
      <c r="E624" s="266"/>
      <c r="F624" s="266"/>
      <c r="G624" s="143"/>
      <c r="H624" s="88"/>
    </row>
    <row r="625" spans="1:8" ht="20.25" hidden="1" x14ac:dyDescent="0.3">
      <c r="A625" s="312"/>
      <c r="B625" s="90" t="s">
        <v>735</v>
      </c>
      <c r="C625" s="412">
        <f>C626+C627+C631</f>
        <v>153267660</v>
      </c>
      <c r="D625" s="412">
        <f>D626+D627+D631</f>
        <v>152405979</v>
      </c>
      <c r="E625" s="412">
        <f>E626+E627+E631</f>
        <v>152405979</v>
      </c>
      <c r="F625" s="412">
        <f>F626+F627+F631</f>
        <v>87122082</v>
      </c>
      <c r="G625" s="412">
        <f>G626+G627+G631</f>
        <v>149365960</v>
      </c>
      <c r="H625" s="88"/>
    </row>
    <row r="626" spans="1:8" s="98" customFormat="1" ht="36.75" hidden="1" x14ac:dyDescent="0.2">
      <c r="A626" s="106">
        <v>6112</v>
      </c>
      <c r="B626" s="146" t="s">
        <v>736</v>
      </c>
      <c r="C626" s="145">
        <f>25000+7200000+954800+648000+12000+13000+500+20000+75000+7000+40000+30000</f>
        <v>9025300</v>
      </c>
      <c r="D626" s="145">
        <v>8652800</v>
      </c>
      <c r="E626" s="145">
        <v>8652800</v>
      </c>
      <c r="F626" s="105">
        <v>5523052</v>
      </c>
      <c r="G626" s="105">
        <v>8946400</v>
      </c>
      <c r="H626" s="32"/>
    </row>
    <row r="627" spans="1:8" s="98" customFormat="1" hidden="1" x14ac:dyDescent="0.2">
      <c r="A627" s="106">
        <v>6171</v>
      </c>
      <c r="B627" s="144" t="s">
        <v>725</v>
      </c>
      <c r="C627" s="197">
        <f>SUM(C628:C630)</f>
        <v>138157960</v>
      </c>
      <c r="D627" s="197">
        <f>SUM(D628:D630)</f>
        <v>137668779</v>
      </c>
      <c r="E627" s="197">
        <f>SUM(E628:E630)</f>
        <v>137668779</v>
      </c>
      <c r="F627" s="197">
        <f>SUM(F628:F630)</f>
        <v>77035730</v>
      </c>
      <c r="G627" s="197">
        <f>SUM(G628:G630)</f>
        <v>134519560</v>
      </c>
      <c r="H627" s="88"/>
    </row>
    <row r="628" spans="1:8" ht="36" hidden="1" x14ac:dyDescent="0.2">
      <c r="A628" s="102"/>
      <c r="B628" s="413" t="s">
        <v>737</v>
      </c>
      <c r="C628" s="123">
        <f>89500000+10000+1300000+10000+22518400+8172000+490000+1000+1000000+250000+25000+30000+40000+100000+700000</f>
        <v>124146400</v>
      </c>
      <c r="D628" s="123">
        <v>123657219</v>
      </c>
      <c r="E628" s="123">
        <v>123657219</v>
      </c>
      <c r="F628" s="113">
        <v>68686166</v>
      </c>
      <c r="G628" s="114">
        <v>120650400</v>
      </c>
      <c r="H628" s="32"/>
    </row>
    <row r="629" spans="1:8" ht="25.5" hidden="1" customHeight="1" x14ac:dyDescent="0.25">
      <c r="A629" s="414"/>
      <c r="B629" s="147" t="s">
        <v>738</v>
      </c>
      <c r="C629" s="415">
        <f>5800000+24000+1456000+524160+120000+3000</f>
        <v>7927160</v>
      </c>
      <c r="D629" s="415">
        <v>7927160</v>
      </c>
      <c r="E629" s="415">
        <v>7927160</v>
      </c>
      <c r="F629" s="113">
        <v>4879761</v>
      </c>
      <c r="G629" s="114">
        <v>7669160</v>
      </c>
      <c r="H629" s="88"/>
    </row>
    <row r="630" spans="1:8" ht="48.75" hidden="1" x14ac:dyDescent="0.25">
      <c r="A630" s="414"/>
      <c r="B630" s="146" t="s">
        <v>739</v>
      </c>
      <c r="C630" s="415">
        <f>60700+2687200+1157500+95000+1066000+20000+100000+98000+800000</f>
        <v>6084400</v>
      </c>
      <c r="D630" s="415">
        <v>6084400</v>
      </c>
      <c r="E630" s="415">
        <v>6084400</v>
      </c>
      <c r="F630" s="113">
        <v>3469803</v>
      </c>
      <c r="G630" s="114">
        <f>5900000+300000</f>
        <v>6200000</v>
      </c>
      <c r="H630" s="32"/>
    </row>
    <row r="631" spans="1:8" hidden="1" x14ac:dyDescent="0.2">
      <c r="A631" s="106">
        <v>6330</v>
      </c>
      <c r="B631" s="144" t="s">
        <v>740</v>
      </c>
      <c r="C631" s="145">
        <v>6084400</v>
      </c>
      <c r="D631" s="145">
        <v>6084400</v>
      </c>
      <c r="E631" s="145">
        <v>6084400</v>
      </c>
      <c r="F631" s="109">
        <v>4563300</v>
      </c>
      <c r="G631" s="105">
        <v>5900000</v>
      </c>
      <c r="H631" s="32"/>
    </row>
    <row r="632" spans="1:8" hidden="1" x14ac:dyDescent="0.2">
      <c r="A632" s="416"/>
      <c r="B632" s="417"/>
      <c r="C632" s="352"/>
      <c r="D632" s="352"/>
      <c r="E632" s="266"/>
      <c r="F632" s="266"/>
      <c r="G632" s="143"/>
      <c r="H632" s="32"/>
    </row>
    <row r="633" spans="1:8" ht="20.25" hidden="1" x14ac:dyDescent="0.3">
      <c r="A633" s="312"/>
      <c r="B633" s="90" t="s">
        <v>43</v>
      </c>
      <c r="C633" s="412">
        <f>C634+C662</f>
        <v>10199000</v>
      </c>
      <c r="D633" s="412">
        <f>D634+D662</f>
        <v>10026000</v>
      </c>
      <c r="E633" s="412">
        <f>E634+E662</f>
        <v>8890100</v>
      </c>
      <c r="F633" s="412">
        <f>F634+F662</f>
        <v>6802858.8700000001</v>
      </c>
      <c r="G633" s="412">
        <f>G634+G662</f>
        <v>10937288</v>
      </c>
      <c r="H633" s="32"/>
    </row>
    <row r="634" spans="1:8" ht="15.75" hidden="1" x14ac:dyDescent="0.25">
      <c r="A634" s="312"/>
      <c r="B634" s="168" t="s">
        <v>741</v>
      </c>
      <c r="C634" s="232">
        <f>C635+C636+C637+C638+C642+C644+C646+C649+C651+C653+C655+C660+C661</f>
        <v>3459000</v>
      </c>
      <c r="D634" s="232">
        <f>D635+D636+D637+D638+D642+D644+D646+D649+D651+D653+D655+D660+D661</f>
        <v>3286000</v>
      </c>
      <c r="E634" s="232">
        <f>E635+E636+E637+E638+E642+E644+E646+E649+E651+E653+E655+E660+E661</f>
        <v>2734100</v>
      </c>
      <c r="F634" s="232">
        <f>F635+F636+F637+F638+F642+F644+F646+F649+F651+F653+F655+F660+F661</f>
        <v>769858.87000000011</v>
      </c>
      <c r="G634" s="232">
        <f>G635+G636+G637+G638+G642+G644+G646+G649+G651+G653+G655+G660+G661</f>
        <v>3067000</v>
      </c>
      <c r="H634" s="32"/>
    </row>
    <row r="635" spans="1:8" hidden="1" x14ac:dyDescent="0.2">
      <c r="A635" s="106">
        <v>2293</v>
      </c>
      <c r="B635" s="144" t="s">
        <v>742</v>
      </c>
      <c r="C635" s="145">
        <v>726000</v>
      </c>
      <c r="D635" s="145">
        <v>726000</v>
      </c>
      <c r="E635" s="105">
        <v>710000</v>
      </c>
      <c r="F635" s="105">
        <v>466566.40000000002</v>
      </c>
      <c r="G635" s="105">
        <v>726000</v>
      </c>
      <c r="H635" s="32"/>
    </row>
    <row r="636" spans="1:8" hidden="1" x14ac:dyDescent="0.2">
      <c r="A636" s="106">
        <v>3613</v>
      </c>
      <c r="B636" s="144" t="s">
        <v>743</v>
      </c>
      <c r="C636" s="145">
        <v>3000</v>
      </c>
      <c r="D636" s="145">
        <v>3000</v>
      </c>
      <c r="E636" s="109">
        <v>0</v>
      </c>
      <c r="F636" s="113">
        <v>0</v>
      </c>
      <c r="G636" s="105">
        <v>3000</v>
      </c>
      <c r="H636" s="88"/>
    </row>
    <row r="637" spans="1:8" s="244" customFormat="1" ht="15.75" hidden="1" x14ac:dyDescent="0.25">
      <c r="A637" s="106">
        <v>3632</v>
      </c>
      <c r="B637" s="144" t="s">
        <v>744</v>
      </c>
      <c r="C637" s="145">
        <v>130000</v>
      </c>
      <c r="D637" s="145">
        <v>130000</v>
      </c>
      <c r="E637" s="109">
        <v>130000</v>
      </c>
      <c r="F637" s="109">
        <v>104602.78</v>
      </c>
      <c r="G637" s="105">
        <v>130000</v>
      </c>
      <c r="H637" s="386"/>
    </row>
    <row r="638" spans="1:8" s="244" customFormat="1" ht="12.75" hidden="1" customHeight="1" x14ac:dyDescent="0.25">
      <c r="A638" s="106">
        <v>4329</v>
      </c>
      <c r="B638" s="144" t="s">
        <v>745</v>
      </c>
      <c r="C638" s="145">
        <f>SUM(C639:C641)</f>
        <v>205000</v>
      </c>
      <c r="D638" s="145">
        <f>SUM(D639:D641)</f>
        <v>255000</v>
      </c>
      <c r="E638" s="145">
        <f>SUM(E639:E641)</f>
        <v>254600</v>
      </c>
      <c r="F638" s="145">
        <f>SUM(F639:F641)</f>
        <v>72733</v>
      </c>
      <c r="G638" s="145">
        <f>SUM(G639:G641)</f>
        <v>205000</v>
      </c>
      <c r="H638" s="387"/>
    </row>
    <row r="639" spans="1:8" s="98" customFormat="1" hidden="1" x14ac:dyDescent="0.2">
      <c r="A639" s="106"/>
      <c r="B639" s="155" t="s">
        <v>746</v>
      </c>
      <c r="C639" s="121">
        <v>5000</v>
      </c>
      <c r="D639" s="121">
        <v>5000</v>
      </c>
      <c r="E639" s="113">
        <v>2000</v>
      </c>
      <c r="F639" s="113">
        <v>1333</v>
      </c>
      <c r="G639" s="114">
        <v>5000</v>
      </c>
      <c r="H639" s="387"/>
    </row>
    <row r="640" spans="1:8" s="98" customFormat="1" hidden="1" x14ac:dyDescent="0.2">
      <c r="A640" s="106"/>
      <c r="B640" s="155" t="s">
        <v>747</v>
      </c>
      <c r="C640" s="121">
        <v>200000</v>
      </c>
      <c r="D640" s="121">
        <v>250000</v>
      </c>
      <c r="E640" s="113">
        <v>250000</v>
      </c>
      <c r="F640" s="113">
        <v>68800</v>
      </c>
      <c r="G640" s="114">
        <v>200000</v>
      </c>
      <c r="H640" s="88"/>
    </row>
    <row r="641" spans="1:8" s="98" customFormat="1" hidden="1" x14ac:dyDescent="0.2">
      <c r="A641" s="106"/>
      <c r="B641" s="155" t="s">
        <v>748</v>
      </c>
      <c r="C641" s="121">
        <v>0</v>
      </c>
      <c r="D641" s="121">
        <v>0</v>
      </c>
      <c r="E641" s="113">
        <v>2600</v>
      </c>
      <c r="F641" s="113">
        <v>2600</v>
      </c>
      <c r="G641" s="114">
        <v>0</v>
      </c>
      <c r="H641" s="88"/>
    </row>
    <row r="642" spans="1:8" s="98" customFormat="1" hidden="1" x14ac:dyDescent="0.2">
      <c r="A642" s="106">
        <v>4339</v>
      </c>
      <c r="B642" s="144" t="s">
        <v>749</v>
      </c>
      <c r="C642" s="145">
        <f>C643</f>
        <v>192000</v>
      </c>
      <c r="D642" s="145">
        <f>D643</f>
        <v>144000</v>
      </c>
      <c r="E642" s="145">
        <f>E643</f>
        <v>20000</v>
      </c>
      <c r="F642" s="145">
        <f>F643</f>
        <v>0</v>
      </c>
      <c r="G642" s="145">
        <f>G643</f>
        <v>0</v>
      </c>
      <c r="H642" s="32"/>
    </row>
    <row r="643" spans="1:8" s="98" customFormat="1" hidden="1" x14ac:dyDescent="0.2">
      <c r="A643" s="106"/>
      <c r="B643" s="155" t="s">
        <v>750</v>
      </c>
      <c r="C643" s="121">
        <v>192000</v>
      </c>
      <c r="D643" s="121">
        <v>144000</v>
      </c>
      <c r="E643" s="114">
        <v>20000</v>
      </c>
      <c r="F643" s="114">
        <v>0</v>
      </c>
      <c r="G643" s="114">
        <v>0</v>
      </c>
      <c r="H643" s="32"/>
    </row>
    <row r="644" spans="1:8" s="98" customFormat="1" hidden="1" x14ac:dyDescent="0.2">
      <c r="A644" s="106">
        <v>4344</v>
      </c>
      <c r="B644" s="144" t="s">
        <v>751</v>
      </c>
      <c r="C644" s="145">
        <f>SUM(C645:C645)</f>
        <v>298000</v>
      </c>
      <c r="D644" s="145">
        <f>SUM(D645:D645)</f>
        <v>298000</v>
      </c>
      <c r="E644" s="145">
        <f>SUM(E645:E645)</f>
        <v>293500</v>
      </c>
      <c r="F644" s="145">
        <f>SUM(F645:F645)</f>
        <v>0</v>
      </c>
      <c r="G644" s="145">
        <f>SUM(G645:G645)</f>
        <v>298000</v>
      </c>
      <c r="H644" s="32"/>
    </row>
    <row r="645" spans="1:8" s="98" customFormat="1" hidden="1" x14ac:dyDescent="0.2">
      <c r="A645" s="111"/>
      <c r="B645" s="144" t="s">
        <v>752</v>
      </c>
      <c r="C645" s="121">
        <v>298000</v>
      </c>
      <c r="D645" s="121">
        <v>298000</v>
      </c>
      <c r="E645" s="113">
        <v>293500</v>
      </c>
      <c r="F645" s="113">
        <v>0</v>
      </c>
      <c r="G645" s="114">
        <v>298000</v>
      </c>
      <c r="H645" s="32"/>
    </row>
    <row r="646" spans="1:8" hidden="1" x14ac:dyDescent="0.2">
      <c r="A646" s="106">
        <v>4349</v>
      </c>
      <c r="B646" s="144" t="s">
        <v>753</v>
      </c>
      <c r="C646" s="145">
        <f>SUM(C647:C648)</f>
        <v>350000</v>
      </c>
      <c r="D646" s="145">
        <f>SUM(D647:D648)</f>
        <v>280000</v>
      </c>
      <c r="E646" s="145">
        <f>SUM(E647:E648)</f>
        <v>0</v>
      </c>
      <c r="F646" s="145">
        <f>SUM(F647:F648)</f>
        <v>0</v>
      </c>
      <c r="G646" s="145">
        <f>SUM(G647:G648)</f>
        <v>250000</v>
      </c>
      <c r="H646" s="32"/>
    </row>
    <row r="647" spans="1:8" hidden="1" x14ac:dyDescent="0.2">
      <c r="A647" s="111"/>
      <c r="B647" s="128" t="s">
        <v>754</v>
      </c>
      <c r="C647" s="121">
        <v>280000</v>
      </c>
      <c r="D647" s="121">
        <v>280000</v>
      </c>
      <c r="E647" s="113">
        <v>0</v>
      </c>
      <c r="F647" s="113">
        <v>0</v>
      </c>
      <c r="G647" s="114">
        <v>250000</v>
      </c>
      <c r="H647" s="32"/>
    </row>
    <row r="648" spans="1:8" s="98" customFormat="1" hidden="1" x14ac:dyDescent="0.2">
      <c r="A648" s="111"/>
      <c r="B648" s="128" t="s">
        <v>755</v>
      </c>
      <c r="C648" s="121">
        <v>70000</v>
      </c>
      <c r="D648" s="121">
        <v>0</v>
      </c>
      <c r="E648" s="113">
        <v>0</v>
      </c>
      <c r="F648" s="113">
        <v>0</v>
      </c>
      <c r="G648" s="114">
        <v>0</v>
      </c>
      <c r="H648" s="32"/>
    </row>
    <row r="649" spans="1:8" hidden="1" x14ac:dyDescent="0.2">
      <c r="A649" s="106">
        <v>4351</v>
      </c>
      <c r="B649" s="144" t="s">
        <v>756</v>
      </c>
      <c r="C649" s="145">
        <f>SUM(C650:C650)</f>
        <v>35000</v>
      </c>
      <c r="D649" s="145">
        <f>SUM(D650:D650)</f>
        <v>35000</v>
      </c>
      <c r="E649" s="145">
        <f>SUM(E650:E650)</f>
        <v>35000</v>
      </c>
      <c r="F649" s="145">
        <f>SUM(F650:F650)</f>
        <v>0</v>
      </c>
      <c r="G649" s="145">
        <f>SUM(G650:G650)</f>
        <v>35000</v>
      </c>
      <c r="H649" s="88"/>
    </row>
    <row r="650" spans="1:8" s="98" customFormat="1" hidden="1" x14ac:dyDescent="0.2">
      <c r="A650" s="111"/>
      <c r="B650" s="155" t="s">
        <v>757</v>
      </c>
      <c r="C650" s="121">
        <v>35000</v>
      </c>
      <c r="D650" s="121">
        <v>35000</v>
      </c>
      <c r="E650" s="121">
        <v>35000</v>
      </c>
      <c r="F650" s="121">
        <v>0</v>
      </c>
      <c r="G650" s="114">
        <v>35000</v>
      </c>
      <c r="H650" s="32"/>
    </row>
    <row r="651" spans="1:8" hidden="1" x14ac:dyDescent="0.2">
      <c r="A651" s="106">
        <v>4371</v>
      </c>
      <c r="B651" s="144" t="s">
        <v>758</v>
      </c>
      <c r="C651" s="145">
        <f>SUM(C652:C652)</f>
        <v>240000</v>
      </c>
      <c r="D651" s="145">
        <f>SUM(D652:D652)</f>
        <v>240000</v>
      </c>
      <c r="E651" s="145">
        <f>SUM(E652:E652)</f>
        <v>233000</v>
      </c>
      <c r="F651" s="145">
        <f>SUM(F652:F652)</f>
        <v>0</v>
      </c>
      <c r="G651" s="145">
        <f>SUM(G652:G652)</f>
        <v>240000</v>
      </c>
      <c r="H651" s="32"/>
    </row>
    <row r="652" spans="1:8" hidden="1" x14ac:dyDescent="0.2">
      <c r="A652" s="111"/>
      <c r="B652" s="155" t="s">
        <v>757</v>
      </c>
      <c r="C652" s="121">
        <v>240000</v>
      </c>
      <c r="D652" s="121">
        <v>240000</v>
      </c>
      <c r="E652" s="113">
        <v>233000</v>
      </c>
      <c r="F652" s="113">
        <v>0</v>
      </c>
      <c r="G652" s="114">
        <v>240000</v>
      </c>
      <c r="H652" s="32"/>
    </row>
    <row r="653" spans="1:8" s="98" customFormat="1" hidden="1" x14ac:dyDescent="0.2">
      <c r="A653" s="106">
        <v>4374</v>
      </c>
      <c r="B653" s="418" t="s">
        <v>759</v>
      </c>
      <c r="C653" s="145">
        <f>SUM(C654:C654)</f>
        <v>822000</v>
      </c>
      <c r="D653" s="145">
        <f>SUM(D654:D654)</f>
        <v>822000</v>
      </c>
      <c r="E653" s="145">
        <f>SUM(E654:E654)</f>
        <v>822000</v>
      </c>
      <c r="F653" s="145">
        <f>SUM(F654:F654)</f>
        <v>0</v>
      </c>
      <c r="G653" s="145">
        <f>SUM(G654:G654)</f>
        <v>822000</v>
      </c>
      <c r="H653" s="88"/>
    </row>
    <row r="654" spans="1:8" hidden="1" x14ac:dyDescent="0.2">
      <c r="A654" s="111"/>
      <c r="B654" s="155" t="s">
        <v>757</v>
      </c>
      <c r="C654" s="121">
        <v>822000</v>
      </c>
      <c r="D654" s="121">
        <v>822000</v>
      </c>
      <c r="E654" s="113">
        <v>822000</v>
      </c>
      <c r="F654" s="113">
        <v>0</v>
      </c>
      <c r="G654" s="114">
        <v>822000</v>
      </c>
      <c r="H654" s="32"/>
    </row>
    <row r="655" spans="1:8" s="98" customFormat="1" hidden="1" x14ac:dyDescent="0.2">
      <c r="A655" s="106">
        <v>4379</v>
      </c>
      <c r="B655" s="144" t="s">
        <v>760</v>
      </c>
      <c r="C655" s="145">
        <f>SUM(C656:C659)</f>
        <v>345000</v>
      </c>
      <c r="D655" s="145">
        <f>SUM(D656:D659)</f>
        <v>340000</v>
      </c>
      <c r="E655" s="145">
        <f>SUM(E656:E659)</f>
        <v>225000</v>
      </c>
      <c r="F655" s="145">
        <f>SUM(F656:F659)</f>
        <v>116965.55</v>
      </c>
      <c r="G655" s="145">
        <f>SUM(G656:G659)</f>
        <v>345000</v>
      </c>
      <c r="H655" s="32"/>
    </row>
    <row r="656" spans="1:8" hidden="1" x14ac:dyDescent="0.2">
      <c r="A656" s="111"/>
      <c r="B656" s="128" t="s">
        <v>761</v>
      </c>
      <c r="C656" s="121">
        <v>232000</v>
      </c>
      <c r="D656" s="121">
        <v>232000</v>
      </c>
      <c r="E656" s="113">
        <v>135000</v>
      </c>
      <c r="F656" s="113">
        <v>77907.850000000006</v>
      </c>
      <c r="G656" s="114">
        <v>232000</v>
      </c>
      <c r="H656" s="32"/>
    </row>
    <row r="657" spans="1:8" s="419" customFormat="1" hidden="1" x14ac:dyDescent="0.2">
      <c r="A657" s="111"/>
      <c r="B657" s="128" t="s">
        <v>762</v>
      </c>
      <c r="C657" s="121">
        <v>59000</v>
      </c>
      <c r="D657" s="121">
        <v>59000</v>
      </c>
      <c r="E657" s="113">
        <v>45000</v>
      </c>
      <c r="F657" s="113">
        <v>18050</v>
      </c>
      <c r="G657" s="114">
        <v>59000</v>
      </c>
      <c r="H657" s="88"/>
    </row>
    <row r="658" spans="1:8" hidden="1" x14ac:dyDescent="0.2">
      <c r="A658" s="111"/>
      <c r="B658" s="128" t="s">
        <v>763</v>
      </c>
      <c r="C658" s="121">
        <v>44000</v>
      </c>
      <c r="D658" s="121">
        <v>44000</v>
      </c>
      <c r="E658" s="113">
        <v>40000</v>
      </c>
      <c r="F658" s="113">
        <v>21007.7</v>
      </c>
      <c r="G658" s="114">
        <v>44000</v>
      </c>
      <c r="H658" s="88"/>
    </row>
    <row r="659" spans="1:8" s="98" customFormat="1" hidden="1" x14ac:dyDescent="0.2">
      <c r="A659" s="111"/>
      <c r="B659" s="128" t="s">
        <v>764</v>
      </c>
      <c r="C659" s="121">
        <v>10000</v>
      </c>
      <c r="D659" s="121">
        <v>5000</v>
      </c>
      <c r="E659" s="113">
        <v>5000</v>
      </c>
      <c r="F659" s="113">
        <v>0</v>
      </c>
      <c r="G659" s="114">
        <v>10000</v>
      </c>
      <c r="H659" s="32"/>
    </row>
    <row r="660" spans="1:8" hidden="1" x14ac:dyDescent="0.2">
      <c r="A660" s="106">
        <v>4399</v>
      </c>
      <c r="B660" s="144" t="s">
        <v>765</v>
      </c>
      <c r="C660" s="145">
        <v>13000</v>
      </c>
      <c r="D660" s="145">
        <v>13000</v>
      </c>
      <c r="E660" s="109">
        <v>11000</v>
      </c>
      <c r="F660" s="109">
        <v>8991.14</v>
      </c>
      <c r="G660" s="105">
        <v>13000</v>
      </c>
      <c r="H660" s="32"/>
    </row>
    <row r="661" spans="1:8" hidden="1" x14ac:dyDescent="0.2">
      <c r="A661" s="131">
        <v>6409</v>
      </c>
      <c r="B661" s="221" t="s">
        <v>766</v>
      </c>
      <c r="C661" s="420">
        <v>100000</v>
      </c>
      <c r="D661" s="420">
        <v>0</v>
      </c>
      <c r="E661" s="109">
        <v>0</v>
      </c>
      <c r="F661" s="109">
        <v>0</v>
      </c>
      <c r="G661" s="105">
        <v>0</v>
      </c>
      <c r="H661" s="88"/>
    </row>
    <row r="662" spans="1:8" ht="15.75" hidden="1" x14ac:dyDescent="0.25">
      <c r="A662" s="312"/>
      <c r="B662" s="168" t="s">
        <v>767</v>
      </c>
      <c r="C662" s="169">
        <f>C663</f>
        <v>6740000</v>
      </c>
      <c r="D662" s="169">
        <f>D663</f>
        <v>6740000</v>
      </c>
      <c r="E662" s="169">
        <f>E663</f>
        <v>6156000</v>
      </c>
      <c r="F662" s="169">
        <f>F663</f>
        <v>6033000</v>
      </c>
      <c r="G662" s="169">
        <f>G663</f>
        <v>7870288</v>
      </c>
      <c r="H662" s="88"/>
    </row>
    <row r="663" spans="1:8" hidden="1" x14ac:dyDescent="0.2">
      <c r="A663" s="421"/>
      <c r="B663" s="139" t="s">
        <v>768</v>
      </c>
      <c r="C663" s="145">
        <f>SUM(C664:C671)</f>
        <v>6740000</v>
      </c>
      <c r="D663" s="145">
        <f>SUM(D664:D671)</f>
        <v>6740000</v>
      </c>
      <c r="E663" s="145">
        <f>SUM(E664:E671)</f>
        <v>6156000</v>
      </c>
      <c r="F663" s="145">
        <f>SUM(F664:F671)</f>
        <v>6033000</v>
      </c>
      <c r="G663" s="145">
        <f>SUM(G664:G671)</f>
        <v>7870288</v>
      </c>
      <c r="H663" s="88"/>
    </row>
    <row r="664" spans="1:8" s="98" customFormat="1" hidden="1" x14ac:dyDescent="0.2">
      <c r="A664" s="421"/>
      <c r="B664" s="128" t="s">
        <v>769</v>
      </c>
      <c r="C664" s="121">
        <v>180000</v>
      </c>
      <c r="D664" s="121">
        <v>180000</v>
      </c>
      <c r="E664" s="114">
        <v>148000</v>
      </c>
      <c r="F664" s="114">
        <v>148000</v>
      </c>
      <c r="G664" s="114">
        <v>190000</v>
      </c>
      <c r="H664" s="88"/>
    </row>
    <row r="665" spans="1:8" hidden="1" x14ac:dyDescent="0.2">
      <c r="A665" s="421"/>
      <c r="B665" s="128" t="s">
        <v>770</v>
      </c>
      <c r="C665" s="121">
        <v>150000</v>
      </c>
      <c r="D665" s="121">
        <v>150000</v>
      </c>
      <c r="E665" s="113">
        <v>82000</v>
      </c>
      <c r="F665" s="113">
        <v>82000</v>
      </c>
      <c r="G665" s="114">
        <v>170000</v>
      </c>
      <c r="H665" s="88"/>
    </row>
    <row r="666" spans="1:8" hidden="1" x14ac:dyDescent="0.2">
      <c r="A666" s="421"/>
      <c r="B666" s="128" t="s">
        <v>771</v>
      </c>
      <c r="C666" s="121">
        <v>5373000</v>
      </c>
      <c r="D666" s="121">
        <v>5373000</v>
      </c>
      <c r="E666" s="113">
        <v>5062900</v>
      </c>
      <c r="F666" s="113">
        <v>5062900</v>
      </c>
      <c r="G666" s="114">
        <v>5776002</v>
      </c>
      <c r="H666" s="88"/>
    </row>
    <row r="667" spans="1:8" hidden="1" x14ac:dyDescent="0.2">
      <c r="A667" s="421"/>
      <c r="B667" s="128" t="s">
        <v>772</v>
      </c>
      <c r="C667" s="121">
        <v>400000</v>
      </c>
      <c r="D667" s="121">
        <v>400000</v>
      </c>
      <c r="E667" s="121">
        <v>396100</v>
      </c>
      <c r="F667" s="121">
        <v>396100</v>
      </c>
      <c r="G667" s="114">
        <v>1036286</v>
      </c>
      <c r="H667" s="88"/>
    </row>
    <row r="668" spans="1:8" hidden="1" x14ac:dyDescent="0.2">
      <c r="A668" s="421"/>
      <c r="B668" s="128" t="s">
        <v>773</v>
      </c>
      <c r="C668" s="121">
        <v>287000</v>
      </c>
      <c r="D668" s="121">
        <v>263000</v>
      </c>
      <c r="E668" s="121">
        <v>120000</v>
      </c>
      <c r="F668" s="121">
        <v>120000</v>
      </c>
      <c r="G668" s="114">
        <v>298000</v>
      </c>
      <c r="H668" s="88"/>
    </row>
    <row r="669" spans="1:8" hidden="1" x14ac:dyDescent="0.2">
      <c r="A669" s="421"/>
      <c r="B669" s="128" t="s">
        <v>774</v>
      </c>
      <c r="C669" s="121">
        <v>200000</v>
      </c>
      <c r="D669" s="121">
        <v>180000</v>
      </c>
      <c r="E669" s="121">
        <v>180000</v>
      </c>
      <c r="F669" s="121">
        <v>180000</v>
      </c>
      <c r="G669" s="114">
        <v>250000</v>
      </c>
      <c r="H669" s="88"/>
    </row>
    <row r="670" spans="1:8" hidden="1" x14ac:dyDescent="0.2">
      <c r="A670" s="106"/>
      <c r="B670" s="128" t="s">
        <v>775</v>
      </c>
      <c r="C670" s="121">
        <v>150000</v>
      </c>
      <c r="D670" s="121">
        <v>150000</v>
      </c>
      <c r="E670" s="113">
        <v>123000</v>
      </c>
      <c r="F670" s="113">
        <v>0</v>
      </c>
      <c r="G670" s="114">
        <v>150000</v>
      </c>
      <c r="H670" s="88"/>
    </row>
    <row r="671" spans="1:8" hidden="1" x14ac:dyDescent="0.2">
      <c r="A671" s="106"/>
      <c r="B671" s="213" t="s">
        <v>776</v>
      </c>
      <c r="C671" s="200">
        <v>0</v>
      </c>
      <c r="D671" s="200">
        <v>44000</v>
      </c>
      <c r="E671" s="113">
        <v>44000</v>
      </c>
      <c r="F671" s="113">
        <v>44000</v>
      </c>
      <c r="G671" s="114">
        <v>0</v>
      </c>
      <c r="H671" s="88"/>
    </row>
    <row r="672" spans="1:8" hidden="1" x14ac:dyDescent="0.2">
      <c r="A672" s="405"/>
      <c r="B672" s="422"/>
      <c r="C672" s="240"/>
      <c r="D672" s="240"/>
      <c r="E672" s="200"/>
      <c r="F672" s="200"/>
      <c r="G672" s="143"/>
      <c r="H672" s="88"/>
    </row>
    <row r="673" spans="1:9" ht="20.25" hidden="1" x14ac:dyDescent="0.2">
      <c r="A673" s="405"/>
      <c r="B673" s="423" t="s">
        <v>777</v>
      </c>
      <c r="C673" s="332">
        <f>C674</f>
        <v>14255100</v>
      </c>
      <c r="D673" s="332">
        <v>20033588</v>
      </c>
      <c r="E673" s="332">
        <f>E674</f>
        <v>20033588</v>
      </c>
      <c r="F673" s="332">
        <v>7184316.8099999996</v>
      </c>
      <c r="G673" s="332">
        <f>G674</f>
        <v>13505100</v>
      </c>
      <c r="H673" s="88"/>
    </row>
    <row r="674" spans="1:9" hidden="1" x14ac:dyDescent="0.2">
      <c r="A674" s="424">
        <v>4351</v>
      </c>
      <c r="B674" s="139" t="s">
        <v>778</v>
      </c>
      <c r="C674" s="425">
        <f>SUM(C675:C677)</f>
        <v>14255100</v>
      </c>
      <c r="D674" s="425">
        <v>20033588</v>
      </c>
      <c r="E674" s="425">
        <f>SUM(E675:E677)</f>
        <v>20033588</v>
      </c>
      <c r="F674" s="105">
        <v>7184316.8099999996</v>
      </c>
      <c r="G674" s="425">
        <f>SUM(G675:G677)</f>
        <v>13505100</v>
      </c>
      <c r="H674" s="88"/>
    </row>
    <row r="675" spans="1:9" ht="60" hidden="1" x14ac:dyDescent="0.2">
      <c r="A675" s="111"/>
      <c r="B675" s="413" t="s">
        <v>779</v>
      </c>
      <c r="C675" s="257">
        <v>6911500</v>
      </c>
      <c r="D675" s="257">
        <v>10203820</v>
      </c>
      <c r="E675" s="257">
        <f t="shared" ref="E675:E677" si="7">D675</f>
        <v>10203820</v>
      </c>
      <c r="F675" s="121">
        <v>3433058.91</v>
      </c>
      <c r="G675" s="257">
        <v>6835500</v>
      </c>
      <c r="H675" s="32"/>
      <c r="I675" s="158"/>
    </row>
    <row r="676" spans="1:9" ht="48" hidden="1" x14ac:dyDescent="0.2">
      <c r="A676" s="111"/>
      <c r="B676" s="413" t="s">
        <v>780</v>
      </c>
      <c r="C676" s="426">
        <v>1796800</v>
      </c>
      <c r="D676" s="426">
        <v>2479432</v>
      </c>
      <c r="E676" s="426">
        <f t="shared" si="7"/>
        <v>2479432</v>
      </c>
      <c r="F676" s="113">
        <v>763396.3</v>
      </c>
      <c r="G676" s="426">
        <v>1739300</v>
      </c>
      <c r="H676" s="32"/>
      <c r="I676" s="158"/>
    </row>
    <row r="677" spans="1:9" ht="36" hidden="1" x14ac:dyDescent="0.2">
      <c r="A677" s="106"/>
      <c r="B677" s="413" t="s">
        <v>781</v>
      </c>
      <c r="C677" s="257">
        <v>5546800</v>
      </c>
      <c r="D677" s="257">
        <v>7350336</v>
      </c>
      <c r="E677" s="257">
        <f t="shared" si="7"/>
        <v>7350336</v>
      </c>
      <c r="F677" s="121">
        <v>2987864.6</v>
      </c>
      <c r="G677" s="257">
        <v>4930300</v>
      </c>
      <c r="H677" s="32"/>
      <c r="I677" s="158"/>
    </row>
    <row r="678" spans="1:9" hidden="1" x14ac:dyDescent="0.2">
      <c r="A678" s="405"/>
      <c r="B678" s="427"/>
      <c r="C678" s="361"/>
      <c r="D678" s="361"/>
      <c r="E678" s="361"/>
      <c r="F678" s="266"/>
      <c r="G678" s="361"/>
      <c r="H678" s="88"/>
    </row>
    <row r="679" spans="1:9" ht="20.25" hidden="1" x14ac:dyDescent="0.3">
      <c r="A679" s="312"/>
      <c r="B679" s="90" t="s">
        <v>50</v>
      </c>
      <c r="C679" s="332">
        <f>SUM(C680,C681,C682,C683,C684,C685,C686,C687,C691,C692,C693,C694,C699,C700)</f>
        <v>48341000</v>
      </c>
      <c r="D679" s="332">
        <f>SUM(D680,D681,D682,D683,D684,D685,D686,D687,D691,D692,D693,D694,D699,D700)</f>
        <v>48246622</v>
      </c>
      <c r="E679" s="332">
        <f>SUM(E680,E681,E682,E683,E684,E685,E686,E687,E691,E692,E693,E694,E699,E700)</f>
        <v>48220555</v>
      </c>
      <c r="F679" s="332">
        <f>SUM(F680,F681,F682,F683,F684,F685,F686,F687,F691,F692,F693,F694,F699,F700)</f>
        <v>26931631</v>
      </c>
      <c r="G679" s="332">
        <f>SUM(G680,G681,G682,G683,G684,G685,G686,G687,G691,G692,G693,G694,G699,G700)</f>
        <v>58483000</v>
      </c>
      <c r="H679" s="88"/>
    </row>
    <row r="680" spans="1:9" hidden="1" x14ac:dyDescent="0.2">
      <c r="A680" s="102">
        <v>1014</v>
      </c>
      <c r="B680" s="139" t="s">
        <v>782</v>
      </c>
      <c r="C680" s="197">
        <v>760000</v>
      </c>
      <c r="D680" s="428">
        <v>760000</v>
      </c>
      <c r="E680" s="105">
        <v>760000</v>
      </c>
      <c r="F680" s="428">
        <v>250713</v>
      </c>
      <c r="G680" s="105">
        <v>770000</v>
      </c>
      <c r="H680" s="88"/>
    </row>
    <row r="681" spans="1:9" hidden="1" x14ac:dyDescent="0.2">
      <c r="A681" s="106">
        <v>1031</v>
      </c>
      <c r="B681" s="144" t="s">
        <v>783</v>
      </c>
      <c r="C681" s="145">
        <v>481000</v>
      </c>
      <c r="D681" s="429">
        <v>481000</v>
      </c>
      <c r="E681" s="109">
        <v>481000</v>
      </c>
      <c r="F681" s="429">
        <v>82116</v>
      </c>
      <c r="G681" s="105">
        <v>436000</v>
      </c>
      <c r="H681" s="88"/>
    </row>
    <row r="682" spans="1:9" hidden="1" x14ac:dyDescent="0.2">
      <c r="A682" s="106">
        <v>1036</v>
      </c>
      <c r="B682" s="144" t="s">
        <v>784</v>
      </c>
      <c r="C682" s="145">
        <v>100000</v>
      </c>
      <c r="D682" s="429">
        <v>100000</v>
      </c>
      <c r="E682" s="145">
        <v>100000</v>
      </c>
      <c r="F682" s="430">
        <v>60738</v>
      </c>
      <c r="G682" s="105">
        <v>100000</v>
      </c>
      <c r="H682" s="88"/>
    </row>
    <row r="683" spans="1:9" s="244" customFormat="1" ht="15.75" hidden="1" x14ac:dyDescent="0.25">
      <c r="A683" s="106">
        <v>1037</v>
      </c>
      <c r="B683" s="144" t="s">
        <v>785</v>
      </c>
      <c r="C683" s="145">
        <v>773000</v>
      </c>
      <c r="D683" s="429">
        <v>773000</v>
      </c>
      <c r="E683" s="382">
        <v>773000</v>
      </c>
      <c r="F683" s="431">
        <v>15125.64</v>
      </c>
      <c r="G683" s="105">
        <v>20000</v>
      </c>
      <c r="H683" s="88"/>
    </row>
    <row r="684" spans="1:9" s="98" customFormat="1" hidden="1" x14ac:dyDescent="0.2">
      <c r="A684" s="106">
        <v>1039</v>
      </c>
      <c r="B684" s="144" t="s">
        <v>786</v>
      </c>
      <c r="C684" s="145">
        <v>300000</v>
      </c>
      <c r="D684" s="429">
        <v>570497</v>
      </c>
      <c r="E684" s="432">
        <v>570000</v>
      </c>
      <c r="F684" s="433">
        <v>0</v>
      </c>
      <c r="G684" s="105">
        <v>200000</v>
      </c>
      <c r="H684" s="88"/>
    </row>
    <row r="685" spans="1:9" s="98" customFormat="1" hidden="1" x14ac:dyDescent="0.2">
      <c r="A685" s="106">
        <v>2369</v>
      </c>
      <c r="B685" s="144" t="s">
        <v>787</v>
      </c>
      <c r="C685" s="145">
        <v>370000</v>
      </c>
      <c r="D685" s="429">
        <v>370000</v>
      </c>
      <c r="E685" s="105">
        <v>370000</v>
      </c>
      <c r="F685" s="434">
        <v>400</v>
      </c>
      <c r="G685" s="105">
        <v>370000</v>
      </c>
      <c r="H685" s="88"/>
    </row>
    <row r="686" spans="1:9" s="98" customFormat="1" hidden="1" x14ac:dyDescent="0.2">
      <c r="A686" s="106">
        <v>3721</v>
      </c>
      <c r="B686" s="144" t="s">
        <v>788</v>
      </c>
      <c r="C686" s="145">
        <v>50000</v>
      </c>
      <c r="D686" s="429">
        <v>50000</v>
      </c>
      <c r="E686" s="109">
        <v>50000</v>
      </c>
      <c r="F686" s="429">
        <v>33600</v>
      </c>
      <c r="G686" s="105">
        <v>50000</v>
      </c>
      <c r="H686" s="88"/>
    </row>
    <row r="687" spans="1:9" s="98" customFormat="1" hidden="1" x14ac:dyDescent="0.2">
      <c r="A687" s="106">
        <v>3722</v>
      </c>
      <c r="B687" s="144" t="s">
        <v>789</v>
      </c>
      <c r="C687" s="145">
        <f>SUM(C688:C690)</f>
        <v>24470000</v>
      </c>
      <c r="D687" s="429">
        <f>SUM(D688:D690)</f>
        <v>24350625</v>
      </c>
      <c r="E687" s="145">
        <f>SUM(E688:E690)</f>
        <v>24350625</v>
      </c>
      <c r="F687" s="429">
        <f>SUM(F688:F690)</f>
        <v>14850244.939999999</v>
      </c>
      <c r="G687" s="145">
        <f>SUM(G688:G690)</f>
        <v>27100000</v>
      </c>
      <c r="H687" s="88"/>
    </row>
    <row r="688" spans="1:9" s="98" customFormat="1" hidden="1" x14ac:dyDescent="0.2">
      <c r="A688" s="106"/>
      <c r="B688" s="155" t="s">
        <v>790</v>
      </c>
      <c r="C688" s="121">
        <v>20955000</v>
      </c>
      <c r="D688" s="430">
        <f>C688+130625</f>
        <v>21085625</v>
      </c>
      <c r="E688" s="113">
        <v>21085625</v>
      </c>
      <c r="F688" s="430">
        <v>14100625</v>
      </c>
      <c r="G688" s="114">
        <v>24500000</v>
      </c>
      <c r="H688" s="88"/>
    </row>
    <row r="689" spans="1:256" s="98" customFormat="1" hidden="1" x14ac:dyDescent="0.2">
      <c r="A689" s="106"/>
      <c r="B689" s="155" t="s">
        <v>791</v>
      </c>
      <c r="C689" s="121">
        <v>1990000</v>
      </c>
      <c r="D689" s="430">
        <v>1990000</v>
      </c>
      <c r="E689" s="113">
        <v>1990000</v>
      </c>
      <c r="F689" s="430">
        <v>749619.94</v>
      </c>
      <c r="G689" s="114">
        <f>2140000+100000</f>
        <v>2240000</v>
      </c>
      <c r="H689" s="88"/>
    </row>
    <row r="690" spans="1:256" s="98" customFormat="1" hidden="1" x14ac:dyDescent="0.2">
      <c r="A690" s="106"/>
      <c r="B690" s="147" t="s">
        <v>792</v>
      </c>
      <c r="C690" s="121">
        <v>1525000</v>
      </c>
      <c r="D690" s="430">
        <f>C690-250000</f>
        <v>1275000</v>
      </c>
      <c r="E690" s="113">
        <v>1275000</v>
      </c>
      <c r="F690" s="430">
        <v>0</v>
      </c>
      <c r="G690" s="114">
        <v>360000</v>
      </c>
      <c r="H690" s="88"/>
    </row>
    <row r="691" spans="1:256" s="98" customFormat="1" hidden="1" x14ac:dyDescent="0.2">
      <c r="A691" s="106">
        <v>3733</v>
      </c>
      <c r="B691" s="144" t="s">
        <v>793</v>
      </c>
      <c r="C691" s="145">
        <v>65000</v>
      </c>
      <c r="D691" s="429">
        <v>65000</v>
      </c>
      <c r="E691" s="109">
        <v>40000</v>
      </c>
      <c r="F691" s="429">
        <v>0</v>
      </c>
      <c r="G691" s="105">
        <v>65000</v>
      </c>
      <c r="H691" s="88"/>
    </row>
    <row r="692" spans="1:256" s="98" customFormat="1" hidden="1" x14ac:dyDescent="0.2">
      <c r="A692" s="106">
        <v>3742</v>
      </c>
      <c r="B692" s="146" t="s">
        <v>794</v>
      </c>
      <c r="C692" s="145">
        <v>100000</v>
      </c>
      <c r="D692" s="429">
        <v>100000</v>
      </c>
      <c r="E692" s="382">
        <v>100000</v>
      </c>
      <c r="F692" s="435">
        <v>0</v>
      </c>
      <c r="G692" s="105">
        <v>100000</v>
      </c>
      <c r="H692" s="88"/>
    </row>
    <row r="693" spans="1:256" s="98" customFormat="1" hidden="1" x14ac:dyDescent="0.2">
      <c r="A693" s="106">
        <v>3743</v>
      </c>
      <c r="B693" s="144" t="s">
        <v>795</v>
      </c>
      <c r="C693" s="145">
        <v>2000</v>
      </c>
      <c r="D693" s="429">
        <v>2000</v>
      </c>
      <c r="E693" s="382">
        <v>1430</v>
      </c>
      <c r="F693" s="435">
        <v>0</v>
      </c>
      <c r="G693" s="105">
        <v>2000</v>
      </c>
      <c r="H693" s="88"/>
    </row>
    <row r="694" spans="1:256" s="98" customFormat="1" hidden="1" x14ac:dyDescent="0.2">
      <c r="A694" s="106">
        <v>3745</v>
      </c>
      <c r="B694" s="144" t="s">
        <v>796</v>
      </c>
      <c r="C694" s="145">
        <f>SUM(C695:C698)</f>
        <v>20640000</v>
      </c>
      <c r="D694" s="429">
        <f>SUM(D695:D698)</f>
        <v>20394500</v>
      </c>
      <c r="E694" s="145">
        <f>SUM(E695:E698)</f>
        <v>20394500</v>
      </c>
      <c r="F694" s="429">
        <f>SUM(F695:F698)</f>
        <v>11629207.42</v>
      </c>
      <c r="G694" s="145">
        <f>SUM(G695:G698)</f>
        <v>29115000</v>
      </c>
      <c r="H694" s="88"/>
    </row>
    <row r="695" spans="1:256" s="98" customFormat="1" hidden="1" x14ac:dyDescent="0.2">
      <c r="A695" s="106"/>
      <c r="B695" s="155" t="s">
        <v>797</v>
      </c>
      <c r="C695" s="123">
        <v>150000</v>
      </c>
      <c r="D695" s="434">
        <v>0</v>
      </c>
      <c r="E695" s="123">
        <v>0</v>
      </c>
      <c r="F695" s="434">
        <v>0</v>
      </c>
      <c r="G695" s="114">
        <v>150000</v>
      </c>
      <c r="H695" s="88"/>
    </row>
    <row r="696" spans="1:256" s="98" customFormat="1" hidden="1" x14ac:dyDescent="0.2">
      <c r="A696" s="111"/>
      <c r="B696" s="155" t="s">
        <v>798</v>
      </c>
      <c r="C696" s="121">
        <v>14620000</v>
      </c>
      <c r="D696" s="430">
        <f>C696+104500</f>
        <v>14724500</v>
      </c>
      <c r="E696" s="114">
        <v>14724500</v>
      </c>
      <c r="F696" s="434">
        <v>9851164</v>
      </c>
      <c r="G696" s="114">
        <v>16000000</v>
      </c>
      <c r="H696" s="32"/>
    </row>
    <row r="697" spans="1:256" s="98" customFormat="1" hidden="1" x14ac:dyDescent="0.2">
      <c r="A697" s="111"/>
      <c r="B697" s="155" t="s">
        <v>799</v>
      </c>
      <c r="C697" s="121">
        <v>3570000</v>
      </c>
      <c r="D697" s="430">
        <f>C697-300000+100000</f>
        <v>3370000</v>
      </c>
      <c r="E697" s="113">
        <v>3370000</v>
      </c>
      <c r="F697" s="430">
        <v>844983.42</v>
      </c>
      <c r="G697" s="114">
        <v>3200000</v>
      </c>
      <c r="H697" s="387"/>
    </row>
    <row r="698" spans="1:256" s="98" customFormat="1" ht="24" hidden="1" x14ac:dyDescent="0.2">
      <c r="A698" s="106"/>
      <c r="B698" s="147" t="s">
        <v>800</v>
      </c>
      <c r="C698" s="121">
        <v>2300000</v>
      </c>
      <c r="D698" s="430">
        <v>2300000</v>
      </c>
      <c r="E698" s="114">
        <v>2300000</v>
      </c>
      <c r="F698" s="434">
        <v>933060</v>
      </c>
      <c r="G698" s="114">
        <f>9285000+480000</f>
        <v>9765000</v>
      </c>
      <c r="H698" s="32"/>
    </row>
    <row r="699" spans="1:256" hidden="1" x14ac:dyDescent="0.2">
      <c r="A699" s="106">
        <v>3792</v>
      </c>
      <c r="B699" s="144" t="s">
        <v>801</v>
      </c>
      <c r="C699" s="145">
        <v>150000</v>
      </c>
      <c r="D699" s="429">
        <v>150000</v>
      </c>
      <c r="E699" s="109">
        <v>150000</v>
      </c>
      <c r="F699" s="429">
        <v>9486</v>
      </c>
      <c r="G699" s="105">
        <v>155000</v>
      </c>
      <c r="H699" s="88"/>
    </row>
    <row r="700" spans="1:256" hidden="1" x14ac:dyDescent="0.2">
      <c r="A700" s="106">
        <v>3799</v>
      </c>
      <c r="B700" s="144" t="s">
        <v>802</v>
      </c>
      <c r="C700" s="145">
        <v>80000</v>
      </c>
      <c r="D700" s="429">
        <v>80000</v>
      </c>
      <c r="E700" s="109">
        <v>80000</v>
      </c>
      <c r="F700" s="429">
        <v>0</v>
      </c>
      <c r="G700" s="105">
        <v>0</v>
      </c>
      <c r="H700" s="88"/>
    </row>
    <row r="701" spans="1:256" hidden="1" x14ac:dyDescent="0.2">
      <c r="A701" s="424"/>
      <c r="B701" s="258"/>
      <c r="C701" s="436"/>
      <c r="D701" s="436"/>
      <c r="E701" s="266"/>
      <c r="F701" s="266"/>
      <c r="G701" s="266"/>
      <c r="H701" s="88"/>
    </row>
    <row r="702" spans="1:256" ht="20.25" hidden="1" x14ac:dyDescent="0.2">
      <c r="A702" s="437"/>
      <c r="B702" s="278" t="s">
        <v>803</v>
      </c>
      <c r="C702" s="281">
        <f>SUM(C703,C704,C734,C782,C849,C872,C874,C875,C879)</f>
        <v>272420000</v>
      </c>
      <c r="D702" s="281">
        <f>SUM(D703,D704,D734,D782,D849,D872,D874,D875,D879)</f>
        <v>198055883.74000001</v>
      </c>
      <c r="E702" s="281">
        <f>SUM(E703,E704,E734,E782,E849,E872,E874,E875,E879)</f>
        <v>186143155.44</v>
      </c>
      <c r="F702" s="280">
        <f>SUM(F703,F704,F734,F782,F849,F872,F874,F875,F879)</f>
        <v>96334031.909999996</v>
      </c>
      <c r="G702" s="281">
        <f>SUM(G703,G704,G734,G782,G849,G872,G874,G875,G879)</f>
        <v>222630000</v>
      </c>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c r="AP702"/>
      <c r="AQ702"/>
      <c r="AR702"/>
      <c r="AS702"/>
      <c r="AT702"/>
      <c r="AU702"/>
      <c r="AV702"/>
      <c r="AW702"/>
      <c r="AX702"/>
      <c r="AY702"/>
      <c r="AZ702"/>
      <c r="BA702"/>
      <c r="BB702"/>
      <c r="BC702"/>
      <c r="BD702"/>
      <c r="BE702"/>
      <c r="BF702"/>
      <c r="BG702"/>
      <c r="BH702"/>
      <c r="BI702"/>
      <c r="BJ702"/>
      <c r="BK702"/>
      <c r="BL702"/>
      <c r="BM702"/>
      <c r="BN702"/>
      <c r="BO702"/>
      <c r="BP702"/>
      <c r="BQ702"/>
      <c r="BR702"/>
      <c r="BS702"/>
      <c r="BT702"/>
      <c r="BU702"/>
      <c r="BV702"/>
      <c r="BW702"/>
      <c r="BX702"/>
      <c r="BY702"/>
      <c r="BZ702"/>
      <c r="CA702"/>
      <c r="CB702"/>
      <c r="CC702"/>
      <c r="CD702"/>
      <c r="CE702"/>
      <c r="CF702"/>
      <c r="CG702"/>
      <c r="CH702"/>
      <c r="CI702"/>
      <c r="CJ702"/>
      <c r="CK702"/>
      <c r="CL702"/>
      <c r="CM702"/>
      <c r="CN702"/>
      <c r="CO702"/>
      <c r="CP702"/>
      <c r="CQ702"/>
      <c r="CR702"/>
      <c r="CS702"/>
      <c r="CT702"/>
      <c r="CU702"/>
      <c r="CV702"/>
      <c r="CW702"/>
      <c r="CX702"/>
      <c r="CY702"/>
      <c r="CZ702"/>
      <c r="DA702"/>
      <c r="DB702"/>
      <c r="DC702"/>
      <c r="DD702"/>
      <c r="DE702"/>
      <c r="DF702"/>
      <c r="DG702"/>
      <c r="DH702"/>
      <c r="DI702"/>
      <c r="DJ702"/>
      <c r="DK702"/>
      <c r="DL702"/>
      <c r="DM702"/>
      <c r="DN702"/>
      <c r="DO702"/>
      <c r="DP702"/>
      <c r="DQ702"/>
      <c r="DR702"/>
      <c r="DS702"/>
      <c r="DT702"/>
      <c r="DU702"/>
      <c r="DV702"/>
      <c r="DW702"/>
      <c r="DX702"/>
      <c r="DY702"/>
      <c r="DZ702"/>
      <c r="EA702"/>
      <c r="EB702"/>
      <c r="EC702"/>
      <c r="ED702"/>
      <c r="EE702"/>
      <c r="EF702"/>
      <c r="EG702"/>
      <c r="EH702"/>
      <c r="EI702"/>
      <c r="EJ702"/>
      <c r="EK702"/>
      <c r="EL702"/>
      <c r="EM702"/>
      <c r="EN702"/>
      <c r="EO702"/>
      <c r="EP702"/>
      <c r="EQ702"/>
      <c r="ER702"/>
      <c r="ES702"/>
      <c r="ET702"/>
      <c r="EU702"/>
      <c r="EV702"/>
      <c r="EW702"/>
      <c r="EX702"/>
      <c r="EY702"/>
      <c r="EZ702"/>
      <c r="FA702"/>
      <c r="FB702"/>
      <c r="FC702"/>
      <c r="FD702"/>
      <c r="FE702"/>
      <c r="FF702"/>
      <c r="FG702"/>
      <c r="FH702"/>
      <c r="FI702"/>
      <c r="FJ702"/>
      <c r="FK702"/>
      <c r="FL702"/>
      <c r="FM702"/>
      <c r="FN702"/>
      <c r="FO702"/>
      <c r="FP702"/>
      <c r="FQ702"/>
      <c r="FR702"/>
      <c r="FS702"/>
      <c r="FT702"/>
      <c r="FU702"/>
      <c r="FV702"/>
      <c r="FW702"/>
      <c r="FX702"/>
      <c r="FY702"/>
      <c r="FZ702"/>
      <c r="GA702"/>
      <c r="GB702"/>
      <c r="GC702"/>
      <c r="GD702"/>
      <c r="GE702"/>
      <c r="GF702"/>
      <c r="GG702"/>
      <c r="GH702"/>
      <c r="GI702"/>
      <c r="GJ702"/>
      <c r="GK702"/>
      <c r="GL702"/>
      <c r="GM702"/>
      <c r="GN702"/>
      <c r="GO702"/>
      <c r="GP702"/>
      <c r="GQ702"/>
      <c r="GR702"/>
      <c r="GS702"/>
      <c r="GT702"/>
      <c r="GU702"/>
      <c r="GV702"/>
      <c r="GW702"/>
      <c r="GX702"/>
      <c r="GY702"/>
      <c r="GZ702"/>
      <c r="HA702"/>
      <c r="HB702"/>
      <c r="HC702"/>
      <c r="HD702"/>
      <c r="HE702"/>
      <c r="HF702"/>
      <c r="HG702"/>
      <c r="HH702"/>
      <c r="HI702"/>
      <c r="HJ702"/>
      <c r="HK702"/>
      <c r="HL702"/>
      <c r="HM702"/>
      <c r="HN702"/>
      <c r="HO702"/>
      <c r="HP702"/>
      <c r="HQ702"/>
      <c r="HR702"/>
      <c r="HS702"/>
      <c r="HT702"/>
      <c r="HU702"/>
      <c r="HV702"/>
      <c r="HW702"/>
      <c r="HX702"/>
      <c r="HY702"/>
      <c r="HZ702"/>
      <c r="IA702"/>
      <c r="IB702"/>
      <c r="IC702"/>
      <c r="ID702"/>
      <c r="IE702"/>
      <c r="IF702"/>
      <c r="IG702"/>
      <c r="IH702"/>
      <c r="II702"/>
      <c r="IJ702"/>
      <c r="IK702"/>
      <c r="IL702"/>
      <c r="IM702"/>
      <c r="IN702"/>
      <c r="IO702"/>
      <c r="IP702"/>
      <c r="IQ702"/>
      <c r="IR702"/>
      <c r="IS702"/>
      <c r="IT702"/>
      <c r="IU702"/>
      <c r="IV702"/>
    </row>
    <row r="703" spans="1:256" ht="12.75" hidden="1" customHeight="1" x14ac:dyDescent="0.2">
      <c r="A703" s="438">
        <v>3122</v>
      </c>
      <c r="B703" s="439" t="s">
        <v>804</v>
      </c>
      <c r="C703" s="440">
        <v>370000</v>
      </c>
      <c r="D703" s="441">
        <v>370000</v>
      </c>
      <c r="E703" s="442">
        <v>315000</v>
      </c>
      <c r="F703" s="292">
        <v>275040</v>
      </c>
      <c r="G703" s="173">
        <v>376000</v>
      </c>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c r="AP703"/>
      <c r="AQ703"/>
      <c r="AR703"/>
      <c r="AS703"/>
      <c r="AT703"/>
      <c r="AU703"/>
      <c r="AV703"/>
      <c r="AW703"/>
      <c r="AX703"/>
      <c r="AY703"/>
      <c r="AZ703"/>
      <c r="BA703"/>
      <c r="BB703"/>
      <c r="BC703"/>
      <c r="BD703"/>
      <c r="BE703"/>
      <c r="BF703"/>
      <c r="BG703"/>
      <c r="BH703"/>
      <c r="BI703"/>
      <c r="BJ703"/>
      <c r="BK703"/>
      <c r="BL703"/>
      <c r="BM703"/>
      <c r="BN703"/>
      <c r="BO703"/>
      <c r="BP703"/>
      <c r="BQ703"/>
      <c r="BR703"/>
      <c r="BS703"/>
      <c r="BT703"/>
      <c r="BU703"/>
      <c r="BV703"/>
      <c r="BW703"/>
      <c r="BX703"/>
      <c r="BY703"/>
      <c r="BZ703"/>
      <c r="CA703"/>
      <c r="CB703"/>
      <c r="CC703"/>
      <c r="CD703"/>
      <c r="CE703"/>
      <c r="CF703"/>
      <c r="CG703"/>
      <c r="CH703"/>
      <c r="CI703"/>
      <c r="CJ703"/>
      <c r="CK703"/>
      <c r="CL703"/>
      <c r="CM703"/>
      <c r="CN703"/>
      <c r="CO703"/>
      <c r="CP703"/>
      <c r="CQ703"/>
      <c r="CR703"/>
      <c r="CS703"/>
      <c r="CT703"/>
      <c r="CU703"/>
      <c r="CV703"/>
      <c r="CW703"/>
      <c r="CX703"/>
      <c r="CY703"/>
      <c r="CZ703"/>
      <c r="DA703"/>
      <c r="DB703"/>
      <c r="DC703"/>
      <c r="DD703"/>
      <c r="DE703"/>
      <c r="DF703"/>
      <c r="DG703"/>
      <c r="DH703"/>
      <c r="DI703"/>
      <c r="DJ703"/>
      <c r="DK703"/>
      <c r="DL703"/>
      <c r="DM703"/>
      <c r="DN703"/>
      <c r="DO703"/>
      <c r="DP703"/>
      <c r="DQ703"/>
      <c r="DR703"/>
      <c r="DS703"/>
      <c r="DT703"/>
      <c r="DU703"/>
      <c r="DV703"/>
      <c r="DW703"/>
      <c r="DX703"/>
      <c r="DY703"/>
      <c r="DZ703"/>
      <c r="EA703"/>
      <c r="EB703"/>
      <c r="EC703"/>
      <c r="ED703"/>
      <c r="EE703"/>
      <c r="EF703"/>
      <c r="EG703"/>
      <c r="EH703"/>
      <c r="EI703"/>
      <c r="EJ703"/>
      <c r="EK703"/>
      <c r="EL703"/>
      <c r="EM703"/>
      <c r="EN703"/>
      <c r="EO703"/>
      <c r="EP703"/>
      <c r="EQ703"/>
      <c r="ER703"/>
      <c r="ES703"/>
      <c r="ET703"/>
      <c r="EU703"/>
      <c r="EV703"/>
      <c r="EW703"/>
      <c r="EX703"/>
      <c r="EY703"/>
      <c r="EZ703"/>
      <c r="FA703"/>
      <c r="FB703"/>
      <c r="FC703"/>
      <c r="FD703"/>
      <c r="FE703"/>
      <c r="FF703"/>
      <c r="FG703"/>
      <c r="FH703"/>
      <c r="FI703"/>
      <c r="FJ703"/>
      <c r="FK703"/>
      <c r="FL703"/>
      <c r="FM703"/>
      <c r="FN703"/>
      <c r="FO703"/>
      <c r="FP703"/>
      <c r="FQ703"/>
      <c r="FR703"/>
      <c r="FS703"/>
      <c r="FT703"/>
      <c r="FU703"/>
      <c r="FV703"/>
      <c r="FW703"/>
      <c r="FX703"/>
      <c r="FY703"/>
      <c r="FZ703"/>
      <c r="GA703"/>
      <c r="GB703"/>
      <c r="GC703"/>
      <c r="GD703"/>
      <c r="GE703"/>
      <c r="GF703"/>
      <c r="GG703"/>
      <c r="GH703"/>
      <c r="GI703"/>
      <c r="GJ703"/>
      <c r="GK703"/>
      <c r="GL703"/>
      <c r="GM703"/>
      <c r="GN703"/>
      <c r="GO703"/>
      <c r="GP703"/>
      <c r="GQ703"/>
      <c r="GR703"/>
      <c r="GS703"/>
      <c r="GT703"/>
      <c r="GU703"/>
      <c r="GV703"/>
      <c r="GW703"/>
      <c r="GX703"/>
      <c r="GY703"/>
      <c r="GZ703"/>
      <c r="HA703"/>
      <c r="HB703"/>
      <c r="HC703"/>
      <c r="HD703"/>
      <c r="HE703"/>
      <c r="HF703"/>
      <c r="HG703"/>
      <c r="HH703"/>
      <c r="HI703"/>
      <c r="HJ703"/>
      <c r="HK703"/>
      <c r="HL703"/>
      <c r="HM703"/>
      <c r="HN703"/>
      <c r="HO703"/>
      <c r="HP703"/>
      <c r="HQ703"/>
      <c r="HR703"/>
      <c r="HS703"/>
      <c r="HT703"/>
      <c r="HU703"/>
      <c r="HV703"/>
      <c r="HW703"/>
      <c r="HX703"/>
      <c r="HY703"/>
      <c r="HZ703"/>
      <c r="IA703"/>
      <c r="IB703"/>
      <c r="IC703"/>
      <c r="ID703"/>
      <c r="IE703"/>
      <c r="IF703"/>
      <c r="IG703"/>
      <c r="IH703"/>
      <c r="II703"/>
      <c r="IJ703"/>
      <c r="IK703"/>
      <c r="IL703"/>
      <c r="IM703"/>
      <c r="IN703"/>
      <c r="IO703"/>
      <c r="IP703"/>
      <c r="IQ703"/>
      <c r="IR703"/>
      <c r="IS703"/>
      <c r="IT703"/>
      <c r="IU703"/>
      <c r="IV703"/>
    </row>
    <row r="704" spans="1:256" ht="12.75" hidden="1" customHeight="1" x14ac:dyDescent="0.2">
      <c r="A704" s="443">
        <v>3412</v>
      </c>
      <c r="B704" s="444" t="s">
        <v>805</v>
      </c>
      <c r="C704" s="445">
        <f>C705+C722</f>
        <v>85713000</v>
      </c>
      <c r="D704" s="445">
        <f>D705+D722</f>
        <v>93169650.74000001</v>
      </c>
      <c r="E704" s="445">
        <f>E705+E722</f>
        <v>92258958.379999995</v>
      </c>
      <c r="F704" s="446">
        <f>F705+F722</f>
        <v>50865083.780000001</v>
      </c>
      <c r="G704" s="447">
        <f>G705+G722</f>
        <v>38471000</v>
      </c>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c r="AP704"/>
      <c r="AQ704"/>
      <c r="AR704"/>
      <c r="AS704"/>
      <c r="AT704"/>
      <c r="AU704"/>
      <c r="AV704"/>
      <c r="AW704"/>
      <c r="AX704"/>
      <c r="AY704"/>
      <c r="AZ704"/>
      <c r="BA704"/>
      <c r="BB704"/>
      <c r="BC704"/>
      <c r="BD704"/>
      <c r="BE704"/>
      <c r="BF704"/>
      <c r="BG704"/>
      <c r="BH704"/>
      <c r="BI704"/>
      <c r="BJ704"/>
      <c r="BK704"/>
      <c r="BL704"/>
      <c r="BM704"/>
      <c r="BN704"/>
      <c r="BO704"/>
      <c r="BP704"/>
      <c r="BQ704"/>
      <c r="BR704"/>
      <c r="BS704"/>
      <c r="BT704"/>
      <c r="BU704"/>
      <c r="BV704"/>
      <c r="BW704"/>
      <c r="BX704"/>
      <c r="BY704"/>
      <c r="BZ704"/>
      <c r="CA704"/>
      <c r="CB704"/>
      <c r="CC704"/>
      <c r="CD704"/>
      <c r="CE704"/>
      <c r="CF704"/>
      <c r="CG704"/>
      <c r="CH704"/>
      <c r="CI704"/>
      <c r="CJ704"/>
      <c r="CK704"/>
      <c r="CL704"/>
      <c r="CM704"/>
      <c r="CN704"/>
      <c r="CO704"/>
      <c r="CP704"/>
      <c r="CQ704"/>
      <c r="CR704"/>
      <c r="CS704"/>
      <c r="CT704"/>
      <c r="CU704"/>
      <c r="CV704"/>
      <c r="CW704"/>
      <c r="CX704"/>
      <c r="CY704"/>
      <c r="CZ704"/>
      <c r="DA704"/>
      <c r="DB704"/>
      <c r="DC704"/>
      <c r="DD704"/>
      <c r="DE704"/>
      <c r="DF704"/>
      <c r="DG704"/>
      <c r="DH704"/>
      <c r="DI704"/>
      <c r="DJ704"/>
      <c r="DK704"/>
      <c r="DL704"/>
      <c r="DM704"/>
      <c r="DN704"/>
      <c r="DO704"/>
      <c r="DP704"/>
      <c r="DQ704"/>
      <c r="DR704"/>
      <c r="DS704"/>
      <c r="DT704"/>
      <c r="DU704"/>
      <c r="DV704"/>
      <c r="DW704"/>
      <c r="DX704"/>
      <c r="DY704"/>
      <c r="DZ704"/>
      <c r="EA704"/>
      <c r="EB704"/>
      <c r="EC704"/>
      <c r="ED704"/>
      <c r="EE704"/>
      <c r="EF704"/>
      <c r="EG704"/>
      <c r="EH704"/>
      <c r="EI704"/>
      <c r="EJ704"/>
      <c r="EK704"/>
      <c r="EL704"/>
      <c r="EM704"/>
      <c r="EN704"/>
      <c r="EO704"/>
      <c r="EP704"/>
      <c r="EQ704"/>
      <c r="ER704"/>
      <c r="ES704"/>
      <c r="ET704"/>
      <c r="EU704"/>
      <c r="EV704"/>
      <c r="EW704"/>
      <c r="EX704"/>
      <c r="EY704"/>
      <c r="EZ704"/>
      <c r="FA704"/>
      <c r="FB704"/>
      <c r="FC704"/>
      <c r="FD704"/>
      <c r="FE704"/>
      <c r="FF704"/>
      <c r="FG704"/>
      <c r="FH704"/>
      <c r="FI704"/>
      <c r="FJ704"/>
      <c r="FK704"/>
      <c r="FL704"/>
      <c r="FM704"/>
      <c r="FN704"/>
      <c r="FO704"/>
      <c r="FP704"/>
      <c r="FQ704"/>
      <c r="FR704"/>
      <c r="FS704"/>
      <c r="FT704"/>
      <c r="FU704"/>
      <c r="FV704"/>
      <c r="FW704"/>
      <c r="FX704"/>
      <c r="FY704"/>
      <c r="FZ704"/>
      <c r="GA704"/>
      <c r="GB704"/>
      <c r="GC704"/>
      <c r="GD704"/>
      <c r="GE704"/>
      <c r="GF704"/>
      <c r="GG704"/>
      <c r="GH704"/>
      <c r="GI704"/>
      <c r="GJ704"/>
      <c r="GK704"/>
      <c r="GL704"/>
      <c r="GM704"/>
      <c r="GN704"/>
      <c r="GO704"/>
      <c r="GP704"/>
      <c r="GQ704"/>
      <c r="GR704"/>
      <c r="GS704"/>
      <c r="GT704"/>
      <c r="GU704"/>
      <c r="GV704"/>
      <c r="GW704"/>
      <c r="GX704"/>
      <c r="GY704"/>
      <c r="GZ704"/>
      <c r="HA704"/>
      <c r="HB704"/>
      <c r="HC704"/>
      <c r="HD704"/>
      <c r="HE704"/>
      <c r="HF704"/>
      <c r="HG704"/>
      <c r="HH704"/>
      <c r="HI704"/>
      <c r="HJ704"/>
      <c r="HK704"/>
      <c r="HL704"/>
      <c r="HM704"/>
      <c r="HN704"/>
      <c r="HO704"/>
      <c r="HP704"/>
      <c r="HQ704"/>
      <c r="HR704"/>
      <c r="HS704"/>
      <c r="HT704"/>
      <c r="HU704"/>
      <c r="HV704"/>
      <c r="HW704"/>
      <c r="HX704"/>
      <c r="HY704"/>
      <c r="HZ704"/>
      <c r="IA704"/>
      <c r="IB704"/>
      <c r="IC704"/>
      <c r="ID704"/>
      <c r="IE704"/>
      <c r="IF704"/>
      <c r="IG704"/>
      <c r="IH704"/>
      <c r="II704"/>
      <c r="IJ704"/>
      <c r="IK704"/>
      <c r="IL704"/>
      <c r="IM704"/>
      <c r="IN704"/>
      <c r="IO704"/>
      <c r="IP704"/>
      <c r="IQ704"/>
      <c r="IR704"/>
      <c r="IS704"/>
      <c r="IT704"/>
      <c r="IU704"/>
      <c r="IV704"/>
    </row>
    <row r="705" spans="1:256" ht="12.75" hidden="1" customHeight="1" x14ac:dyDescent="0.2">
      <c r="A705" s="443"/>
      <c r="B705" s="448" t="s">
        <v>806</v>
      </c>
      <c r="C705" s="445">
        <f>C706+C711+C718</f>
        <v>23763000</v>
      </c>
      <c r="D705" s="445">
        <f>D706+D711+D718</f>
        <v>28219650.740000002</v>
      </c>
      <c r="E705" s="445">
        <f>E706+E711+E718</f>
        <v>26508958.380000003</v>
      </c>
      <c r="F705" s="446">
        <f>F706+F711+F718</f>
        <v>19875050.77</v>
      </c>
      <c r="G705" s="447">
        <f>G706+G711+G718</f>
        <v>25637000</v>
      </c>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c r="AP705"/>
      <c r="AQ705"/>
      <c r="AR705"/>
      <c r="AS705"/>
      <c r="AT705"/>
      <c r="AU705"/>
      <c r="AV705"/>
      <c r="AW705"/>
      <c r="AX705"/>
      <c r="AY705"/>
      <c r="AZ705"/>
      <c r="BA705"/>
      <c r="BB705"/>
      <c r="BC705"/>
      <c r="BD705"/>
      <c r="BE705"/>
      <c r="BF705"/>
      <c r="BG705"/>
      <c r="BH705"/>
      <c r="BI705"/>
      <c r="BJ705"/>
      <c r="BK705"/>
      <c r="BL705"/>
      <c r="BM705"/>
      <c r="BN705"/>
      <c r="BO705"/>
      <c r="BP705"/>
      <c r="BQ705"/>
      <c r="BR705"/>
      <c r="BS705"/>
      <c r="BT705"/>
      <c r="BU705"/>
      <c r="BV705"/>
      <c r="BW705"/>
      <c r="BX705"/>
      <c r="BY705"/>
      <c r="BZ705"/>
      <c r="CA705"/>
      <c r="CB705"/>
      <c r="CC705"/>
      <c r="CD705"/>
      <c r="CE705"/>
      <c r="CF705"/>
      <c r="CG705"/>
      <c r="CH705"/>
      <c r="CI705"/>
      <c r="CJ705"/>
      <c r="CK705"/>
      <c r="CL705"/>
      <c r="CM705"/>
      <c r="CN705"/>
      <c r="CO705"/>
      <c r="CP705"/>
      <c r="CQ705"/>
      <c r="CR705"/>
      <c r="CS705"/>
      <c r="CT705"/>
      <c r="CU705"/>
      <c r="CV705"/>
      <c r="CW705"/>
      <c r="CX705"/>
      <c r="CY705"/>
      <c r="CZ705"/>
      <c r="DA705"/>
      <c r="DB705"/>
      <c r="DC705"/>
      <c r="DD705"/>
      <c r="DE705"/>
      <c r="DF705"/>
      <c r="DG705"/>
      <c r="DH705"/>
      <c r="DI705"/>
      <c r="DJ705"/>
      <c r="DK705"/>
      <c r="DL705"/>
      <c r="DM705"/>
      <c r="DN705"/>
      <c r="DO705"/>
      <c r="DP705"/>
      <c r="DQ705"/>
      <c r="DR705"/>
      <c r="DS705"/>
      <c r="DT705"/>
      <c r="DU705"/>
      <c r="DV705"/>
      <c r="DW705"/>
      <c r="DX705"/>
      <c r="DY705"/>
      <c r="DZ705"/>
      <c r="EA705"/>
      <c r="EB705"/>
      <c r="EC705"/>
      <c r="ED705"/>
      <c r="EE705"/>
      <c r="EF705"/>
      <c r="EG705"/>
      <c r="EH705"/>
      <c r="EI705"/>
      <c r="EJ705"/>
      <c r="EK705"/>
      <c r="EL705"/>
      <c r="EM705"/>
      <c r="EN705"/>
      <c r="EO705"/>
      <c r="EP705"/>
      <c r="EQ705"/>
      <c r="ER705"/>
      <c r="ES705"/>
      <c r="ET705"/>
      <c r="EU705"/>
      <c r="EV705"/>
      <c r="EW705"/>
      <c r="EX705"/>
      <c r="EY705"/>
      <c r="EZ705"/>
      <c r="FA705"/>
      <c r="FB705"/>
      <c r="FC705"/>
      <c r="FD705"/>
      <c r="FE705"/>
      <c r="FF705"/>
      <c r="FG705"/>
      <c r="FH705"/>
      <c r="FI705"/>
      <c r="FJ705"/>
      <c r="FK705"/>
      <c r="FL705"/>
      <c r="FM705"/>
      <c r="FN705"/>
      <c r="FO705"/>
      <c r="FP705"/>
      <c r="FQ705"/>
      <c r="FR705"/>
      <c r="FS705"/>
      <c r="FT705"/>
      <c r="FU705"/>
      <c r="FV705"/>
      <c r="FW705"/>
      <c r="FX705"/>
      <c r="FY705"/>
      <c r="FZ705"/>
      <c r="GA705"/>
      <c r="GB705"/>
      <c r="GC705"/>
      <c r="GD705"/>
      <c r="GE705"/>
      <c r="GF705"/>
      <c r="GG705"/>
      <c r="GH705"/>
      <c r="GI705"/>
      <c r="GJ705"/>
      <c r="GK705"/>
      <c r="GL705"/>
      <c r="GM705"/>
      <c r="GN705"/>
      <c r="GO705"/>
      <c r="GP705"/>
      <c r="GQ705"/>
      <c r="GR705"/>
      <c r="GS705"/>
      <c r="GT705"/>
      <c r="GU705"/>
      <c r="GV705"/>
      <c r="GW705"/>
      <c r="GX705"/>
      <c r="GY705"/>
      <c r="GZ705"/>
      <c r="HA705"/>
      <c r="HB705"/>
      <c r="HC705"/>
      <c r="HD705"/>
      <c r="HE705"/>
      <c r="HF705"/>
      <c r="HG705"/>
      <c r="HH705"/>
      <c r="HI705"/>
      <c r="HJ705"/>
      <c r="HK705"/>
      <c r="HL705"/>
      <c r="HM705"/>
      <c r="HN705"/>
      <c r="HO705"/>
      <c r="HP705"/>
      <c r="HQ705"/>
      <c r="HR705"/>
      <c r="HS705"/>
      <c r="HT705"/>
      <c r="HU705"/>
      <c r="HV705"/>
      <c r="HW705"/>
      <c r="HX705"/>
      <c r="HY705"/>
      <c r="HZ705"/>
      <c r="IA705"/>
      <c r="IB705"/>
      <c r="IC705"/>
      <c r="ID705"/>
      <c r="IE705"/>
      <c r="IF705"/>
      <c r="IG705"/>
      <c r="IH705"/>
      <c r="II705"/>
      <c r="IJ705"/>
      <c r="IK705"/>
      <c r="IL705"/>
      <c r="IM705"/>
      <c r="IN705"/>
      <c r="IO705"/>
      <c r="IP705"/>
      <c r="IQ705"/>
      <c r="IR705"/>
      <c r="IS705"/>
      <c r="IT705"/>
      <c r="IU705"/>
      <c r="IV705"/>
    </row>
    <row r="706" spans="1:256" ht="12.75" hidden="1" customHeight="1" x14ac:dyDescent="0.2">
      <c r="A706" s="443"/>
      <c r="B706" s="449" t="s">
        <v>807</v>
      </c>
      <c r="C706" s="450">
        <f>SUM(C707:C708)</f>
        <v>2600000</v>
      </c>
      <c r="D706" s="450">
        <f>SUM(D707:D708)</f>
        <v>3700000</v>
      </c>
      <c r="E706" s="450">
        <f>SUM(E707:E708)</f>
        <v>3489307.64</v>
      </c>
      <c r="F706" s="451">
        <f>SUM(F707:F708)</f>
        <v>2282709.0299999998</v>
      </c>
      <c r="G706" s="452">
        <f>SUM(G707:G710)</f>
        <v>1600000</v>
      </c>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c r="AP706"/>
      <c r="AQ706"/>
      <c r="AR706"/>
      <c r="AS706"/>
      <c r="AT706"/>
      <c r="AU706"/>
      <c r="AV706"/>
      <c r="AW706"/>
      <c r="AX706"/>
      <c r="AY706"/>
      <c r="AZ706"/>
      <c r="BA706"/>
      <c r="BB706"/>
      <c r="BC706"/>
      <c r="BD706"/>
      <c r="BE706"/>
      <c r="BF706"/>
      <c r="BG706"/>
      <c r="BH706"/>
      <c r="BI706"/>
      <c r="BJ706"/>
      <c r="BK706"/>
      <c r="BL706"/>
      <c r="BM706"/>
      <c r="BN706"/>
      <c r="BO706"/>
      <c r="BP706"/>
      <c r="BQ706"/>
      <c r="BR706"/>
      <c r="BS706"/>
      <c r="BT706"/>
      <c r="BU706"/>
      <c r="BV706"/>
      <c r="BW706"/>
      <c r="BX706"/>
      <c r="BY706"/>
      <c r="BZ706"/>
      <c r="CA706"/>
      <c r="CB706"/>
      <c r="CC706"/>
      <c r="CD706"/>
      <c r="CE706"/>
      <c r="CF706"/>
      <c r="CG706"/>
      <c r="CH706"/>
      <c r="CI706"/>
      <c r="CJ706"/>
      <c r="CK706"/>
      <c r="CL706"/>
      <c r="CM706"/>
      <c r="CN706"/>
      <c r="CO706"/>
      <c r="CP706"/>
      <c r="CQ706"/>
      <c r="CR706"/>
      <c r="CS706"/>
      <c r="CT706"/>
      <c r="CU706"/>
      <c r="CV706"/>
      <c r="CW706"/>
      <c r="CX706"/>
      <c r="CY706"/>
      <c r="CZ706"/>
      <c r="DA706"/>
      <c r="DB706"/>
      <c r="DC706"/>
      <c r="DD706"/>
      <c r="DE706"/>
      <c r="DF706"/>
      <c r="DG706"/>
      <c r="DH706"/>
      <c r="DI706"/>
      <c r="DJ706"/>
      <c r="DK706"/>
      <c r="DL706"/>
      <c r="DM706"/>
      <c r="DN706"/>
      <c r="DO706"/>
      <c r="DP706"/>
      <c r="DQ706"/>
      <c r="DR706"/>
      <c r="DS706"/>
      <c r="DT706"/>
      <c r="DU706"/>
      <c r="DV706"/>
      <c r="DW706"/>
      <c r="DX706"/>
      <c r="DY706"/>
      <c r="DZ706"/>
      <c r="EA706"/>
      <c r="EB706"/>
      <c r="EC706"/>
      <c r="ED706"/>
      <c r="EE706"/>
      <c r="EF706"/>
      <c r="EG706"/>
      <c r="EH706"/>
      <c r="EI706"/>
      <c r="EJ706"/>
      <c r="EK706"/>
      <c r="EL706"/>
      <c r="EM706"/>
      <c r="EN706"/>
      <c r="EO706"/>
      <c r="EP706"/>
      <c r="EQ706"/>
      <c r="ER706"/>
      <c r="ES706"/>
      <c r="ET706"/>
      <c r="EU706"/>
      <c r="EV706"/>
      <c r="EW706"/>
      <c r="EX706"/>
      <c r="EY706"/>
      <c r="EZ706"/>
      <c r="FA706"/>
      <c r="FB706"/>
      <c r="FC706"/>
      <c r="FD706"/>
      <c r="FE706"/>
      <c r="FF706"/>
      <c r="FG706"/>
      <c r="FH706"/>
      <c r="FI706"/>
      <c r="FJ706"/>
      <c r="FK706"/>
      <c r="FL706"/>
      <c r="FM706"/>
      <c r="FN706"/>
      <c r="FO706"/>
      <c r="FP706"/>
      <c r="FQ706"/>
      <c r="FR706"/>
      <c r="FS706"/>
      <c r="FT706"/>
      <c r="FU706"/>
      <c r="FV706"/>
      <c r="FW706"/>
      <c r="FX706"/>
      <c r="FY706"/>
      <c r="FZ706"/>
      <c r="GA706"/>
      <c r="GB706"/>
      <c r="GC706"/>
      <c r="GD706"/>
      <c r="GE706"/>
      <c r="GF706"/>
      <c r="GG706"/>
      <c r="GH706"/>
      <c r="GI706"/>
      <c r="GJ706"/>
      <c r="GK706"/>
      <c r="GL706"/>
      <c r="GM706"/>
      <c r="GN706"/>
      <c r="GO706"/>
      <c r="GP706"/>
      <c r="GQ706"/>
      <c r="GR706"/>
      <c r="GS706"/>
      <c r="GT706"/>
      <c r="GU706"/>
      <c r="GV706"/>
      <c r="GW706"/>
      <c r="GX706"/>
      <c r="GY706"/>
      <c r="GZ706"/>
      <c r="HA706"/>
      <c r="HB706"/>
      <c r="HC706"/>
      <c r="HD706"/>
      <c r="HE706"/>
      <c r="HF706"/>
      <c r="HG706"/>
      <c r="HH706"/>
      <c r="HI706"/>
      <c r="HJ706"/>
      <c r="HK706"/>
      <c r="HL706"/>
      <c r="HM706"/>
      <c r="HN706"/>
      <c r="HO706"/>
      <c r="HP706"/>
      <c r="HQ706"/>
      <c r="HR706"/>
      <c r="HS706"/>
      <c r="HT706"/>
      <c r="HU706"/>
      <c r="HV706"/>
      <c r="HW706"/>
      <c r="HX706"/>
      <c r="HY706"/>
      <c r="HZ706"/>
      <c r="IA706"/>
      <c r="IB706"/>
      <c r="IC706"/>
      <c r="ID706"/>
      <c r="IE706"/>
      <c r="IF706"/>
      <c r="IG706"/>
      <c r="IH706"/>
      <c r="II706"/>
      <c r="IJ706"/>
      <c r="IK706"/>
      <c r="IL706"/>
      <c r="IM706"/>
      <c r="IN706"/>
      <c r="IO706"/>
      <c r="IP706"/>
      <c r="IQ706"/>
      <c r="IR706"/>
      <c r="IS706"/>
      <c r="IT706"/>
      <c r="IU706"/>
      <c r="IV706"/>
    </row>
    <row r="707" spans="1:256" ht="12.75" hidden="1" customHeight="1" x14ac:dyDescent="0.2">
      <c r="A707" s="443"/>
      <c r="B707" s="453" t="s">
        <v>808</v>
      </c>
      <c r="C707" s="450">
        <v>600000</v>
      </c>
      <c r="D707" s="454">
        <f>600000-600000</f>
        <v>0</v>
      </c>
      <c r="E707" s="454">
        <f>600000-600000</f>
        <v>0</v>
      </c>
      <c r="F707" s="296">
        <v>0</v>
      </c>
      <c r="G707" s="113">
        <v>0</v>
      </c>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c r="AP707"/>
      <c r="AQ707"/>
      <c r="AR707"/>
      <c r="AS707"/>
      <c r="AT707"/>
      <c r="AU707"/>
      <c r="AV707"/>
      <c r="AW707"/>
      <c r="AX707"/>
      <c r="AY707"/>
      <c r="AZ707"/>
      <c r="BA707"/>
      <c r="BB707"/>
      <c r="BC707"/>
      <c r="BD707"/>
      <c r="BE707"/>
      <c r="BF707"/>
      <c r="BG707"/>
      <c r="BH707"/>
      <c r="BI707"/>
      <c r="BJ707"/>
      <c r="BK707"/>
      <c r="BL707"/>
      <c r="BM707"/>
      <c r="BN707"/>
      <c r="BO707"/>
      <c r="BP707"/>
      <c r="BQ707"/>
      <c r="BR707"/>
      <c r="BS707"/>
      <c r="BT707"/>
      <c r="BU707"/>
      <c r="BV707"/>
      <c r="BW707"/>
      <c r="BX707"/>
      <c r="BY707"/>
      <c r="BZ707"/>
      <c r="CA707"/>
      <c r="CB707"/>
      <c r="CC707"/>
      <c r="CD707"/>
      <c r="CE707"/>
      <c r="CF707"/>
      <c r="CG707"/>
      <c r="CH707"/>
      <c r="CI707"/>
      <c r="CJ707"/>
      <c r="CK707"/>
      <c r="CL707"/>
      <c r="CM707"/>
      <c r="CN707"/>
      <c r="CO707"/>
      <c r="CP707"/>
      <c r="CQ707"/>
      <c r="CR707"/>
      <c r="CS707"/>
      <c r="CT707"/>
      <c r="CU707"/>
      <c r="CV707"/>
      <c r="CW707"/>
      <c r="CX707"/>
      <c r="CY707"/>
      <c r="CZ707"/>
      <c r="DA707"/>
      <c r="DB707"/>
      <c r="DC707"/>
      <c r="DD707"/>
      <c r="DE707"/>
      <c r="DF707"/>
      <c r="DG707"/>
      <c r="DH707"/>
      <c r="DI707"/>
      <c r="DJ707"/>
      <c r="DK707"/>
      <c r="DL707"/>
      <c r="DM707"/>
      <c r="DN707"/>
      <c r="DO707"/>
      <c r="DP707"/>
      <c r="DQ707"/>
      <c r="DR707"/>
      <c r="DS707"/>
      <c r="DT707"/>
      <c r="DU707"/>
      <c r="DV707"/>
      <c r="DW707"/>
      <c r="DX707"/>
      <c r="DY707"/>
      <c r="DZ707"/>
      <c r="EA707"/>
      <c r="EB707"/>
      <c r="EC707"/>
      <c r="ED707"/>
      <c r="EE707"/>
      <c r="EF707"/>
      <c r="EG707"/>
      <c r="EH707"/>
      <c r="EI707"/>
      <c r="EJ707"/>
      <c r="EK707"/>
      <c r="EL707"/>
      <c r="EM707"/>
      <c r="EN707"/>
      <c r="EO707"/>
      <c r="EP707"/>
      <c r="EQ707"/>
      <c r="ER707"/>
      <c r="ES707"/>
      <c r="ET707"/>
      <c r="EU707"/>
      <c r="EV707"/>
      <c r="EW707"/>
      <c r="EX707"/>
      <c r="EY707"/>
      <c r="EZ707"/>
      <c r="FA707"/>
      <c r="FB707"/>
      <c r="FC707"/>
      <c r="FD707"/>
      <c r="FE707"/>
      <c r="FF707"/>
      <c r="FG707"/>
      <c r="FH707"/>
      <c r="FI707"/>
      <c r="FJ707"/>
      <c r="FK707"/>
      <c r="FL707"/>
      <c r="FM707"/>
      <c r="FN707"/>
      <c r="FO707"/>
      <c r="FP707"/>
      <c r="FQ707"/>
      <c r="FR707"/>
      <c r="FS707"/>
      <c r="FT707"/>
      <c r="FU707"/>
      <c r="FV707"/>
      <c r="FW707"/>
      <c r="FX707"/>
      <c r="FY707"/>
      <c r="FZ707"/>
      <c r="GA707"/>
      <c r="GB707"/>
      <c r="GC707"/>
      <c r="GD707"/>
      <c r="GE707"/>
      <c r="GF707"/>
      <c r="GG707"/>
      <c r="GH707"/>
      <c r="GI707"/>
      <c r="GJ707"/>
      <c r="GK707"/>
      <c r="GL707"/>
      <c r="GM707"/>
      <c r="GN707"/>
      <c r="GO707"/>
      <c r="GP707"/>
      <c r="GQ707"/>
      <c r="GR707"/>
      <c r="GS707"/>
      <c r="GT707"/>
      <c r="GU707"/>
      <c r="GV707"/>
      <c r="GW707"/>
      <c r="GX707"/>
      <c r="GY707"/>
      <c r="GZ707"/>
      <c r="HA707"/>
      <c r="HB707"/>
      <c r="HC707"/>
      <c r="HD707"/>
      <c r="HE707"/>
      <c r="HF707"/>
      <c r="HG707"/>
      <c r="HH707"/>
      <c r="HI707"/>
      <c r="HJ707"/>
      <c r="HK707"/>
      <c r="HL707"/>
      <c r="HM707"/>
      <c r="HN707"/>
      <c r="HO707"/>
      <c r="HP707"/>
      <c r="HQ707"/>
      <c r="HR707"/>
      <c r="HS707"/>
      <c r="HT707"/>
      <c r="HU707"/>
      <c r="HV707"/>
      <c r="HW707"/>
      <c r="HX707"/>
      <c r="HY707"/>
      <c r="HZ707"/>
      <c r="IA707"/>
      <c r="IB707"/>
      <c r="IC707"/>
      <c r="ID707"/>
      <c r="IE707"/>
      <c r="IF707"/>
      <c r="IG707"/>
      <c r="IH707"/>
      <c r="II707"/>
      <c r="IJ707"/>
      <c r="IK707"/>
      <c r="IL707"/>
      <c r="IM707"/>
      <c r="IN707"/>
      <c r="IO707"/>
      <c r="IP707"/>
      <c r="IQ707"/>
      <c r="IR707"/>
      <c r="IS707"/>
      <c r="IT707"/>
      <c r="IU707"/>
      <c r="IV707"/>
    </row>
    <row r="708" spans="1:256" ht="12.75" hidden="1" customHeight="1" x14ac:dyDescent="0.2">
      <c r="A708" s="443"/>
      <c r="B708" s="453" t="s">
        <v>809</v>
      </c>
      <c r="C708" s="450">
        <v>2000000</v>
      </c>
      <c r="D708" s="454">
        <f>2000000+1700000</f>
        <v>3700000</v>
      </c>
      <c r="E708" s="455">
        <v>3489307.64</v>
      </c>
      <c r="F708" s="296">
        <v>2282709.0299999998</v>
      </c>
      <c r="G708" s="113">
        <v>0</v>
      </c>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c r="AP708"/>
      <c r="AQ708"/>
      <c r="AR708"/>
      <c r="AS708"/>
      <c r="AT708"/>
      <c r="AU708"/>
      <c r="AV708"/>
      <c r="AW708"/>
      <c r="AX708"/>
      <c r="AY708"/>
      <c r="AZ708"/>
      <c r="BA708"/>
      <c r="BB708"/>
      <c r="BC708"/>
      <c r="BD708"/>
      <c r="BE708"/>
      <c r="BF708"/>
      <c r="BG708"/>
      <c r="BH708"/>
      <c r="BI708"/>
      <c r="BJ708"/>
      <c r="BK708"/>
      <c r="BL708"/>
      <c r="BM708"/>
      <c r="BN708"/>
      <c r="BO708"/>
      <c r="BP708"/>
      <c r="BQ708"/>
      <c r="BR708"/>
      <c r="BS708"/>
      <c r="BT708"/>
      <c r="BU708"/>
      <c r="BV708"/>
      <c r="BW708"/>
      <c r="BX708"/>
      <c r="BY708"/>
      <c r="BZ708"/>
      <c r="CA708"/>
      <c r="CB708"/>
      <c r="CC708"/>
      <c r="CD708"/>
      <c r="CE708"/>
      <c r="CF708"/>
      <c r="CG708"/>
      <c r="CH708"/>
      <c r="CI708"/>
      <c r="CJ708"/>
      <c r="CK708"/>
      <c r="CL708"/>
      <c r="CM708"/>
      <c r="CN708"/>
      <c r="CO708"/>
      <c r="CP708"/>
      <c r="CQ708"/>
      <c r="CR708"/>
      <c r="CS708"/>
      <c r="CT708"/>
      <c r="CU708"/>
      <c r="CV708"/>
      <c r="CW708"/>
      <c r="CX708"/>
      <c r="CY708"/>
      <c r="CZ708"/>
      <c r="DA708"/>
      <c r="DB708"/>
      <c r="DC708"/>
      <c r="DD708"/>
      <c r="DE708"/>
      <c r="DF708"/>
      <c r="DG708"/>
      <c r="DH708"/>
      <c r="DI708"/>
      <c r="DJ708"/>
      <c r="DK708"/>
      <c r="DL708"/>
      <c r="DM708"/>
      <c r="DN708"/>
      <c r="DO708"/>
      <c r="DP708"/>
      <c r="DQ708"/>
      <c r="DR708"/>
      <c r="DS708"/>
      <c r="DT708"/>
      <c r="DU708"/>
      <c r="DV708"/>
      <c r="DW708"/>
      <c r="DX708"/>
      <c r="DY708"/>
      <c r="DZ708"/>
      <c r="EA708"/>
      <c r="EB708"/>
      <c r="EC708"/>
      <c r="ED708"/>
      <c r="EE708"/>
      <c r="EF708"/>
      <c r="EG708"/>
      <c r="EH708"/>
      <c r="EI708"/>
      <c r="EJ708"/>
      <c r="EK708"/>
      <c r="EL708"/>
      <c r="EM708"/>
      <c r="EN708"/>
      <c r="EO708"/>
      <c r="EP708"/>
      <c r="EQ708"/>
      <c r="ER708"/>
      <c r="ES708"/>
      <c r="ET708"/>
      <c r="EU708"/>
      <c r="EV708"/>
      <c r="EW708"/>
      <c r="EX708"/>
      <c r="EY708"/>
      <c r="EZ708"/>
      <c r="FA708"/>
      <c r="FB708"/>
      <c r="FC708"/>
      <c r="FD708"/>
      <c r="FE708"/>
      <c r="FF708"/>
      <c r="FG708"/>
      <c r="FH708"/>
      <c r="FI708"/>
      <c r="FJ708"/>
      <c r="FK708"/>
      <c r="FL708"/>
      <c r="FM708"/>
      <c r="FN708"/>
      <c r="FO708"/>
      <c r="FP708"/>
      <c r="FQ708"/>
      <c r="FR708"/>
      <c r="FS708"/>
      <c r="FT708"/>
      <c r="FU708"/>
      <c r="FV708"/>
      <c r="FW708"/>
      <c r="FX708"/>
      <c r="FY708"/>
      <c r="FZ708"/>
      <c r="GA708"/>
      <c r="GB708"/>
      <c r="GC708"/>
      <c r="GD708"/>
      <c r="GE708"/>
      <c r="GF708"/>
      <c r="GG708"/>
      <c r="GH708"/>
      <c r="GI708"/>
      <c r="GJ708"/>
      <c r="GK708"/>
      <c r="GL708"/>
      <c r="GM708"/>
      <c r="GN708"/>
      <c r="GO708"/>
      <c r="GP708"/>
      <c r="GQ708"/>
      <c r="GR708"/>
      <c r="GS708"/>
      <c r="GT708"/>
      <c r="GU708"/>
      <c r="GV708"/>
      <c r="GW708"/>
      <c r="GX708"/>
      <c r="GY708"/>
      <c r="GZ708"/>
      <c r="HA708"/>
      <c r="HB708"/>
      <c r="HC708"/>
      <c r="HD708"/>
      <c r="HE708"/>
      <c r="HF708"/>
      <c r="HG708"/>
      <c r="HH708"/>
      <c r="HI708"/>
      <c r="HJ708"/>
      <c r="HK708"/>
      <c r="HL708"/>
      <c r="HM708"/>
      <c r="HN708"/>
      <c r="HO708"/>
      <c r="HP708"/>
      <c r="HQ708"/>
      <c r="HR708"/>
      <c r="HS708"/>
      <c r="HT708"/>
      <c r="HU708"/>
      <c r="HV708"/>
      <c r="HW708"/>
      <c r="HX708"/>
      <c r="HY708"/>
      <c r="HZ708"/>
      <c r="IA708"/>
      <c r="IB708"/>
      <c r="IC708"/>
      <c r="ID708"/>
      <c r="IE708"/>
      <c r="IF708"/>
      <c r="IG708"/>
      <c r="IH708"/>
      <c r="II708"/>
      <c r="IJ708"/>
      <c r="IK708"/>
      <c r="IL708"/>
      <c r="IM708"/>
      <c r="IN708"/>
      <c r="IO708"/>
      <c r="IP708"/>
      <c r="IQ708"/>
      <c r="IR708"/>
      <c r="IS708"/>
      <c r="IT708"/>
      <c r="IU708"/>
      <c r="IV708"/>
    </row>
    <row r="709" spans="1:256" ht="12.75" hidden="1" customHeight="1" x14ac:dyDescent="0.2">
      <c r="A709" s="443"/>
      <c r="B709" s="456" t="s">
        <v>810</v>
      </c>
      <c r="C709" s="450"/>
      <c r="D709" s="454"/>
      <c r="E709" s="457"/>
      <c r="F709" s="410"/>
      <c r="G709" s="458">
        <v>1300000</v>
      </c>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c r="AP709"/>
      <c r="AQ709"/>
      <c r="AR709"/>
      <c r="AS709"/>
      <c r="AT709"/>
      <c r="AU709"/>
      <c r="AV709"/>
      <c r="AW709"/>
      <c r="AX709"/>
      <c r="AY709"/>
      <c r="AZ709"/>
      <c r="BA709"/>
      <c r="BB709"/>
      <c r="BC709"/>
      <c r="BD709"/>
      <c r="BE709"/>
      <c r="BF709"/>
      <c r="BG709"/>
      <c r="BH709"/>
      <c r="BI709"/>
      <c r="BJ709"/>
      <c r="BK709"/>
      <c r="BL709"/>
      <c r="BM709"/>
      <c r="BN709"/>
      <c r="BO709"/>
      <c r="BP709"/>
      <c r="BQ709"/>
      <c r="BR709"/>
      <c r="BS709"/>
      <c r="BT709"/>
      <c r="BU709"/>
      <c r="BV709"/>
      <c r="BW709"/>
      <c r="BX709"/>
      <c r="BY709"/>
      <c r="BZ709"/>
      <c r="CA709"/>
      <c r="CB709"/>
      <c r="CC709"/>
      <c r="CD709"/>
      <c r="CE709"/>
      <c r="CF709"/>
      <c r="CG709"/>
      <c r="CH709"/>
      <c r="CI709"/>
      <c r="CJ709"/>
      <c r="CK709"/>
      <c r="CL709"/>
      <c r="CM709"/>
      <c r="CN709"/>
      <c r="CO709"/>
      <c r="CP709"/>
      <c r="CQ709"/>
      <c r="CR709"/>
      <c r="CS709"/>
      <c r="CT709"/>
      <c r="CU709"/>
      <c r="CV709"/>
      <c r="CW709"/>
      <c r="CX709"/>
      <c r="CY709"/>
      <c r="CZ709"/>
      <c r="DA709"/>
      <c r="DB709"/>
      <c r="DC709"/>
      <c r="DD709"/>
      <c r="DE709"/>
      <c r="DF709"/>
      <c r="DG709"/>
      <c r="DH709"/>
      <c r="DI709"/>
      <c r="DJ709"/>
      <c r="DK709"/>
      <c r="DL709"/>
      <c r="DM709"/>
      <c r="DN709"/>
      <c r="DO709"/>
      <c r="DP709"/>
      <c r="DQ709"/>
      <c r="DR709"/>
      <c r="DS709"/>
      <c r="DT709"/>
      <c r="DU709"/>
      <c r="DV709"/>
      <c r="DW709"/>
      <c r="DX709"/>
      <c r="DY709"/>
      <c r="DZ709"/>
      <c r="EA709"/>
      <c r="EB709"/>
      <c r="EC709"/>
      <c r="ED709"/>
      <c r="EE709"/>
      <c r="EF709"/>
      <c r="EG709"/>
      <c r="EH709"/>
      <c r="EI709"/>
      <c r="EJ709"/>
      <c r="EK709"/>
      <c r="EL709"/>
      <c r="EM709"/>
      <c r="EN709"/>
      <c r="EO709"/>
      <c r="EP709"/>
      <c r="EQ709"/>
      <c r="ER709"/>
      <c r="ES709"/>
      <c r="ET709"/>
      <c r="EU709"/>
      <c r="EV709"/>
      <c r="EW709"/>
      <c r="EX709"/>
      <c r="EY709"/>
      <c r="EZ709"/>
      <c r="FA709"/>
      <c r="FB709"/>
      <c r="FC709"/>
      <c r="FD709"/>
      <c r="FE709"/>
      <c r="FF709"/>
      <c r="FG709"/>
      <c r="FH709"/>
      <c r="FI709"/>
      <c r="FJ709"/>
      <c r="FK709"/>
      <c r="FL709"/>
      <c r="FM709"/>
      <c r="FN709"/>
      <c r="FO709"/>
      <c r="FP709"/>
      <c r="FQ709"/>
      <c r="FR709"/>
      <c r="FS709"/>
      <c r="FT709"/>
      <c r="FU709"/>
      <c r="FV709"/>
      <c r="FW709"/>
      <c r="FX709"/>
      <c r="FY709"/>
      <c r="FZ709"/>
      <c r="GA709"/>
      <c r="GB709"/>
      <c r="GC709"/>
      <c r="GD709"/>
      <c r="GE709"/>
      <c r="GF709"/>
      <c r="GG709"/>
      <c r="GH709"/>
      <c r="GI709"/>
      <c r="GJ709"/>
      <c r="GK709"/>
      <c r="GL709"/>
      <c r="GM709"/>
      <c r="GN709"/>
      <c r="GO709"/>
      <c r="GP709"/>
      <c r="GQ709"/>
      <c r="GR709"/>
      <c r="GS709"/>
      <c r="GT709"/>
      <c r="GU709"/>
      <c r="GV709"/>
      <c r="GW709"/>
      <c r="GX709"/>
      <c r="GY709"/>
      <c r="GZ709"/>
      <c r="HA709"/>
      <c r="HB709"/>
      <c r="HC709"/>
      <c r="HD709"/>
      <c r="HE709"/>
      <c r="HF709"/>
      <c r="HG709"/>
      <c r="HH709"/>
      <c r="HI709"/>
      <c r="HJ709"/>
      <c r="HK709"/>
      <c r="HL709"/>
      <c r="HM709"/>
      <c r="HN709"/>
      <c r="HO709"/>
      <c r="HP709"/>
      <c r="HQ709"/>
      <c r="HR709"/>
      <c r="HS709"/>
      <c r="HT709"/>
      <c r="HU709"/>
      <c r="HV709"/>
      <c r="HW709"/>
      <c r="HX709"/>
      <c r="HY709"/>
      <c r="HZ709"/>
      <c r="IA709"/>
      <c r="IB709"/>
      <c r="IC709"/>
      <c r="ID709"/>
      <c r="IE709"/>
      <c r="IF709"/>
      <c r="IG709"/>
      <c r="IH709"/>
      <c r="II709"/>
      <c r="IJ709"/>
      <c r="IK709"/>
      <c r="IL709"/>
      <c r="IM709"/>
      <c r="IN709"/>
      <c r="IO709"/>
      <c r="IP709"/>
      <c r="IQ709"/>
      <c r="IR709"/>
      <c r="IS709"/>
      <c r="IT709"/>
      <c r="IU709"/>
      <c r="IV709"/>
    </row>
    <row r="710" spans="1:256" ht="12.75" hidden="1" customHeight="1" x14ac:dyDescent="0.2">
      <c r="A710" s="443"/>
      <c r="B710" s="456" t="s">
        <v>811</v>
      </c>
      <c r="C710" s="459"/>
      <c r="D710" s="460"/>
      <c r="E710" s="461"/>
      <c r="F710" s="462"/>
      <c r="G710" s="149">
        <v>300000</v>
      </c>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c r="AP710"/>
      <c r="AQ710"/>
      <c r="AR710"/>
      <c r="AS710"/>
      <c r="AT710"/>
      <c r="AU710"/>
      <c r="AV710"/>
      <c r="AW710"/>
      <c r="AX710"/>
      <c r="AY710"/>
      <c r="AZ710"/>
      <c r="BA710"/>
      <c r="BB710"/>
      <c r="BC710"/>
      <c r="BD710"/>
      <c r="BE710"/>
      <c r="BF710"/>
      <c r="BG710"/>
      <c r="BH710"/>
      <c r="BI710"/>
      <c r="BJ710"/>
      <c r="BK710"/>
      <c r="BL710"/>
      <c r="BM710"/>
      <c r="BN710"/>
      <c r="BO710"/>
      <c r="BP710"/>
      <c r="BQ710"/>
      <c r="BR710"/>
      <c r="BS710"/>
      <c r="BT710"/>
      <c r="BU710"/>
      <c r="BV710"/>
      <c r="BW710"/>
      <c r="BX710"/>
      <c r="BY710"/>
      <c r="BZ710"/>
      <c r="CA710"/>
      <c r="CB710"/>
      <c r="CC710"/>
      <c r="CD710"/>
      <c r="CE710"/>
      <c r="CF710"/>
      <c r="CG710"/>
      <c r="CH710"/>
      <c r="CI710"/>
      <c r="CJ710"/>
      <c r="CK710"/>
      <c r="CL710"/>
      <c r="CM710"/>
      <c r="CN710"/>
      <c r="CO710"/>
      <c r="CP710"/>
      <c r="CQ710"/>
      <c r="CR710"/>
      <c r="CS710"/>
      <c r="CT710"/>
      <c r="CU710"/>
      <c r="CV710"/>
      <c r="CW710"/>
      <c r="CX710"/>
      <c r="CY710"/>
      <c r="CZ710"/>
      <c r="DA710"/>
      <c r="DB710"/>
      <c r="DC710"/>
      <c r="DD710"/>
      <c r="DE710"/>
      <c r="DF710"/>
      <c r="DG710"/>
      <c r="DH710"/>
      <c r="DI710"/>
      <c r="DJ710"/>
      <c r="DK710"/>
      <c r="DL710"/>
      <c r="DM710"/>
      <c r="DN710"/>
      <c r="DO710"/>
      <c r="DP710"/>
      <c r="DQ710"/>
      <c r="DR710"/>
      <c r="DS710"/>
      <c r="DT710"/>
      <c r="DU710"/>
      <c r="DV710"/>
      <c r="DW710"/>
      <c r="DX710"/>
      <c r="DY710"/>
      <c r="DZ710"/>
      <c r="EA710"/>
      <c r="EB710"/>
      <c r="EC710"/>
      <c r="ED710"/>
      <c r="EE710"/>
      <c r="EF710"/>
      <c r="EG710"/>
      <c r="EH710"/>
      <c r="EI710"/>
      <c r="EJ710"/>
      <c r="EK710"/>
      <c r="EL710"/>
      <c r="EM710"/>
      <c r="EN710"/>
      <c r="EO710"/>
      <c r="EP710"/>
      <c r="EQ710"/>
      <c r="ER710"/>
      <c r="ES710"/>
      <c r="ET710"/>
      <c r="EU710"/>
      <c r="EV710"/>
      <c r="EW710"/>
      <c r="EX710"/>
      <c r="EY710"/>
      <c r="EZ710"/>
      <c r="FA710"/>
      <c r="FB710"/>
      <c r="FC710"/>
      <c r="FD710"/>
      <c r="FE710"/>
      <c r="FF710"/>
      <c r="FG710"/>
      <c r="FH710"/>
      <c r="FI710"/>
      <c r="FJ710"/>
      <c r="FK710"/>
      <c r="FL710"/>
      <c r="FM710"/>
      <c r="FN710"/>
      <c r="FO710"/>
      <c r="FP710"/>
      <c r="FQ710"/>
      <c r="FR710"/>
      <c r="FS710"/>
      <c r="FT710"/>
      <c r="FU710"/>
      <c r="FV710"/>
      <c r="FW710"/>
      <c r="FX710"/>
      <c r="FY710"/>
      <c r="FZ710"/>
      <c r="GA710"/>
      <c r="GB710"/>
      <c r="GC710"/>
      <c r="GD710"/>
      <c r="GE710"/>
      <c r="GF710"/>
      <c r="GG710"/>
      <c r="GH710"/>
      <c r="GI710"/>
      <c r="GJ710"/>
      <c r="GK710"/>
      <c r="GL710"/>
      <c r="GM710"/>
      <c r="GN710"/>
      <c r="GO710"/>
      <c r="GP710"/>
      <c r="GQ710"/>
      <c r="GR710"/>
      <c r="GS710"/>
      <c r="GT710"/>
      <c r="GU710"/>
      <c r="GV710"/>
      <c r="GW710"/>
      <c r="GX710"/>
      <c r="GY710"/>
      <c r="GZ710"/>
      <c r="HA710"/>
      <c r="HB710"/>
      <c r="HC710"/>
      <c r="HD710"/>
      <c r="HE710"/>
      <c r="HF710"/>
      <c r="HG710"/>
      <c r="HH710"/>
      <c r="HI710"/>
      <c r="HJ710"/>
      <c r="HK710"/>
      <c r="HL710"/>
      <c r="HM710"/>
      <c r="HN710"/>
      <c r="HO710"/>
      <c r="HP710"/>
      <c r="HQ710"/>
      <c r="HR710"/>
      <c r="HS710"/>
      <c r="HT710"/>
      <c r="HU710"/>
      <c r="HV710"/>
      <c r="HW710"/>
      <c r="HX710"/>
      <c r="HY710"/>
      <c r="HZ710"/>
      <c r="IA710"/>
      <c r="IB710"/>
      <c r="IC710"/>
      <c r="ID710"/>
      <c r="IE710"/>
      <c r="IF710"/>
      <c r="IG710"/>
      <c r="IH710"/>
      <c r="II710"/>
      <c r="IJ710"/>
      <c r="IK710"/>
      <c r="IL710"/>
      <c r="IM710"/>
      <c r="IN710"/>
      <c r="IO710"/>
      <c r="IP710"/>
      <c r="IQ710"/>
      <c r="IR710"/>
      <c r="IS710"/>
      <c r="IT710"/>
      <c r="IU710"/>
      <c r="IV710"/>
    </row>
    <row r="711" spans="1:256" ht="12.75" hidden="1" customHeight="1" x14ac:dyDescent="0.2">
      <c r="A711" s="443"/>
      <c r="B711" s="453" t="s">
        <v>812</v>
      </c>
      <c r="C711" s="463">
        <f>SUM(C712:C717)</f>
        <v>450000</v>
      </c>
      <c r="D711" s="464">
        <f>SUM(D712:D717)</f>
        <v>3206650.74</v>
      </c>
      <c r="E711" s="464">
        <f>SUM(E712:E717)</f>
        <v>3206650.74</v>
      </c>
      <c r="F711" s="446">
        <f>SUM(F712:F717)</f>
        <v>3006650.74</v>
      </c>
      <c r="G711" s="447">
        <f>SUM(G712:G717)</f>
        <v>850000</v>
      </c>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c r="AP711"/>
      <c r="AQ711"/>
      <c r="AR711"/>
      <c r="AS711"/>
      <c r="AT711"/>
      <c r="AU711"/>
      <c r="AV711"/>
      <c r="AW711"/>
      <c r="AX711"/>
      <c r="AY711"/>
      <c r="AZ711"/>
      <c r="BA711"/>
      <c r="BB711"/>
      <c r="BC711"/>
      <c r="BD711"/>
      <c r="BE711"/>
      <c r="BF711"/>
      <c r="BG711"/>
      <c r="BH711"/>
      <c r="BI711"/>
      <c r="BJ711"/>
      <c r="BK711"/>
      <c r="BL711"/>
      <c r="BM711"/>
      <c r="BN711"/>
      <c r="BO711"/>
      <c r="BP711"/>
      <c r="BQ711"/>
      <c r="BR711"/>
      <c r="BS711"/>
      <c r="BT711"/>
      <c r="BU711"/>
      <c r="BV711"/>
      <c r="BW711"/>
      <c r="BX711"/>
      <c r="BY711"/>
      <c r="BZ711"/>
      <c r="CA711"/>
      <c r="CB711"/>
      <c r="CC711"/>
      <c r="CD711"/>
      <c r="CE711"/>
      <c r="CF711"/>
      <c r="CG711"/>
      <c r="CH711"/>
      <c r="CI711"/>
      <c r="CJ711"/>
      <c r="CK711"/>
      <c r="CL711"/>
      <c r="CM711"/>
      <c r="CN711"/>
      <c r="CO711"/>
      <c r="CP711"/>
      <c r="CQ711"/>
      <c r="CR711"/>
      <c r="CS711"/>
      <c r="CT711"/>
      <c r="CU711"/>
      <c r="CV711"/>
      <c r="CW711"/>
      <c r="CX711"/>
      <c r="CY711"/>
      <c r="CZ711"/>
      <c r="DA711"/>
      <c r="DB711"/>
      <c r="DC711"/>
      <c r="DD711"/>
      <c r="DE711"/>
      <c r="DF711"/>
      <c r="DG711"/>
      <c r="DH711"/>
      <c r="DI711"/>
      <c r="DJ711"/>
      <c r="DK711"/>
      <c r="DL711"/>
      <c r="DM711"/>
      <c r="DN711"/>
      <c r="DO711"/>
      <c r="DP711"/>
      <c r="DQ711"/>
      <c r="DR711"/>
      <c r="DS711"/>
      <c r="DT711"/>
      <c r="DU711"/>
      <c r="DV711"/>
      <c r="DW711"/>
      <c r="DX711"/>
      <c r="DY711"/>
      <c r="DZ711"/>
      <c r="EA711"/>
      <c r="EB711"/>
      <c r="EC711"/>
      <c r="ED711"/>
      <c r="EE711"/>
      <c r="EF711"/>
      <c r="EG711"/>
      <c r="EH711"/>
      <c r="EI711"/>
      <c r="EJ711"/>
      <c r="EK711"/>
      <c r="EL711"/>
      <c r="EM711"/>
      <c r="EN711"/>
      <c r="EO711"/>
      <c r="EP711"/>
      <c r="EQ711"/>
      <c r="ER711"/>
      <c r="ES711"/>
      <c r="ET711"/>
      <c r="EU711"/>
      <c r="EV711"/>
      <c r="EW711"/>
      <c r="EX711"/>
      <c r="EY711"/>
      <c r="EZ711"/>
      <c r="FA711"/>
      <c r="FB711"/>
      <c r="FC711"/>
      <c r="FD711"/>
      <c r="FE711"/>
      <c r="FF711"/>
      <c r="FG711"/>
      <c r="FH711"/>
      <c r="FI711"/>
      <c r="FJ711"/>
      <c r="FK711"/>
      <c r="FL711"/>
      <c r="FM711"/>
      <c r="FN711"/>
      <c r="FO711"/>
      <c r="FP711"/>
      <c r="FQ711"/>
      <c r="FR711"/>
      <c r="FS711"/>
      <c r="FT711"/>
      <c r="FU711"/>
      <c r="FV711"/>
      <c r="FW711"/>
      <c r="FX711"/>
      <c r="FY711"/>
      <c r="FZ711"/>
      <c r="GA711"/>
      <c r="GB711"/>
      <c r="GC711"/>
      <c r="GD711"/>
      <c r="GE711"/>
      <c r="GF711"/>
      <c r="GG711"/>
      <c r="GH711"/>
      <c r="GI711"/>
      <c r="GJ711"/>
      <c r="GK711"/>
      <c r="GL711"/>
      <c r="GM711"/>
      <c r="GN711"/>
      <c r="GO711"/>
      <c r="GP711"/>
      <c r="GQ711"/>
      <c r="GR711"/>
      <c r="GS711"/>
      <c r="GT711"/>
      <c r="GU711"/>
      <c r="GV711"/>
      <c r="GW711"/>
      <c r="GX711"/>
      <c r="GY711"/>
      <c r="GZ711"/>
      <c r="HA711"/>
      <c r="HB711"/>
      <c r="HC711"/>
      <c r="HD711"/>
      <c r="HE711"/>
      <c r="HF711"/>
      <c r="HG711"/>
      <c r="HH711"/>
      <c r="HI711"/>
      <c r="HJ711"/>
      <c r="HK711"/>
      <c r="HL711"/>
      <c r="HM711"/>
      <c r="HN711"/>
      <c r="HO711"/>
      <c r="HP711"/>
      <c r="HQ711"/>
      <c r="HR711"/>
      <c r="HS711"/>
      <c r="HT711"/>
      <c r="HU711"/>
      <c r="HV711"/>
      <c r="HW711"/>
      <c r="HX711"/>
      <c r="HY711"/>
      <c r="HZ711"/>
      <c r="IA711"/>
      <c r="IB711"/>
      <c r="IC711"/>
      <c r="ID711"/>
      <c r="IE711"/>
      <c r="IF711"/>
      <c r="IG711"/>
      <c r="IH711"/>
      <c r="II711"/>
      <c r="IJ711"/>
      <c r="IK711"/>
      <c r="IL711"/>
      <c r="IM711"/>
      <c r="IN711"/>
      <c r="IO711"/>
      <c r="IP711"/>
      <c r="IQ711"/>
      <c r="IR711"/>
      <c r="IS711"/>
      <c r="IT711"/>
      <c r="IU711"/>
      <c r="IV711"/>
    </row>
    <row r="712" spans="1:256" ht="12.75" hidden="1" customHeight="1" x14ac:dyDescent="0.2">
      <c r="A712" s="443"/>
      <c r="B712" s="453" t="s">
        <v>813</v>
      </c>
      <c r="C712" s="452">
        <v>250000</v>
      </c>
      <c r="D712" s="454">
        <f>250000-250000</f>
        <v>0</v>
      </c>
      <c r="E712" s="465">
        <v>0</v>
      </c>
      <c r="F712" s="466">
        <v>0</v>
      </c>
      <c r="G712" s="143">
        <v>0</v>
      </c>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c r="AP712"/>
      <c r="AQ712"/>
      <c r="AR712"/>
      <c r="AS712"/>
      <c r="AT712"/>
      <c r="AU712"/>
      <c r="AV712"/>
      <c r="AW712"/>
      <c r="AX712"/>
      <c r="AY712"/>
      <c r="AZ712"/>
      <c r="BA712"/>
      <c r="BB712"/>
      <c r="BC712"/>
      <c r="BD712"/>
      <c r="BE712"/>
      <c r="BF712"/>
      <c r="BG712"/>
      <c r="BH712"/>
      <c r="BI712"/>
      <c r="BJ712"/>
      <c r="BK712"/>
      <c r="BL712"/>
      <c r="BM712"/>
      <c r="BN712"/>
      <c r="BO712"/>
      <c r="BP712"/>
      <c r="BQ712"/>
      <c r="BR712"/>
      <c r="BS712"/>
      <c r="BT712"/>
      <c r="BU712"/>
      <c r="BV712"/>
      <c r="BW712"/>
      <c r="BX712"/>
      <c r="BY712"/>
      <c r="BZ712"/>
      <c r="CA712"/>
      <c r="CB712"/>
      <c r="CC712"/>
      <c r="CD712"/>
      <c r="CE712"/>
      <c r="CF712"/>
      <c r="CG712"/>
      <c r="CH712"/>
      <c r="CI712"/>
      <c r="CJ712"/>
      <c r="CK712"/>
      <c r="CL712"/>
      <c r="CM712"/>
      <c r="CN712"/>
      <c r="CO712"/>
      <c r="CP712"/>
      <c r="CQ712"/>
      <c r="CR712"/>
      <c r="CS712"/>
      <c r="CT712"/>
      <c r="CU712"/>
      <c r="CV712"/>
      <c r="CW712"/>
      <c r="CX712"/>
      <c r="CY712"/>
      <c r="CZ712"/>
      <c r="DA712"/>
      <c r="DB712"/>
      <c r="DC712"/>
      <c r="DD712"/>
      <c r="DE712"/>
      <c r="DF712"/>
      <c r="DG712"/>
      <c r="DH712"/>
      <c r="DI712"/>
      <c r="DJ712"/>
      <c r="DK712"/>
      <c r="DL712"/>
      <c r="DM712"/>
      <c r="DN712"/>
      <c r="DO712"/>
      <c r="DP712"/>
      <c r="DQ712"/>
      <c r="DR712"/>
      <c r="DS712"/>
      <c r="DT712"/>
      <c r="DU712"/>
      <c r="DV712"/>
      <c r="DW712"/>
      <c r="DX712"/>
      <c r="DY712"/>
      <c r="DZ712"/>
      <c r="EA712"/>
      <c r="EB712"/>
      <c r="EC712"/>
      <c r="ED712"/>
      <c r="EE712"/>
      <c r="EF712"/>
      <c r="EG712"/>
      <c r="EH712"/>
      <c r="EI712"/>
      <c r="EJ712"/>
      <c r="EK712"/>
      <c r="EL712"/>
      <c r="EM712"/>
      <c r="EN712"/>
      <c r="EO712"/>
      <c r="EP712"/>
      <c r="EQ712"/>
      <c r="ER712"/>
      <c r="ES712"/>
      <c r="ET712"/>
      <c r="EU712"/>
      <c r="EV712"/>
      <c r="EW712"/>
      <c r="EX712"/>
      <c r="EY712"/>
      <c r="EZ712"/>
      <c r="FA712"/>
      <c r="FB712"/>
      <c r="FC712"/>
      <c r="FD712"/>
      <c r="FE712"/>
      <c r="FF712"/>
      <c r="FG712"/>
      <c r="FH712"/>
      <c r="FI712"/>
      <c r="FJ712"/>
      <c r="FK712"/>
      <c r="FL712"/>
      <c r="FM712"/>
      <c r="FN712"/>
      <c r="FO712"/>
      <c r="FP712"/>
      <c r="FQ712"/>
      <c r="FR712"/>
      <c r="FS712"/>
      <c r="FT712"/>
      <c r="FU712"/>
      <c r="FV712"/>
      <c r="FW712"/>
      <c r="FX712"/>
      <c r="FY712"/>
      <c r="FZ712"/>
      <c r="GA712"/>
      <c r="GB712"/>
      <c r="GC712"/>
      <c r="GD712"/>
      <c r="GE712"/>
      <c r="GF712"/>
      <c r="GG712"/>
      <c r="GH712"/>
      <c r="GI712"/>
      <c r="GJ712"/>
      <c r="GK712"/>
      <c r="GL712"/>
      <c r="GM712"/>
      <c r="GN712"/>
      <c r="GO712"/>
      <c r="GP712"/>
      <c r="GQ712"/>
      <c r="GR712"/>
      <c r="GS712"/>
      <c r="GT712"/>
      <c r="GU712"/>
      <c r="GV712"/>
      <c r="GW712"/>
      <c r="GX712"/>
      <c r="GY712"/>
      <c r="GZ712"/>
      <c r="HA712"/>
      <c r="HB712"/>
      <c r="HC712"/>
      <c r="HD712"/>
      <c r="HE712"/>
      <c r="HF712"/>
      <c r="HG712"/>
      <c r="HH712"/>
      <c r="HI712"/>
      <c r="HJ712"/>
      <c r="HK712"/>
      <c r="HL712"/>
      <c r="HM712"/>
      <c r="HN712"/>
      <c r="HO712"/>
      <c r="HP712"/>
      <c r="HQ712"/>
      <c r="HR712"/>
      <c r="HS712"/>
      <c r="HT712"/>
      <c r="HU712"/>
      <c r="HV712"/>
      <c r="HW712"/>
      <c r="HX712"/>
      <c r="HY712"/>
      <c r="HZ712"/>
      <c r="IA712"/>
      <c r="IB712"/>
      <c r="IC712"/>
      <c r="ID712"/>
      <c r="IE712"/>
      <c r="IF712"/>
      <c r="IG712"/>
      <c r="IH712"/>
      <c r="II712"/>
      <c r="IJ712"/>
      <c r="IK712"/>
      <c r="IL712"/>
      <c r="IM712"/>
      <c r="IN712"/>
      <c r="IO712"/>
      <c r="IP712"/>
      <c r="IQ712"/>
      <c r="IR712"/>
      <c r="IS712"/>
      <c r="IT712"/>
      <c r="IU712"/>
      <c r="IV712"/>
    </row>
    <row r="713" spans="1:256" ht="12.75" hidden="1" customHeight="1" x14ac:dyDescent="0.2">
      <c r="A713" s="443"/>
      <c r="B713" s="453" t="s">
        <v>814</v>
      </c>
      <c r="C713" s="452">
        <v>200000</v>
      </c>
      <c r="D713" s="460">
        <v>200000</v>
      </c>
      <c r="E713" s="461">
        <v>200000</v>
      </c>
      <c r="F713" s="296">
        <v>0</v>
      </c>
      <c r="G713" s="113">
        <v>200000</v>
      </c>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c r="AP713"/>
      <c r="AQ713"/>
      <c r="AR713"/>
      <c r="AS713"/>
      <c r="AT713"/>
      <c r="AU713"/>
      <c r="AV713"/>
      <c r="AW713"/>
      <c r="AX713"/>
      <c r="AY713"/>
      <c r="AZ713"/>
      <c r="BA713"/>
      <c r="BB713"/>
      <c r="BC713"/>
      <c r="BD713"/>
      <c r="BE713"/>
      <c r="BF713"/>
      <c r="BG713"/>
      <c r="BH713"/>
      <c r="BI713"/>
      <c r="BJ713"/>
      <c r="BK713"/>
      <c r="BL713"/>
      <c r="BM713"/>
      <c r="BN713"/>
      <c r="BO713"/>
      <c r="BP713"/>
      <c r="BQ713"/>
      <c r="BR713"/>
      <c r="BS713"/>
      <c r="BT713"/>
      <c r="BU713"/>
      <c r="BV713"/>
      <c r="BW713"/>
      <c r="BX713"/>
      <c r="BY713"/>
      <c r="BZ713"/>
      <c r="CA713"/>
      <c r="CB713"/>
      <c r="CC713"/>
      <c r="CD713"/>
      <c r="CE713"/>
      <c r="CF713"/>
      <c r="CG713"/>
      <c r="CH713"/>
      <c r="CI713"/>
      <c r="CJ713"/>
      <c r="CK713"/>
      <c r="CL713"/>
      <c r="CM713"/>
      <c r="CN713"/>
      <c r="CO713"/>
      <c r="CP713"/>
      <c r="CQ713"/>
      <c r="CR713"/>
      <c r="CS713"/>
      <c r="CT713"/>
      <c r="CU713"/>
      <c r="CV713"/>
      <c r="CW713"/>
      <c r="CX713"/>
      <c r="CY713"/>
      <c r="CZ713"/>
      <c r="DA713"/>
      <c r="DB713"/>
      <c r="DC713"/>
      <c r="DD713"/>
      <c r="DE713"/>
      <c r="DF713"/>
      <c r="DG713"/>
      <c r="DH713"/>
      <c r="DI713"/>
      <c r="DJ713"/>
      <c r="DK713"/>
      <c r="DL713"/>
      <c r="DM713"/>
      <c r="DN713"/>
      <c r="DO713"/>
      <c r="DP713"/>
      <c r="DQ713"/>
      <c r="DR713"/>
      <c r="DS713"/>
      <c r="DT713"/>
      <c r="DU713"/>
      <c r="DV713"/>
      <c r="DW713"/>
      <c r="DX713"/>
      <c r="DY713"/>
      <c r="DZ713"/>
      <c r="EA713"/>
      <c r="EB713"/>
      <c r="EC713"/>
      <c r="ED713"/>
      <c r="EE713"/>
      <c r="EF713"/>
      <c r="EG713"/>
      <c r="EH713"/>
      <c r="EI713"/>
      <c r="EJ713"/>
      <c r="EK713"/>
      <c r="EL713"/>
      <c r="EM713"/>
      <c r="EN713"/>
      <c r="EO713"/>
      <c r="EP713"/>
      <c r="EQ713"/>
      <c r="ER713"/>
      <c r="ES713"/>
      <c r="ET713"/>
      <c r="EU713"/>
      <c r="EV713"/>
      <c r="EW713"/>
      <c r="EX713"/>
      <c r="EY713"/>
      <c r="EZ713"/>
      <c r="FA713"/>
      <c r="FB713"/>
      <c r="FC713"/>
      <c r="FD713"/>
      <c r="FE713"/>
      <c r="FF713"/>
      <c r="FG713"/>
      <c r="FH713"/>
      <c r="FI713"/>
      <c r="FJ713"/>
      <c r="FK713"/>
      <c r="FL713"/>
      <c r="FM713"/>
      <c r="FN713"/>
      <c r="FO713"/>
      <c r="FP713"/>
      <c r="FQ713"/>
      <c r="FR713"/>
      <c r="FS713"/>
      <c r="FT713"/>
      <c r="FU713"/>
      <c r="FV713"/>
      <c r="FW713"/>
      <c r="FX713"/>
      <c r="FY713"/>
      <c r="FZ713"/>
      <c r="GA713"/>
      <c r="GB713"/>
      <c r="GC713"/>
      <c r="GD713"/>
      <c r="GE713"/>
      <c r="GF713"/>
      <c r="GG713"/>
      <c r="GH713"/>
      <c r="GI713"/>
      <c r="GJ713"/>
      <c r="GK713"/>
      <c r="GL713"/>
      <c r="GM713"/>
      <c r="GN713"/>
      <c r="GO713"/>
      <c r="GP713"/>
      <c r="GQ713"/>
      <c r="GR713"/>
      <c r="GS713"/>
      <c r="GT713"/>
      <c r="GU713"/>
      <c r="GV713"/>
      <c r="GW713"/>
      <c r="GX713"/>
      <c r="GY713"/>
      <c r="GZ713"/>
      <c r="HA713"/>
      <c r="HB713"/>
      <c r="HC713"/>
      <c r="HD713"/>
      <c r="HE713"/>
      <c r="HF713"/>
      <c r="HG713"/>
      <c r="HH713"/>
      <c r="HI713"/>
      <c r="HJ713"/>
      <c r="HK713"/>
      <c r="HL713"/>
      <c r="HM713"/>
      <c r="HN713"/>
      <c r="HO713"/>
      <c r="HP713"/>
      <c r="HQ713"/>
      <c r="HR713"/>
      <c r="HS713"/>
      <c r="HT713"/>
      <c r="HU713"/>
      <c r="HV713"/>
      <c r="HW713"/>
      <c r="HX713"/>
      <c r="HY713"/>
      <c r="HZ713"/>
      <c r="IA713"/>
      <c r="IB713"/>
      <c r="IC713"/>
      <c r="ID713"/>
      <c r="IE713"/>
      <c r="IF713"/>
      <c r="IG713"/>
      <c r="IH713"/>
      <c r="II713"/>
      <c r="IJ713"/>
      <c r="IK713"/>
      <c r="IL713"/>
      <c r="IM713"/>
      <c r="IN713"/>
      <c r="IO713"/>
      <c r="IP713"/>
      <c r="IQ713"/>
      <c r="IR713"/>
      <c r="IS713"/>
      <c r="IT713"/>
      <c r="IU713"/>
      <c r="IV713"/>
    </row>
    <row r="714" spans="1:256" ht="12.75" hidden="1" customHeight="1" x14ac:dyDescent="0.2">
      <c r="A714" s="443"/>
      <c r="B714" s="453" t="s">
        <v>815</v>
      </c>
      <c r="C714" s="452"/>
      <c r="D714" s="454"/>
      <c r="E714" s="455"/>
      <c r="F714" s="298"/>
      <c r="G714" s="113">
        <v>100000</v>
      </c>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c r="AP714"/>
      <c r="AQ714"/>
      <c r="AR714"/>
      <c r="AS714"/>
      <c r="AT714"/>
      <c r="AU714"/>
      <c r="AV714"/>
      <c r="AW714"/>
      <c r="AX714"/>
      <c r="AY714"/>
      <c r="AZ714"/>
      <c r="BA714"/>
      <c r="BB714"/>
      <c r="BC714"/>
      <c r="BD714"/>
      <c r="BE714"/>
      <c r="BF714"/>
      <c r="BG714"/>
      <c r="BH714"/>
      <c r="BI714"/>
      <c r="BJ714"/>
      <c r="BK714"/>
      <c r="BL714"/>
      <c r="BM714"/>
      <c r="BN714"/>
      <c r="BO714"/>
      <c r="BP714"/>
      <c r="BQ714"/>
      <c r="BR714"/>
      <c r="BS714"/>
      <c r="BT714"/>
      <c r="BU714"/>
      <c r="BV714"/>
      <c r="BW714"/>
      <c r="BX714"/>
      <c r="BY714"/>
      <c r="BZ714"/>
      <c r="CA714"/>
      <c r="CB714"/>
      <c r="CC714"/>
      <c r="CD714"/>
      <c r="CE714"/>
      <c r="CF714"/>
      <c r="CG714"/>
      <c r="CH714"/>
      <c r="CI714"/>
      <c r="CJ714"/>
      <c r="CK714"/>
      <c r="CL714"/>
      <c r="CM714"/>
      <c r="CN714"/>
      <c r="CO714"/>
      <c r="CP714"/>
      <c r="CQ714"/>
      <c r="CR714"/>
      <c r="CS714"/>
      <c r="CT714"/>
      <c r="CU714"/>
      <c r="CV714"/>
      <c r="CW714"/>
      <c r="CX714"/>
      <c r="CY714"/>
      <c r="CZ714"/>
      <c r="DA714"/>
      <c r="DB714"/>
      <c r="DC714"/>
      <c r="DD714"/>
      <c r="DE714"/>
      <c r="DF714"/>
      <c r="DG714"/>
      <c r="DH714"/>
      <c r="DI714"/>
      <c r="DJ714"/>
      <c r="DK714"/>
      <c r="DL714"/>
      <c r="DM714"/>
      <c r="DN714"/>
      <c r="DO714"/>
      <c r="DP714"/>
      <c r="DQ714"/>
      <c r="DR714"/>
      <c r="DS714"/>
      <c r="DT714"/>
      <c r="DU714"/>
      <c r="DV714"/>
      <c r="DW714"/>
      <c r="DX714"/>
      <c r="DY714"/>
      <c r="DZ714"/>
      <c r="EA714"/>
      <c r="EB714"/>
      <c r="EC714"/>
      <c r="ED714"/>
      <c r="EE714"/>
      <c r="EF714"/>
      <c r="EG714"/>
      <c r="EH714"/>
      <c r="EI714"/>
      <c r="EJ714"/>
      <c r="EK714"/>
      <c r="EL714"/>
      <c r="EM714"/>
      <c r="EN714"/>
      <c r="EO714"/>
      <c r="EP714"/>
      <c r="EQ714"/>
      <c r="ER714"/>
      <c r="ES714"/>
      <c r="ET714"/>
      <c r="EU714"/>
      <c r="EV714"/>
      <c r="EW714"/>
      <c r="EX714"/>
      <c r="EY714"/>
      <c r="EZ714"/>
      <c r="FA714"/>
      <c r="FB714"/>
      <c r="FC714"/>
      <c r="FD714"/>
      <c r="FE714"/>
      <c r="FF714"/>
      <c r="FG714"/>
      <c r="FH714"/>
      <c r="FI714"/>
      <c r="FJ714"/>
      <c r="FK714"/>
      <c r="FL714"/>
      <c r="FM714"/>
      <c r="FN714"/>
      <c r="FO714"/>
      <c r="FP714"/>
      <c r="FQ714"/>
      <c r="FR714"/>
      <c r="FS714"/>
      <c r="FT714"/>
      <c r="FU714"/>
      <c r="FV714"/>
      <c r="FW714"/>
      <c r="FX714"/>
      <c r="FY714"/>
      <c r="FZ714"/>
      <c r="GA714"/>
      <c r="GB714"/>
      <c r="GC714"/>
      <c r="GD714"/>
      <c r="GE714"/>
      <c r="GF714"/>
      <c r="GG714"/>
      <c r="GH714"/>
      <c r="GI714"/>
      <c r="GJ714"/>
      <c r="GK714"/>
      <c r="GL714"/>
      <c r="GM714"/>
      <c r="GN714"/>
      <c r="GO714"/>
      <c r="GP714"/>
      <c r="GQ714"/>
      <c r="GR714"/>
      <c r="GS714"/>
      <c r="GT714"/>
      <c r="GU714"/>
      <c r="GV714"/>
      <c r="GW714"/>
      <c r="GX714"/>
      <c r="GY714"/>
      <c r="GZ714"/>
      <c r="HA714"/>
      <c r="HB714"/>
      <c r="HC714"/>
      <c r="HD714"/>
      <c r="HE714"/>
      <c r="HF714"/>
      <c r="HG714"/>
      <c r="HH714"/>
      <c r="HI714"/>
      <c r="HJ714"/>
      <c r="HK714"/>
      <c r="HL714"/>
      <c r="HM714"/>
      <c r="HN714"/>
      <c r="HO714"/>
      <c r="HP714"/>
      <c r="HQ714"/>
      <c r="HR714"/>
      <c r="HS714"/>
      <c r="HT714"/>
      <c r="HU714"/>
      <c r="HV714"/>
      <c r="HW714"/>
      <c r="HX714"/>
      <c r="HY714"/>
      <c r="HZ714"/>
      <c r="IA714"/>
      <c r="IB714"/>
      <c r="IC714"/>
      <c r="ID714"/>
      <c r="IE714"/>
      <c r="IF714"/>
      <c r="IG714"/>
      <c r="IH714"/>
      <c r="II714"/>
      <c r="IJ714"/>
      <c r="IK714"/>
      <c r="IL714"/>
      <c r="IM714"/>
      <c r="IN714"/>
      <c r="IO714"/>
      <c r="IP714"/>
      <c r="IQ714"/>
      <c r="IR714"/>
      <c r="IS714"/>
      <c r="IT714"/>
      <c r="IU714"/>
      <c r="IV714"/>
    </row>
    <row r="715" spans="1:256" ht="12.75" hidden="1" customHeight="1" x14ac:dyDescent="0.2">
      <c r="A715" s="443"/>
      <c r="B715" s="467" t="s">
        <v>816</v>
      </c>
      <c r="C715" s="452"/>
      <c r="D715" s="454"/>
      <c r="E715" s="468"/>
      <c r="F715" s="304"/>
      <c r="G715" s="113">
        <v>150000</v>
      </c>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c r="AP715"/>
      <c r="AQ715"/>
      <c r="AR715"/>
      <c r="AS715"/>
      <c r="AT715"/>
      <c r="AU715"/>
      <c r="AV715"/>
      <c r="AW715"/>
      <c r="AX715"/>
      <c r="AY715"/>
      <c r="AZ715"/>
      <c r="BA715"/>
      <c r="BB715"/>
      <c r="BC715"/>
      <c r="BD715"/>
      <c r="BE715"/>
      <c r="BF715"/>
      <c r="BG715"/>
      <c r="BH715"/>
      <c r="BI715"/>
      <c r="BJ715"/>
      <c r="BK715"/>
      <c r="BL715"/>
      <c r="BM715"/>
      <c r="BN715"/>
      <c r="BO715"/>
      <c r="BP715"/>
      <c r="BQ715"/>
      <c r="BR715"/>
      <c r="BS715"/>
      <c r="BT715"/>
      <c r="BU715"/>
      <c r="BV715"/>
      <c r="BW715"/>
      <c r="BX715"/>
      <c r="BY715"/>
      <c r="BZ715"/>
      <c r="CA715"/>
      <c r="CB715"/>
      <c r="CC715"/>
      <c r="CD715"/>
      <c r="CE715"/>
      <c r="CF715"/>
      <c r="CG715"/>
      <c r="CH715"/>
      <c r="CI715"/>
      <c r="CJ715"/>
      <c r="CK715"/>
      <c r="CL715"/>
      <c r="CM715"/>
      <c r="CN715"/>
      <c r="CO715"/>
      <c r="CP715"/>
      <c r="CQ715"/>
      <c r="CR715"/>
      <c r="CS715"/>
      <c r="CT715"/>
      <c r="CU715"/>
      <c r="CV715"/>
      <c r="CW715"/>
      <c r="CX715"/>
      <c r="CY715"/>
      <c r="CZ715"/>
      <c r="DA715"/>
      <c r="DB715"/>
      <c r="DC715"/>
      <c r="DD715"/>
      <c r="DE715"/>
      <c r="DF715"/>
      <c r="DG715"/>
      <c r="DH715"/>
      <c r="DI715"/>
      <c r="DJ715"/>
      <c r="DK715"/>
      <c r="DL715"/>
      <c r="DM715"/>
      <c r="DN715"/>
      <c r="DO715"/>
      <c r="DP715"/>
      <c r="DQ715"/>
      <c r="DR715"/>
      <c r="DS715"/>
      <c r="DT715"/>
      <c r="DU715"/>
      <c r="DV715"/>
      <c r="DW715"/>
      <c r="DX715"/>
      <c r="DY715"/>
      <c r="DZ715"/>
      <c r="EA715"/>
      <c r="EB715"/>
      <c r="EC715"/>
      <c r="ED715"/>
      <c r="EE715"/>
      <c r="EF715"/>
      <c r="EG715"/>
      <c r="EH715"/>
      <c r="EI715"/>
      <c r="EJ715"/>
      <c r="EK715"/>
      <c r="EL715"/>
      <c r="EM715"/>
      <c r="EN715"/>
      <c r="EO715"/>
      <c r="EP715"/>
      <c r="EQ715"/>
      <c r="ER715"/>
      <c r="ES715"/>
      <c r="ET715"/>
      <c r="EU715"/>
      <c r="EV715"/>
      <c r="EW715"/>
      <c r="EX715"/>
      <c r="EY715"/>
      <c r="EZ715"/>
      <c r="FA715"/>
      <c r="FB715"/>
      <c r="FC715"/>
      <c r="FD715"/>
      <c r="FE715"/>
      <c r="FF715"/>
      <c r="FG715"/>
      <c r="FH715"/>
      <c r="FI715"/>
      <c r="FJ715"/>
      <c r="FK715"/>
      <c r="FL715"/>
      <c r="FM715"/>
      <c r="FN715"/>
      <c r="FO715"/>
      <c r="FP715"/>
      <c r="FQ715"/>
      <c r="FR715"/>
      <c r="FS715"/>
      <c r="FT715"/>
      <c r="FU715"/>
      <c r="FV715"/>
      <c r="FW715"/>
      <c r="FX715"/>
      <c r="FY715"/>
      <c r="FZ715"/>
      <c r="GA715"/>
      <c r="GB715"/>
      <c r="GC715"/>
      <c r="GD715"/>
      <c r="GE715"/>
      <c r="GF715"/>
      <c r="GG715"/>
      <c r="GH715"/>
      <c r="GI715"/>
      <c r="GJ715"/>
      <c r="GK715"/>
      <c r="GL715"/>
      <c r="GM715"/>
      <c r="GN715"/>
      <c r="GO715"/>
      <c r="GP715"/>
      <c r="GQ715"/>
      <c r="GR715"/>
      <c r="GS715"/>
      <c r="GT715"/>
      <c r="GU715"/>
      <c r="GV715"/>
      <c r="GW715"/>
      <c r="GX715"/>
      <c r="GY715"/>
      <c r="GZ715"/>
      <c r="HA715"/>
      <c r="HB715"/>
      <c r="HC715"/>
      <c r="HD715"/>
      <c r="HE715"/>
      <c r="HF715"/>
      <c r="HG715"/>
      <c r="HH715"/>
      <c r="HI715"/>
      <c r="HJ715"/>
      <c r="HK715"/>
      <c r="HL715"/>
      <c r="HM715"/>
      <c r="HN715"/>
      <c r="HO715"/>
      <c r="HP715"/>
      <c r="HQ715"/>
      <c r="HR715"/>
      <c r="HS715"/>
      <c r="HT715"/>
      <c r="HU715"/>
      <c r="HV715"/>
      <c r="HW715"/>
      <c r="HX715"/>
      <c r="HY715"/>
      <c r="HZ715"/>
      <c r="IA715"/>
      <c r="IB715"/>
      <c r="IC715"/>
      <c r="ID715"/>
      <c r="IE715"/>
      <c r="IF715"/>
      <c r="IG715"/>
      <c r="IH715"/>
      <c r="II715"/>
      <c r="IJ715"/>
      <c r="IK715"/>
      <c r="IL715"/>
      <c r="IM715"/>
      <c r="IN715"/>
      <c r="IO715"/>
      <c r="IP715"/>
      <c r="IQ715"/>
      <c r="IR715"/>
      <c r="IS715"/>
      <c r="IT715"/>
      <c r="IU715"/>
      <c r="IV715"/>
    </row>
    <row r="716" spans="1:256" ht="12.75" hidden="1" customHeight="1" x14ac:dyDescent="0.2">
      <c r="A716" s="443"/>
      <c r="B716" s="453" t="s">
        <v>817</v>
      </c>
      <c r="C716" s="452"/>
      <c r="D716" s="454"/>
      <c r="E716" s="468"/>
      <c r="F716" s="304"/>
      <c r="G716" s="113">
        <v>400000</v>
      </c>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c r="AP716"/>
      <c r="AQ716"/>
      <c r="AR716"/>
      <c r="AS716"/>
      <c r="AT716"/>
      <c r="AU716"/>
      <c r="AV716"/>
      <c r="AW716"/>
      <c r="AX716"/>
      <c r="AY716"/>
      <c r="AZ716"/>
      <c r="BA716"/>
      <c r="BB716"/>
      <c r="BC716"/>
      <c r="BD716"/>
      <c r="BE716"/>
      <c r="BF716"/>
      <c r="BG716"/>
      <c r="BH716"/>
      <c r="BI716"/>
      <c r="BJ716"/>
      <c r="BK716"/>
      <c r="BL716"/>
      <c r="BM716"/>
      <c r="BN716"/>
      <c r="BO716"/>
      <c r="BP716"/>
      <c r="BQ716"/>
      <c r="BR716"/>
      <c r="BS716"/>
      <c r="BT716"/>
      <c r="BU716"/>
      <c r="BV716"/>
      <c r="BW716"/>
      <c r="BX716"/>
      <c r="BY716"/>
      <c r="BZ716"/>
      <c r="CA716"/>
      <c r="CB716"/>
      <c r="CC716"/>
      <c r="CD716"/>
      <c r="CE716"/>
      <c r="CF716"/>
      <c r="CG716"/>
      <c r="CH716"/>
      <c r="CI716"/>
      <c r="CJ716"/>
      <c r="CK716"/>
      <c r="CL716"/>
      <c r="CM716"/>
      <c r="CN716"/>
      <c r="CO716"/>
      <c r="CP716"/>
      <c r="CQ716"/>
      <c r="CR716"/>
      <c r="CS716"/>
      <c r="CT716"/>
      <c r="CU716"/>
      <c r="CV716"/>
      <c r="CW716"/>
      <c r="CX716"/>
      <c r="CY716"/>
      <c r="CZ716"/>
      <c r="DA716"/>
      <c r="DB716"/>
      <c r="DC716"/>
      <c r="DD716"/>
      <c r="DE716"/>
      <c r="DF716"/>
      <c r="DG716"/>
      <c r="DH716"/>
      <c r="DI716"/>
      <c r="DJ716"/>
      <c r="DK716"/>
      <c r="DL716"/>
      <c r="DM716"/>
      <c r="DN716"/>
      <c r="DO716"/>
      <c r="DP716"/>
      <c r="DQ716"/>
      <c r="DR716"/>
      <c r="DS716"/>
      <c r="DT716"/>
      <c r="DU716"/>
      <c r="DV716"/>
      <c r="DW716"/>
      <c r="DX716"/>
      <c r="DY716"/>
      <c r="DZ716"/>
      <c r="EA716"/>
      <c r="EB716"/>
      <c r="EC716"/>
      <c r="ED716"/>
      <c r="EE716"/>
      <c r="EF716"/>
      <c r="EG716"/>
      <c r="EH716"/>
      <c r="EI716"/>
      <c r="EJ716"/>
      <c r="EK716"/>
      <c r="EL716"/>
      <c r="EM716"/>
      <c r="EN716"/>
      <c r="EO716"/>
      <c r="EP716"/>
      <c r="EQ716"/>
      <c r="ER716"/>
      <c r="ES716"/>
      <c r="ET716"/>
      <c r="EU716"/>
      <c r="EV716"/>
      <c r="EW716"/>
      <c r="EX716"/>
      <c r="EY716"/>
      <c r="EZ716"/>
      <c r="FA716"/>
      <c r="FB716"/>
      <c r="FC716"/>
      <c r="FD716"/>
      <c r="FE716"/>
      <c r="FF716"/>
      <c r="FG716"/>
      <c r="FH716"/>
      <c r="FI716"/>
      <c r="FJ716"/>
      <c r="FK716"/>
      <c r="FL716"/>
      <c r="FM716"/>
      <c r="FN716"/>
      <c r="FO716"/>
      <c r="FP716"/>
      <c r="FQ716"/>
      <c r="FR716"/>
      <c r="FS716"/>
      <c r="FT716"/>
      <c r="FU716"/>
      <c r="FV716"/>
      <c r="FW716"/>
      <c r="FX716"/>
      <c r="FY716"/>
      <c r="FZ716"/>
      <c r="GA716"/>
      <c r="GB716"/>
      <c r="GC716"/>
      <c r="GD716"/>
      <c r="GE716"/>
      <c r="GF716"/>
      <c r="GG716"/>
      <c r="GH716"/>
      <c r="GI716"/>
      <c r="GJ716"/>
      <c r="GK716"/>
      <c r="GL716"/>
      <c r="GM716"/>
      <c r="GN716"/>
      <c r="GO716"/>
      <c r="GP716"/>
      <c r="GQ716"/>
      <c r="GR716"/>
      <c r="GS716"/>
      <c r="GT716"/>
      <c r="GU716"/>
      <c r="GV716"/>
      <c r="GW716"/>
      <c r="GX716"/>
      <c r="GY716"/>
      <c r="GZ716"/>
      <c r="HA716"/>
      <c r="HB716"/>
      <c r="HC716"/>
      <c r="HD716"/>
      <c r="HE716"/>
      <c r="HF716"/>
      <c r="HG716"/>
      <c r="HH716"/>
      <c r="HI716"/>
      <c r="HJ716"/>
      <c r="HK716"/>
      <c r="HL716"/>
      <c r="HM716"/>
      <c r="HN716"/>
      <c r="HO716"/>
      <c r="HP716"/>
      <c r="HQ716"/>
      <c r="HR716"/>
      <c r="HS716"/>
      <c r="HT716"/>
      <c r="HU716"/>
      <c r="HV716"/>
      <c r="HW716"/>
      <c r="HX716"/>
      <c r="HY716"/>
      <c r="HZ716"/>
      <c r="IA716"/>
      <c r="IB716"/>
      <c r="IC716"/>
      <c r="ID716"/>
      <c r="IE716"/>
      <c r="IF716"/>
      <c r="IG716"/>
      <c r="IH716"/>
      <c r="II716"/>
      <c r="IJ716"/>
      <c r="IK716"/>
      <c r="IL716"/>
      <c r="IM716"/>
      <c r="IN716"/>
      <c r="IO716"/>
      <c r="IP716"/>
      <c r="IQ716"/>
      <c r="IR716"/>
      <c r="IS716"/>
      <c r="IT716"/>
      <c r="IU716"/>
      <c r="IV716"/>
    </row>
    <row r="717" spans="1:256" ht="12.75" hidden="1" customHeight="1" x14ac:dyDescent="0.2">
      <c r="A717" s="443"/>
      <c r="B717" s="453" t="s">
        <v>818</v>
      </c>
      <c r="C717" s="452">
        <v>0</v>
      </c>
      <c r="D717" s="454">
        <v>3006650.74</v>
      </c>
      <c r="E717" s="468">
        <v>3006650.74</v>
      </c>
      <c r="F717" s="304">
        <v>3006650.74</v>
      </c>
      <c r="G717" s="113">
        <v>0</v>
      </c>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c r="AP717"/>
      <c r="AQ717"/>
      <c r="AR717"/>
      <c r="AS717"/>
      <c r="AT717"/>
      <c r="AU717"/>
      <c r="AV717"/>
      <c r="AW717"/>
      <c r="AX717"/>
      <c r="AY717"/>
      <c r="AZ717"/>
      <c r="BA717"/>
      <c r="BB717"/>
      <c r="BC717"/>
      <c r="BD717"/>
      <c r="BE717"/>
      <c r="BF717"/>
      <c r="BG717"/>
      <c r="BH717"/>
      <c r="BI717"/>
      <c r="BJ717"/>
      <c r="BK717"/>
      <c r="BL717"/>
      <c r="BM717"/>
      <c r="BN717"/>
      <c r="BO717"/>
      <c r="BP717"/>
      <c r="BQ717"/>
      <c r="BR717"/>
      <c r="BS717"/>
      <c r="BT717"/>
      <c r="BU717"/>
      <c r="BV717"/>
      <c r="BW717"/>
      <c r="BX717"/>
      <c r="BY717"/>
      <c r="BZ717"/>
      <c r="CA717"/>
      <c r="CB717"/>
      <c r="CC717"/>
      <c r="CD717"/>
      <c r="CE717"/>
      <c r="CF717"/>
      <c r="CG717"/>
      <c r="CH717"/>
      <c r="CI717"/>
      <c r="CJ717"/>
      <c r="CK717"/>
      <c r="CL717"/>
      <c r="CM717"/>
      <c r="CN717"/>
      <c r="CO717"/>
      <c r="CP717"/>
      <c r="CQ717"/>
      <c r="CR717"/>
      <c r="CS717"/>
      <c r="CT717"/>
      <c r="CU717"/>
      <c r="CV717"/>
      <c r="CW717"/>
      <c r="CX717"/>
      <c r="CY717"/>
      <c r="CZ717"/>
      <c r="DA717"/>
      <c r="DB717"/>
      <c r="DC717"/>
      <c r="DD717"/>
      <c r="DE717"/>
      <c r="DF717"/>
      <c r="DG717"/>
      <c r="DH717"/>
      <c r="DI717"/>
      <c r="DJ717"/>
      <c r="DK717"/>
      <c r="DL717"/>
      <c r="DM717"/>
      <c r="DN717"/>
      <c r="DO717"/>
      <c r="DP717"/>
      <c r="DQ717"/>
      <c r="DR717"/>
      <c r="DS717"/>
      <c r="DT717"/>
      <c r="DU717"/>
      <c r="DV717"/>
      <c r="DW717"/>
      <c r="DX717"/>
      <c r="DY717"/>
      <c r="DZ717"/>
      <c r="EA717"/>
      <c r="EB717"/>
      <c r="EC717"/>
      <c r="ED717"/>
      <c r="EE717"/>
      <c r="EF717"/>
      <c r="EG717"/>
      <c r="EH717"/>
      <c r="EI717"/>
      <c r="EJ717"/>
      <c r="EK717"/>
      <c r="EL717"/>
      <c r="EM717"/>
      <c r="EN717"/>
      <c r="EO717"/>
      <c r="EP717"/>
      <c r="EQ717"/>
      <c r="ER717"/>
      <c r="ES717"/>
      <c r="ET717"/>
      <c r="EU717"/>
      <c r="EV717"/>
      <c r="EW717"/>
      <c r="EX717"/>
      <c r="EY717"/>
      <c r="EZ717"/>
      <c r="FA717"/>
      <c r="FB717"/>
      <c r="FC717"/>
      <c r="FD717"/>
      <c r="FE717"/>
      <c r="FF717"/>
      <c r="FG717"/>
      <c r="FH717"/>
      <c r="FI717"/>
      <c r="FJ717"/>
      <c r="FK717"/>
      <c r="FL717"/>
      <c r="FM717"/>
      <c r="FN717"/>
      <c r="FO717"/>
      <c r="FP717"/>
      <c r="FQ717"/>
      <c r="FR717"/>
      <c r="FS717"/>
      <c r="FT717"/>
      <c r="FU717"/>
      <c r="FV717"/>
      <c r="FW717"/>
      <c r="FX717"/>
      <c r="FY717"/>
      <c r="FZ717"/>
      <c r="GA717"/>
      <c r="GB717"/>
      <c r="GC717"/>
      <c r="GD717"/>
      <c r="GE717"/>
      <c r="GF717"/>
      <c r="GG717"/>
      <c r="GH717"/>
      <c r="GI717"/>
      <c r="GJ717"/>
      <c r="GK717"/>
      <c r="GL717"/>
      <c r="GM717"/>
      <c r="GN717"/>
      <c r="GO717"/>
      <c r="GP717"/>
      <c r="GQ717"/>
      <c r="GR717"/>
      <c r="GS717"/>
      <c r="GT717"/>
      <c r="GU717"/>
      <c r="GV717"/>
      <c r="GW717"/>
      <c r="GX717"/>
      <c r="GY717"/>
      <c r="GZ717"/>
      <c r="HA717"/>
      <c r="HB717"/>
      <c r="HC717"/>
      <c r="HD717"/>
      <c r="HE717"/>
      <c r="HF717"/>
      <c r="HG717"/>
      <c r="HH717"/>
      <c r="HI717"/>
      <c r="HJ717"/>
      <c r="HK717"/>
      <c r="HL717"/>
      <c r="HM717"/>
      <c r="HN717"/>
      <c r="HO717"/>
      <c r="HP717"/>
      <c r="HQ717"/>
      <c r="HR717"/>
      <c r="HS717"/>
      <c r="HT717"/>
      <c r="HU717"/>
      <c r="HV717"/>
      <c r="HW717"/>
      <c r="HX717"/>
      <c r="HY717"/>
      <c r="HZ717"/>
      <c r="IA717"/>
      <c r="IB717"/>
      <c r="IC717"/>
      <c r="ID717"/>
      <c r="IE717"/>
      <c r="IF717"/>
      <c r="IG717"/>
      <c r="IH717"/>
      <c r="II717"/>
      <c r="IJ717"/>
      <c r="IK717"/>
      <c r="IL717"/>
      <c r="IM717"/>
      <c r="IN717"/>
      <c r="IO717"/>
      <c r="IP717"/>
      <c r="IQ717"/>
      <c r="IR717"/>
      <c r="IS717"/>
      <c r="IT717"/>
      <c r="IU717"/>
      <c r="IV717"/>
    </row>
    <row r="718" spans="1:256" ht="12.75" hidden="1" customHeight="1" x14ac:dyDescent="0.2">
      <c r="A718" s="443"/>
      <c r="B718" s="449" t="s">
        <v>819</v>
      </c>
      <c r="C718" s="445">
        <f>C719+C720</f>
        <v>20713000</v>
      </c>
      <c r="D718" s="469">
        <f>D719+D720</f>
        <v>21313000</v>
      </c>
      <c r="E718" s="469">
        <f>E719+E720</f>
        <v>19813000</v>
      </c>
      <c r="F718" s="470">
        <f>SUM(F719:F721)</f>
        <v>14585691</v>
      </c>
      <c r="G718" s="447">
        <f>SUM(G719:G721)</f>
        <v>23187000</v>
      </c>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c r="AP718"/>
      <c r="AQ718"/>
      <c r="AR718"/>
      <c r="AS718"/>
      <c r="AT718"/>
      <c r="AU718"/>
      <c r="AV718"/>
      <c r="AW718"/>
      <c r="AX718"/>
      <c r="AY718"/>
      <c r="AZ718"/>
      <c r="BA718"/>
      <c r="BB718"/>
      <c r="BC718"/>
      <c r="BD718"/>
      <c r="BE718"/>
      <c r="BF718"/>
      <c r="BG718"/>
      <c r="BH718"/>
      <c r="BI718"/>
      <c r="BJ718"/>
      <c r="BK718"/>
      <c r="BL718"/>
      <c r="BM718"/>
      <c r="BN718"/>
      <c r="BO718"/>
      <c r="BP718"/>
      <c r="BQ718"/>
      <c r="BR718"/>
      <c r="BS718"/>
      <c r="BT718"/>
      <c r="BU718"/>
      <c r="BV718"/>
      <c r="BW718"/>
      <c r="BX718"/>
      <c r="BY718"/>
      <c r="BZ718"/>
      <c r="CA718"/>
      <c r="CB718"/>
      <c r="CC718"/>
      <c r="CD718"/>
      <c r="CE718"/>
      <c r="CF718"/>
      <c r="CG718"/>
      <c r="CH718"/>
      <c r="CI718"/>
      <c r="CJ718"/>
      <c r="CK718"/>
      <c r="CL718"/>
      <c r="CM718"/>
      <c r="CN718"/>
      <c r="CO718"/>
      <c r="CP718"/>
      <c r="CQ718"/>
      <c r="CR718"/>
      <c r="CS718"/>
      <c r="CT718"/>
      <c r="CU718"/>
      <c r="CV718"/>
      <c r="CW718"/>
      <c r="CX718"/>
      <c r="CY718"/>
      <c r="CZ718"/>
      <c r="DA718"/>
      <c r="DB718"/>
      <c r="DC718"/>
      <c r="DD718"/>
      <c r="DE718"/>
      <c r="DF718"/>
      <c r="DG718"/>
      <c r="DH718"/>
      <c r="DI718"/>
      <c r="DJ718"/>
      <c r="DK718"/>
      <c r="DL718"/>
      <c r="DM718"/>
      <c r="DN718"/>
      <c r="DO718"/>
      <c r="DP718"/>
      <c r="DQ718"/>
      <c r="DR718"/>
      <c r="DS718"/>
      <c r="DT718"/>
      <c r="DU718"/>
      <c r="DV718"/>
      <c r="DW718"/>
      <c r="DX718"/>
      <c r="DY718"/>
      <c r="DZ718"/>
      <c r="EA718"/>
      <c r="EB718"/>
      <c r="EC718"/>
      <c r="ED718"/>
      <c r="EE718"/>
      <c r="EF718"/>
      <c r="EG718"/>
      <c r="EH718"/>
      <c r="EI718"/>
      <c r="EJ718"/>
      <c r="EK718"/>
      <c r="EL718"/>
      <c r="EM718"/>
      <c r="EN718"/>
      <c r="EO718"/>
      <c r="EP718"/>
      <c r="EQ718"/>
      <c r="ER718"/>
      <c r="ES718"/>
      <c r="ET718"/>
      <c r="EU718"/>
      <c r="EV718"/>
      <c r="EW718"/>
      <c r="EX718"/>
      <c r="EY718"/>
      <c r="EZ718"/>
      <c r="FA718"/>
      <c r="FB718"/>
      <c r="FC718"/>
      <c r="FD718"/>
      <c r="FE718"/>
      <c r="FF718"/>
      <c r="FG718"/>
      <c r="FH718"/>
      <c r="FI718"/>
      <c r="FJ718"/>
      <c r="FK718"/>
      <c r="FL718"/>
      <c r="FM718"/>
      <c r="FN718"/>
      <c r="FO718"/>
      <c r="FP718"/>
      <c r="FQ718"/>
      <c r="FR718"/>
      <c r="FS718"/>
      <c r="FT718"/>
      <c r="FU718"/>
      <c r="FV718"/>
      <c r="FW718"/>
      <c r="FX718"/>
      <c r="FY718"/>
      <c r="FZ718"/>
      <c r="GA718"/>
      <c r="GB718"/>
      <c r="GC718"/>
      <c r="GD718"/>
      <c r="GE718"/>
      <c r="GF718"/>
      <c r="GG718"/>
      <c r="GH718"/>
      <c r="GI718"/>
      <c r="GJ718"/>
      <c r="GK718"/>
      <c r="GL718"/>
      <c r="GM718"/>
      <c r="GN718"/>
      <c r="GO718"/>
      <c r="GP718"/>
      <c r="GQ718"/>
      <c r="GR718"/>
      <c r="GS718"/>
      <c r="GT718"/>
      <c r="GU718"/>
      <c r="GV718"/>
      <c r="GW718"/>
      <c r="GX718"/>
      <c r="GY718"/>
      <c r="GZ718"/>
      <c r="HA718"/>
      <c r="HB718"/>
      <c r="HC718"/>
      <c r="HD718"/>
      <c r="HE718"/>
      <c r="HF718"/>
      <c r="HG718"/>
      <c r="HH718"/>
      <c r="HI718"/>
      <c r="HJ718"/>
      <c r="HK718"/>
      <c r="HL718"/>
      <c r="HM718"/>
      <c r="HN718"/>
      <c r="HO718"/>
      <c r="HP718"/>
      <c r="HQ718"/>
      <c r="HR718"/>
      <c r="HS718"/>
      <c r="HT718"/>
      <c r="HU718"/>
      <c r="HV718"/>
      <c r="HW718"/>
      <c r="HX718"/>
      <c r="HY718"/>
      <c r="HZ718"/>
      <c r="IA718"/>
      <c r="IB718"/>
      <c r="IC718"/>
      <c r="ID718"/>
      <c r="IE718"/>
      <c r="IF718"/>
      <c r="IG718"/>
      <c r="IH718"/>
      <c r="II718"/>
      <c r="IJ718"/>
      <c r="IK718"/>
      <c r="IL718"/>
      <c r="IM718"/>
      <c r="IN718"/>
      <c r="IO718"/>
      <c r="IP718"/>
      <c r="IQ718"/>
      <c r="IR718"/>
      <c r="IS718"/>
      <c r="IT718"/>
      <c r="IU718"/>
      <c r="IV718"/>
    </row>
    <row r="719" spans="1:256" ht="12.75" hidden="1" customHeight="1" x14ac:dyDescent="0.2">
      <c r="A719" s="471"/>
      <c r="B719" s="472" t="s">
        <v>820</v>
      </c>
      <c r="C719" s="452">
        <f>21000000-300000</f>
        <v>20700000</v>
      </c>
      <c r="D719" s="454">
        <f>(21000000-300000)+600000</f>
        <v>21300000</v>
      </c>
      <c r="E719" s="468">
        <v>19800000</v>
      </c>
      <c r="F719" s="304">
        <v>14585691</v>
      </c>
      <c r="G719" s="113">
        <v>23142000</v>
      </c>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c r="AP719"/>
      <c r="AQ719"/>
      <c r="AR719"/>
      <c r="AS719"/>
      <c r="AT719"/>
      <c r="AU719"/>
      <c r="AV719"/>
      <c r="AW719"/>
      <c r="AX719"/>
      <c r="AY719"/>
      <c r="AZ719"/>
      <c r="BA719"/>
      <c r="BB719"/>
      <c r="BC719"/>
      <c r="BD719"/>
      <c r="BE719"/>
      <c r="BF719"/>
      <c r="BG719"/>
      <c r="BH719"/>
      <c r="BI719"/>
      <c r="BJ719"/>
      <c r="BK719"/>
      <c r="BL719"/>
      <c r="BM719"/>
      <c r="BN719"/>
      <c r="BO719"/>
      <c r="BP719"/>
      <c r="BQ719"/>
      <c r="BR719"/>
      <c r="BS719"/>
      <c r="BT719"/>
      <c r="BU719"/>
      <c r="BV719"/>
      <c r="BW719"/>
      <c r="BX719"/>
      <c r="BY719"/>
      <c r="BZ719"/>
      <c r="CA719"/>
      <c r="CB719"/>
      <c r="CC719"/>
      <c r="CD719"/>
      <c r="CE719"/>
      <c r="CF719"/>
      <c r="CG719"/>
      <c r="CH719"/>
      <c r="CI719"/>
      <c r="CJ719"/>
      <c r="CK719"/>
      <c r="CL719"/>
      <c r="CM719"/>
      <c r="CN719"/>
      <c r="CO719"/>
      <c r="CP719"/>
      <c r="CQ719"/>
      <c r="CR719"/>
      <c r="CS719"/>
      <c r="CT719"/>
      <c r="CU719"/>
      <c r="CV719"/>
      <c r="CW719"/>
      <c r="CX719"/>
      <c r="CY719"/>
      <c r="CZ719"/>
      <c r="DA719"/>
      <c r="DB719"/>
      <c r="DC719"/>
      <c r="DD719"/>
      <c r="DE719"/>
      <c r="DF719"/>
      <c r="DG719"/>
      <c r="DH719"/>
      <c r="DI719"/>
      <c r="DJ719"/>
      <c r="DK719"/>
      <c r="DL719"/>
      <c r="DM719"/>
      <c r="DN719"/>
      <c r="DO719"/>
      <c r="DP719"/>
      <c r="DQ719"/>
      <c r="DR719"/>
      <c r="DS719"/>
      <c r="DT719"/>
      <c r="DU719"/>
      <c r="DV719"/>
      <c r="DW719"/>
      <c r="DX719"/>
      <c r="DY719"/>
      <c r="DZ719"/>
      <c r="EA719"/>
      <c r="EB719"/>
      <c r="EC719"/>
      <c r="ED719"/>
      <c r="EE719"/>
      <c r="EF719"/>
      <c r="EG719"/>
      <c r="EH719"/>
      <c r="EI719"/>
      <c r="EJ719"/>
      <c r="EK719"/>
      <c r="EL719"/>
      <c r="EM719"/>
      <c r="EN719"/>
      <c r="EO719"/>
      <c r="EP719"/>
      <c r="EQ719"/>
      <c r="ER719"/>
      <c r="ES719"/>
      <c r="ET719"/>
      <c r="EU719"/>
      <c r="EV719"/>
      <c r="EW719"/>
      <c r="EX719"/>
      <c r="EY719"/>
      <c r="EZ719"/>
      <c r="FA719"/>
      <c r="FB719"/>
      <c r="FC719"/>
      <c r="FD719"/>
      <c r="FE719"/>
      <c r="FF719"/>
      <c r="FG719"/>
      <c r="FH719"/>
      <c r="FI719"/>
      <c r="FJ719"/>
      <c r="FK719"/>
      <c r="FL719"/>
      <c r="FM719"/>
      <c r="FN719"/>
      <c r="FO719"/>
      <c r="FP719"/>
      <c r="FQ719"/>
      <c r="FR719"/>
      <c r="FS719"/>
      <c r="FT719"/>
      <c r="FU719"/>
      <c r="FV719"/>
      <c r="FW719"/>
      <c r="FX719"/>
      <c r="FY719"/>
      <c r="FZ719"/>
      <c r="GA719"/>
      <c r="GB719"/>
      <c r="GC719"/>
      <c r="GD719"/>
      <c r="GE719"/>
      <c r="GF719"/>
      <c r="GG719"/>
      <c r="GH719"/>
      <c r="GI719"/>
      <c r="GJ719"/>
      <c r="GK719"/>
      <c r="GL719"/>
      <c r="GM719"/>
      <c r="GN719"/>
      <c r="GO719"/>
      <c r="GP719"/>
      <c r="GQ719"/>
      <c r="GR719"/>
      <c r="GS719"/>
      <c r="GT719"/>
      <c r="GU719"/>
      <c r="GV719"/>
      <c r="GW719"/>
      <c r="GX719"/>
      <c r="GY719"/>
      <c r="GZ719"/>
      <c r="HA719"/>
      <c r="HB719"/>
      <c r="HC719"/>
      <c r="HD719"/>
      <c r="HE719"/>
      <c r="HF719"/>
      <c r="HG719"/>
      <c r="HH719"/>
      <c r="HI719"/>
      <c r="HJ719"/>
      <c r="HK719"/>
      <c r="HL719"/>
      <c r="HM719"/>
      <c r="HN719"/>
      <c r="HO719"/>
      <c r="HP719"/>
      <c r="HQ719"/>
      <c r="HR719"/>
      <c r="HS719"/>
      <c r="HT719"/>
      <c r="HU719"/>
      <c r="HV719"/>
      <c r="HW719"/>
      <c r="HX719"/>
      <c r="HY719"/>
      <c r="HZ719"/>
      <c r="IA719"/>
      <c r="IB719"/>
      <c r="IC719"/>
      <c r="ID719"/>
      <c r="IE719"/>
      <c r="IF719"/>
      <c r="IG719"/>
      <c r="IH719"/>
      <c r="II719"/>
      <c r="IJ719"/>
      <c r="IK719"/>
      <c r="IL719"/>
      <c r="IM719"/>
      <c r="IN719"/>
      <c r="IO719"/>
      <c r="IP719"/>
      <c r="IQ719"/>
      <c r="IR719"/>
      <c r="IS719"/>
      <c r="IT719"/>
      <c r="IU719"/>
      <c r="IV719"/>
    </row>
    <row r="720" spans="1:256" ht="12.75" hidden="1" customHeight="1" x14ac:dyDescent="0.2">
      <c r="A720" s="471"/>
      <c r="B720" s="449" t="s">
        <v>821</v>
      </c>
      <c r="C720" s="452">
        <v>13000</v>
      </c>
      <c r="D720" s="454">
        <v>13000</v>
      </c>
      <c r="E720" s="468">
        <v>13000</v>
      </c>
      <c r="F720" s="304">
        <v>0</v>
      </c>
      <c r="G720" s="113">
        <v>13000</v>
      </c>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c r="AP720"/>
      <c r="AQ720"/>
      <c r="AR720"/>
      <c r="AS720"/>
      <c r="AT720"/>
      <c r="AU720"/>
      <c r="AV720"/>
      <c r="AW720"/>
      <c r="AX720"/>
      <c r="AY720"/>
      <c r="AZ720"/>
      <c r="BA720"/>
      <c r="BB720"/>
      <c r="BC720"/>
      <c r="BD720"/>
      <c r="BE720"/>
      <c r="BF720"/>
      <c r="BG720"/>
      <c r="BH720"/>
      <c r="BI720"/>
      <c r="BJ720"/>
      <c r="BK720"/>
      <c r="BL720"/>
      <c r="BM720"/>
      <c r="BN720"/>
      <c r="BO720"/>
      <c r="BP720"/>
      <c r="BQ720"/>
      <c r="BR720"/>
      <c r="BS720"/>
      <c r="BT720"/>
      <c r="BU720"/>
      <c r="BV720"/>
      <c r="BW720"/>
      <c r="BX720"/>
      <c r="BY720"/>
      <c r="BZ720"/>
      <c r="CA720"/>
      <c r="CB720"/>
      <c r="CC720"/>
      <c r="CD720"/>
      <c r="CE720"/>
      <c r="CF720"/>
      <c r="CG720"/>
      <c r="CH720"/>
      <c r="CI720"/>
      <c r="CJ720"/>
      <c r="CK720"/>
      <c r="CL720"/>
      <c r="CM720"/>
      <c r="CN720"/>
      <c r="CO720"/>
      <c r="CP720"/>
      <c r="CQ720"/>
      <c r="CR720"/>
      <c r="CS720"/>
      <c r="CT720"/>
      <c r="CU720"/>
      <c r="CV720"/>
      <c r="CW720"/>
      <c r="CX720"/>
      <c r="CY720"/>
      <c r="CZ720"/>
      <c r="DA720"/>
      <c r="DB720"/>
      <c r="DC720"/>
      <c r="DD720"/>
      <c r="DE720"/>
      <c r="DF720"/>
      <c r="DG720"/>
      <c r="DH720"/>
      <c r="DI720"/>
      <c r="DJ720"/>
      <c r="DK720"/>
      <c r="DL720"/>
      <c r="DM720"/>
      <c r="DN720"/>
      <c r="DO720"/>
      <c r="DP720"/>
      <c r="DQ720"/>
      <c r="DR720"/>
      <c r="DS720"/>
      <c r="DT720"/>
      <c r="DU720"/>
      <c r="DV720"/>
      <c r="DW720"/>
      <c r="DX720"/>
      <c r="DY720"/>
      <c r="DZ720"/>
      <c r="EA720"/>
      <c r="EB720"/>
      <c r="EC720"/>
      <c r="ED720"/>
      <c r="EE720"/>
      <c r="EF720"/>
      <c r="EG720"/>
      <c r="EH720"/>
      <c r="EI720"/>
      <c r="EJ720"/>
      <c r="EK720"/>
      <c r="EL720"/>
      <c r="EM720"/>
      <c r="EN720"/>
      <c r="EO720"/>
      <c r="EP720"/>
      <c r="EQ720"/>
      <c r="ER720"/>
      <c r="ES720"/>
      <c r="ET720"/>
      <c r="EU720"/>
      <c r="EV720"/>
      <c r="EW720"/>
      <c r="EX720"/>
      <c r="EY720"/>
      <c r="EZ720"/>
      <c r="FA720"/>
      <c r="FB720"/>
      <c r="FC720"/>
      <c r="FD720"/>
      <c r="FE720"/>
      <c r="FF720"/>
      <c r="FG720"/>
      <c r="FH720"/>
      <c r="FI720"/>
      <c r="FJ720"/>
      <c r="FK720"/>
      <c r="FL720"/>
      <c r="FM720"/>
      <c r="FN720"/>
      <c r="FO720"/>
      <c r="FP720"/>
      <c r="FQ720"/>
      <c r="FR720"/>
      <c r="FS720"/>
      <c r="FT720"/>
      <c r="FU720"/>
      <c r="FV720"/>
      <c r="FW720"/>
      <c r="FX720"/>
      <c r="FY720"/>
      <c r="FZ720"/>
      <c r="GA720"/>
      <c r="GB720"/>
      <c r="GC720"/>
      <c r="GD720"/>
      <c r="GE720"/>
      <c r="GF720"/>
      <c r="GG720"/>
      <c r="GH720"/>
      <c r="GI720"/>
      <c r="GJ720"/>
      <c r="GK720"/>
      <c r="GL720"/>
      <c r="GM720"/>
      <c r="GN720"/>
      <c r="GO720"/>
      <c r="GP720"/>
      <c r="GQ720"/>
      <c r="GR720"/>
      <c r="GS720"/>
      <c r="GT720"/>
      <c r="GU720"/>
      <c r="GV720"/>
      <c r="GW720"/>
      <c r="GX720"/>
      <c r="GY720"/>
      <c r="GZ720"/>
      <c r="HA720"/>
      <c r="HB720"/>
      <c r="HC720"/>
      <c r="HD720"/>
      <c r="HE720"/>
      <c r="HF720"/>
      <c r="HG720"/>
      <c r="HH720"/>
      <c r="HI720"/>
      <c r="HJ720"/>
      <c r="HK720"/>
      <c r="HL720"/>
      <c r="HM720"/>
      <c r="HN720"/>
      <c r="HO720"/>
      <c r="HP720"/>
      <c r="HQ720"/>
      <c r="HR720"/>
      <c r="HS720"/>
      <c r="HT720"/>
      <c r="HU720"/>
      <c r="HV720"/>
      <c r="HW720"/>
      <c r="HX720"/>
      <c r="HY720"/>
      <c r="HZ720"/>
      <c r="IA720"/>
      <c r="IB720"/>
      <c r="IC720"/>
      <c r="ID720"/>
      <c r="IE720"/>
      <c r="IF720"/>
      <c r="IG720"/>
      <c r="IH720"/>
      <c r="II720"/>
      <c r="IJ720"/>
      <c r="IK720"/>
      <c r="IL720"/>
      <c r="IM720"/>
      <c r="IN720"/>
      <c r="IO720"/>
      <c r="IP720"/>
      <c r="IQ720"/>
      <c r="IR720"/>
      <c r="IS720"/>
      <c r="IT720"/>
      <c r="IU720"/>
      <c r="IV720"/>
    </row>
    <row r="721" spans="1:256" ht="12.75" hidden="1" customHeight="1" x14ac:dyDescent="0.2">
      <c r="A721" s="471"/>
      <c r="B721" s="449" t="s">
        <v>822</v>
      </c>
      <c r="C721" s="452"/>
      <c r="D721" s="454"/>
      <c r="E721" s="468"/>
      <c r="F721" s="304"/>
      <c r="G721" s="113">
        <v>32000</v>
      </c>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c r="AP721"/>
      <c r="AQ721"/>
      <c r="AR721"/>
      <c r="AS721"/>
      <c r="AT721"/>
      <c r="AU721"/>
      <c r="AV721"/>
      <c r="AW721"/>
      <c r="AX721"/>
      <c r="AY721"/>
      <c r="AZ721"/>
      <c r="BA721"/>
      <c r="BB721"/>
      <c r="BC721"/>
      <c r="BD721"/>
      <c r="BE721"/>
      <c r="BF721"/>
      <c r="BG721"/>
      <c r="BH721"/>
      <c r="BI721"/>
      <c r="BJ721"/>
      <c r="BK721"/>
      <c r="BL721"/>
      <c r="BM721"/>
      <c r="BN721"/>
      <c r="BO721"/>
      <c r="BP721"/>
      <c r="BQ721"/>
      <c r="BR721"/>
      <c r="BS721"/>
      <c r="BT721"/>
      <c r="BU721"/>
      <c r="BV721"/>
      <c r="BW721"/>
      <c r="BX721"/>
      <c r="BY721"/>
      <c r="BZ721"/>
      <c r="CA721"/>
      <c r="CB721"/>
      <c r="CC721"/>
      <c r="CD721"/>
      <c r="CE721"/>
      <c r="CF721"/>
      <c r="CG721"/>
      <c r="CH721"/>
      <c r="CI721"/>
      <c r="CJ721"/>
      <c r="CK721"/>
      <c r="CL721"/>
      <c r="CM721"/>
      <c r="CN721"/>
      <c r="CO721"/>
      <c r="CP721"/>
      <c r="CQ721"/>
      <c r="CR721"/>
      <c r="CS721"/>
      <c r="CT721"/>
      <c r="CU721"/>
      <c r="CV721"/>
      <c r="CW721"/>
      <c r="CX721"/>
      <c r="CY721"/>
      <c r="CZ721"/>
      <c r="DA721"/>
      <c r="DB721"/>
      <c r="DC721"/>
      <c r="DD721"/>
      <c r="DE721"/>
      <c r="DF721"/>
      <c r="DG721"/>
      <c r="DH721"/>
      <c r="DI721"/>
      <c r="DJ721"/>
      <c r="DK721"/>
      <c r="DL721"/>
      <c r="DM721"/>
      <c r="DN721"/>
      <c r="DO721"/>
      <c r="DP721"/>
      <c r="DQ721"/>
      <c r="DR721"/>
      <c r="DS721"/>
      <c r="DT721"/>
      <c r="DU721"/>
      <c r="DV721"/>
      <c r="DW721"/>
      <c r="DX721"/>
      <c r="DY721"/>
      <c r="DZ721"/>
      <c r="EA721"/>
      <c r="EB721"/>
      <c r="EC721"/>
      <c r="ED721"/>
      <c r="EE721"/>
      <c r="EF721"/>
      <c r="EG721"/>
      <c r="EH721"/>
      <c r="EI721"/>
      <c r="EJ721"/>
      <c r="EK721"/>
      <c r="EL721"/>
      <c r="EM721"/>
      <c r="EN721"/>
      <c r="EO721"/>
      <c r="EP721"/>
      <c r="EQ721"/>
      <c r="ER721"/>
      <c r="ES721"/>
      <c r="ET721"/>
      <c r="EU721"/>
      <c r="EV721"/>
      <c r="EW721"/>
      <c r="EX721"/>
      <c r="EY721"/>
      <c r="EZ721"/>
      <c r="FA721"/>
      <c r="FB721"/>
      <c r="FC721"/>
      <c r="FD721"/>
      <c r="FE721"/>
      <c r="FF721"/>
      <c r="FG721"/>
      <c r="FH721"/>
      <c r="FI721"/>
      <c r="FJ721"/>
      <c r="FK721"/>
      <c r="FL721"/>
      <c r="FM721"/>
      <c r="FN721"/>
      <c r="FO721"/>
      <c r="FP721"/>
      <c r="FQ721"/>
      <c r="FR721"/>
      <c r="FS721"/>
      <c r="FT721"/>
      <c r="FU721"/>
      <c r="FV721"/>
      <c r="FW721"/>
      <c r="FX721"/>
      <c r="FY721"/>
      <c r="FZ721"/>
      <c r="GA721"/>
      <c r="GB721"/>
      <c r="GC721"/>
      <c r="GD721"/>
      <c r="GE721"/>
      <c r="GF721"/>
      <c r="GG721"/>
      <c r="GH721"/>
      <c r="GI721"/>
      <c r="GJ721"/>
      <c r="GK721"/>
      <c r="GL721"/>
      <c r="GM721"/>
      <c r="GN721"/>
      <c r="GO721"/>
      <c r="GP721"/>
      <c r="GQ721"/>
      <c r="GR721"/>
      <c r="GS721"/>
      <c r="GT721"/>
      <c r="GU721"/>
      <c r="GV721"/>
      <c r="GW721"/>
      <c r="GX721"/>
      <c r="GY721"/>
      <c r="GZ721"/>
      <c r="HA721"/>
      <c r="HB721"/>
      <c r="HC721"/>
      <c r="HD721"/>
      <c r="HE721"/>
      <c r="HF721"/>
      <c r="HG721"/>
      <c r="HH721"/>
      <c r="HI721"/>
      <c r="HJ721"/>
      <c r="HK721"/>
      <c r="HL721"/>
      <c r="HM721"/>
      <c r="HN721"/>
      <c r="HO721"/>
      <c r="HP721"/>
      <c r="HQ721"/>
      <c r="HR721"/>
      <c r="HS721"/>
      <c r="HT721"/>
      <c r="HU721"/>
      <c r="HV721"/>
      <c r="HW721"/>
      <c r="HX721"/>
      <c r="HY721"/>
      <c r="HZ721"/>
      <c r="IA721"/>
      <c r="IB721"/>
      <c r="IC721"/>
      <c r="ID721"/>
      <c r="IE721"/>
      <c r="IF721"/>
      <c r="IG721"/>
      <c r="IH721"/>
      <c r="II721"/>
      <c r="IJ721"/>
      <c r="IK721"/>
      <c r="IL721"/>
      <c r="IM721"/>
      <c r="IN721"/>
      <c r="IO721"/>
      <c r="IP721"/>
      <c r="IQ721"/>
      <c r="IR721"/>
      <c r="IS721"/>
      <c r="IT721"/>
      <c r="IU721"/>
      <c r="IV721"/>
    </row>
    <row r="722" spans="1:256" ht="12.75" hidden="1" customHeight="1" x14ac:dyDescent="0.2">
      <c r="A722" s="471"/>
      <c r="B722" s="473" t="s">
        <v>823</v>
      </c>
      <c r="C722" s="447">
        <f>C723+C726+C730</f>
        <v>61950000</v>
      </c>
      <c r="D722" s="469">
        <f>D723+D726+D730</f>
        <v>64950000</v>
      </c>
      <c r="E722" s="469">
        <f>E723+E726+E730</f>
        <v>65750000</v>
      </c>
      <c r="F722" s="470">
        <f>F723+F726+F730</f>
        <v>30990033.010000002</v>
      </c>
      <c r="G722" s="447">
        <f>G723+G726+G730</f>
        <v>12834000</v>
      </c>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c r="AP722"/>
      <c r="AQ722"/>
      <c r="AR722"/>
      <c r="AS722"/>
      <c r="AT722"/>
      <c r="AU722"/>
      <c r="AV722"/>
      <c r="AW722"/>
      <c r="AX722"/>
      <c r="AY722"/>
      <c r="AZ722"/>
      <c r="BA722"/>
      <c r="BB722"/>
      <c r="BC722"/>
      <c r="BD722"/>
      <c r="BE722"/>
      <c r="BF722"/>
      <c r="BG722"/>
      <c r="BH722"/>
      <c r="BI722"/>
      <c r="BJ722"/>
      <c r="BK722"/>
      <c r="BL722"/>
      <c r="BM722"/>
      <c r="BN722"/>
      <c r="BO722"/>
      <c r="BP722"/>
      <c r="BQ722"/>
      <c r="BR722"/>
      <c r="BS722"/>
      <c r="BT722"/>
      <c r="BU722"/>
      <c r="BV722"/>
      <c r="BW722"/>
      <c r="BX722"/>
      <c r="BY722"/>
      <c r="BZ722"/>
      <c r="CA722"/>
      <c r="CB722"/>
      <c r="CC722"/>
      <c r="CD722"/>
      <c r="CE722"/>
      <c r="CF722"/>
      <c r="CG722"/>
      <c r="CH722"/>
      <c r="CI722"/>
      <c r="CJ722"/>
      <c r="CK722"/>
      <c r="CL722"/>
      <c r="CM722"/>
      <c r="CN722"/>
      <c r="CO722"/>
      <c r="CP722"/>
      <c r="CQ722"/>
      <c r="CR722"/>
      <c r="CS722"/>
      <c r="CT722"/>
      <c r="CU722"/>
      <c r="CV722"/>
      <c r="CW722"/>
      <c r="CX722"/>
      <c r="CY722"/>
      <c r="CZ722"/>
      <c r="DA722"/>
      <c r="DB722"/>
      <c r="DC722"/>
      <c r="DD722"/>
      <c r="DE722"/>
      <c r="DF722"/>
      <c r="DG722"/>
      <c r="DH722"/>
      <c r="DI722"/>
      <c r="DJ722"/>
      <c r="DK722"/>
      <c r="DL722"/>
      <c r="DM722"/>
      <c r="DN722"/>
      <c r="DO722"/>
      <c r="DP722"/>
      <c r="DQ722"/>
      <c r="DR722"/>
      <c r="DS722"/>
      <c r="DT722"/>
      <c r="DU722"/>
      <c r="DV722"/>
      <c r="DW722"/>
      <c r="DX722"/>
      <c r="DY722"/>
      <c r="DZ722"/>
      <c r="EA722"/>
      <c r="EB722"/>
      <c r="EC722"/>
      <c r="ED722"/>
      <c r="EE722"/>
      <c r="EF722"/>
      <c r="EG722"/>
      <c r="EH722"/>
      <c r="EI722"/>
      <c r="EJ722"/>
      <c r="EK722"/>
      <c r="EL722"/>
      <c r="EM722"/>
      <c r="EN722"/>
      <c r="EO722"/>
      <c r="EP722"/>
      <c r="EQ722"/>
      <c r="ER722"/>
      <c r="ES722"/>
      <c r="ET722"/>
      <c r="EU722"/>
      <c r="EV722"/>
      <c r="EW722"/>
      <c r="EX722"/>
      <c r="EY722"/>
      <c r="EZ722"/>
      <c r="FA722"/>
      <c r="FB722"/>
      <c r="FC722"/>
      <c r="FD722"/>
      <c r="FE722"/>
      <c r="FF722"/>
      <c r="FG722"/>
      <c r="FH722"/>
      <c r="FI722"/>
      <c r="FJ722"/>
      <c r="FK722"/>
      <c r="FL722"/>
      <c r="FM722"/>
      <c r="FN722"/>
      <c r="FO722"/>
      <c r="FP722"/>
      <c r="FQ722"/>
      <c r="FR722"/>
      <c r="FS722"/>
      <c r="FT722"/>
      <c r="FU722"/>
      <c r="FV722"/>
      <c r="FW722"/>
      <c r="FX722"/>
      <c r="FY722"/>
      <c r="FZ722"/>
      <c r="GA722"/>
      <c r="GB722"/>
      <c r="GC722"/>
      <c r="GD722"/>
      <c r="GE722"/>
      <c r="GF722"/>
      <c r="GG722"/>
      <c r="GH722"/>
      <c r="GI722"/>
      <c r="GJ722"/>
      <c r="GK722"/>
      <c r="GL722"/>
      <c r="GM722"/>
      <c r="GN722"/>
      <c r="GO722"/>
      <c r="GP722"/>
      <c r="GQ722"/>
      <c r="GR722"/>
      <c r="GS722"/>
      <c r="GT722"/>
      <c r="GU722"/>
      <c r="GV722"/>
      <c r="GW722"/>
      <c r="GX722"/>
      <c r="GY722"/>
      <c r="GZ722"/>
      <c r="HA722"/>
      <c r="HB722"/>
      <c r="HC722"/>
      <c r="HD722"/>
      <c r="HE722"/>
      <c r="HF722"/>
      <c r="HG722"/>
      <c r="HH722"/>
      <c r="HI722"/>
      <c r="HJ722"/>
      <c r="HK722"/>
      <c r="HL722"/>
      <c r="HM722"/>
      <c r="HN722"/>
      <c r="HO722"/>
      <c r="HP722"/>
      <c r="HQ722"/>
      <c r="HR722"/>
      <c r="HS722"/>
      <c r="HT722"/>
      <c r="HU722"/>
      <c r="HV722"/>
      <c r="HW722"/>
      <c r="HX722"/>
      <c r="HY722"/>
      <c r="HZ722"/>
      <c r="IA722"/>
      <c r="IB722"/>
      <c r="IC722"/>
      <c r="ID722"/>
      <c r="IE722"/>
      <c r="IF722"/>
      <c r="IG722"/>
      <c r="IH722"/>
      <c r="II722"/>
      <c r="IJ722"/>
      <c r="IK722"/>
      <c r="IL722"/>
      <c r="IM722"/>
      <c r="IN722"/>
      <c r="IO722"/>
      <c r="IP722"/>
      <c r="IQ722"/>
      <c r="IR722"/>
      <c r="IS722"/>
      <c r="IT722"/>
      <c r="IU722"/>
      <c r="IV722"/>
    </row>
    <row r="723" spans="1:256" ht="12.75" hidden="1" customHeight="1" x14ac:dyDescent="0.2">
      <c r="A723" s="471"/>
      <c r="B723" s="449" t="s">
        <v>807</v>
      </c>
      <c r="C723" s="450">
        <f>C724</f>
        <v>52000000</v>
      </c>
      <c r="D723" s="454">
        <f>D724</f>
        <v>55000000</v>
      </c>
      <c r="E723" s="468">
        <v>56800000</v>
      </c>
      <c r="F723" s="470">
        <f>SUM(F724:F725)</f>
        <v>25198915.960000001</v>
      </c>
      <c r="G723" s="450">
        <f>SUM(G724:G725)</f>
        <v>800000</v>
      </c>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c r="AP723"/>
      <c r="AQ723"/>
      <c r="AR723"/>
      <c r="AS723"/>
      <c r="AT723"/>
      <c r="AU723"/>
      <c r="AV723"/>
      <c r="AW723"/>
      <c r="AX723"/>
      <c r="AY723"/>
      <c r="AZ723"/>
      <c r="BA723"/>
      <c r="BB723"/>
      <c r="BC723"/>
      <c r="BD723"/>
      <c r="BE723"/>
      <c r="BF723"/>
      <c r="BG723"/>
      <c r="BH723"/>
      <c r="BI723"/>
      <c r="BJ723"/>
      <c r="BK723"/>
      <c r="BL723"/>
      <c r="BM723"/>
      <c r="BN723"/>
      <c r="BO723"/>
      <c r="BP723"/>
      <c r="BQ723"/>
      <c r="BR723"/>
      <c r="BS723"/>
      <c r="BT723"/>
      <c r="BU723"/>
      <c r="BV723"/>
      <c r="BW723"/>
      <c r="BX723"/>
      <c r="BY723"/>
      <c r="BZ723"/>
      <c r="CA723"/>
      <c r="CB723"/>
      <c r="CC723"/>
      <c r="CD723"/>
      <c r="CE723"/>
      <c r="CF723"/>
      <c r="CG723"/>
      <c r="CH723"/>
      <c r="CI723"/>
      <c r="CJ723"/>
      <c r="CK723"/>
      <c r="CL723"/>
      <c r="CM723"/>
      <c r="CN723"/>
      <c r="CO723"/>
      <c r="CP723"/>
      <c r="CQ723"/>
      <c r="CR723"/>
      <c r="CS723"/>
      <c r="CT723"/>
      <c r="CU723"/>
      <c r="CV723"/>
      <c r="CW723"/>
      <c r="CX723"/>
      <c r="CY723"/>
      <c r="CZ723"/>
      <c r="DA723"/>
      <c r="DB723"/>
      <c r="DC723"/>
      <c r="DD723"/>
      <c r="DE723"/>
      <c r="DF723"/>
      <c r="DG723"/>
      <c r="DH723"/>
      <c r="DI723"/>
      <c r="DJ723"/>
      <c r="DK723"/>
      <c r="DL723"/>
      <c r="DM723"/>
      <c r="DN723"/>
      <c r="DO723"/>
      <c r="DP723"/>
      <c r="DQ723"/>
      <c r="DR723"/>
      <c r="DS723"/>
      <c r="DT723"/>
      <c r="DU723"/>
      <c r="DV723"/>
      <c r="DW723"/>
      <c r="DX723"/>
      <c r="DY723"/>
      <c r="DZ723"/>
      <c r="EA723"/>
      <c r="EB723"/>
      <c r="EC723"/>
      <c r="ED723"/>
      <c r="EE723"/>
      <c r="EF723"/>
      <c r="EG723"/>
      <c r="EH723"/>
      <c r="EI723"/>
      <c r="EJ723"/>
      <c r="EK723"/>
      <c r="EL723"/>
      <c r="EM723"/>
      <c r="EN723"/>
      <c r="EO723"/>
      <c r="EP723"/>
      <c r="EQ723"/>
      <c r="ER723"/>
      <c r="ES723"/>
      <c r="ET723"/>
      <c r="EU723"/>
      <c r="EV723"/>
      <c r="EW723"/>
      <c r="EX723"/>
      <c r="EY723"/>
      <c r="EZ723"/>
      <c r="FA723"/>
      <c r="FB723"/>
      <c r="FC723"/>
      <c r="FD723"/>
      <c r="FE723"/>
      <c r="FF723"/>
      <c r="FG723"/>
      <c r="FH723"/>
      <c r="FI723"/>
      <c r="FJ723"/>
      <c r="FK723"/>
      <c r="FL723"/>
      <c r="FM723"/>
      <c r="FN723"/>
      <c r="FO723"/>
      <c r="FP723"/>
      <c r="FQ723"/>
      <c r="FR723"/>
      <c r="FS723"/>
      <c r="FT723"/>
      <c r="FU723"/>
      <c r="FV723"/>
      <c r="FW723"/>
      <c r="FX723"/>
      <c r="FY723"/>
      <c r="FZ723"/>
      <c r="GA723"/>
      <c r="GB723"/>
      <c r="GC723"/>
      <c r="GD723"/>
      <c r="GE723"/>
      <c r="GF723"/>
      <c r="GG723"/>
      <c r="GH723"/>
      <c r="GI723"/>
      <c r="GJ723"/>
      <c r="GK723"/>
      <c r="GL723"/>
      <c r="GM723"/>
      <c r="GN723"/>
      <c r="GO723"/>
      <c r="GP723"/>
      <c r="GQ723"/>
      <c r="GR723"/>
      <c r="GS723"/>
      <c r="GT723"/>
      <c r="GU723"/>
      <c r="GV723"/>
      <c r="GW723"/>
      <c r="GX723"/>
      <c r="GY723"/>
      <c r="GZ723"/>
      <c r="HA723"/>
      <c r="HB723"/>
      <c r="HC723"/>
      <c r="HD723"/>
      <c r="HE723"/>
      <c r="HF723"/>
      <c r="HG723"/>
      <c r="HH723"/>
      <c r="HI723"/>
      <c r="HJ723"/>
      <c r="HK723"/>
      <c r="HL723"/>
      <c r="HM723"/>
      <c r="HN723"/>
      <c r="HO723"/>
      <c r="HP723"/>
      <c r="HQ723"/>
      <c r="HR723"/>
      <c r="HS723"/>
      <c r="HT723"/>
      <c r="HU723"/>
      <c r="HV723"/>
      <c r="HW723"/>
      <c r="HX723"/>
      <c r="HY723"/>
      <c r="HZ723"/>
      <c r="IA723"/>
      <c r="IB723"/>
      <c r="IC723"/>
      <c r="ID723"/>
      <c r="IE723"/>
      <c r="IF723"/>
      <c r="IG723"/>
      <c r="IH723"/>
      <c r="II723"/>
      <c r="IJ723"/>
      <c r="IK723"/>
      <c r="IL723"/>
      <c r="IM723"/>
      <c r="IN723"/>
      <c r="IO723"/>
      <c r="IP723"/>
      <c r="IQ723"/>
      <c r="IR723"/>
      <c r="IS723"/>
      <c r="IT723"/>
      <c r="IU723"/>
      <c r="IV723"/>
    </row>
    <row r="724" spans="1:256" ht="12.75" hidden="1" customHeight="1" x14ac:dyDescent="0.2">
      <c r="A724" s="471"/>
      <c r="B724" s="453" t="s">
        <v>824</v>
      </c>
      <c r="C724" s="452">
        <v>52000000</v>
      </c>
      <c r="D724" s="454">
        <f>52000000+3000000</f>
        <v>55000000</v>
      </c>
      <c r="E724" s="468">
        <v>56800000</v>
      </c>
      <c r="F724" s="304">
        <v>25198915.960000001</v>
      </c>
      <c r="G724" s="113">
        <v>0</v>
      </c>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c r="AP724"/>
      <c r="AQ724"/>
      <c r="AR724"/>
      <c r="AS724"/>
      <c r="AT724"/>
      <c r="AU724"/>
      <c r="AV724"/>
      <c r="AW724"/>
      <c r="AX724"/>
      <c r="AY724"/>
      <c r="AZ724"/>
      <c r="BA724"/>
      <c r="BB724"/>
      <c r="BC724"/>
      <c r="BD724"/>
      <c r="BE724"/>
      <c r="BF724"/>
      <c r="BG724"/>
      <c r="BH724"/>
      <c r="BI724"/>
      <c r="BJ724"/>
      <c r="BK724"/>
      <c r="BL724"/>
      <c r="BM724"/>
      <c r="BN724"/>
      <c r="BO724"/>
      <c r="BP724"/>
      <c r="BQ724"/>
      <c r="BR724"/>
      <c r="BS724"/>
      <c r="BT724"/>
      <c r="BU724"/>
      <c r="BV724"/>
      <c r="BW724"/>
      <c r="BX724"/>
      <c r="BY724"/>
      <c r="BZ724"/>
      <c r="CA724"/>
      <c r="CB724"/>
      <c r="CC724"/>
      <c r="CD724"/>
      <c r="CE724"/>
      <c r="CF724"/>
      <c r="CG724"/>
      <c r="CH724"/>
      <c r="CI724"/>
      <c r="CJ724"/>
      <c r="CK724"/>
      <c r="CL724"/>
      <c r="CM724"/>
      <c r="CN724"/>
      <c r="CO724"/>
      <c r="CP724"/>
      <c r="CQ724"/>
      <c r="CR724"/>
      <c r="CS724"/>
      <c r="CT724"/>
      <c r="CU724"/>
      <c r="CV724"/>
      <c r="CW724"/>
      <c r="CX724"/>
      <c r="CY724"/>
      <c r="CZ724"/>
      <c r="DA724"/>
      <c r="DB724"/>
      <c r="DC724"/>
      <c r="DD724"/>
      <c r="DE724"/>
      <c r="DF724"/>
      <c r="DG724"/>
      <c r="DH724"/>
      <c r="DI724"/>
      <c r="DJ724"/>
      <c r="DK724"/>
      <c r="DL724"/>
      <c r="DM724"/>
      <c r="DN724"/>
      <c r="DO724"/>
      <c r="DP724"/>
      <c r="DQ724"/>
      <c r="DR724"/>
      <c r="DS724"/>
      <c r="DT724"/>
      <c r="DU724"/>
      <c r="DV724"/>
      <c r="DW724"/>
      <c r="DX724"/>
      <c r="DY724"/>
      <c r="DZ724"/>
      <c r="EA724"/>
      <c r="EB724"/>
      <c r="EC724"/>
      <c r="ED724"/>
      <c r="EE724"/>
      <c r="EF724"/>
      <c r="EG724"/>
      <c r="EH724"/>
      <c r="EI724"/>
      <c r="EJ724"/>
      <c r="EK724"/>
      <c r="EL724"/>
      <c r="EM724"/>
      <c r="EN724"/>
      <c r="EO724"/>
      <c r="EP724"/>
      <c r="EQ724"/>
      <c r="ER724"/>
      <c r="ES724"/>
      <c r="ET724"/>
      <c r="EU724"/>
      <c r="EV724"/>
      <c r="EW724"/>
      <c r="EX724"/>
      <c r="EY724"/>
      <c r="EZ724"/>
      <c r="FA724"/>
      <c r="FB724"/>
      <c r="FC724"/>
      <c r="FD724"/>
      <c r="FE724"/>
      <c r="FF724"/>
      <c r="FG724"/>
      <c r="FH724"/>
      <c r="FI724"/>
      <c r="FJ724"/>
      <c r="FK724"/>
      <c r="FL724"/>
      <c r="FM724"/>
      <c r="FN724"/>
      <c r="FO724"/>
      <c r="FP724"/>
      <c r="FQ724"/>
      <c r="FR724"/>
      <c r="FS724"/>
      <c r="FT724"/>
      <c r="FU724"/>
      <c r="FV724"/>
      <c r="FW724"/>
      <c r="FX724"/>
      <c r="FY724"/>
      <c r="FZ724"/>
      <c r="GA724"/>
      <c r="GB724"/>
      <c r="GC724"/>
      <c r="GD724"/>
      <c r="GE724"/>
      <c r="GF724"/>
      <c r="GG724"/>
      <c r="GH724"/>
      <c r="GI724"/>
      <c r="GJ724"/>
      <c r="GK724"/>
      <c r="GL724"/>
      <c r="GM724"/>
      <c r="GN724"/>
      <c r="GO724"/>
      <c r="GP724"/>
      <c r="GQ724"/>
      <c r="GR724"/>
      <c r="GS724"/>
      <c r="GT724"/>
      <c r="GU724"/>
      <c r="GV724"/>
      <c r="GW724"/>
      <c r="GX724"/>
      <c r="GY724"/>
      <c r="GZ724"/>
      <c r="HA724"/>
      <c r="HB724"/>
      <c r="HC724"/>
      <c r="HD724"/>
      <c r="HE724"/>
      <c r="HF724"/>
      <c r="HG724"/>
      <c r="HH724"/>
      <c r="HI724"/>
      <c r="HJ724"/>
      <c r="HK724"/>
      <c r="HL724"/>
      <c r="HM724"/>
      <c r="HN724"/>
      <c r="HO724"/>
      <c r="HP724"/>
      <c r="HQ724"/>
      <c r="HR724"/>
      <c r="HS724"/>
      <c r="HT724"/>
      <c r="HU724"/>
      <c r="HV724"/>
      <c r="HW724"/>
      <c r="HX724"/>
      <c r="HY724"/>
      <c r="HZ724"/>
      <c r="IA724"/>
      <c r="IB724"/>
      <c r="IC724"/>
      <c r="ID724"/>
      <c r="IE724"/>
      <c r="IF724"/>
      <c r="IG724"/>
      <c r="IH724"/>
      <c r="II724"/>
      <c r="IJ724"/>
      <c r="IK724"/>
      <c r="IL724"/>
      <c r="IM724"/>
      <c r="IN724"/>
      <c r="IO724"/>
      <c r="IP724"/>
      <c r="IQ724"/>
      <c r="IR724"/>
      <c r="IS724"/>
      <c r="IT724"/>
      <c r="IU724"/>
      <c r="IV724"/>
    </row>
    <row r="725" spans="1:256" ht="12.75" hidden="1" customHeight="1" x14ac:dyDescent="0.2">
      <c r="A725" s="471"/>
      <c r="B725" s="474" t="s">
        <v>825</v>
      </c>
      <c r="C725" s="452"/>
      <c r="D725" s="454"/>
      <c r="E725" s="455"/>
      <c r="F725" s="304"/>
      <c r="G725" s="113">
        <v>800000</v>
      </c>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c r="AP725"/>
      <c r="AQ725"/>
      <c r="AR725"/>
      <c r="AS725"/>
      <c r="AT725"/>
      <c r="AU725"/>
      <c r="AV725"/>
      <c r="AW725"/>
      <c r="AX725"/>
      <c r="AY725"/>
      <c r="AZ725"/>
      <c r="BA725"/>
      <c r="BB725"/>
      <c r="BC725"/>
      <c r="BD725"/>
      <c r="BE725"/>
      <c r="BF725"/>
      <c r="BG725"/>
      <c r="BH725"/>
      <c r="BI725"/>
      <c r="BJ725"/>
      <c r="BK725"/>
      <c r="BL725"/>
      <c r="BM725"/>
      <c r="BN725"/>
      <c r="BO725"/>
      <c r="BP725"/>
      <c r="BQ725"/>
      <c r="BR725"/>
      <c r="BS725"/>
      <c r="BT725"/>
      <c r="BU725"/>
      <c r="BV725"/>
      <c r="BW725"/>
      <c r="BX725"/>
      <c r="BY725"/>
      <c r="BZ725"/>
      <c r="CA725"/>
      <c r="CB725"/>
      <c r="CC725"/>
      <c r="CD725"/>
      <c r="CE725"/>
      <c r="CF725"/>
      <c r="CG725"/>
      <c r="CH725"/>
      <c r="CI725"/>
      <c r="CJ725"/>
      <c r="CK725"/>
      <c r="CL725"/>
      <c r="CM725"/>
      <c r="CN725"/>
      <c r="CO725"/>
      <c r="CP725"/>
      <c r="CQ725"/>
      <c r="CR725"/>
      <c r="CS725"/>
      <c r="CT725"/>
      <c r="CU725"/>
      <c r="CV725"/>
      <c r="CW725"/>
      <c r="CX725"/>
      <c r="CY725"/>
      <c r="CZ725"/>
      <c r="DA725"/>
      <c r="DB725"/>
      <c r="DC725"/>
      <c r="DD725"/>
      <c r="DE725"/>
      <c r="DF725"/>
      <c r="DG725"/>
      <c r="DH725"/>
      <c r="DI725"/>
      <c r="DJ725"/>
      <c r="DK725"/>
      <c r="DL725"/>
      <c r="DM725"/>
      <c r="DN725"/>
      <c r="DO725"/>
      <c r="DP725"/>
      <c r="DQ725"/>
      <c r="DR725"/>
      <c r="DS725"/>
      <c r="DT725"/>
      <c r="DU725"/>
      <c r="DV725"/>
      <c r="DW725"/>
      <c r="DX725"/>
      <c r="DY725"/>
      <c r="DZ725"/>
      <c r="EA725"/>
      <c r="EB725"/>
      <c r="EC725"/>
      <c r="ED725"/>
      <c r="EE725"/>
      <c r="EF725"/>
      <c r="EG725"/>
      <c r="EH725"/>
      <c r="EI725"/>
      <c r="EJ725"/>
      <c r="EK725"/>
      <c r="EL725"/>
      <c r="EM725"/>
      <c r="EN725"/>
      <c r="EO725"/>
      <c r="EP725"/>
      <c r="EQ725"/>
      <c r="ER725"/>
      <c r="ES725"/>
      <c r="ET725"/>
      <c r="EU725"/>
      <c r="EV725"/>
      <c r="EW725"/>
      <c r="EX725"/>
      <c r="EY725"/>
      <c r="EZ725"/>
      <c r="FA725"/>
      <c r="FB725"/>
      <c r="FC725"/>
      <c r="FD725"/>
      <c r="FE725"/>
      <c r="FF725"/>
      <c r="FG725"/>
      <c r="FH725"/>
      <c r="FI725"/>
      <c r="FJ725"/>
      <c r="FK725"/>
      <c r="FL725"/>
      <c r="FM725"/>
      <c r="FN725"/>
      <c r="FO725"/>
      <c r="FP725"/>
      <c r="FQ725"/>
      <c r="FR725"/>
      <c r="FS725"/>
      <c r="FT725"/>
      <c r="FU725"/>
      <c r="FV725"/>
      <c r="FW725"/>
      <c r="FX725"/>
      <c r="FY725"/>
      <c r="FZ725"/>
      <c r="GA725"/>
      <c r="GB725"/>
      <c r="GC725"/>
      <c r="GD725"/>
      <c r="GE725"/>
      <c r="GF725"/>
      <c r="GG725"/>
      <c r="GH725"/>
      <c r="GI725"/>
      <c r="GJ725"/>
      <c r="GK725"/>
      <c r="GL725"/>
      <c r="GM725"/>
      <c r="GN725"/>
      <c r="GO725"/>
      <c r="GP725"/>
      <c r="GQ725"/>
      <c r="GR725"/>
      <c r="GS725"/>
      <c r="GT725"/>
      <c r="GU725"/>
      <c r="GV725"/>
      <c r="GW725"/>
      <c r="GX725"/>
      <c r="GY725"/>
      <c r="GZ725"/>
      <c r="HA725"/>
      <c r="HB725"/>
      <c r="HC725"/>
      <c r="HD725"/>
      <c r="HE725"/>
      <c r="HF725"/>
      <c r="HG725"/>
      <c r="HH725"/>
      <c r="HI725"/>
      <c r="HJ725"/>
      <c r="HK725"/>
      <c r="HL725"/>
      <c r="HM725"/>
      <c r="HN725"/>
      <c r="HO725"/>
      <c r="HP725"/>
      <c r="HQ725"/>
      <c r="HR725"/>
      <c r="HS725"/>
      <c r="HT725"/>
      <c r="HU725"/>
      <c r="HV725"/>
      <c r="HW725"/>
      <c r="HX725"/>
      <c r="HY725"/>
      <c r="HZ725"/>
      <c r="IA725"/>
      <c r="IB725"/>
      <c r="IC725"/>
      <c r="ID725"/>
      <c r="IE725"/>
      <c r="IF725"/>
      <c r="IG725"/>
      <c r="IH725"/>
      <c r="II725"/>
      <c r="IJ725"/>
      <c r="IK725"/>
      <c r="IL725"/>
      <c r="IM725"/>
      <c r="IN725"/>
      <c r="IO725"/>
      <c r="IP725"/>
      <c r="IQ725"/>
      <c r="IR725"/>
      <c r="IS725"/>
      <c r="IT725"/>
      <c r="IU725"/>
      <c r="IV725"/>
    </row>
    <row r="726" spans="1:256" ht="12.75" hidden="1" customHeight="1" x14ac:dyDescent="0.2">
      <c r="A726" s="471"/>
      <c r="B726" s="449" t="s">
        <v>819</v>
      </c>
      <c r="C726" s="452">
        <f>C727</f>
        <v>9450000</v>
      </c>
      <c r="D726" s="454">
        <f>D727</f>
        <v>9450000</v>
      </c>
      <c r="E726" s="455">
        <v>8450000</v>
      </c>
      <c r="F726" s="470">
        <f>F727</f>
        <v>5573946.25</v>
      </c>
      <c r="G726" s="452">
        <f>SUM(G727:G729)</f>
        <v>9884000</v>
      </c>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c r="AP726"/>
      <c r="AQ726"/>
      <c r="AR726"/>
      <c r="AS726"/>
      <c r="AT726"/>
      <c r="AU726"/>
      <c r="AV726"/>
      <c r="AW726"/>
      <c r="AX726"/>
      <c r="AY726"/>
      <c r="AZ726"/>
      <c r="BA726"/>
      <c r="BB726"/>
      <c r="BC726"/>
      <c r="BD726"/>
      <c r="BE726"/>
      <c r="BF726"/>
      <c r="BG726"/>
      <c r="BH726"/>
      <c r="BI726"/>
      <c r="BJ726"/>
      <c r="BK726"/>
      <c r="BL726"/>
      <c r="BM726"/>
      <c r="BN726"/>
      <c r="BO726"/>
      <c r="BP726"/>
      <c r="BQ726"/>
      <c r="BR726"/>
      <c r="BS726"/>
      <c r="BT726"/>
      <c r="BU726"/>
      <c r="BV726"/>
      <c r="BW726"/>
      <c r="BX726"/>
      <c r="BY726"/>
      <c r="BZ726"/>
      <c r="CA726"/>
      <c r="CB726"/>
      <c r="CC726"/>
      <c r="CD726"/>
      <c r="CE726"/>
      <c r="CF726"/>
      <c r="CG726"/>
      <c r="CH726"/>
      <c r="CI726"/>
      <c r="CJ726"/>
      <c r="CK726"/>
      <c r="CL726"/>
      <c r="CM726"/>
      <c r="CN726"/>
      <c r="CO726"/>
      <c r="CP726"/>
      <c r="CQ726"/>
      <c r="CR726"/>
      <c r="CS726"/>
      <c r="CT726"/>
      <c r="CU726"/>
      <c r="CV726"/>
      <c r="CW726"/>
      <c r="CX726"/>
      <c r="CY726"/>
      <c r="CZ726"/>
      <c r="DA726"/>
      <c r="DB726"/>
      <c r="DC726"/>
      <c r="DD726"/>
      <c r="DE726"/>
      <c r="DF726"/>
      <c r="DG726"/>
      <c r="DH726"/>
      <c r="DI726"/>
      <c r="DJ726"/>
      <c r="DK726"/>
      <c r="DL726"/>
      <c r="DM726"/>
      <c r="DN726"/>
      <c r="DO726"/>
      <c r="DP726"/>
      <c r="DQ726"/>
      <c r="DR726"/>
      <c r="DS726"/>
      <c r="DT726"/>
      <c r="DU726"/>
      <c r="DV726"/>
      <c r="DW726"/>
      <c r="DX726"/>
      <c r="DY726"/>
      <c r="DZ726"/>
      <c r="EA726"/>
      <c r="EB726"/>
      <c r="EC726"/>
      <c r="ED726"/>
      <c r="EE726"/>
      <c r="EF726"/>
      <c r="EG726"/>
      <c r="EH726"/>
      <c r="EI726"/>
      <c r="EJ726"/>
      <c r="EK726"/>
      <c r="EL726"/>
      <c r="EM726"/>
      <c r="EN726"/>
      <c r="EO726"/>
      <c r="EP726"/>
      <c r="EQ726"/>
      <c r="ER726"/>
      <c r="ES726"/>
      <c r="ET726"/>
      <c r="EU726"/>
      <c r="EV726"/>
      <c r="EW726"/>
      <c r="EX726"/>
      <c r="EY726"/>
      <c r="EZ726"/>
      <c r="FA726"/>
      <c r="FB726"/>
      <c r="FC726"/>
      <c r="FD726"/>
      <c r="FE726"/>
      <c r="FF726"/>
      <c r="FG726"/>
      <c r="FH726"/>
      <c r="FI726"/>
      <c r="FJ726"/>
      <c r="FK726"/>
      <c r="FL726"/>
      <c r="FM726"/>
      <c r="FN726"/>
      <c r="FO726"/>
      <c r="FP726"/>
      <c r="FQ726"/>
      <c r="FR726"/>
      <c r="FS726"/>
      <c r="FT726"/>
      <c r="FU726"/>
      <c r="FV726"/>
      <c r="FW726"/>
      <c r="FX726"/>
      <c r="FY726"/>
      <c r="FZ726"/>
      <c r="GA726"/>
      <c r="GB726"/>
      <c r="GC726"/>
      <c r="GD726"/>
      <c r="GE726"/>
      <c r="GF726"/>
      <c r="GG726"/>
      <c r="GH726"/>
      <c r="GI726"/>
      <c r="GJ726"/>
      <c r="GK726"/>
      <c r="GL726"/>
      <c r="GM726"/>
      <c r="GN726"/>
      <c r="GO726"/>
      <c r="GP726"/>
      <c r="GQ726"/>
      <c r="GR726"/>
      <c r="GS726"/>
      <c r="GT726"/>
      <c r="GU726"/>
      <c r="GV726"/>
      <c r="GW726"/>
      <c r="GX726"/>
      <c r="GY726"/>
      <c r="GZ726"/>
      <c r="HA726"/>
      <c r="HB726"/>
      <c r="HC726"/>
      <c r="HD726"/>
      <c r="HE726"/>
      <c r="HF726"/>
      <c r="HG726"/>
      <c r="HH726"/>
      <c r="HI726"/>
      <c r="HJ726"/>
      <c r="HK726"/>
      <c r="HL726"/>
      <c r="HM726"/>
      <c r="HN726"/>
      <c r="HO726"/>
      <c r="HP726"/>
      <c r="HQ726"/>
      <c r="HR726"/>
      <c r="HS726"/>
      <c r="HT726"/>
      <c r="HU726"/>
      <c r="HV726"/>
      <c r="HW726"/>
      <c r="HX726"/>
      <c r="HY726"/>
      <c r="HZ726"/>
      <c r="IA726"/>
      <c r="IB726"/>
      <c r="IC726"/>
      <c r="ID726"/>
      <c r="IE726"/>
      <c r="IF726"/>
      <c r="IG726"/>
      <c r="IH726"/>
      <c r="II726"/>
      <c r="IJ726"/>
      <c r="IK726"/>
      <c r="IL726"/>
      <c r="IM726"/>
      <c r="IN726"/>
      <c r="IO726"/>
      <c r="IP726"/>
      <c r="IQ726"/>
      <c r="IR726"/>
      <c r="IS726"/>
      <c r="IT726"/>
      <c r="IU726"/>
      <c r="IV726"/>
    </row>
    <row r="727" spans="1:256" ht="12.75" hidden="1" customHeight="1" x14ac:dyDescent="0.2">
      <c r="A727" s="471"/>
      <c r="B727" s="449" t="s">
        <v>826</v>
      </c>
      <c r="C727" s="452">
        <f>9750000-300000</f>
        <v>9450000</v>
      </c>
      <c r="D727" s="454">
        <f>9750000-300000</f>
        <v>9450000</v>
      </c>
      <c r="E727" s="455">
        <v>8450000</v>
      </c>
      <c r="F727" s="304">
        <v>5573946.25</v>
      </c>
      <c r="G727" s="113">
        <v>9850000</v>
      </c>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c r="AP727"/>
      <c r="AQ727"/>
      <c r="AR727"/>
      <c r="AS727"/>
      <c r="AT727"/>
      <c r="AU727"/>
      <c r="AV727"/>
      <c r="AW727"/>
      <c r="AX727"/>
      <c r="AY727"/>
      <c r="AZ727"/>
      <c r="BA727"/>
      <c r="BB727"/>
      <c r="BC727"/>
      <c r="BD727"/>
      <c r="BE727"/>
      <c r="BF727"/>
      <c r="BG727"/>
      <c r="BH727"/>
      <c r="BI727"/>
      <c r="BJ727"/>
      <c r="BK727"/>
      <c r="BL727"/>
      <c r="BM727"/>
      <c r="BN727"/>
      <c r="BO727"/>
      <c r="BP727"/>
      <c r="BQ727"/>
      <c r="BR727"/>
      <c r="BS727"/>
      <c r="BT727"/>
      <c r="BU727"/>
      <c r="BV727"/>
      <c r="BW727"/>
      <c r="BX727"/>
      <c r="BY727"/>
      <c r="BZ727"/>
      <c r="CA727"/>
      <c r="CB727"/>
      <c r="CC727"/>
      <c r="CD727"/>
      <c r="CE727"/>
      <c r="CF727"/>
      <c r="CG727"/>
      <c r="CH727"/>
      <c r="CI727"/>
      <c r="CJ727"/>
      <c r="CK727"/>
      <c r="CL727"/>
      <c r="CM727"/>
      <c r="CN727"/>
      <c r="CO727"/>
      <c r="CP727"/>
      <c r="CQ727"/>
      <c r="CR727"/>
      <c r="CS727"/>
      <c r="CT727"/>
      <c r="CU727"/>
      <c r="CV727"/>
      <c r="CW727"/>
      <c r="CX727"/>
      <c r="CY727"/>
      <c r="CZ727"/>
      <c r="DA727"/>
      <c r="DB727"/>
      <c r="DC727"/>
      <c r="DD727"/>
      <c r="DE727"/>
      <c r="DF727"/>
      <c r="DG727"/>
      <c r="DH727"/>
      <c r="DI727"/>
      <c r="DJ727"/>
      <c r="DK727"/>
      <c r="DL727"/>
      <c r="DM727"/>
      <c r="DN727"/>
      <c r="DO727"/>
      <c r="DP727"/>
      <c r="DQ727"/>
      <c r="DR727"/>
      <c r="DS727"/>
      <c r="DT727"/>
      <c r="DU727"/>
      <c r="DV727"/>
      <c r="DW727"/>
      <c r="DX727"/>
      <c r="DY727"/>
      <c r="DZ727"/>
      <c r="EA727"/>
      <c r="EB727"/>
      <c r="EC727"/>
      <c r="ED727"/>
      <c r="EE727"/>
      <c r="EF727"/>
      <c r="EG727"/>
      <c r="EH727"/>
      <c r="EI727"/>
      <c r="EJ727"/>
      <c r="EK727"/>
      <c r="EL727"/>
      <c r="EM727"/>
      <c r="EN727"/>
      <c r="EO727"/>
      <c r="EP727"/>
      <c r="EQ727"/>
      <c r="ER727"/>
      <c r="ES727"/>
      <c r="ET727"/>
      <c r="EU727"/>
      <c r="EV727"/>
      <c r="EW727"/>
      <c r="EX727"/>
      <c r="EY727"/>
      <c r="EZ727"/>
      <c r="FA727"/>
      <c r="FB727"/>
      <c r="FC727"/>
      <c r="FD727"/>
      <c r="FE727"/>
      <c r="FF727"/>
      <c r="FG727"/>
      <c r="FH727"/>
      <c r="FI727"/>
      <c r="FJ727"/>
      <c r="FK727"/>
      <c r="FL727"/>
      <c r="FM727"/>
      <c r="FN727"/>
      <c r="FO727"/>
      <c r="FP727"/>
      <c r="FQ727"/>
      <c r="FR727"/>
      <c r="FS727"/>
      <c r="FT727"/>
      <c r="FU727"/>
      <c r="FV727"/>
      <c r="FW727"/>
      <c r="FX727"/>
      <c r="FY727"/>
      <c r="FZ727"/>
      <c r="GA727"/>
      <c r="GB727"/>
      <c r="GC727"/>
      <c r="GD727"/>
      <c r="GE727"/>
      <c r="GF727"/>
      <c r="GG727"/>
      <c r="GH727"/>
      <c r="GI727"/>
      <c r="GJ727"/>
      <c r="GK727"/>
      <c r="GL727"/>
      <c r="GM727"/>
      <c r="GN727"/>
      <c r="GO727"/>
      <c r="GP727"/>
      <c r="GQ727"/>
      <c r="GR727"/>
      <c r="GS727"/>
      <c r="GT727"/>
      <c r="GU727"/>
      <c r="GV727"/>
      <c r="GW727"/>
      <c r="GX727"/>
      <c r="GY727"/>
      <c r="GZ727"/>
      <c r="HA727"/>
      <c r="HB727"/>
      <c r="HC727"/>
      <c r="HD727"/>
      <c r="HE727"/>
      <c r="HF727"/>
      <c r="HG727"/>
      <c r="HH727"/>
      <c r="HI727"/>
      <c r="HJ727"/>
      <c r="HK727"/>
      <c r="HL727"/>
      <c r="HM727"/>
      <c r="HN727"/>
      <c r="HO727"/>
      <c r="HP727"/>
      <c r="HQ727"/>
      <c r="HR727"/>
      <c r="HS727"/>
      <c r="HT727"/>
      <c r="HU727"/>
      <c r="HV727"/>
      <c r="HW727"/>
      <c r="HX727"/>
      <c r="HY727"/>
      <c r="HZ727"/>
      <c r="IA727"/>
      <c r="IB727"/>
      <c r="IC727"/>
      <c r="ID727"/>
      <c r="IE727"/>
      <c r="IF727"/>
      <c r="IG727"/>
      <c r="IH727"/>
      <c r="II727"/>
      <c r="IJ727"/>
      <c r="IK727"/>
      <c r="IL727"/>
      <c r="IM727"/>
      <c r="IN727"/>
      <c r="IO727"/>
      <c r="IP727"/>
      <c r="IQ727"/>
      <c r="IR727"/>
      <c r="IS727"/>
      <c r="IT727"/>
      <c r="IU727"/>
      <c r="IV727"/>
    </row>
    <row r="728" spans="1:256" ht="12.75" hidden="1" customHeight="1" x14ac:dyDescent="0.2">
      <c r="A728" s="471"/>
      <c r="B728" s="449" t="s">
        <v>827</v>
      </c>
      <c r="C728" s="450"/>
      <c r="D728" s="454"/>
      <c r="E728" s="455"/>
      <c r="F728" s="304"/>
      <c r="G728" s="113">
        <v>34000</v>
      </c>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c r="AP728"/>
      <c r="AQ728"/>
      <c r="AR728"/>
      <c r="AS728"/>
      <c r="AT728"/>
      <c r="AU728"/>
      <c r="AV728"/>
      <c r="AW728"/>
      <c r="AX728"/>
      <c r="AY728"/>
      <c r="AZ728"/>
      <c r="BA728"/>
      <c r="BB728"/>
      <c r="BC728"/>
      <c r="BD728"/>
      <c r="BE728"/>
      <c r="BF728"/>
      <c r="BG728"/>
      <c r="BH728"/>
      <c r="BI728"/>
      <c r="BJ728"/>
      <c r="BK728"/>
      <c r="BL728"/>
      <c r="BM728"/>
      <c r="BN728"/>
      <c r="BO728"/>
      <c r="BP728"/>
      <c r="BQ728"/>
      <c r="BR728"/>
      <c r="BS728"/>
      <c r="BT728"/>
      <c r="BU728"/>
      <c r="BV728"/>
      <c r="BW728"/>
      <c r="BX728"/>
      <c r="BY728"/>
      <c r="BZ728"/>
      <c r="CA728"/>
      <c r="CB728"/>
      <c r="CC728"/>
      <c r="CD728"/>
      <c r="CE728"/>
      <c r="CF728"/>
      <c r="CG728"/>
      <c r="CH728"/>
      <c r="CI728"/>
      <c r="CJ728"/>
      <c r="CK728"/>
      <c r="CL728"/>
      <c r="CM728"/>
      <c r="CN728"/>
      <c r="CO728"/>
      <c r="CP728"/>
      <c r="CQ728"/>
      <c r="CR728"/>
      <c r="CS728"/>
      <c r="CT728"/>
      <c r="CU728"/>
      <c r="CV728"/>
      <c r="CW728"/>
      <c r="CX728"/>
      <c r="CY728"/>
      <c r="CZ728"/>
      <c r="DA728"/>
      <c r="DB728"/>
      <c r="DC728"/>
      <c r="DD728"/>
      <c r="DE728"/>
      <c r="DF728"/>
      <c r="DG728"/>
      <c r="DH728"/>
      <c r="DI728"/>
      <c r="DJ728"/>
      <c r="DK728"/>
      <c r="DL728"/>
      <c r="DM728"/>
      <c r="DN728"/>
      <c r="DO728"/>
      <c r="DP728"/>
      <c r="DQ728"/>
      <c r="DR728"/>
      <c r="DS728"/>
      <c r="DT728"/>
      <c r="DU728"/>
      <c r="DV728"/>
      <c r="DW728"/>
      <c r="DX728"/>
      <c r="DY728"/>
      <c r="DZ728"/>
      <c r="EA728"/>
      <c r="EB728"/>
      <c r="EC728"/>
      <c r="ED728"/>
      <c r="EE728"/>
      <c r="EF728"/>
      <c r="EG728"/>
      <c r="EH728"/>
      <c r="EI728"/>
      <c r="EJ728"/>
      <c r="EK728"/>
      <c r="EL728"/>
      <c r="EM728"/>
      <c r="EN728"/>
      <c r="EO728"/>
      <c r="EP728"/>
      <c r="EQ728"/>
      <c r="ER728"/>
      <c r="ES728"/>
      <c r="ET728"/>
      <c r="EU728"/>
      <c r="EV728"/>
      <c r="EW728"/>
      <c r="EX728"/>
      <c r="EY728"/>
      <c r="EZ728"/>
      <c r="FA728"/>
      <c r="FB728"/>
      <c r="FC728"/>
      <c r="FD728"/>
      <c r="FE728"/>
      <c r="FF728"/>
      <c r="FG728"/>
      <c r="FH728"/>
      <c r="FI728"/>
      <c r="FJ728"/>
      <c r="FK728"/>
      <c r="FL728"/>
      <c r="FM728"/>
      <c r="FN728"/>
      <c r="FO728"/>
      <c r="FP728"/>
      <c r="FQ728"/>
      <c r="FR728"/>
      <c r="FS728"/>
      <c r="FT728"/>
      <c r="FU728"/>
      <c r="FV728"/>
      <c r="FW728"/>
      <c r="FX728"/>
      <c r="FY728"/>
      <c r="FZ728"/>
      <c r="GA728"/>
      <c r="GB728"/>
      <c r="GC728"/>
      <c r="GD728"/>
      <c r="GE728"/>
      <c r="GF728"/>
      <c r="GG728"/>
      <c r="GH728"/>
      <c r="GI728"/>
      <c r="GJ728"/>
      <c r="GK728"/>
      <c r="GL728"/>
      <c r="GM728"/>
      <c r="GN728"/>
      <c r="GO728"/>
      <c r="GP728"/>
      <c r="GQ728"/>
      <c r="GR728"/>
      <c r="GS728"/>
      <c r="GT728"/>
      <c r="GU728"/>
      <c r="GV728"/>
      <c r="GW728"/>
      <c r="GX728"/>
      <c r="GY728"/>
      <c r="GZ728"/>
      <c r="HA728"/>
      <c r="HB728"/>
      <c r="HC728"/>
      <c r="HD728"/>
      <c r="HE728"/>
      <c r="HF728"/>
      <c r="HG728"/>
      <c r="HH728"/>
      <c r="HI728"/>
      <c r="HJ728"/>
      <c r="HK728"/>
      <c r="HL728"/>
      <c r="HM728"/>
      <c r="HN728"/>
      <c r="HO728"/>
      <c r="HP728"/>
      <c r="HQ728"/>
      <c r="HR728"/>
      <c r="HS728"/>
      <c r="HT728"/>
      <c r="HU728"/>
      <c r="HV728"/>
      <c r="HW728"/>
      <c r="HX728"/>
      <c r="HY728"/>
      <c r="HZ728"/>
      <c r="IA728"/>
      <c r="IB728"/>
      <c r="IC728"/>
      <c r="ID728"/>
      <c r="IE728"/>
      <c r="IF728"/>
      <c r="IG728"/>
      <c r="IH728"/>
      <c r="II728"/>
      <c r="IJ728"/>
      <c r="IK728"/>
      <c r="IL728"/>
      <c r="IM728"/>
      <c r="IN728"/>
      <c r="IO728"/>
      <c r="IP728"/>
      <c r="IQ728"/>
      <c r="IR728"/>
      <c r="IS728"/>
      <c r="IT728"/>
      <c r="IU728"/>
      <c r="IV728"/>
    </row>
    <row r="729" spans="1:256" ht="12.75" hidden="1" customHeight="1" x14ac:dyDescent="0.2">
      <c r="A729" s="471"/>
      <c r="B729" s="453" t="s">
        <v>828</v>
      </c>
      <c r="C729" s="452"/>
      <c r="D729" s="454"/>
      <c r="E729" s="455"/>
      <c r="F729" s="304"/>
      <c r="G729" s="113">
        <v>0</v>
      </c>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c r="AP729"/>
      <c r="AQ729"/>
      <c r="AR729"/>
      <c r="AS729"/>
      <c r="AT729"/>
      <c r="AU729"/>
      <c r="AV729"/>
      <c r="AW729"/>
      <c r="AX729"/>
      <c r="AY729"/>
      <c r="AZ729"/>
      <c r="BA729"/>
      <c r="BB729"/>
      <c r="BC729"/>
      <c r="BD729"/>
      <c r="BE729"/>
      <c r="BF729"/>
      <c r="BG729"/>
      <c r="BH729"/>
      <c r="BI729"/>
      <c r="BJ729"/>
      <c r="BK729"/>
      <c r="BL729"/>
      <c r="BM729"/>
      <c r="BN729"/>
      <c r="BO729"/>
      <c r="BP729"/>
      <c r="BQ729"/>
      <c r="BR729"/>
      <c r="BS729"/>
      <c r="BT729"/>
      <c r="BU729"/>
      <c r="BV729"/>
      <c r="BW729"/>
      <c r="BX729"/>
      <c r="BY729"/>
      <c r="BZ729"/>
      <c r="CA729"/>
      <c r="CB729"/>
      <c r="CC729"/>
      <c r="CD729"/>
      <c r="CE729"/>
      <c r="CF729"/>
      <c r="CG729"/>
      <c r="CH729"/>
      <c r="CI729"/>
      <c r="CJ729"/>
      <c r="CK729"/>
      <c r="CL729"/>
      <c r="CM729"/>
      <c r="CN729"/>
      <c r="CO729"/>
      <c r="CP729"/>
      <c r="CQ729"/>
      <c r="CR729"/>
      <c r="CS729"/>
      <c r="CT729"/>
      <c r="CU729"/>
      <c r="CV729"/>
      <c r="CW729"/>
      <c r="CX729"/>
      <c r="CY729"/>
      <c r="CZ729"/>
      <c r="DA729"/>
      <c r="DB729"/>
      <c r="DC729"/>
      <c r="DD729"/>
      <c r="DE729"/>
      <c r="DF729"/>
      <c r="DG729"/>
      <c r="DH729"/>
      <c r="DI729"/>
      <c r="DJ729"/>
      <c r="DK729"/>
      <c r="DL729"/>
      <c r="DM729"/>
      <c r="DN729"/>
      <c r="DO729"/>
      <c r="DP729"/>
      <c r="DQ729"/>
      <c r="DR729"/>
      <c r="DS729"/>
      <c r="DT729"/>
      <c r="DU729"/>
      <c r="DV729"/>
      <c r="DW729"/>
      <c r="DX729"/>
      <c r="DY729"/>
      <c r="DZ729"/>
      <c r="EA729"/>
      <c r="EB729"/>
      <c r="EC729"/>
      <c r="ED729"/>
      <c r="EE729"/>
      <c r="EF729"/>
      <c r="EG729"/>
      <c r="EH729"/>
      <c r="EI729"/>
      <c r="EJ729"/>
      <c r="EK729"/>
      <c r="EL729"/>
      <c r="EM729"/>
      <c r="EN729"/>
      <c r="EO729"/>
      <c r="EP729"/>
      <c r="EQ729"/>
      <c r="ER729"/>
      <c r="ES729"/>
      <c r="ET729"/>
      <c r="EU729"/>
      <c r="EV729"/>
      <c r="EW729"/>
      <c r="EX729"/>
      <c r="EY729"/>
      <c r="EZ729"/>
      <c r="FA729"/>
      <c r="FB729"/>
      <c r="FC729"/>
      <c r="FD729"/>
      <c r="FE729"/>
      <c r="FF729"/>
      <c r="FG729"/>
      <c r="FH729"/>
      <c r="FI729"/>
      <c r="FJ729"/>
      <c r="FK729"/>
      <c r="FL729"/>
      <c r="FM729"/>
      <c r="FN729"/>
      <c r="FO729"/>
      <c r="FP729"/>
      <c r="FQ729"/>
      <c r="FR729"/>
      <c r="FS729"/>
      <c r="FT729"/>
      <c r="FU729"/>
      <c r="FV729"/>
      <c r="FW729"/>
      <c r="FX729"/>
      <c r="FY729"/>
      <c r="FZ729"/>
      <c r="GA729"/>
      <c r="GB729"/>
      <c r="GC729"/>
      <c r="GD729"/>
      <c r="GE729"/>
      <c r="GF729"/>
      <c r="GG729"/>
      <c r="GH729"/>
      <c r="GI729"/>
      <c r="GJ729"/>
      <c r="GK729"/>
      <c r="GL729"/>
      <c r="GM729"/>
      <c r="GN729"/>
      <c r="GO729"/>
      <c r="GP729"/>
      <c r="GQ729"/>
      <c r="GR729"/>
      <c r="GS729"/>
      <c r="GT729"/>
      <c r="GU729"/>
      <c r="GV729"/>
      <c r="GW729"/>
      <c r="GX729"/>
      <c r="GY729"/>
      <c r="GZ729"/>
      <c r="HA729"/>
      <c r="HB729"/>
      <c r="HC729"/>
      <c r="HD729"/>
      <c r="HE729"/>
      <c r="HF729"/>
      <c r="HG729"/>
      <c r="HH729"/>
      <c r="HI729"/>
      <c r="HJ729"/>
      <c r="HK729"/>
      <c r="HL729"/>
      <c r="HM729"/>
      <c r="HN729"/>
      <c r="HO729"/>
      <c r="HP729"/>
      <c r="HQ729"/>
      <c r="HR729"/>
      <c r="HS729"/>
      <c r="HT729"/>
      <c r="HU729"/>
      <c r="HV729"/>
      <c r="HW729"/>
      <c r="HX729"/>
      <c r="HY729"/>
      <c r="HZ729"/>
      <c r="IA729"/>
      <c r="IB729"/>
      <c r="IC729"/>
      <c r="ID729"/>
      <c r="IE729"/>
      <c r="IF729"/>
      <c r="IG729"/>
      <c r="IH729"/>
      <c r="II729"/>
      <c r="IJ729"/>
      <c r="IK729"/>
      <c r="IL729"/>
      <c r="IM729"/>
      <c r="IN729"/>
      <c r="IO729"/>
      <c r="IP729"/>
      <c r="IQ729"/>
      <c r="IR729"/>
      <c r="IS729"/>
      <c r="IT729"/>
      <c r="IU729"/>
      <c r="IV729"/>
    </row>
    <row r="730" spans="1:256" ht="12.75" hidden="1" customHeight="1" x14ac:dyDescent="0.2">
      <c r="A730" s="471"/>
      <c r="B730" s="449" t="s">
        <v>829</v>
      </c>
      <c r="C730" s="450">
        <f>C731</f>
        <v>500000</v>
      </c>
      <c r="D730" s="454">
        <f>D731</f>
        <v>500000</v>
      </c>
      <c r="E730" s="455">
        <v>500000</v>
      </c>
      <c r="F730" s="470">
        <f>F731</f>
        <v>217170.8</v>
      </c>
      <c r="G730" s="452">
        <f>SUM(G731:G733)</f>
        <v>2150000</v>
      </c>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c r="AP730"/>
      <c r="AQ730"/>
      <c r="AR730"/>
      <c r="AS730"/>
      <c r="AT730"/>
      <c r="AU730"/>
      <c r="AV730"/>
      <c r="AW730"/>
      <c r="AX730"/>
      <c r="AY730"/>
      <c r="AZ730"/>
      <c r="BA730"/>
      <c r="BB730"/>
      <c r="BC730"/>
      <c r="BD730"/>
      <c r="BE730"/>
      <c r="BF730"/>
      <c r="BG730"/>
      <c r="BH730"/>
      <c r="BI730"/>
      <c r="BJ730"/>
      <c r="BK730"/>
      <c r="BL730"/>
      <c r="BM730"/>
      <c r="BN730"/>
      <c r="BO730"/>
      <c r="BP730"/>
      <c r="BQ730"/>
      <c r="BR730"/>
      <c r="BS730"/>
      <c r="BT730"/>
      <c r="BU730"/>
      <c r="BV730"/>
      <c r="BW730"/>
      <c r="BX730"/>
      <c r="BY730"/>
      <c r="BZ730"/>
      <c r="CA730"/>
      <c r="CB730"/>
      <c r="CC730"/>
      <c r="CD730"/>
      <c r="CE730"/>
      <c r="CF730"/>
      <c r="CG730"/>
      <c r="CH730"/>
      <c r="CI730"/>
      <c r="CJ730"/>
      <c r="CK730"/>
      <c r="CL730"/>
      <c r="CM730"/>
      <c r="CN730"/>
      <c r="CO730"/>
      <c r="CP730"/>
      <c r="CQ730"/>
      <c r="CR730"/>
      <c r="CS730"/>
      <c r="CT730"/>
      <c r="CU730"/>
      <c r="CV730"/>
      <c r="CW730"/>
      <c r="CX730"/>
      <c r="CY730"/>
      <c r="CZ730"/>
      <c r="DA730"/>
      <c r="DB730"/>
      <c r="DC730"/>
      <c r="DD730"/>
      <c r="DE730"/>
      <c r="DF730"/>
      <c r="DG730"/>
      <c r="DH730"/>
      <c r="DI730"/>
      <c r="DJ730"/>
      <c r="DK730"/>
      <c r="DL730"/>
      <c r="DM730"/>
      <c r="DN730"/>
      <c r="DO730"/>
      <c r="DP730"/>
      <c r="DQ730"/>
      <c r="DR730"/>
      <c r="DS730"/>
      <c r="DT730"/>
      <c r="DU730"/>
      <c r="DV730"/>
      <c r="DW730"/>
      <c r="DX730"/>
      <c r="DY730"/>
      <c r="DZ730"/>
      <c r="EA730"/>
      <c r="EB730"/>
      <c r="EC730"/>
      <c r="ED730"/>
      <c r="EE730"/>
      <c r="EF730"/>
      <c r="EG730"/>
      <c r="EH730"/>
      <c r="EI730"/>
      <c r="EJ730"/>
      <c r="EK730"/>
      <c r="EL730"/>
      <c r="EM730"/>
      <c r="EN730"/>
      <c r="EO730"/>
      <c r="EP730"/>
      <c r="EQ730"/>
      <c r="ER730"/>
      <c r="ES730"/>
      <c r="ET730"/>
      <c r="EU730"/>
      <c r="EV730"/>
      <c r="EW730"/>
      <c r="EX730"/>
      <c r="EY730"/>
      <c r="EZ730"/>
      <c r="FA730"/>
      <c r="FB730"/>
      <c r="FC730"/>
      <c r="FD730"/>
      <c r="FE730"/>
      <c r="FF730"/>
      <c r="FG730"/>
      <c r="FH730"/>
      <c r="FI730"/>
      <c r="FJ730"/>
      <c r="FK730"/>
      <c r="FL730"/>
      <c r="FM730"/>
      <c r="FN730"/>
      <c r="FO730"/>
      <c r="FP730"/>
      <c r="FQ730"/>
      <c r="FR730"/>
      <c r="FS730"/>
      <c r="FT730"/>
      <c r="FU730"/>
      <c r="FV730"/>
      <c r="FW730"/>
      <c r="FX730"/>
      <c r="FY730"/>
      <c r="FZ730"/>
      <c r="GA730"/>
      <c r="GB730"/>
      <c r="GC730"/>
      <c r="GD730"/>
      <c r="GE730"/>
      <c r="GF730"/>
      <c r="GG730"/>
      <c r="GH730"/>
      <c r="GI730"/>
      <c r="GJ730"/>
      <c r="GK730"/>
      <c r="GL730"/>
      <c r="GM730"/>
      <c r="GN730"/>
      <c r="GO730"/>
      <c r="GP730"/>
      <c r="GQ730"/>
      <c r="GR730"/>
      <c r="GS730"/>
      <c r="GT730"/>
      <c r="GU730"/>
      <c r="GV730"/>
      <c r="GW730"/>
      <c r="GX730"/>
      <c r="GY730"/>
      <c r="GZ730"/>
      <c r="HA730"/>
      <c r="HB730"/>
      <c r="HC730"/>
      <c r="HD730"/>
      <c r="HE730"/>
      <c r="HF730"/>
      <c r="HG730"/>
      <c r="HH730"/>
      <c r="HI730"/>
      <c r="HJ730"/>
      <c r="HK730"/>
      <c r="HL730"/>
      <c r="HM730"/>
      <c r="HN730"/>
      <c r="HO730"/>
      <c r="HP730"/>
      <c r="HQ730"/>
      <c r="HR730"/>
      <c r="HS730"/>
      <c r="HT730"/>
      <c r="HU730"/>
      <c r="HV730"/>
      <c r="HW730"/>
      <c r="HX730"/>
      <c r="HY730"/>
      <c r="HZ730"/>
      <c r="IA730"/>
      <c r="IB730"/>
      <c r="IC730"/>
      <c r="ID730"/>
      <c r="IE730"/>
      <c r="IF730"/>
      <c r="IG730"/>
      <c r="IH730"/>
      <c r="II730"/>
      <c r="IJ730"/>
      <c r="IK730"/>
      <c r="IL730"/>
      <c r="IM730"/>
      <c r="IN730"/>
      <c r="IO730"/>
      <c r="IP730"/>
      <c r="IQ730"/>
      <c r="IR730"/>
      <c r="IS730"/>
      <c r="IT730"/>
      <c r="IU730"/>
      <c r="IV730"/>
    </row>
    <row r="731" spans="1:256" ht="12.75" hidden="1" customHeight="1" x14ac:dyDescent="0.2">
      <c r="A731" s="471"/>
      <c r="B731" s="449" t="s">
        <v>830</v>
      </c>
      <c r="C731" s="450">
        <v>500000</v>
      </c>
      <c r="D731" s="454">
        <v>500000</v>
      </c>
      <c r="E731" s="455">
        <v>500000</v>
      </c>
      <c r="F731" s="304">
        <v>217170.8</v>
      </c>
      <c r="G731" s="113">
        <v>500000</v>
      </c>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c r="AP731"/>
      <c r="AQ731"/>
      <c r="AR731"/>
      <c r="AS731"/>
      <c r="AT731"/>
      <c r="AU731"/>
      <c r="AV731"/>
      <c r="AW731"/>
      <c r="AX731"/>
      <c r="AY731"/>
      <c r="AZ731"/>
      <c r="BA731"/>
      <c r="BB731"/>
      <c r="BC731"/>
      <c r="BD731"/>
      <c r="BE731"/>
      <c r="BF731"/>
      <c r="BG731"/>
      <c r="BH731"/>
      <c r="BI731"/>
      <c r="BJ731"/>
      <c r="BK731"/>
      <c r="BL731"/>
      <c r="BM731"/>
      <c r="BN731"/>
      <c r="BO731"/>
      <c r="BP731"/>
      <c r="BQ731"/>
      <c r="BR731"/>
      <c r="BS731"/>
      <c r="BT731"/>
      <c r="BU731"/>
      <c r="BV731"/>
      <c r="BW731"/>
      <c r="BX731"/>
      <c r="BY731"/>
      <c r="BZ731"/>
      <c r="CA731"/>
      <c r="CB731"/>
      <c r="CC731"/>
      <c r="CD731"/>
      <c r="CE731"/>
      <c r="CF731"/>
      <c r="CG731"/>
      <c r="CH731"/>
      <c r="CI731"/>
      <c r="CJ731"/>
      <c r="CK731"/>
      <c r="CL731"/>
      <c r="CM731"/>
      <c r="CN731"/>
      <c r="CO731"/>
      <c r="CP731"/>
      <c r="CQ731"/>
      <c r="CR731"/>
      <c r="CS731"/>
      <c r="CT731"/>
      <c r="CU731"/>
      <c r="CV731"/>
      <c r="CW731"/>
      <c r="CX731"/>
      <c r="CY731"/>
      <c r="CZ731"/>
      <c r="DA731"/>
      <c r="DB731"/>
      <c r="DC731"/>
      <c r="DD731"/>
      <c r="DE731"/>
      <c r="DF731"/>
      <c r="DG731"/>
      <c r="DH731"/>
      <c r="DI731"/>
      <c r="DJ731"/>
      <c r="DK731"/>
      <c r="DL731"/>
      <c r="DM731"/>
      <c r="DN731"/>
      <c r="DO731"/>
      <c r="DP731"/>
      <c r="DQ731"/>
      <c r="DR731"/>
      <c r="DS731"/>
      <c r="DT731"/>
      <c r="DU731"/>
      <c r="DV731"/>
      <c r="DW731"/>
      <c r="DX731"/>
      <c r="DY731"/>
      <c r="DZ731"/>
      <c r="EA731"/>
      <c r="EB731"/>
      <c r="EC731"/>
      <c r="ED731"/>
      <c r="EE731"/>
      <c r="EF731"/>
      <c r="EG731"/>
      <c r="EH731"/>
      <c r="EI731"/>
      <c r="EJ731"/>
      <c r="EK731"/>
      <c r="EL731"/>
      <c r="EM731"/>
      <c r="EN731"/>
      <c r="EO731"/>
      <c r="EP731"/>
      <c r="EQ731"/>
      <c r="ER731"/>
      <c r="ES731"/>
      <c r="ET731"/>
      <c r="EU731"/>
      <c r="EV731"/>
      <c r="EW731"/>
      <c r="EX731"/>
      <c r="EY731"/>
      <c r="EZ731"/>
      <c r="FA731"/>
      <c r="FB731"/>
      <c r="FC731"/>
      <c r="FD731"/>
      <c r="FE731"/>
      <c r="FF731"/>
      <c r="FG731"/>
      <c r="FH731"/>
      <c r="FI731"/>
      <c r="FJ731"/>
      <c r="FK731"/>
      <c r="FL731"/>
      <c r="FM731"/>
      <c r="FN731"/>
      <c r="FO731"/>
      <c r="FP731"/>
      <c r="FQ731"/>
      <c r="FR731"/>
      <c r="FS731"/>
      <c r="FT731"/>
      <c r="FU731"/>
      <c r="FV731"/>
      <c r="FW731"/>
      <c r="FX731"/>
      <c r="FY731"/>
      <c r="FZ731"/>
      <c r="GA731"/>
      <c r="GB731"/>
      <c r="GC731"/>
      <c r="GD731"/>
      <c r="GE731"/>
      <c r="GF731"/>
      <c r="GG731"/>
      <c r="GH731"/>
      <c r="GI731"/>
      <c r="GJ731"/>
      <c r="GK731"/>
      <c r="GL731"/>
      <c r="GM731"/>
      <c r="GN731"/>
      <c r="GO731"/>
      <c r="GP731"/>
      <c r="GQ731"/>
      <c r="GR731"/>
      <c r="GS731"/>
      <c r="GT731"/>
      <c r="GU731"/>
      <c r="GV731"/>
      <c r="GW731"/>
      <c r="GX731"/>
      <c r="GY731"/>
      <c r="GZ731"/>
      <c r="HA731"/>
      <c r="HB731"/>
      <c r="HC731"/>
      <c r="HD731"/>
      <c r="HE731"/>
      <c r="HF731"/>
      <c r="HG731"/>
      <c r="HH731"/>
      <c r="HI731"/>
      <c r="HJ731"/>
      <c r="HK731"/>
      <c r="HL731"/>
      <c r="HM731"/>
      <c r="HN731"/>
      <c r="HO731"/>
      <c r="HP731"/>
      <c r="HQ731"/>
      <c r="HR731"/>
      <c r="HS731"/>
      <c r="HT731"/>
      <c r="HU731"/>
      <c r="HV731"/>
      <c r="HW731"/>
      <c r="HX731"/>
      <c r="HY731"/>
      <c r="HZ731"/>
      <c r="IA731"/>
      <c r="IB731"/>
      <c r="IC731"/>
      <c r="ID731"/>
      <c r="IE731"/>
      <c r="IF731"/>
      <c r="IG731"/>
      <c r="IH731"/>
      <c r="II731"/>
      <c r="IJ731"/>
      <c r="IK731"/>
      <c r="IL731"/>
      <c r="IM731"/>
      <c r="IN731"/>
      <c r="IO731"/>
      <c r="IP731"/>
      <c r="IQ731"/>
      <c r="IR731"/>
      <c r="IS731"/>
      <c r="IT731"/>
      <c r="IU731"/>
      <c r="IV731"/>
    </row>
    <row r="732" spans="1:256" ht="12.75" hidden="1" customHeight="1" x14ac:dyDescent="0.2">
      <c r="A732" s="475"/>
      <c r="B732" s="449" t="s">
        <v>831</v>
      </c>
      <c r="C732" s="450"/>
      <c r="D732" s="454"/>
      <c r="E732" s="455"/>
      <c r="F732" s="304"/>
      <c r="G732" s="113">
        <v>900000</v>
      </c>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c r="AP732"/>
      <c r="AQ732"/>
      <c r="AR732"/>
      <c r="AS732"/>
      <c r="AT732"/>
      <c r="AU732"/>
      <c r="AV732"/>
      <c r="AW732"/>
      <c r="AX732"/>
      <c r="AY732"/>
      <c r="AZ732"/>
      <c r="BA732"/>
      <c r="BB732"/>
      <c r="BC732"/>
      <c r="BD732"/>
      <c r="BE732"/>
      <c r="BF732"/>
      <c r="BG732"/>
      <c r="BH732"/>
      <c r="BI732"/>
      <c r="BJ732"/>
      <c r="BK732"/>
      <c r="BL732"/>
      <c r="BM732"/>
      <c r="BN732"/>
      <c r="BO732"/>
      <c r="BP732"/>
      <c r="BQ732"/>
      <c r="BR732"/>
      <c r="BS732"/>
      <c r="BT732"/>
      <c r="BU732"/>
      <c r="BV732"/>
      <c r="BW732"/>
      <c r="BX732"/>
      <c r="BY732"/>
      <c r="BZ732"/>
      <c r="CA732"/>
      <c r="CB732"/>
      <c r="CC732"/>
      <c r="CD732"/>
      <c r="CE732"/>
      <c r="CF732"/>
      <c r="CG732"/>
      <c r="CH732"/>
      <c r="CI732"/>
      <c r="CJ732"/>
      <c r="CK732"/>
      <c r="CL732"/>
      <c r="CM732"/>
      <c r="CN732"/>
      <c r="CO732"/>
      <c r="CP732"/>
      <c r="CQ732"/>
      <c r="CR732"/>
      <c r="CS732"/>
      <c r="CT732"/>
      <c r="CU732"/>
      <c r="CV732"/>
      <c r="CW732"/>
      <c r="CX732"/>
      <c r="CY732"/>
      <c r="CZ732"/>
      <c r="DA732"/>
      <c r="DB732"/>
      <c r="DC732"/>
      <c r="DD732"/>
      <c r="DE732"/>
      <c r="DF732"/>
      <c r="DG732"/>
      <c r="DH732"/>
      <c r="DI732"/>
      <c r="DJ732"/>
      <c r="DK732"/>
      <c r="DL732"/>
      <c r="DM732"/>
      <c r="DN732"/>
      <c r="DO732"/>
      <c r="DP732"/>
      <c r="DQ732"/>
      <c r="DR732"/>
      <c r="DS732"/>
      <c r="DT732"/>
      <c r="DU732"/>
      <c r="DV732"/>
      <c r="DW732"/>
      <c r="DX732"/>
      <c r="DY732"/>
      <c r="DZ732"/>
      <c r="EA732"/>
      <c r="EB732"/>
      <c r="EC732"/>
      <c r="ED732"/>
      <c r="EE732"/>
      <c r="EF732"/>
      <c r="EG732"/>
      <c r="EH732"/>
      <c r="EI732"/>
      <c r="EJ732"/>
      <c r="EK732"/>
      <c r="EL732"/>
      <c r="EM732"/>
      <c r="EN732"/>
      <c r="EO732"/>
      <c r="EP732"/>
      <c r="EQ732"/>
      <c r="ER732"/>
      <c r="ES732"/>
      <c r="ET732"/>
      <c r="EU732"/>
      <c r="EV732"/>
      <c r="EW732"/>
      <c r="EX732"/>
      <c r="EY732"/>
      <c r="EZ732"/>
      <c r="FA732"/>
      <c r="FB732"/>
      <c r="FC732"/>
      <c r="FD732"/>
      <c r="FE732"/>
      <c r="FF732"/>
      <c r="FG732"/>
      <c r="FH732"/>
      <c r="FI732"/>
      <c r="FJ732"/>
      <c r="FK732"/>
      <c r="FL732"/>
      <c r="FM732"/>
      <c r="FN732"/>
      <c r="FO732"/>
      <c r="FP732"/>
      <c r="FQ732"/>
      <c r="FR732"/>
      <c r="FS732"/>
      <c r="FT732"/>
      <c r="FU732"/>
      <c r="FV732"/>
      <c r="FW732"/>
      <c r="FX732"/>
      <c r="FY732"/>
      <c r="FZ732"/>
      <c r="GA732"/>
      <c r="GB732"/>
      <c r="GC732"/>
      <c r="GD732"/>
      <c r="GE732"/>
      <c r="GF732"/>
      <c r="GG732"/>
      <c r="GH732"/>
      <c r="GI732"/>
      <c r="GJ732"/>
      <c r="GK732"/>
      <c r="GL732"/>
      <c r="GM732"/>
      <c r="GN732"/>
      <c r="GO732"/>
      <c r="GP732"/>
      <c r="GQ732"/>
      <c r="GR732"/>
      <c r="GS732"/>
      <c r="GT732"/>
      <c r="GU732"/>
      <c r="GV732"/>
      <c r="GW732"/>
      <c r="GX732"/>
      <c r="GY732"/>
      <c r="GZ732"/>
      <c r="HA732"/>
      <c r="HB732"/>
      <c r="HC732"/>
      <c r="HD732"/>
      <c r="HE732"/>
      <c r="HF732"/>
      <c r="HG732"/>
      <c r="HH732"/>
      <c r="HI732"/>
      <c r="HJ732"/>
      <c r="HK732"/>
      <c r="HL732"/>
      <c r="HM732"/>
      <c r="HN732"/>
      <c r="HO732"/>
      <c r="HP732"/>
      <c r="HQ732"/>
      <c r="HR732"/>
      <c r="HS732"/>
      <c r="HT732"/>
      <c r="HU732"/>
      <c r="HV732"/>
      <c r="HW732"/>
      <c r="HX732"/>
      <c r="HY732"/>
      <c r="HZ732"/>
      <c r="IA732"/>
      <c r="IB732"/>
      <c r="IC732"/>
      <c r="ID732"/>
      <c r="IE732"/>
      <c r="IF732"/>
      <c r="IG732"/>
      <c r="IH732"/>
      <c r="II732"/>
      <c r="IJ732"/>
      <c r="IK732"/>
      <c r="IL732"/>
      <c r="IM732"/>
      <c r="IN732"/>
      <c r="IO732"/>
      <c r="IP732"/>
      <c r="IQ732"/>
      <c r="IR732"/>
      <c r="IS732"/>
      <c r="IT732"/>
      <c r="IU732"/>
      <c r="IV732"/>
    </row>
    <row r="733" spans="1:256" ht="12.75" hidden="1" customHeight="1" x14ac:dyDescent="0.2">
      <c r="A733" s="471"/>
      <c r="B733" s="449" t="s">
        <v>832</v>
      </c>
      <c r="C733" s="452"/>
      <c r="D733" s="454"/>
      <c r="E733" s="455"/>
      <c r="F733" s="304"/>
      <c r="G733" s="113">
        <v>750000</v>
      </c>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c r="AP733"/>
      <c r="AQ733"/>
      <c r="AR733"/>
      <c r="AS733"/>
      <c r="AT733"/>
      <c r="AU733"/>
      <c r="AV733"/>
      <c r="AW733"/>
      <c r="AX733"/>
      <c r="AY733"/>
      <c r="AZ733"/>
      <c r="BA733"/>
      <c r="BB733"/>
      <c r="BC733"/>
      <c r="BD733"/>
      <c r="BE733"/>
      <c r="BF733"/>
      <c r="BG733"/>
      <c r="BH733"/>
      <c r="BI733"/>
      <c r="BJ733"/>
      <c r="BK733"/>
      <c r="BL733"/>
      <c r="BM733"/>
      <c r="BN733"/>
      <c r="BO733"/>
      <c r="BP733"/>
      <c r="BQ733"/>
      <c r="BR733"/>
      <c r="BS733"/>
      <c r="BT733"/>
      <c r="BU733"/>
      <c r="BV733"/>
      <c r="BW733"/>
      <c r="BX733"/>
      <c r="BY733"/>
      <c r="BZ733"/>
      <c r="CA733"/>
      <c r="CB733"/>
      <c r="CC733"/>
      <c r="CD733"/>
      <c r="CE733"/>
      <c r="CF733"/>
      <c r="CG733"/>
      <c r="CH733"/>
      <c r="CI733"/>
      <c r="CJ733"/>
      <c r="CK733"/>
      <c r="CL733"/>
      <c r="CM733"/>
      <c r="CN733"/>
      <c r="CO733"/>
      <c r="CP733"/>
      <c r="CQ733"/>
      <c r="CR733"/>
      <c r="CS733"/>
      <c r="CT733"/>
      <c r="CU733"/>
      <c r="CV733"/>
      <c r="CW733"/>
      <c r="CX733"/>
      <c r="CY733"/>
      <c r="CZ733"/>
      <c r="DA733"/>
      <c r="DB733"/>
      <c r="DC733"/>
      <c r="DD733"/>
      <c r="DE733"/>
      <c r="DF733"/>
      <c r="DG733"/>
      <c r="DH733"/>
      <c r="DI733"/>
      <c r="DJ733"/>
      <c r="DK733"/>
      <c r="DL733"/>
      <c r="DM733"/>
      <c r="DN733"/>
      <c r="DO733"/>
      <c r="DP733"/>
      <c r="DQ733"/>
      <c r="DR733"/>
      <c r="DS733"/>
      <c r="DT733"/>
      <c r="DU733"/>
      <c r="DV733"/>
      <c r="DW733"/>
      <c r="DX733"/>
      <c r="DY733"/>
      <c r="DZ733"/>
      <c r="EA733"/>
      <c r="EB733"/>
      <c r="EC733"/>
      <c r="ED733"/>
      <c r="EE733"/>
      <c r="EF733"/>
      <c r="EG733"/>
      <c r="EH733"/>
      <c r="EI733"/>
      <c r="EJ733"/>
      <c r="EK733"/>
      <c r="EL733"/>
      <c r="EM733"/>
      <c r="EN733"/>
      <c r="EO733"/>
      <c r="EP733"/>
      <c r="EQ733"/>
      <c r="ER733"/>
      <c r="ES733"/>
      <c r="ET733"/>
      <c r="EU733"/>
      <c r="EV733"/>
      <c r="EW733"/>
      <c r="EX733"/>
      <c r="EY733"/>
      <c r="EZ733"/>
      <c r="FA733"/>
      <c r="FB733"/>
      <c r="FC733"/>
      <c r="FD733"/>
      <c r="FE733"/>
      <c r="FF733"/>
      <c r="FG733"/>
      <c r="FH733"/>
      <c r="FI733"/>
      <c r="FJ733"/>
      <c r="FK733"/>
      <c r="FL733"/>
      <c r="FM733"/>
      <c r="FN733"/>
      <c r="FO733"/>
      <c r="FP733"/>
      <c r="FQ733"/>
      <c r="FR733"/>
      <c r="FS733"/>
      <c r="FT733"/>
      <c r="FU733"/>
      <c r="FV733"/>
      <c r="FW733"/>
      <c r="FX733"/>
      <c r="FY733"/>
      <c r="FZ733"/>
      <c r="GA733"/>
      <c r="GB733"/>
      <c r="GC733"/>
      <c r="GD733"/>
      <c r="GE733"/>
      <c r="GF733"/>
      <c r="GG733"/>
      <c r="GH733"/>
      <c r="GI733"/>
      <c r="GJ733"/>
      <c r="GK733"/>
      <c r="GL733"/>
      <c r="GM733"/>
      <c r="GN733"/>
      <c r="GO733"/>
      <c r="GP733"/>
      <c r="GQ733"/>
      <c r="GR733"/>
      <c r="GS733"/>
      <c r="GT733"/>
      <c r="GU733"/>
      <c r="GV733"/>
      <c r="GW733"/>
      <c r="GX733"/>
      <c r="GY733"/>
      <c r="GZ733"/>
      <c r="HA733"/>
      <c r="HB733"/>
      <c r="HC733"/>
      <c r="HD733"/>
      <c r="HE733"/>
      <c r="HF733"/>
      <c r="HG733"/>
      <c r="HH733"/>
      <c r="HI733"/>
      <c r="HJ733"/>
      <c r="HK733"/>
      <c r="HL733"/>
      <c r="HM733"/>
      <c r="HN733"/>
      <c r="HO733"/>
      <c r="HP733"/>
      <c r="HQ733"/>
      <c r="HR733"/>
      <c r="HS733"/>
      <c r="HT733"/>
      <c r="HU733"/>
      <c r="HV733"/>
      <c r="HW733"/>
      <c r="HX733"/>
      <c r="HY733"/>
      <c r="HZ733"/>
      <c r="IA733"/>
      <c r="IB733"/>
      <c r="IC733"/>
      <c r="ID733"/>
      <c r="IE733"/>
      <c r="IF733"/>
      <c r="IG733"/>
      <c r="IH733"/>
      <c r="II733"/>
      <c r="IJ733"/>
      <c r="IK733"/>
      <c r="IL733"/>
      <c r="IM733"/>
      <c r="IN733"/>
      <c r="IO733"/>
      <c r="IP733"/>
      <c r="IQ733"/>
      <c r="IR733"/>
      <c r="IS733"/>
      <c r="IT733"/>
      <c r="IU733"/>
      <c r="IV733"/>
    </row>
    <row r="734" spans="1:256" s="2" customFormat="1" ht="12.75" hidden="1" customHeight="1" x14ac:dyDescent="0.2">
      <c r="A734" s="443">
        <v>3612</v>
      </c>
      <c r="B734" s="444" t="s">
        <v>833</v>
      </c>
      <c r="C734" s="445">
        <f>C735+C746</f>
        <v>49543000</v>
      </c>
      <c r="D734" s="469">
        <f>D735+D746</f>
        <v>45394000</v>
      </c>
      <c r="E734" s="469">
        <f>E735+E746</f>
        <v>41541631.149999999</v>
      </c>
      <c r="F734" s="470">
        <f>F735+F746</f>
        <v>22992944.09</v>
      </c>
      <c r="G734" s="445">
        <f>G735+G746</f>
        <v>129014000</v>
      </c>
    </row>
    <row r="735" spans="1:256" ht="12.75" hidden="1" customHeight="1" x14ac:dyDescent="0.2">
      <c r="A735" s="443"/>
      <c r="B735" s="449" t="s">
        <v>807</v>
      </c>
      <c r="C735" s="450">
        <f>SUM(C736:C740)</f>
        <v>4483000</v>
      </c>
      <c r="D735" s="454">
        <f>SUM(D736:D740)</f>
        <v>3333000</v>
      </c>
      <c r="E735" s="454">
        <f>SUM(E736:E740)</f>
        <v>2344298.37</v>
      </c>
      <c r="F735" s="470">
        <f>SUM(F736:F745)</f>
        <v>757778.37</v>
      </c>
      <c r="G735" s="450">
        <f>SUM(G736:G745)</f>
        <v>89954000</v>
      </c>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c r="AP735"/>
      <c r="AQ735"/>
      <c r="AR735"/>
      <c r="AS735"/>
      <c r="AT735"/>
      <c r="AU735"/>
      <c r="AV735"/>
      <c r="AW735"/>
      <c r="AX735"/>
      <c r="AY735"/>
      <c r="AZ735"/>
      <c r="BA735"/>
      <c r="BB735"/>
      <c r="BC735"/>
      <c r="BD735"/>
      <c r="BE735"/>
      <c r="BF735"/>
      <c r="BG735"/>
      <c r="BH735"/>
      <c r="BI735"/>
      <c r="BJ735"/>
      <c r="BK735"/>
      <c r="BL735"/>
      <c r="BM735"/>
      <c r="BN735"/>
      <c r="BO735"/>
      <c r="BP735"/>
      <c r="BQ735"/>
      <c r="BR735"/>
      <c r="BS735"/>
      <c r="BT735"/>
      <c r="BU735"/>
      <c r="BV735"/>
      <c r="BW735"/>
      <c r="BX735"/>
      <c r="BY735"/>
      <c r="BZ735"/>
      <c r="CA735"/>
      <c r="CB735"/>
      <c r="CC735"/>
      <c r="CD735"/>
      <c r="CE735"/>
      <c r="CF735"/>
      <c r="CG735"/>
      <c r="CH735"/>
      <c r="CI735"/>
      <c r="CJ735"/>
      <c r="CK735"/>
      <c r="CL735"/>
      <c r="CM735"/>
      <c r="CN735"/>
      <c r="CO735"/>
      <c r="CP735"/>
      <c r="CQ735"/>
      <c r="CR735"/>
      <c r="CS735"/>
      <c r="CT735"/>
      <c r="CU735"/>
      <c r="CV735"/>
      <c r="CW735"/>
      <c r="CX735"/>
      <c r="CY735"/>
      <c r="CZ735"/>
      <c r="DA735"/>
      <c r="DB735"/>
      <c r="DC735"/>
      <c r="DD735"/>
      <c r="DE735"/>
      <c r="DF735"/>
      <c r="DG735"/>
      <c r="DH735"/>
      <c r="DI735"/>
      <c r="DJ735"/>
      <c r="DK735"/>
      <c r="DL735"/>
      <c r="DM735"/>
      <c r="DN735"/>
      <c r="DO735"/>
      <c r="DP735"/>
      <c r="DQ735"/>
      <c r="DR735"/>
      <c r="DS735"/>
      <c r="DT735"/>
      <c r="DU735"/>
      <c r="DV735"/>
      <c r="DW735"/>
      <c r="DX735"/>
      <c r="DY735"/>
      <c r="DZ735"/>
      <c r="EA735"/>
      <c r="EB735"/>
      <c r="EC735"/>
      <c r="ED735"/>
      <c r="EE735"/>
      <c r="EF735"/>
      <c r="EG735"/>
      <c r="EH735"/>
      <c r="EI735"/>
      <c r="EJ735"/>
      <c r="EK735"/>
      <c r="EL735"/>
      <c r="EM735"/>
      <c r="EN735"/>
      <c r="EO735"/>
      <c r="EP735"/>
      <c r="EQ735"/>
      <c r="ER735"/>
      <c r="ES735"/>
      <c r="ET735"/>
      <c r="EU735"/>
      <c r="EV735"/>
      <c r="EW735"/>
      <c r="EX735"/>
      <c r="EY735"/>
      <c r="EZ735"/>
      <c r="FA735"/>
      <c r="FB735"/>
      <c r="FC735"/>
      <c r="FD735"/>
      <c r="FE735"/>
      <c r="FF735"/>
      <c r="FG735"/>
      <c r="FH735"/>
      <c r="FI735"/>
      <c r="FJ735"/>
      <c r="FK735"/>
      <c r="FL735"/>
      <c r="FM735"/>
      <c r="FN735"/>
      <c r="FO735"/>
      <c r="FP735"/>
      <c r="FQ735"/>
      <c r="FR735"/>
      <c r="FS735"/>
      <c r="FT735"/>
      <c r="FU735"/>
      <c r="FV735"/>
      <c r="FW735"/>
      <c r="FX735"/>
      <c r="FY735"/>
      <c r="FZ735"/>
      <c r="GA735"/>
      <c r="GB735"/>
      <c r="GC735"/>
      <c r="GD735"/>
      <c r="GE735"/>
      <c r="GF735"/>
      <c r="GG735"/>
      <c r="GH735"/>
      <c r="GI735"/>
      <c r="GJ735"/>
      <c r="GK735"/>
      <c r="GL735"/>
      <c r="GM735"/>
      <c r="GN735"/>
      <c r="GO735"/>
      <c r="GP735"/>
      <c r="GQ735"/>
      <c r="GR735"/>
      <c r="GS735"/>
      <c r="GT735"/>
      <c r="GU735"/>
      <c r="GV735"/>
      <c r="GW735"/>
      <c r="GX735"/>
      <c r="GY735"/>
      <c r="GZ735"/>
      <c r="HA735"/>
      <c r="HB735"/>
      <c r="HC735"/>
      <c r="HD735"/>
      <c r="HE735"/>
      <c r="HF735"/>
      <c r="HG735"/>
      <c r="HH735"/>
      <c r="HI735"/>
      <c r="HJ735"/>
      <c r="HK735"/>
      <c r="HL735"/>
      <c r="HM735"/>
      <c r="HN735"/>
      <c r="HO735"/>
      <c r="HP735"/>
      <c r="HQ735"/>
      <c r="HR735"/>
      <c r="HS735"/>
      <c r="HT735"/>
      <c r="HU735"/>
      <c r="HV735"/>
      <c r="HW735"/>
      <c r="HX735"/>
      <c r="HY735"/>
      <c r="HZ735"/>
      <c r="IA735"/>
      <c r="IB735"/>
      <c r="IC735"/>
      <c r="ID735"/>
      <c r="IE735"/>
      <c r="IF735"/>
      <c r="IG735"/>
      <c r="IH735"/>
      <c r="II735"/>
      <c r="IJ735"/>
      <c r="IK735"/>
      <c r="IL735"/>
      <c r="IM735"/>
      <c r="IN735"/>
      <c r="IO735"/>
      <c r="IP735"/>
      <c r="IQ735"/>
      <c r="IR735"/>
      <c r="IS735"/>
      <c r="IT735"/>
      <c r="IU735"/>
      <c r="IV735"/>
    </row>
    <row r="736" spans="1:256" ht="12.75" hidden="1" customHeight="1" x14ac:dyDescent="0.2">
      <c r="A736" s="443"/>
      <c r="B736" s="449" t="s">
        <v>834</v>
      </c>
      <c r="C736" s="450">
        <f>3300000-517000</f>
        <v>2783000</v>
      </c>
      <c r="D736" s="454">
        <f>3300000-517000-900000</f>
        <v>1883000</v>
      </c>
      <c r="E736" s="455">
        <v>1050000</v>
      </c>
      <c r="F736" s="476">
        <v>0</v>
      </c>
      <c r="G736" s="477">
        <v>654000</v>
      </c>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c r="AP736"/>
      <c r="AQ736"/>
      <c r="AR736"/>
      <c r="AS736"/>
      <c r="AT736"/>
      <c r="AU736"/>
      <c r="AV736"/>
      <c r="AW736"/>
      <c r="AX736"/>
      <c r="AY736"/>
      <c r="AZ736"/>
      <c r="BA736"/>
      <c r="BB736"/>
      <c r="BC736"/>
      <c r="BD736"/>
      <c r="BE736"/>
      <c r="BF736"/>
      <c r="BG736"/>
      <c r="BH736"/>
      <c r="BI736"/>
      <c r="BJ736"/>
      <c r="BK736"/>
      <c r="BL736"/>
      <c r="BM736"/>
      <c r="BN736"/>
      <c r="BO736"/>
      <c r="BP736"/>
      <c r="BQ736"/>
      <c r="BR736"/>
      <c r="BS736"/>
      <c r="BT736"/>
      <c r="BU736"/>
      <c r="BV736"/>
      <c r="BW736"/>
      <c r="BX736"/>
      <c r="BY736"/>
      <c r="BZ736"/>
      <c r="CA736"/>
      <c r="CB736"/>
      <c r="CC736"/>
      <c r="CD736"/>
      <c r="CE736"/>
      <c r="CF736"/>
      <c r="CG736"/>
      <c r="CH736"/>
      <c r="CI736"/>
      <c r="CJ736"/>
      <c r="CK736"/>
      <c r="CL736"/>
      <c r="CM736"/>
      <c r="CN736"/>
      <c r="CO736"/>
      <c r="CP736"/>
      <c r="CQ736"/>
      <c r="CR736"/>
      <c r="CS736"/>
      <c r="CT736"/>
      <c r="CU736"/>
      <c r="CV736"/>
      <c r="CW736"/>
      <c r="CX736"/>
      <c r="CY736"/>
      <c r="CZ736"/>
      <c r="DA736"/>
      <c r="DB736"/>
      <c r="DC736"/>
      <c r="DD736"/>
      <c r="DE736"/>
      <c r="DF736"/>
      <c r="DG736"/>
      <c r="DH736"/>
      <c r="DI736"/>
      <c r="DJ736"/>
      <c r="DK736"/>
      <c r="DL736"/>
      <c r="DM736"/>
      <c r="DN736"/>
      <c r="DO736"/>
      <c r="DP736"/>
      <c r="DQ736"/>
      <c r="DR736"/>
      <c r="DS736"/>
      <c r="DT736"/>
      <c r="DU736"/>
      <c r="DV736"/>
      <c r="DW736"/>
      <c r="DX736"/>
      <c r="DY736"/>
      <c r="DZ736"/>
      <c r="EA736"/>
      <c r="EB736"/>
      <c r="EC736"/>
      <c r="ED736"/>
      <c r="EE736"/>
      <c r="EF736"/>
      <c r="EG736"/>
      <c r="EH736"/>
      <c r="EI736"/>
      <c r="EJ736"/>
      <c r="EK736"/>
      <c r="EL736"/>
      <c r="EM736"/>
      <c r="EN736"/>
      <c r="EO736"/>
      <c r="EP736"/>
      <c r="EQ736"/>
      <c r="ER736"/>
      <c r="ES736"/>
      <c r="ET736"/>
      <c r="EU736"/>
      <c r="EV736"/>
      <c r="EW736"/>
      <c r="EX736"/>
      <c r="EY736"/>
      <c r="EZ736"/>
      <c r="FA736"/>
      <c r="FB736"/>
      <c r="FC736"/>
      <c r="FD736"/>
      <c r="FE736"/>
      <c r="FF736"/>
      <c r="FG736"/>
      <c r="FH736"/>
      <c r="FI736"/>
      <c r="FJ736"/>
      <c r="FK736"/>
      <c r="FL736"/>
      <c r="FM736"/>
      <c r="FN736"/>
      <c r="FO736"/>
      <c r="FP736"/>
      <c r="FQ736"/>
      <c r="FR736"/>
      <c r="FS736"/>
      <c r="FT736"/>
      <c r="FU736"/>
      <c r="FV736"/>
      <c r="FW736"/>
      <c r="FX736"/>
      <c r="FY736"/>
      <c r="FZ736"/>
      <c r="GA736"/>
      <c r="GB736"/>
      <c r="GC736"/>
      <c r="GD736"/>
      <c r="GE736"/>
      <c r="GF736"/>
      <c r="GG736"/>
      <c r="GH736"/>
      <c r="GI736"/>
      <c r="GJ736"/>
      <c r="GK736"/>
      <c r="GL736"/>
      <c r="GM736"/>
      <c r="GN736"/>
      <c r="GO736"/>
      <c r="GP736"/>
      <c r="GQ736"/>
      <c r="GR736"/>
      <c r="GS736"/>
      <c r="GT736"/>
      <c r="GU736"/>
      <c r="GV736"/>
      <c r="GW736"/>
      <c r="GX736"/>
      <c r="GY736"/>
      <c r="GZ736"/>
      <c r="HA736"/>
      <c r="HB736"/>
      <c r="HC736"/>
      <c r="HD736"/>
      <c r="HE736"/>
      <c r="HF736"/>
      <c r="HG736"/>
      <c r="HH736"/>
      <c r="HI736"/>
      <c r="HJ736"/>
      <c r="HK736"/>
      <c r="HL736"/>
      <c r="HM736"/>
      <c r="HN736"/>
      <c r="HO736"/>
      <c r="HP736"/>
      <c r="HQ736"/>
      <c r="HR736"/>
      <c r="HS736"/>
      <c r="HT736"/>
      <c r="HU736"/>
      <c r="HV736"/>
      <c r="HW736"/>
      <c r="HX736"/>
      <c r="HY736"/>
      <c r="HZ736"/>
      <c r="IA736"/>
      <c r="IB736"/>
      <c r="IC736"/>
      <c r="ID736"/>
      <c r="IE736"/>
      <c r="IF736"/>
      <c r="IG736"/>
      <c r="IH736"/>
      <c r="II736"/>
      <c r="IJ736"/>
      <c r="IK736"/>
      <c r="IL736"/>
      <c r="IM736"/>
      <c r="IN736"/>
      <c r="IO736"/>
      <c r="IP736"/>
      <c r="IQ736"/>
      <c r="IR736"/>
      <c r="IS736"/>
      <c r="IT736"/>
      <c r="IU736"/>
      <c r="IV736"/>
    </row>
    <row r="737" spans="1:256" ht="12.75" hidden="1" customHeight="1" x14ac:dyDescent="0.2">
      <c r="A737" s="443"/>
      <c r="B737" s="453" t="s">
        <v>835</v>
      </c>
      <c r="C737" s="452">
        <v>1000000</v>
      </c>
      <c r="D737" s="454">
        <f>1000000-250000</f>
        <v>750000</v>
      </c>
      <c r="E737" s="455">
        <v>651298.37</v>
      </c>
      <c r="F737" s="304">
        <v>651298.37</v>
      </c>
      <c r="G737" s="113">
        <v>0</v>
      </c>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c r="AP737"/>
      <c r="AQ737"/>
      <c r="AR737"/>
      <c r="AS737"/>
      <c r="AT737"/>
      <c r="AU737"/>
      <c r="AV737"/>
      <c r="AW737"/>
      <c r="AX737"/>
      <c r="AY737"/>
      <c r="AZ737"/>
      <c r="BA737"/>
      <c r="BB737"/>
      <c r="BC737"/>
      <c r="BD737"/>
      <c r="BE737"/>
      <c r="BF737"/>
      <c r="BG737"/>
      <c r="BH737"/>
      <c r="BI737"/>
      <c r="BJ737"/>
      <c r="BK737"/>
      <c r="BL737"/>
      <c r="BM737"/>
      <c r="BN737"/>
      <c r="BO737"/>
      <c r="BP737"/>
      <c r="BQ737"/>
      <c r="BR737"/>
      <c r="BS737"/>
      <c r="BT737"/>
      <c r="BU737"/>
      <c r="BV737"/>
      <c r="BW737"/>
      <c r="BX737"/>
      <c r="BY737"/>
      <c r="BZ737"/>
      <c r="CA737"/>
      <c r="CB737"/>
      <c r="CC737"/>
      <c r="CD737"/>
      <c r="CE737"/>
      <c r="CF737"/>
      <c r="CG737"/>
      <c r="CH737"/>
      <c r="CI737"/>
      <c r="CJ737"/>
      <c r="CK737"/>
      <c r="CL737"/>
      <c r="CM737"/>
      <c r="CN737"/>
      <c r="CO737"/>
      <c r="CP737"/>
      <c r="CQ737"/>
      <c r="CR737"/>
      <c r="CS737"/>
      <c r="CT737"/>
      <c r="CU737"/>
      <c r="CV737"/>
      <c r="CW737"/>
      <c r="CX737"/>
      <c r="CY737"/>
      <c r="CZ737"/>
      <c r="DA737"/>
      <c r="DB737"/>
      <c r="DC737"/>
      <c r="DD737"/>
      <c r="DE737"/>
      <c r="DF737"/>
      <c r="DG737"/>
      <c r="DH737"/>
      <c r="DI737"/>
      <c r="DJ737"/>
      <c r="DK737"/>
      <c r="DL737"/>
      <c r="DM737"/>
      <c r="DN737"/>
      <c r="DO737"/>
      <c r="DP737"/>
      <c r="DQ737"/>
      <c r="DR737"/>
      <c r="DS737"/>
      <c r="DT737"/>
      <c r="DU737"/>
      <c r="DV737"/>
      <c r="DW737"/>
      <c r="DX737"/>
      <c r="DY737"/>
      <c r="DZ737"/>
      <c r="EA737"/>
      <c r="EB737"/>
      <c r="EC737"/>
      <c r="ED737"/>
      <c r="EE737"/>
      <c r="EF737"/>
      <c r="EG737"/>
      <c r="EH737"/>
      <c r="EI737"/>
      <c r="EJ737"/>
      <c r="EK737"/>
      <c r="EL737"/>
      <c r="EM737"/>
      <c r="EN737"/>
      <c r="EO737"/>
      <c r="EP737"/>
      <c r="EQ737"/>
      <c r="ER737"/>
      <c r="ES737"/>
      <c r="ET737"/>
      <c r="EU737"/>
      <c r="EV737"/>
      <c r="EW737"/>
      <c r="EX737"/>
      <c r="EY737"/>
      <c r="EZ737"/>
      <c r="FA737"/>
      <c r="FB737"/>
      <c r="FC737"/>
      <c r="FD737"/>
      <c r="FE737"/>
      <c r="FF737"/>
      <c r="FG737"/>
      <c r="FH737"/>
      <c r="FI737"/>
      <c r="FJ737"/>
      <c r="FK737"/>
      <c r="FL737"/>
      <c r="FM737"/>
      <c r="FN737"/>
      <c r="FO737"/>
      <c r="FP737"/>
      <c r="FQ737"/>
      <c r="FR737"/>
      <c r="FS737"/>
      <c r="FT737"/>
      <c r="FU737"/>
      <c r="FV737"/>
      <c r="FW737"/>
      <c r="FX737"/>
      <c r="FY737"/>
      <c r="FZ737"/>
      <c r="GA737"/>
      <c r="GB737"/>
      <c r="GC737"/>
      <c r="GD737"/>
      <c r="GE737"/>
      <c r="GF737"/>
      <c r="GG737"/>
      <c r="GH737"/>
      <c r="GI737"/>
      <c r="GJ737"/>
      <c r="GK737"/>
      <c r="GL737"/>
      <c r="GM737"/>
      <c r="GN737"/>
      <c r="GO737"/>
      <c r="GP737"/>
      <c r="GQ737"/>
      <c r="GR737"/>
      <c r="GS737"/>
      <c r="GT737"/>
      <c r="GU737"/>
      <c r="GV737"/>
      <c r="GW737"/>
      <c r="GX737"/>
      <c r="GY737"/>
      <c r="GZ737"/>
      <c r="HA737"/>
      <c r="HB737"/>
      <c r="HC737"/>
      <c r="HD737"/>
      <c r="HE737"/>
      <c r="HF737"/>
      <c r="HG737"/>
      <c r="HH737"/>
      <c r="HI737"/>
      <c r="HJ737"/>
      <c r="HK737"/>
      <c r="HL737"/>
      <c r="HM737"/>
      <c r="HN737"/>
      <c r="HO737"/>
      <c r="HP737"/>
      <c r="HQ737"/>
      <c r="HR737"/>
      <c r="HS737"/>
      <c r="HT737"/>
      <c r="HU737"/>
      <c r="HV737"/>
      <c r="HW737"/>
      <c r="HX737"/>
      <c r="HY737"/>
      <c r="HZ737"/>
      <c r="IA737"/>
      <c r="IB737"/>
      <c r="IC737"/>
      <c r="ID737"/>
      <c r="IE737"/>
      <c r="IF737"/>
      <c r="IG737"/>
      <c r="IH737"/>
      <c r="II737"/>
      <c r="IJ737"/>
      <c r="IK737"/>
      <c r="IL737"/>
      <c r="IM737"/>
      <c r="IN737"/>
      <c r="IO737"/>
      <c r="IP737"/>
      <c r="IQ737"/>
      <c r="IR737"/>
      <c r="IS737"/>
      <c r="IT737"/>
      <c r="IU737"/>
      <c r="IV737"/>
    </row>
    <row r="738" spans="1:256" ht="12.75" hidden="1" customHeight="1" x14ac:dyDescent="0.2">
      <c r="A738" s="443" t="s">
        <v>448</v>
      </c>
      <c r="B738" s="453" t="s">
        <v>836</v>
      </c>
      <c r="C738" s="450">
        <f>8000000-8000000</f>
        <v>0</v>
      </c>
      <c r="D738" s="478">
        <v>107000</v>
      </c>
      <c r="E738" s="479">
        <v>107000</v>
      </c>
      <c r="F738" s="304">
        <v>106480</v>
      </c>
      <c r="G738" s="113">
        <v>0</v>
      </c>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c r="AP738"/>
      <c r="AQ738"/>
      <c r="AR738"/>
      <c r="AS738"/>
      <c r="AT738"/>
      <c r="AU738"/>
      <c r="AV738"/>
      <c r="AW738"/>
      <c r="AX738"/>
      <c r="AY738"/>
      <c r="AZ738"/>
      <c r="BA738"/>
      <c r="BB738"/>
      <c r="BC738"/>
      <c r="BD738"/>
      <c r="BE738"/>
      <c r="BF738"/>
      <c r="BG738"/>
      <c r="BH738"/>
      <c r="BI738"/>
      <c r="BJ738"/>
      <c r="BK738"/>
      <c r="BL738"/>
      <c r="BM738"/>
      <c r="BN738"/>
      <c r="BO738"/>
      <c r="BP738"/>
      <c r="BQ738"/>
      <c r="BR738"/>
      <c r="BS738"/>
      <c r="BT738"/>
      <c r="BU738"/>
      <c r="BV738"/>
      <c r="BW738"/>
      <c r="BX738"/>
      <c r="BY738"/>
      <c r="BZ738"/>
      <c r="CA738"/>
      <c r="CB738"/>
      <c r="CC738"/>
      <c r="CD738"/>
      <c r="CE738"/>
      <c r="CF738"/>
      <c r="CG738"/>
      <c r="CH738"/>
      <c r="CI738"/>
      <c r="CJ738"/>
      <c r="CK738"/>
      <c r="CL738"/>
      <c r="CM738"/>
      <c r="CN738"/>
      <c r="CO738"/>
      <c r="CP738"/>
      <c r="CQ738"/>
      <c r="CR738"/>
      <c r="CS738"/>
      <c r="CT738"/>
      <c r="CU738"/>
      <c r="CV738"/>
      <c r="CW738"/>
      <c r="CX738"/>
      <c r="CY738"/>
      <c r="CZ738"/>
      <c r="DA738"/>
      <c r="DB738"/>
      <c r="DC738"/>
      <c r="DD738"/>
      <c r="DE738"/>
      <c r="DF738"/>
      <c r="DG738"/>
      <c r="DH738"/>
      <c r="DI738"/>
      <c r="DJ738"/>
      <c r="DK738"/>
      <c r="DL738"/>
      <c r="DM738"/>
      <c r="DN738"/>
      <c r="DO738"/>
      <c r="DP738"/>
      <c r="DQ738"/>
      <c r="DR738"/>
      <c r="DS738"/>
      <c r="DT738"/>
      <c r="DU738"/>
      <c r="DV738"/>
      <c r="DW738"/>
      <c r="DX738"/>
      <c r="DY738"/>
      <c r="DZ738"/>
      <c r="EA738"/>
      <c r="EB738"/>
      <c r="EC738"/>
      <c r="ED738"/>
      <c r="EE738"/>
      <c r="EF738"/>
      <c r="EG738"/>
      <c r="EH738"/>
      <c r="EI738"/>
      <c r="EJ738"/>
      <c r="EK738"/>
      <c r="EL738"/>
      <c r="EM738"/>
      <c r="EN738"/>
      <c r="EO738"/>
      <c r="EP738"/>
      <c r="EQ738"/>
      <c r="ER738"/>
      <c r="ES738"/>
      <c r="ET738"/>
      <c r="EU738"/>
      <c r="EV738"/>
      <c r="EW738"/>
      <c r="EX738"/>
      <c r="EY738"/>
      <c r="EZ738"/>
      <c r="FA738"/>
      <c r="FB738"/>
      <c r="FC738"/>
      <c r="FD738"/>
      <c r="FE738"/>
      <c r="FF738"/>
      <c r="FG738"/>
      <c r="FH738"/>
      <c r="FI738"/>
      <c r="FJ738"/>
      <c r="FK738"/>
      <c r="FL738"/>
      <c r="FM738"/>
      <c r="FN738"/>
      <c r="FO738"/>
      <c r="FP738"/>
      <c r="FQ738"/>
      <c r="FR738"/>
      <c r="FS738"/>
      <c r="FT738"/>
      <c r="FU738"/>
      <c r="FV738"/>
      <c r="FW738"/>
      <c r="FX738"/>
      <c r="FY738"/>
      <c r="FZ738"/>
      <c r="GA738"/>
      <c r="GB738"/>
      <c r="GC738"/>
      <c r="GD738"/>
      <c r="GE738"/>
      <c r="GF738"/>
      <c r="GG738"/>
      <c r="GH738"/>
      <c r="GI738"/>
      <c r="GJ738"/>
      <c r="GK738"/>
      <c r="GL738"/>
      <c r="GM738"/>
      <c r="GN738"/>
      <c r="GO738"/>
      <c r="GP738"/>
      <c r="GQ738"/>
      <c r="GR738"/>
      <c r="GS738"/>
      <c r="GT738"/>
      <c r="GU738"/>
      <c r="GV738"/>
      <c r="GW738"/>
      <c r="GX738"/>
      <c r="GY738"/>
      <c r="GZ738"/>
      <c r="HA738"/>
      <c r="HB738"/>
      <c r="HC738"/>
      <c r="HD738"/>
      <c r="HE738"/>
      <c r="HF738"/>
      <c r="HG738"/>
      <c r="HH738"/>
      <c r="HI738"/>
      <c r="HJ738"/>
      <c r="HK738"/>
      <c r="HL738"/>
      <c r="HM738"/>
      <c r="HN738"/>
      <c r="HO738"/>
      <c r="HP738"/>
      <c r="HQ738"/>
      <c r="HR738"/>
      <c r="HS738"/>
      <c r="HT738"/>
      <c r="HU738"/>
      <c r="HV738"/>
      <c r="HW738"/>
      <c r="HX738"/>
      <c r="HY738"/>
      <c r="HZ738"/>
      <c r="IA738"/>
      <c r="IB738"/>
      <c r="IC738"/>
      <c r="ID738"/>
      <c r="IE738"/>
      <c r="IF738"/>
      <c r="IG738"/>
      <c r="IH738"/>
      <c r="II738"/>
      <c r="IJ738"/>
      <c r="IK738"/>
      <c r="IL738"/>
      <c r="IM738"/>
      <c r="IN738"/>
      <c r="IO738"/>
      <c r="IP738"/>
      <c r="IQ738"/>
      <c r="IR738"/>
      <c r="IS738"/>
      <c r="IT738"/>
      <c r="IU738"/>
      <c r="IV738"/>
    </row>
    <row r="739" spans="1:256" ht="12.75" hidden="1" customHeight="1" x14ac:dyDescent="0.2">
      <c r="A739" s="443"/>
      <c r="B739" s="449" t="s">
        <v>837</v>
      </c>
      <c r="C739" s="450">
        <v>350000</v>
      </c>
      <c r="D739" s="478">
        <v>293000</v>
      </c>
      <c r="E739" s="479">
        <v>240000</v>
      </c>
      <c r="F739" s="476">
        <v>0</v>
      </c>
      <c r="G739" s="388">
        <v>0</v>
      </c>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c r="AP739"/>
      <c r="AQ739"/>
      <c r="AR739"/>
      <c r="AS739"/>
      <c r="AT739"/>
      <c r="AU739"/>
      <c r="AV739"/>
      <c r="AW739"/>
      <c r="AX739"/>
      <c r="AY739"/>
      <c r="AZ739"/>
      <c r="BA739"/>
      <c r="BB739"/>
      <c r="BC739"/>
      <c r="BD739"/>
      <c r="BE739"/>
      <c r="BF739"/>
      <c r="BG739"/>
      <c r="BH739"/>
      <c r="BI739"/>
      <c r="BJ739"/>
      <c r="BK739"/>
      <c r="BL739"/>
      <c r="BM739"/>
      <c r="BN739"/>
      <c r="BO739"/>
      <c r="BP739"/>
      <c r="BQ739"/>
      <c r="BR739"/>
      <c r="BS739"/>
      <c r="BT739"/>
      <c r="BU739"/>
      <c r="BV739"/>
      <c r="BW739"/>
      <c r="BX739"/>
      <c r="BY739"/>
      <c r="BZ739"/>
      <c r="CA739"/>
      <c r="CB739"/>
      <c r="CC739"/>
      <c r="CD739"/>
      <c r="CE739"/>
      <c r="CF739"/>
      <c r="CG739"/>
      <c r="CH739"/>
      <c r="CI739"/>
      <c r="CJ739"/>
      <c r="CK739"/>
      <c r="CL739"/>
      <c r="CM739"/>
      <c r="CN739"/>
      <c r="CO739"/>
      <c r="CP739"/>
      <c r="CQ739"/>
      <c r="CR739"/>
      <c r="CS739"/>
      <c r="CT739"/>
      <c r="CU739"/>
      <c r="CV739"/>
      <c r="CW739"/>
      <c r="CX739"/>
      <c r="CY739"/>
      <c r="CZ739"/>
      <c r="DA739"/>
      <c r="DB739"/>
      <c r="DC739"/>
      <c r="DD739"/>
      <c r="DE739"/>
      <c r="DF739"/>
      <c r="DG739"/>
      <c r="DH739"/>
      <c r="DI739"/>
      <c r="DJ739"/>
      <c r="DK739"/>
      <c r="DL739"/>
      <c r="DM739"/>
      <c r="DN739"/>
      <c r="DO739"/>
      <c r="DP739"/>
      <c r="DQ739"/>
      <c r="DR739"/>
      <c r="DS739"/>
      <c r="DT739"/>
      <c r="DU739"/>
      <c r="DV739"/>
      <c r="DW739"/>
      <c r="DX739"/>
      <c r="DY739"/>
      <c r="DZ739"/>
      <c r="EA739"/>
      <c r="EB739"/>
      <c r="EC739"/>
      <c r="ED739"/>
      <c r="EE739"/>
      <c r="EF739"/>
      <c r="EG739"/>
      <c r="EH739"/>
      <c r="EI739"/>
      <c r="EJ739"/>
      <c r="EK739"/>
      <c r="EL739"/>
      <c r="EM739"/>
      <c r="EN739"/>
      <c r="EO739"/>
      <c r="EP739"/>
      <c r="EQ739"/>
      <c r="ER739"/>
      <c r="ES739"/>
      <c r="ET739"/>
      <c r="EU739"/>
      <c r="EV739"/>
      <c r="EW739"/>
      <c r="EX739"/>
      <c r="EY739"/>
      <c r="EZ739"/>
      <c r="FA739"/>
      <c r="FB739"/>
      <c r="FC739"/>
      <c r="FD739"/>
      <c r="FE739"/>
      <c r="FF739"/>
      <c r="FG739"/>
      <c r="FH739"/>
      <c r="FI739"/>
      <c r="FJ739"/>
      <c r="FK739"/>
      <c r="FL739"/>
      <c r="FM739"/>
      <c r="FN739"/>
      <c r="FO739"/>
      <c r="FP739"/>
      <c r="FQ739"/>
      <c r="FR739"/>
      <c r="FS739"/>
      <c r="FT739"/>
      <c r="FU739"/>
      <c r="FV739"/>
      <c r="FW739"/>
      <c r="FX739"/>
      <c r="FY739"/>
      <c r="FZ739"/>
      <c r="GA739"/>
      <c r="GB739"/>
      <c r="GC739"/>
      <c r="GD739"/>
      <c r="GE739"/>
      <c r="GF739"/>
      <c r="GG739"/>
      <c r="GH739"/>
      <c r="GI739"/>
      <c r="GJ739"/>
      <c r="GK739"/>
      <c r="GL739"/>
      <c r="GM739"/>
      <c r="GN739"/>
      <c r="GO739"/>
      <c r="GP739"/>
      <c r="GQ739"/>
      <c r="GR739"/>
      <c r="GS739"/>
      <c r="GT739"/>
      <c r="GU739"/>
      <c r="GV739"/>
      <c r="GW739"/>
      <c r="GX739"/>
      <c r="GY739"/>
      <c r="GZ739"/>
      <c r="HA739"/>
      <c r="HB739"/>
      <c r="HC739"/>
      <c r="HD739"/>
      <c r="HE739"/>
      <c r="HF739"/>
      <c r="HG739"/>
      <c r="HH739"/>
      <c r="HI739"/>
      <c r="HJ739"/>
      <c r="HK739"/>
      <c r="HL739"/>
      <c r="HM739"/>
      <c r="HN739"/>
      <c r="HO739"/>
      <c r="HP739"/>
      <c r="HQ739"/>
      <c r="HR739"/>
      <c r="HS739"/>
      <c r="HT739"/>
      <c r="HU739"/>
      <c r="HV739"/>
      <c r="HW739"/>
      <c r="HX739"/>
      <c r="HY739"/>
      <c r="HZ739"/>
      <c r="IA739"/>
      <c r="IB739"/>
      <c r="IC739"/>
      <c r="ID739"/>
      <c r="IE739"/>
      <c r="IF739"/>
      <c r="IG739"/>
      <c r="IH739"/>
      <c r="II739"/>
      <c r="IJ739"/>
      <c r="IK739"/>
      <c r="IL739"/>
      <c r="IM739"/>
      <c r="IN739"/>
      <c r="IO739"/>
      <c r="IP739"/>
      <c r="IQ739"/>
      <c r="IR739"/>
      <c r="IS739"/>
      <c r="IT739"/>
      <c r="IU739"/>
      <c r="IV739"/>
    </row>
    <row r="740" spans="1:256" ht="12.75" hidden="1" customHeight="1" x14ac:dyDescent="0.2">
      <c r="A740" s="443"/>
      <c r="B740" s="449" t="s">
        <v>838</v>
      </c>
      <c r="C740" s="450">
        <v>350000</v>
      </c>
      <c r="D740" s="478">
        <v>300000</v>
      </c>
      <c r="E740" s="480">
        <v>296000</v>
      </c>
      <c r="F740" s="304">
        <v>0</v>
      </c>
      <c r="G740" s="113">
        <v>0</v>
      </c>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c r="EB740"/>
      <c r="EC740"/>
      <c r="ED740"/>
      <c r="EE740"/>
      <c r="EF740"/>
      <c r="EG740"/>
      <c r="EH740"/>
      <c r="EI740"/>
      <c r="EJ740"/>
      <c r="EK740"/>
      <c r="EL740"/>
      <c r="EM740"/>
      <c r="EN740"/>
      <c r="EO740"/>
      <c r="EP740"/>
      <c r="EQ740"/>
      <c r="ER740"/>
      <c r="ES740"/>
      <c r="ET740"/>
      <c r="EU740"/>
      <c r="EV740"/>
      <c r="EW740"/>
      <c r="EX740"/>
      <c r="EY740"/>
      <c r="EZ740"/>
      <c r="FA740"/>
      <c r="FB740"/>
      <c r="FC740"/>
      <c r="FD740"/>
      <c r="FE740"/>
      <c r="FF740"/>
      <c r="FG740"/>
      <c r="FH740"/>
      <c r="FI740"/>
      <c r="FJ740"/>
      <c r="FK740"/>
      <c r="FL740"/>
      <c r="FM740"/>
      <c r="FN740"/>
      <c r="FO740"/>
      <c r="FP740"/>
      <c r="FQ740"/>
      <c r="FR740"/>
      <c r="FS740"/>
      <c r="FT740"/>
      <c r="FU740"/>
      <c r="FV740"/>
      <c r="FW740"/>
      <c r="FX740"/>
      <c r="FY740"/>
      <c r="FZ740"/>
      <c r="GA740"/>
      <c r="GB740"/>
      <c r="GC740"/>
      <c r="GD740"/>
      <c r="GE740"/>
      <c r="GF740"/>
      <c r="GG740"/>
      <c r="GH740"/>
      <c r="GI740"/>
      <c r="GJ740"/>
      <c r="GK740"/>
      <c r="GL740"/>
      <c r="GM740"/>
      <c r="GN740"/>
      <c r="GO740"/>
      <c r="GP740"/>
      <c r="GQ740"/>
      <c r="GR740"/>
      <c r="GS740"/>
      <c r="GT740"/>
      <c r="GU740"/>
      <c r="GV740"/>
      <c r="GW740"/>
      <c r="GX740"/>
      <c r="GY740"/>
      <c r="GZ740"/>
      <c r="HA740"/>
      <c r="HB740"/>
      <c r="HC740"/>
      <c r="HD740"/>
      <c r="HE740"/>
      <c r="HF740"/>
      <c r="HG740"/>
      <c r="HH740"/>
      <c r="HI740"/>
      <c r="HJ740"/>
      <c r="HK740"/>
      <c r="HL740"/>
      <c r="HM740"/>
      <c r="HN740"/>
      <c r="HO740"/>
      <c r="HP740"/>
      <c r="HQ740"/>
      <c r="HR740"/>
      <c r="HS740"/>
      <c r="HT740"/>
      <c r="HU740"/>
      <c r="HV740"/>
      <c r="HW740"/>
      <c r="HX740"/>
      <c r="HY740"/>
      <c r="HZ740"/>
      <c r="IA740"/>
      <c r="IB740"/>
      <c r="IC740"/>
      <c r="ID740"/>
      <c r="IE740"/>
      <c r="IF740"/>
      <c r="IG740"/>
      <c r="IH740"/>
      <c r="II740"/>
      <c r="IJ740"/>
      <c r="IK740"/>
      <c r="IL740"/>
      <c r="IM740"/>
      <c r="IN740"/>
      <c r="IO740"/>
      <c r="IP740"/>
      <c r="IQ740"/>
      <c r="IR740"/>
      <c r="IS740"/>
      <c r="IT740"/>
      <c r="IU740"/>
      <c r="IV740"/>
    </row>
    <row r="741" spans="1:256" ht="12.75" hidden="1" customHeight="1" x14ac:dyDescent="0.2">
      <c r="A741" s="481"/>
      <c r="B741" s="453" t="s">
        <v>839</v>
      </c>
      <c r="C741" s="450"/>
      <c r="D741" s="482"/>
      <c r="E741" s="483"/>
      <c r="F741" s="484"/>
      <c r="G741" s="485">
        <v>14500000</v>
      </c>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c r="EB741"/>
      <c r="EC741"/>
      <c r="ED741"/>
      <c r="EE741"/>
      <c r="EF741"/>
      <c r="EG741"/>
      <c r="EH741"/>
      <c r="EI741"/>
      <c r="EJ741"/>
      <c r="EK741"/>
      <c r="EL741"/>
      <c r="EM741"/>
      <c r="EN741"/>
      <c r="EO741"/>
      <c r="EP741"/>
      <c r="EQ741"/>
      <c r="ER741"/>
      <c r="ES741"/>
      <c r="ET741"/>
      <c r="EU741"/>
      <c r="EV741"/>
      <c r="EW741"/>
      <c r="EX741"/>
      <c r="EY741"/>
      <c r="EZ741"/>
      <c r="FA741"/>
      <c r="FB741"/>
      <c r="FC741"/>
      <c r="FD741"/>
      <c r="FE741"/>
      <c r="FF741"/>
      <c r="FG741"/>
      <c r="FH741"/>
      <c r="FI741"/>
      <c r="FJ741"/>
      <c r="FK741"/>
      <c r="FL741"/>
      <c r="FM741"/>
      <c r="FN741"/>
      <c r="FO741"/>
      <c r="FP741"/>
      <c r="FQ741"/>
      <c r="FR741"/>
      <c r="FS741"/>
      <c r="FT741"/>
      <c r="FU741"/>
      <c r="FV741"/>
      <c r="FW741"/>
      <c r="FX741"/>
      <c r="FY741"/>
      <c r="FZ741"/>
      <c r="GA741"/>
      <c r="GB741"/>
      <c r="GC741"/>
      <c r="GD741"/>
      <c r="GE741"/>
      <c r="GF741"/>
      <c r="GG741"/>
      <c r="GH741"/>
      <c r="GI741"/>
      <c r="GJ741"/>
      <c r="GK741"/>
      <c r="GL741"/>
      <c r="GM741"/>
      <c r="GN741"/>
      <c r="GO741"/>
      <c r="GP741"/>
      <c r="GQ741"/>
      <c r="GR741"/>
      <c r="GS741"/>
      <c r="GT741"/>
      <c r="GU741"/>
      <c r="GV741"/>
      <c r="GW741"/>
      <c r="GX741"/>
      <c r="GY741"/>
      <c r="GZ741"/>
      <c r="HA741"/>
      <c r="HB741"/>
      <c r="HC741"/>
      <c r="HD741"/>
      <c r="HE741"/>
      <c r="HF741"/>
      <c r="HG741"/>
      <c r="HH741"/>
      <c r="HI741"/>
      <c r="HJ741"/>
      <c r="HK741"/>
      <c r="HL741"/>
      <c r="HM741"/>
      <c r="HN741"/>
      <c r="HO741"/>
      <c r="HP741"/>
      <c r="HQ741"/>
      <c r="HR741"/>
      <c r="HS741"/>
      <c r="HT741"/>
      <c r="HU741"/>
      <c r="HV741"/>
      <c r="HW741"/>
      <c r="HX741"/>
      <c r="HY741"/>
      <c r="HZ741"/>
      <c r="IA741"/>
      <c r="IB741"/>
      <c r="IC741"/>
      <c r="ID741"/>
      <c r="IE741"/>
      <c r="IF741"/>
      <c r="IG741"/>
      <c r="IH741"/>
      <c r="II741"/>
      <c r="IJ741"/>
      <c r="IK741"/>
      <c r="IL741"/>
      <c r="IM741"/>
      <c r="IN741"/>
      <c r="IO741"/>
      <c r="IP741"/>
      <c r="IQ741"/>
      <c r="IR741"/>
      <c r="IS741"/>
      <c r="IT741"/>
      <c r="IU741"/>
      <c r="IV741"/>
    </row>
    <row r="742" spans="1:256" ht="12.75" hidden="1" customHeight="1" x14ac:dyDescent="0.2">
      <c r="A742" s="481"/>
      <c r="B742" s="453" t="s">
        <v>840</v>
      </c>
      <c r="C742" s="450"/>
      <c r="D742" s="482"/>
      <c r="E742" s="486"/>
      <c r="F742" s="484"/>
      <c r="G742" s="487">
        <v>9500000</v>
      </c>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c r="EB742"/>
      <c r="EC742"/>
      <c r="ED742"/>
      <c r="EE742"/>
      <c r="EF742"/>
      <c r="EG742"/>
      <c r="EH742"/>
      <c r="EI742"/>
      <c r="EJ742"/>
      <c r="EK742"/>
      <c r="EL742"/>
      <c r="EM742"/>
      <c r="EN742"/>
      <c r="EO742"/>
      <c r="EP742"/>
      <c r="EQ742"/>
      <c r="ER742"/>
      <c r="ES742"/>
      <c r="ET742"/>
      <c r="EU742"/>
      <c r="EV742"/>
      <c r="EW742"/>
      <c r="EX742"/>
      <c r="EY742"/>
      <c r="EZ742"/>
      <c r="FA742"/>
      <c r="FB742"/>
      <c r="FC742"/>
      <c r="FD742"/>
      <c r="FE742"/>
      <c r="FF742"/>
      <c r="FG742"/>
      <c r="FH742"/>
      <c r="FI742"/>
      <c r="FJ742"/>
      <c r="FK742"/>
      <c r="FL742"/>
      <c r="FM742"/>
      <c r="FN742"/>
      <c r="FO742"/>
      <c r="FP742"/>
      <c r="FQ742"/>
      <c r="FR742"/>
      <c r="FS742"/>
      <c r="FT742"/>
      <c r="FU742"/>
      <c r="FV742"/>
      <c r="FW742"/>
      <c r="FX742"/>
      <c r="FY742"/>
      <c r="FZ742"/>
      <c r="GA742"/>
      <c r="GB742"/>
      <c r="GC742"/>
      <c r="GD742"/>
      <c r="GE742"/>
      <c r="GF742"/>
      <c r="GG742"/>
      <c r="GH742"/>
      <c r="GI742"/>
      <c r="GJ742"/>
      <c r="GK742"/>
      <c r="GL742"/>
      <c r="GM742"/>
      <c r="GN742"/>
      <c r="GO742"/>
      <c r="GP742"/>
      <c r="GQ742"/>
      <c r="GR742"/>
      <c r="GS742"/>
      <c r="GT742"/>
      <c r="GU742"/>
      <c r="GV742"/>
      <c r="GW742"/>
      <c r="GX742"/>
      <c r="GY742"/>
      <c r="GZ742"/>
      <c r="HA742"/>
      <c r="HB742"/>
      <c r="HC742"/>
      <c r="HD742"/>
      <c r="HE742"/>
      <c r="HF742"/>
      <c r="HG742"/>
      <c r="HH742"/>
      <c r="HI742"/>
      <c r="HJ742"/>
      <c r="HK742"/>
      <c r="HL742"/>
      <c r="HM742"/>
      <c r="HN742"/>
      <c r="HO742"/>
      <c r="HP742"/>
      <c r="HQ742"/>
      <c r="HR742"/>
      <c r="HS742"/>
      <c r="HT742"/>
      <c r="HU742"/>
      <c r="HV742"/>
      <c r="HW742"/>
      <c r="HX742"/>
      <c r="HY742"/>
      <c r="HZ742"/>
      <c r="IA742"/>
      <c r="IB742"/>
      <c r="IC742"/>
      <c r="ID742"/>
      <c r="IE742"/>
      <c r="IF742"/>
      <c r="IG742"/>
      <c r="IH742"/>
      <c r="II742"/>
      <c r="IJ742"/>
      <c r="IK742"/>
      <c r="IL742"/>
      <c r="IM742"/>
      <c r="IN742"/>
      <c r="IO742"/>
      <c r="IP742"/>
      <c r="IQ742"/>
      <c r="IR742"/>
      <c r="IS742"/>
      <c r="IT742"/>
      <c r="IU742"/>
      <c r="IV742"/>
    </row>
    <row r="743" spans="1:256" ht="12.75" hidden="1" customHeight="1" x14ac:dyDescent="0.2">
      <c r="A743" s="481"/>
      <c r="B743" s="453" t="s">
        <v>841</v>
      </c>
      <c r="C743" s="450"/>
      <c r="D743" s="482"/>
      <c r="E743" s="483"/>
      <c r="F743" s="484"/>
      <c r="G743" s="485">
        <v>65000000</v>
      </c>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c r="EB743"/>
      <c r="EC743"/>
      <c r="ED743"/>
      <c r="EE743"/>
      <c r="EF743"/>
      <c r="EG743"/>
      <c r="EH743"/>
      <c r="EI743"/>
      <c r="EJ743"/>
      <c r="EK743"/>
      <c r="EL743"/>
      <c r="EM743"/>
      <c r="EN743"/>
      <c r="EO743"/>
      <c r="EP743"/>
      <c r="EQ743"/>
      <c r="ER743"/>
      <c r="ES743"/>
      <c r="ET743"/>
      <c r="EU743"/>
      <c r="EV743"/>
      <c r="EW743"/>
      <c r="EX743"/>
      <c r="EY743"/>
      <c r="EZ743"/>
      <c r="FA743"/>
      <c r="FB743"/>
      <c r="FC743"/>
      <c r="FD743"/>
      <c r="FE743"/>
      <c r="FF743"/>
      <c r="FG743"/>
      <c r="FH743"/>
      <c r="FI743"/>
      <c r="FJ743"/>
      <c r="FK743"/>
      <c r="FL743"/>
      <c r="FM743"/>
      <c r="FN743"/>
      <c r="FO743"/>
      <c r="FP743"/>
      <c r="FQ743"/>
      <c r="FR743"/>
      <c r="FS743"/>
      <c r="FT743"/>
      <c r="FU743"/>
      <c r="FV743"/>
      <c r="FW743"/>
      <c r="FX743"/>
      <c r="FY743"/>
      <c r="FZ743"/>
      <c r="GA743"/>
      <c r="GB743"/>
      <c r="GC743"/>
      <c r="GD743"/>
      <c r="GE743"/>
      <c r="GF743"/>
      <c r="GG743"/>
      <c r="GH743"/>
      <c r="GI743"/>
      <c r="GJ743"/>
      <c r="GK743"/>
      <c r="GL743"/>
      <c r="GM743"/>
      <c r="GN743"/>
      <c r="GO743"/>
      <c r="GP743"/>
      <c r="GQ743"/>
      <c r="GR743"/>
      <c r="GS743"/>
      <c r="GT743"/>
      <c r="GU743"/>
      <c r="GV743"/>
      <c r="GW743"/>
      <c r="GX743"/>
      <c r="GY743"/>
      <c r="GZ743"/>
      <c r="HA743"/>
      <c r="HB743"/>
      <c r="HC743"/>
      <c r="HD743"/>
      <c r="HE743"/>
      <c r="HF743"/>
      <c r="HG743"/>
      <c r="HH743"/>
      <c r="HI743"/>
      <c r="HJ743"/>
      <c r="HK743"/>
      <c r="HL743"/>
      <c r="HM743"/>
      <c r="HN743"/>
      <c r="HO743"/>
      <c r="HP743"/>
      <c r="HQ743"/>
      <c r="HR743"/>
      <c r="HS743"/>
      <c r="HT743"/>
      <c r="HU743"/>
      <c r="HV743"/>
      <c r="HW743"/>
      <c r="HX743"/>
      <c r="HY743"/>
      <c r="HZ743"/>
      <c r="IA743"/>
      <c r="IB743"/>
      <c r="IC743"/>
      <c r="ID743"/>
      <c r="IE743"/>
      <c r="IF743"/>
      <c r="IG743"/>
      <c r="IH743"/>
      <c r="II743"/>
      <c r="IJ743"/>
      <c r="IK743"/>
      <c r="IL743"/>
      <c r="IM743"/>
      <c r="IN743"/>
      <c r="IO743"/>
      <c r="IP743"/>
      <c r="IQ743"/>
      <c r="IR743"/>
      <c r="IS743"/>
      <c r="IT743"/>
      <c r="IU743"/>
      <c r="IV743"/>
    </row>
    <row r="744" spans="1:256" s="488" customFormat="1" ht="12.75" hidden="1" customHeight="1" x14ac:dyDescent="0.2">
      <c r="A744" s="489"/>
      <c r="B744" s="456" t="s">
        <v>842</v>
      </c>
      <c r="C744" s="490"/>
      <c r="D744" s="491"/>
      <c r="E744" s="492"/>
      <c r="F744" s="493"/>
      <c r="G744" s="494">
        <v>300000</v>
      </c>
    </row>
    <row r="745" spans="1:256" ht="12.75" hidden="1" customHeight="1" x14ac:dyDescent="0.2">
      <c r="A745" s="481"/>
      <c r="B745" s="453" t="s">
        <v>843</v>
      </c>
      <c r="C745" s="450"/>
      <c r="D745" s="482"/>
      <c r="E745" s="486"/>
      <c r="F745" s="484"/>
      <c r="G745" s="487">
        <v>0</v>
      </c>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c r="EB745"/>
      <c r="EC745"/>
      <c r="ED745"/>
      <c r="EE745"/>
      <c r="EF745"/>
      <c r="EG745"/>
      <c r="EH745"/>
      <c r="EI745"/>
      <c r="EJ745"/>
      <c r="EK745"/>
      <c r="EL745"/>
      <c r="EM745"/>
      <c r="EN745"/>
      <c r="EO745"/>
      <c r="EP745"/>
      <c r="EQ745"/>
      <c r="ER745"/>
      <c r="ES745"/>
      <c r="ET745"/>
      <c r="EU745"/>
      <c r="EV745"/>
      <c r="EW745"/>
      <c r="EX745"/>
      <c r="EY745"/>
      <c r="EZ745"/>
      <c r="FA745"/>
      <c r="FB745"/>
      <c r="FC745"/>
      <c r="FD745"/>
      <c r="FE745"/>
      <c r="FF745"/>
      <c r="FG745"/>
      <c r="FH745"/>
      <c r="FI745"/>
      <c r="FJ745"/>
      <c r="FK745"/>
      <c r="FL745"/>
      <c r="FM745"/>
      <c r="FN745"/>
      <c r="FO745"/>
      <c r="FP745"/>
      <c r="FQ745"/>
      <c r="FR745"/>
      <c r="FS745"/>
      <c r="FT745"/>
      <c r="FU745"/>
      <c r="FV745"/>
      <c r="FW745"/>
      <c r="FX745"/>
      <c r="FY745"/>
      <c r="FZ745"/>
      <c r="GA745"/>
      <c r="GB745"/>
      <c r="GC745"/>
      <c r="GD745"/>
      <c r="GE745"/>
      <c r="GF745"/>
      <c r="GG745"/>
      <c r="GH745"/>
      <c r="GI745"/>
      <c r="GJ745"/>
      <c r="GK745"/>
      <c r="GL745"/>
      <c r="GM745"/>
      <c r="GN745"/>
      <c r="GO745"/>
      <c r="GP745"/>
      <c r="GQ745"/>
      <c r="GR745"/>
      <c r="GS745"/>
      <c r="GT745"/>
      <c r="GU745"/>
      <c r="GV745"/>
      <c r="GW745"/>
      <c r="GX745"/>
      <c r="GY745"/>
      <c r="GZ745"/>
      <c r="HA745"/>
      <c r="HB745"/>
      <c r="HC745"/>
      <c r="HD745"/>
      <c r="HE745"/>
      <c r="HF745"/>
      <c r="HG745"/>
      <c r="HH745"/>
      <c r="HI745"/>
      <c r="HJ745"/>
      <c r="HK745"/>
      <c r="HL745"/>
      <c r="HM745"/>
      <c r="HN745"/>
      <c r="HO745"/>
      <c r="HP745"/>
      <c r="HQ745"/>
      <c r="HR745"/>
      <c r="HS745"/>
      <c r="HT745"/>
      <c r="HU745"/>
      <c r="HV745"/>
      <c r="HW745"/>
      <c r="HX745"/>
      <c r="HY745"/>
      <c r="HZ745"/>
      <c r="IA745"/>
      <c r="IB745"/>
      <c r="IC745"/>
      <c r="ID745"/>
      <c r="IE745"/>
      <c r="IF745"/>
      <c r="IG745"/>
      <c r="IH745"/>
      <c r="II745"/>
      <c r="IJ745"/>
      <c r="IK745"/>
      <c r="IL745"/>
      <c r="IM745"/>
      <c r="IN745"/>
      <c r="IO745"/>
      <c r="IP745"/>
      <c r="IQ745"/>
      <c r="IR745"/>
      <c r="IS745"/>
      <c r="IT745"/>
      <c r="IU745"/>
      <c r="IV745"/>
    </row>
    <row r="746" spans="1:256" ht="12.75" hidden="1" customHeight="1" x14ac:dyDescent="0.2">
      <c r="A746" s="443"/>
      <c r="B746" s="449" t="s">
        <v>844</v>
      </c>
      <c r="C746" s="114">
        <f>C747+C751+C756+C764+C766+SUM(C776:C781)</f>
        <v>45060000</v>
      </c>
      <c r="D746" s="495">
        <f>D747+D751+D756+D764+D766+SUM(D776:D781)</f>
        <v>42061000</v>
      </c>
      <c r="E746" s="495">
        <f>E747+E751+E756+E764+E766+SUM(E776:E781)</f>
        <v>39197332.780000001</v>
      </c>
      <c r="F746" s="304">
        <f>F747+F751+F756+F764+F766+SUM(F776:F781)</f>
        <v>22235165.719999999</v>
      </c>
      <c r="G746" s="114">
        <f>G747+G751+G756+G764+G766+SUM(G776:G781)</f>
        <v>39060000</v>
      </c>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c r="EB746"/>
      <c r="EC746"/>
      <c r="ED746"/>
      <c r="EE746"/>
      <c r="EF746"/>
      <c r="EG746"/>
      <c r="EH746"/>
      <c r="EI746"/>
      <c r="EJ746"/>
      <c r="EK746"/>
      <c r="EL746"/>
      <c r="EM746"/>
      <c r="EN746"/>
      <c r="EO746"/>
      <c r="EP746"/>
      <c r="EQ746"/>
      <c r="ER746"/>
      <c r="ES746"/>
      <c r="ET746"/>
      <c r="EU746"/>
      <c r="EV746"/>
      <c r="EW746"/>
      <c r="EX746"/>
      <c r="EY746"/>
      <c r="EZ746"/>
      <c r="FA746"/>
      <c r="FB746"/>
      <c r="FC746"/>
      <c r="FD746"/>
      <c r="FE746"/>
      <c r="FF746"/>
      <c r="FG746"/>
      <c r="FH746"/>
      <c r="FI746"/>
      <c r="FJ746"/>
      <c r="FK746"/>
      <c r="FL746"/>
      <c r="FM746"/>
      <c r="FN746"/>
      <c r="FO746"/>
      <c r="FP746"/>
      <c r="FQ746"/>
      <c r="FR746"/>
      <c r="FS746"/>
      <c r="FT746"/>
      <c r="FU746"/>
      <c r="FV746"/>
      <c r="FW746"/>
      <c r="FX746"/>
      <c r="FY746"/>
      <c r="FZ746"/>
      <c r="GA746"/>
      <c r="GB746"/>
      <c r="GC746"/>
      <c r="GD746"/>
      <c r="GE746"/>
      <c r="GF746"/>
      <c r="GG746"/>
      <c r="GH746"/>
      <c r="GI746"/>
      <c r="GJ746"/>
      <c r="GK746"/>
      <c r="GL746"/>
      <c r="GM746"/>
      <c r="GN746"/>
      <c r="GO746"/>
      <c r="GP746"/>
      <c r="GQ746"/>
      <c r="GR746"/>
      <c r="GS746"/>
      <c r="GT746"/>
      <c r="GU746"/>
      <c r="GV746"/>
      <c r="GW746"/>
      <c r="GX746"/>
      <c r="GY746"/>
      <c r="GZ746"/>
      <c r="HA746"/>
      <c r="HB746"/>
      <c r="HC746"/>
      <c r="HD746"/>
      <c r="HE746"/>
      <c r="HF746"/>
      <c r="HG746"/>
      <c r="HH746"/>
      <c r="HI746"/>
      <c r="HJ746"/>
      <c r="HK746"/>
      <c r="HL746"/>
      <c r="HM746"/>
      <c r="HN746"/>
      <c r="HO746"/>
      <c r="HP746"/>
      <c r="HQ746"/>
      <c r="HR746"/>
      <c r="HS746"/>
      <c r="HT746"/>
      <c r="HU746"/>
      <c r="HV746"/>
      <c r="HW746"/>
      <c r="HX746"/>
      <c r="HY746"/>
      <c r="HZ746"/>
      <c r="IA746"/>
      <c r="IB746"/>
      <c r="IC746"/>
      <c r="ID746"/>
      <c r="IE746"/>
      <c r="IF746"/>
      <c r="IG746"/>
      <c r="IH746"/>
      <c r="II746"/>
      <c r="IJ746"/>
      <c r="IK746"/>
      <c r="IL746"/>
      <c r="IM746"/>
      <c r="IN746"/>
      <c r="IO746"/>
      <c r="IP746"/>
      <c r="IQ746"/>
      <c r="IR746"/>
      <c r="IS746"/>
      <c r="IT746"/>
      <c r="IU746"/>
      <c r="IV746"/>
    </row>
    <row r="747" spans="1:256" ht="12.75" hidden="1" customHeight="1" x14ac:dyDescent="0.2">
      <c r="A747" s="443"/>
      <c r="B747" s="473" t="s">
        <v>845</v>
      </c>
      <c r="C747" s="490">
        <f>SUM(C748:C750)</f>
        <v>7950000</v>
      </c>
      <c r="D747" s="491">
        <f>SUM(D748:D750)</f>
        <v>8077000</v>
      </c>
      <c r="E747" s="491">
        <f>SUM(E748:E750)</f>
        <v>8077000</v>
      </c>
      <c r="F747" s="496">
        <f>SUM(F748:F750)</f>
        <v>3758467.68</v>
      </c>
      <c r="G747" s="497">
        <f>SUM(G748:G750)</f>
        <v>7250000</v>
      </c>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c r="EB747"/>
      <c r="EC747"/>
      <c r="ED747"/>
      <c r="EE747"/>
      <c r="EF747"/>
      <c r="EG747"/>
      <c r="EH747"/>
      <c r="EI747"/>
      <c r="EJ747"/>
      <c r="EK747"/>
      <c r="EL747"/>
      <c r="EM747"/>
      <c r="EN747"/>
      <c r="EO747"/>
      <c r="EP747"/>
      <c r="EQ747"/>
      <c r="ER747"/>
      <c r="ES747"/>
      <c r="ET747"/>
      <c r="EU747"/>
      <c r="EV747"/>
      <c r="EW747"/>
      <c r="EX747"/>
      <c r="EY747"/>
      <c r="EZ747"/>
      <c r="FA747"/>
      <c r="FB747"/>
      <c r="FC747"/>
      <c r="FD747"/>
      <c r="FE747"/>
      <c r="FF747"/>
      <c r="FG747"/>
      <c r="FH747"/>
      <c r="FI747"/>
      <c r="FJ747"/>
      <c r="FK747"/>
      <c r="FL747"/>
      <c r="FM747"/>
      <c r="FN747"/>
      <c r="FO747"/>
      <c r="FP747"/>
      <c r="FQ747"/>
      <c r="FR747"/>
      <c r="FS747"/>
      <c r="FT747"/>
      <c r="FU747"/>
      <c r="FV747"/>
      <c r="FW747"/>
      <c r="FX747"/>
      <c r="FY747"/>
      <c r="FZ747"/>
      <c r="GA747"/>
      <c r="GB747"/>
      <c r="GC747"/>
      <c r="GD747"/>
      <c r="GE747"/>
      <c r="GF747"/>
      <c r="GG747"/>
      <c r="GH747"/>
      <c r="GI747"/>
      <c r="GJ747"/>
      <c r="GK747"/>
      <c r="GL747"/>
      <c r="GM747"/>
      <c r="GN747"/>
      <c r="GO747"/>
      <c r="GP747"/>
      <c r="GQ747"/>
      <c r="GR747"/>
      <c r="GS747"/>
      <c r="GT747"/>
      <c r="GU747"/>
      <c r="GV747"/>
      <c r="GW747"/>
      <c r="GX747"/>
      <c r="GY747"/>
      <c r="GZ747"/>
      <c r="HA747"/>
      <c r="HB747"/>
      <c r="HC747"/>
      <c r="HD747"/>
      <c r="HE747"/>
      <c r="HF747"/>
      <c r="HG747"/>
      <c r="HH747"/>
      <c r="HI747"/>
      <c r="HJ747"/>
      <c r="HK747"/>
      <c r="HL747"/>
      <c r="HM747"/>
      <c r="HN747"/>
      <c r="HO747"/>
      <c r="HP747"/>
      <c r="HQ747"/>
      <c r="HR747"/>
      <c r="HS747"/>
      <c r="HT747"/>
      <c r="HU747"/>
      <c r="HV747"/>
      <c r="HW747"/>
      <c r="HX747"/>
      <c r="HY747"/>
      <c r="HZ747"/>
      <c r="IA747"/>
      <c r="IB747"/>
      <c r="IC747"/>
      <c r="ID747"/>
      <c r="IE747"/>
      <c r="IF747"/>
      <c r="IG747"/>
      <c r="IH747"/>
      <c r="II747"/>
      <c r="IJ747"/>
      <c r="IK747"/>
      <c r="IL747"/>
      <c r="IM747"/>
      <c r="IN747"/>
      <c r="IO747"/>
      <c r="IP747"/>
      <c r="IQ747"/>
      <c r="IR747"/>
      <c r="IS747"/>
      <c r="IT747"/>
      <c r="IU747"/>
      <c r="IV747"/>
    </row>
    <row r="748" spans="1:256" ht="12.75" hidden="1" customHeight="1" x14ac:dyDescent="0.2">
      <c r="A748" s="471"/>
      <c r="B748" s="453" t="s">
        <v>846</v>
      </c>
      <c r="C748" s="452">
        <v>5750000</v>
      </c>
      <c r="D748" s="454">
        <v>5750000</v>
      </c>
      <c r="E748" s="455">
        <v>5750000</v>
      </c>
      <c r="F748" s="304">
        <v>3431421.48</v>
      </c>
      <c r="G748" s="113">
        <v>5750000</v>
      </c>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c r="EB748"/>
      <c r="EC748"/>
      <c r="ED748"/>
      <c r="EE748"/>
      <c r="EF748"/>
      <c r="EG748"/>
      <c r="EH748"/>
      <c r="EI748"/>
      <c r="EJ748"/>
      <c r="EK748"/>
      <c r="EL748"/>
      <c r="EM748"/>
      <c r="EN748"/>
      <c r="EO748"/>
      <c r="EP748"/>
      <c r="EQ748"/>
      <c r="ER748"/>
      <c r="ES748"/>
      <c r="ET748"/>
      <c r="EU748"/>
      <c r="EV748"/>
      <c r="EW748"/>
      <c r="EX748"/>
      <c r="EY748"/>
      <c r="EZ748"/>
      <c r="FA748"/>
      <c r="FB748"/>
      <c r="FC748"/>
      <c r="FD748"/>
      <c r="FE748"/>
      <c r="FF748"/>
      <c r="FG748"/>
      <c r="FH748"/>
      <c r="FI748"/>
      <c r="FJ748"/>
      <c r="FK748"/>
      <c r="FL748"/>
      <c r="FM748"/>
      <c r="FN748"/>
      <c r="FO748"/>
      <c r="FP748"/>
      <c r="FQ748"/>
      <c r="FR748"/>
      <c r="FS748"/>
      <c r="FT748"/>
      <c r="FU748"/>
      <c r="FV748"/>
      <c r="FW748"/>
      <c r="FX748"/>
      <c r="FY748"/>
      <c r="FZ748"/>
      <c r="GA748"/>
      <c r="GB748"/>
      <c r="GC748"/>
      <c r="GD748"/>
      <c r="GE748"/>
      <c r="GF748"/>
      <c r="GG748"/>
      <c r="GH748"/>
      <c r="GI748"/>
      <c r="GJ748"/>
      <c r="GK748"/>
      <c r="GL748"/>
      <c r="GM748"/>
      <c r="GN748"/>
      <c r="GO748"/>
      <c r="GP748"/>
      <c r="GQ748"/>
      <c r="GR748"/>
      <c r="GS748"/>
      <c r="GT748"/>
      <c r="GU748"/>
      <c r="GV748"/>
      <c r="GW748"/>
      <c r="GX748"/>
      <c r="GY748"/>
      <c r="GZ748"/>
      <c r="HA748"/>
      <c r="HB748"/>
      <c r="HC748"/>
      <c r="HD748"/>
      <c r="HE748"/>
      <c r="HF748"/>
      <c r="HG748"/>
      <c r="HH748"/>
      <c r="HI748"/>
      <c r="HJ748"/>
      <c r="HK748"/>
      <c r="HL748"/>
      <c r="HM748"/>
      <c r="HN748"/>
      <c r="HO748"/>
      <c r="HP748"/>
      <c r="HQ748"/>
      <c r="HR748"/>
      <c r="HS748"/>
      <c r="HT748"/>
      <c r="HU748"/>
      <c r="HV748"/>
      <c r="HW748"/>
      <c r="HX748"/>
      <c r="HY748"/>
      <c r="HZ748"/>
      <c r="IA748"/>
      <c r="IB748"/>
      <c r="IC748"/>
      <c r="ID748"/>
      <c r="IE748"/>
      <c r="IF748"/>
      <c r="IG748"/>
      <c r="IH748"/>
      <c r="II748"/>
      <c r="IJ748"/>
      <c r="IK748"/>
      <c r="IL748"/>
      <c r="IM748"/>
      <c r="IN748"/>
      <c r="IO748"/>
      <c r="IP748"/>
      <c r="IQ748"/>
      <c r="IR748"/>
      <c r="IS748"/>
      <c r="IT748"/>
      <c r="IU748"/>
      <c r="IV748"/>
    </row>
    <row r="749" spans="1:256" ht="12.75" hidden="1" customHeight="1" x14ac:dyDescent="0.2">
      <c r="A749" s="471"/>
      <c r="B749" s="472" t="s">
        <v>847</v>
      </c>
      <c r="C749" s="452">
        <v>2000000</v>
      </c>
      <c r="D749" s="454">
        <v>2000000</v>
      </c>
      <c r="E749" s="455">
        <v>2000000</v>
      </c>
      <c r="F749" s="304">
        <v>0</v>
      </c>
      <c r="G749" s="113">
        <v>1500000</v>
      </c>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c r="AP749"/>
      <c r="AQ749"/>
      <c r="AR749"/>
      <c r="AS749"/>
      <c r="AT749"/>
      <c r="AU749"/>
      <c r="AV749"/>
      <c r="AW749"/>
      <c r="AX749"/>
      <c r="AY749"/>
      <c r="AZ749"/>
      <c r="BA749"/>
      <c r="BB749"/>
      <c r="BC749"/>
      <c r="BD749"/>
      <c r="BE749"/>
      <c r="BF749"/>
      <c r="BG749"/>
      <c r="BH749"/>
      <c r="BI749"/>
      <c r="BJ749"/>
      <c r="BK749"/>
      <c r="BL749"/>
      <c r="BM749"/>
      <c r="BN749"/>
      <c r="BO749"/>
      <c r="BP749"/>
      <c r="BQ749"/>
      <c r="BR749"/>
      <c r="BS749"/>
      <c r="BT749"/>
      <c r="BU749"/>
      <c r="BV749"/>
      <c r="BW749"/>
      <c r="BX749"/>
      <c r="BY749"/>
      <c r="BZ749"/>
      <c r="CA749"/>
      <c r="CB749"/>
      <c r="CC749"/>
      <c r="CD749"/>
      <c r="CE749"/>
      <c r="CF749"/>
      <c r="CG749"/>
      <c r="CH749"/>
      <c r="CI749"/>
      <c r="CJ749"/>
      <c r="CK749"/>
      <c r="CL749"/>
      <c r="CM749"/>
      <c r="CN749"/>
      <c r="CO749"/>
      <c r="CP749"/>
      <c r="CQ749"/>
      <c r="CR749"/>
      <c r="CS749"/>
      <c r="CT749"/>
      <c r="CU749"/>
      <c r="CV749"/>
      <c r="CW749"/>
      <c r="CX749"/>
      <c r="CY749"/>
      <c r="CZ749"/>
      <c r="DA749"/>
      <c r="DB749"/>
      <c r="DC749"/>
      <c r="DD749"/>
      <c r="DE749"/>
      <c r="DF749"/>
      <c r="DG749"/>
      <c r="DH749"/>
      <c r="DI749"/>
      <c r="DJ749"/>
      <c r="DK749"/>
      <c r="DL749"/>
      <c r="DM749"/>
      <c r="DN749"/>
      <c r="DO749"/>
      <c r="DP749"/>
      <c r="DQ749"/>
      <c r="DR749"/>
      <c r="DS749"/>
      <c r="DT749"/>
      <c r="DU749"/>
      <c r="DV749"/>
      <c r="DW749"/>
      <c r="DX749"/>
      <c r="DY749"/>
      <c r="DZ749"/>
      <c r="EA749"/>
      <c r="EB749"/>
      <c r="EC749"/>
      <c r="ED749"/>
      <c r="EE749"/>
      <c r="EF749"/>
      <c r="EG749"/>
      <c r="EH749"/>
      <c r="EI749"/>
      <c r="EJ749"/>
      <c r="EK749"/>
      <c r="EL749"/>
      <c r="EM749"/>
      <c r="EN749"/>
      <c r="EO749"/>
      <c r="EP749"/>
      <c r="EQ749"/>
      <c r="ER749"/>
      <c r="ES749"/>
      <c r="ET749"/>
      <c r="EU749"/>
      <c r="EV749"/>
      <c r="EW749"/>
      <c r="EX749"/>
      <c r="EY749"/>
      <c r="EZ749"/>
      <c r="FA749"/>
      <c r="FB749"/>
      <c r="FC749"/>
      <c r="FD749"/>
      <c r="FE749"/>
      <c r="FF749"/>
      <c r="FG749"/>
      <c r="FH749"/>
      <c r="FI749"/>
      <c r="FJ749"/>
      <c r="FK749"/>
      <c r="FL749"/>
      <c r="FM749"/>
      <c r="FN749"/>
      <c r="FO749"/>
      <c r="FP749"/>
      <c r="FQ749"/>
      <c r="FR749"/>
      <c r="FS749"/>
      <c r="FT749"/>
      <c r="FU749"/>
      <c r="FV749"/>
      <c r="FW749"/>
      <c r="FX749"/>
      <c r="FY749"/>
      <c r="FZ749"/>
      <c r="GA749"/>
      <c r="GB749"/>
      <c r="GC749"/>
      <c r="GD749"/>
      <c r="GE749"/>
      <c r="GF749"/>
      <c r="GG749"/>
      <c r="GH749"/>
      <c r="GI749"/>
      <c r="GJ749"/>
      <c r="GK749"/>
      <c r="GL749"/>
      <c r="GM749"/>
      <c r="GN749"/>
      <c r="GO749"/>
      <c r="GP749"/>
      <c r="GQ749"/>
      <c r="GR749"/>
      <c r="GS749"/>
      <c r="GT749"/>
      <c r="GU749"/>
      <c r="GV749"/>
      <c r="GW749"/>
      <c r="GX749"/>
      <c r="GY749"/>
      <c r="GZ749"/>
      <c r="HA749"/>
      <c r="HB749"/>
      <c r="HC749"/>
      <c r="HD749"/>
      <c r="HE749"/>
      <c r="HF749"/>
      <c r="HG749"/>
      <c r="HH749"/>
      <c r="HI749"/>
      <c r="HJ749"/>
      <c r="HK749"/>
      <c r="HL749"/>
      <c r="HM749"/>
      <c r="HN749"/>
      <c r="HO749"/>
      <c r="HP749"/>
      <c r="HQ749"/>
      <c r="HR749"/>
      <c r="HS749"/>
      <c r="HT749"/>
      <c r="HU749"/>
      <c r="HV749"/>
      <c r="HW749"/>
      <c r="HX749"/>
      <c r="HY749"/>
      <c r="HZ749"/>
      <c r="IA749"/>
      <c r="IB749"/>
      <c r="IC749"/>
      <c r="ID749"/>
      <c r="IE749"/>
      <c r="IF749"/>
      <c r="IG749"/>
      <c r="IH749"/>
      <c r="II749"/>
      <c r="IJ749"/>
      <c r="IK749"/>
      <c r="IL749"/>
      <c r="IM749"/>
      <c r="IN749"/>
      <c r="IO749"/>
      <c r="IP749"/>
      <c r="IQ749"/>
      <c r="IR749"/>
      <c r="IS749"/>
      <c r="IT749"/>
      <c r="IU749"/>
      <c r="IV749"/>
    </row>
    <row r="750" spans="1:256" ht="12.75" hidden="1" customHeight="1" x14ac:dyDescent="0.2">
      <c r="A750" s="471"/>
      <c r="B750" s="472" t="s">
        <v>848</v>
      </c>
      <c r="C750" s="452">
        <v>200000</v>
      </c>
      <c r="D750" s="478">
        <v>327000</v>
      </c>
      <c r="E750" s="479">
        <v>327000</v>
      </c>
      <c r="F750" s="304">
        <v>327046.2</v>
      </c>
      <c r="G750" s="113">
        <v>0</v>
      </c>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c r="EB750"/>
      <c r="EC750"/>
      <c r="ED750"/>
      <c r="EE750"/>
      <c r="EF750"/>
      <c r="EG750"/>
      <c r="EH750"/>
      <c r="EI750"/>
      <c r="EJ750"/>
      <c r="EK750"/>
      <c r="EL750"/>
      <c r="EM750"/>
      <c r="EN750"/>
      <c r="EO750"/>
      <c r="EP750"/>
      <c r="EQ750"/>
      <c r="ER750"/>
      <c r="ES750"/>
      <c r="ET750"/>
      <c r="EU750"/>
      <c r="EV750"/>
      <c r="EW750"/>
      <c r="EX750"/>
      <c r="EY750"/>
      <c r="EZ750"/>
      <c r="FA750"/>
      <c r="FB750"/>
      <c r="FC750"/>
      <c r="FD750"/>
      <c r="FE750"/>
      <c r="FF750"/>
      <c r="FG750"/>
      <c r="FH750"/>
      <c r="FI750"/>
      <c r="FJ750"/>
      <c r="FK750"/>
      <c r="FL750"/>
      <c r="FM750"/>
      <c r="FN750"/>
      <c r="FO750"/>
      <c r="FP750"/>
      <c r="FQ750"/>
      <c r="FR750"/>
      <c r="FS750"/>
      <c r="FT750"/>
      <c r="FU750"/>
      <c r="FV750"/>
      <c r="FW750"/>
      <c r="FX750"/>
      <c r="FY750"/>
      <c r="FZ750"/>
      <c r="GA750"/>
      <c r="GB750"/>
      <c r="GC750"/>
      <c r="GD750"/>
      <c r="GE750"/>
      <c r="GF750"/>
      <c r="GG750"/>
      <c r="GH750"/>
      <c r="GI750"/>
      <c r="GJ750"/>
      <c r="GK750"/>
      <c r="GL750"/>
      <c r="GM750"/>
      <c r="GN750"/>
      <c r="GO750"/>
      <c r="GP750"/>
      <c r="GQ750"/>
      <c r="GR750"/>
      <c r="GS750"/>
      <c r="GT750"/>
      <c r="GU750"/>
      <c r="GV750"/>
      <c r="GW750"/>
      <c r="GX750"/>
      <c r="GY750"/>
      <c r="GZ750"/>
      <c r="HA750"/>
      <c r="HB750"/>
      <c r="HC750"/>
      <c r="HD750"/>
      <c r="HE750"/>
      <c r="HF750"/>
      <c r="HG750"/>
      <c r="HH750"/>
      <c r="HI750"/>
      <c r="HJ750"/>
      <c r="HK750"/>
      <c r="HL750"/>
      <c r="HM750"/>
      <c r="HN750"/>
      <c r="HO750"/>
      <c r="HP750"/>
      <c r="HQ750"/>
      <c r="HR750"/>
      <c r="HS750"/>
      <c r="HT750"/>
      <c r="HU750"/>
      <c r="HV750"/>
      <c r="HW750"/>
      <c r="HX750"/>
      <c r="HY750"/>
      <c r="HZ750"/>
      <c r="IA750"/>
      <c r="IB750"/>
      <c r="IC750"/>
      <c r="ID750"/>
      <c r="IE750"/>
      <c r="IF750"/>
      <c r="IG750"/>
      <c r="IH750"/>
      <c r="II750"/>
      <c r="IJ750"/>
      <c r="IK750"/>
      <c r="IL750"/>
      <c r="IM750"/>
      <c r="IN750"/>
      <c r="IO750"/>
      <c r="IP750"/>
      <c r="IQ750"/>
      <c r="IR750"/>
      <c r="IS750"/>
      <c r="IT750"/>
      <c r="IU750"/>
      <c r="IV750"/>
    </row>
    <row r="751" spans="1:256" ht="12.75" hidden="1" customHeight="1" x14ac:dyDescent="0.2">
      <c r="A751" s="443"/>
      <c r="B751" s="472" t="s">
        <v>849</v>
      </c>
      <c r="C751" s="497">
        <f>SUM(C752:C753)</f>
        <v>1500000</v>
      </c>
      <c r="D751" s="491">
        <f>SUM(D752:D753)</f>
        <v>1500000</v>
      </c>
      <c r="E751" s="491">
        <f>SUM(E752:E753)</f>
        <v>1500000</v>
      </c>
      <c r="F751" s="496">
        <f>SUM(F752:F753)</f>
        <v>629041</v>
      </c>
      <c r="G751" s="497">
        <f>G752+G753</f>
        <v>3300000</v>
      </c>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c r="EB751"/>
      <c r="EC751"/>
      <c r="ED751"/>
      <c r="EE751"/>
      <c r="EF751"/>
      <c r="EG751"/>
      <c r="EH751"/>
      <c r="EI751"/>
      <c r="EJ751"/>
      <c r="EK751"/>
      <c r="EL751"/>
      <c r="EM751"/>
      <c r="EN751"/>
      <c r="EO751"/>
      <c r="EP751"/>
      <c r="EQ751"/>
      <c r="ER751"/>
      <c r="ES751"/>
      <c r="ET751"/>
      <c r="EU751"/>
      <c r="EV751"/>
      <c r="EW751"/>
      <c r="EX751"/>
      <c r="EY751"/>
      <c r="EZ751"/>
      <c r="FA751"/>
      <c r="FB751"/>
      <c r="FC751"/>
      <c r="FD751"/>
      <c r="FE751"/>
      <c r="FF751"/>
      <c r="FG751"/>
      <c r="FH751"/>
      <c r="FI751"/>
      <c r="FJ751"/>
      <c r="FK751"/>
      <c r="FL751"/>
      <c r="FM751"/>
      <c r="FN751"/>
      <c r="FO751"/>
      <c r="FP751"/>
      <c r="FQ751"/>
      <c r="FR751"/>
      <c r="FS751"/>
      <c r="FT751"/>
      <c r="FU751"/>
      <c r="FV751"/>
      <c r="FW751"/>
      <c r="FX751"/>
      <c r="FY751"/>
      <c r="FZ751"/>
      <c r="GA751"/>
      <c r="GB751"/>
      <c r="GC751"/>
      <c r="GD751"/>
      <c r="GE751"/>
      <c r="GF751"/>
      <c r="GG751"/>
      <c r="GH751"/>
      <c r="GI751"/>
      <c r="GJ751"/>
      <c r="GK751"/>
      <c r="GL751"/>
      <c r="GM751"/>
      <c r="GN751"/>
      <c r="GO751"/>
      <c r="GP751"/>
      <c r="GQ751"/>
      <c r="GR751"/>
      <c r="GS751"/>
      <c r="GT751"/>
      <c r="GU751"/>
      <c r="GV751"/>
      <c r="GW751"/>
      <c r="GX751"/>
      <c r="GY751"/>
      <c r="GZ751"/>
      <c r="HA751"/>
      <c r="HB751"/>
      <c r="HC751"/>
      <c r="HD751"/>
      <c r="HE751"/>
      <c r="HF751"/>
      <c r="HG751"/>
      <c r="HH751"/>
      <c r="HI751"/>
      <c r="HJ751"/>
      <c r="HK751"/>
      <c r="HL751"/>
      <c r="HM751"/>
      <c r="HN751"/>
      <c r="HO751"/>
      <c r="HP751"/>
      <c r="HQ751"/>
      <c r="HR751"/>
      <c r="HS751"/>
      <c r="HT751"/>
      <c r="HU751"/>
      <c r="HV751"/>
      <c r="HW751"/>
      <c r="HX751"/>
      <c r="HY751"/>
      <c r="HZ751"/>
      <c r="IA751"/>
      <c r="IB751"/>
      <c r="IC751"/>
      <c r="ID751"/>
      <c r="IE751"/>
      <c r="IF751"/>
      <c r="IG751"/>
      <c r="IH751"/>
      <c r="II751"/>
      <c r="IJ751"/>
      <c r="IK751"/>
      <c r="IL751"/>
      <c r="IM751"/>
      <c r="IN751"/>
      <c r="IO751"/>
      <c r="IP751"/>
      <c r="IQ751"/>
      <c r="IR751"/>
      <c r="IS751"/>
      <c r="IT751"/>
      <c r="IU751"/>
      <c r="IV751"/>
    </row>
    <row r="752" spans="1:256" ht="12.75" hidden="1" customHeight="1" x14ac:dyDescent="0.2">
      <c r="A752" s="471"/>
      <c r="B752" s="472" t="s">
        <v>850</v>
      </c>
      <c r="C752" s="452">
        <v>1500000</v>
      </c>
      <c r="D752" s="454">
        <v>1500000</v>
      </c>
      <c r="E752" s="468">
        <v>1500000</v>
      </c>
      <c r="F752" s="304">
        <v>629041</v>
      </c>
      <c r="G752" s="113">
        <v>2000000</v>
      </c>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c r="EB752"/>
      <c r="EC752"/>
      <c r="ED752"/>
      <c r="EE752"/>
      <c r="EF752"/>
      <c r="EG752"/>
      <c r="EH752"/>
      <c r="EI752"/>
      <c r="EJ752"/>
      <c r="EK752"/>
      <c r="EL752"/>
      <c r="EM752"/>
      <c r="EN752"/>
      <c r="EO752"/>
      <c r="EP752"/>
      <c r="EQ752"/>
      <c r="ER752"/>
      <c r="ES752"/>
      <c r="ET752"/>
      <c r="EU752"/>
      <c r="EV752"/>
      <c r="EW752"/>
      <c r="EX752"/>
      <c r="EY752"/>
      <c r="EZ752"/>
      <c r="FA752"/>
      <c r="FB752"/>
      <c r="FC752"/>
      <c r="FD752"/>
      <c r="FE752"/>
      <c r="FF752"/>
      <c r="FG752"/>
      <c r="FH752"/>
      <c r="FI752"/>
      <c r="FJ752"/>
      <c r="FK752"/>
      <c r="FL752"/>
      <c r="FM752"/>
      <c r="FN752"/>
      <c r="FO752"/>
      <c r="FP752"/>
      <c r="FQ752"/>
      <c r="FR752"/>
      <c r="FS752"/>
      <c r="FT752"/>
      <c r="FU752"/>
      <c r="FV752"/>
      <c r="FW752"/>
      <c r="FX752"/>
      <c r="FY752"/>
      <c r="FZ752"/>
      <c r="GA752"/>
      <c r="GB752"/>
      <c r="GC752"/>
      <c r="GD752"/>
      <c r="GE752"/>
      <c r="GF752"/>
      <c r="GG752"/>
      <c r="GH752"/>
      <c r="GI752"/>
      <c r="GJ752"/>
      <c r="GK752"/>
      <c r="GL752"/>
      <c r="GM752"/>
      <c r="GN752"/>
      <c r="GO752"/>
      <c r="GP752"/>
      <c r="GQ752"/>
      <c r="GR752"/>
      <c r="GS752"/>
      <c r="GT752"/>
      <c r="GU752"/>
      <c r="GV752"/>
      <c r="GW752"/>
      <c r="GX752"/>
      <c r="GY752"/>
      <c r="GZ752"/>
      <c r="HA752"/>
      <c r="HB752"/>
      <c r="HC752"/>
      <c r="HD752"/>
      <c r="HE752"/>
      <c r="HF752"/>
      <c r="HG752"/>
      <c r="HH752"/>
      <c r="HI752"/>
      <c r="HJ752"/>
      <c r="HK752"/>
      <c r="HL752"/>
      <c r="HM752"/>
      <c r="HN752"/>
      <c r="HO752"/>
      <c r="HP752"/>
      <c r="HQ752"/>
      <c r="HR752"/>
      <c r="HS752"/>
      <c r="HT752"/>
      <c r="HU752"/>
      <c r="HV752"/>
      <c r="HW752"/>
      <c r="HX752"/>
      <c r="HY752"/>
      <c r="HZ752"/>
      <c r="IA752"/>
      <c r="IB752"/>
      <c r="IC752"/>
      <c r="ID752"/>
      <c r="IE752"/>
      <c r="IF752"/>
      <c r="IG752"/>
      <c r="IH752"/>
      <c r="II752"/>
      <c r="IJ752"/>
      <c r="IK752"/>
      <c r="IL752"/>
      <c r="IM752"/>
      <c r="IN752"/>
      <c r="IO752"/>
      <c r="IP752"/>
      <c r="IQ752"/>
      <c r="IR752"/>
      <c r="IS752"/>
      <c r="IT752"/>
      <c r="IU752"/>
      <c r="IV752"/>
    </row>
    <row r="753" spans="1:256" ht="12.75" hidden="1" customHeight="1" x14ac:dyDescent="0.2">
      <c r="A753" s="471"/>
      <c r="B753" s="472" t="s">
        <v>851</v>
      </c>
      <c r="C753" s="452">
        <f>SUM(C754:C755)</f>
        <v>0</v>
      </c>
      <c r="D753" s="454">
        <f>SUM(D754:D755)</f>
        <v>0</v>
      </c>
      <c r="E753" s="468">
        <v>0</v>
      </c>
      <c r="F753" s="498">
        <f>SUM(F754:F755)</f>
        <v>0</v>
      </c>
      <c r="G753" s="452">
        <f>SUM(G754:G755)</f>
        <v>1300000</v>
      </c>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c r="AP753"/>
      <c r="AQ753"/>
      <c r="AR753"/>
      <c r="AS753"/>
      <c r="AT753"/>
      <c r="AU753"/>
      <c r="AV753"/>
      <c r="AW753"/>
      <c r="AX753"/>
      <c r="AY753"/>
      <c r="AZ753"/>
      <c r="BA753"/>
      <c r="BB753"/>
      <c r="BC753"/>
      <c r="BD753"/>
      <c r="BE753"/>
      <c r="BF753"/>
      <c r="BG753"/>
      <c r="BH753"/>
      <c r="BI753"/>
      <c r="BJ753"/>
      <c r="BK753"/>
      <c r="BL753"/>
      <c r="BM753"/>
      <c r="BN753"/>
      <c r="BO753"/>
      <c r="BP753"/>
      <c r="BQ753"/>
      <c r="BR753"/>
      <c r="BS753"/>
      <c r="BT753"/>
      <c r="BU753"/>
      <c r="BV753"/>
      <c r="BW753"/>
      <c r="BX753"/>
      <c r="BY753"/>
      <c r="BZ753"/>
      <c r="CA753"/>
      <c r="CB753"/>
      <c r="CC753"/>
      <c r="CD753"/>
      <c r="CE753"/>
      <c r="CF753"/>
      <c r="CG753"/>
      <c r="CH753"/>
      <c r="CI753"/>
      <c r="CJ753"/>
      <c r="CK753"/>
      <c r="CL753"/>
      <c r="CM753"/>
      <c r="CN753"/>
      <c r="CO753"/>
      <c r="CP753"/>
      <c r="CQ753"/>
      <c r="CR753"/>
      <c r="CS753"/>
      <c r="CT753"/>
      <c r="CU753"/>
      <c r="CV753"/>
      <c r="CW753"/>
      <c r="CX753"/>
      <c r="CY753"/>
      <c r="CZ753"/>
      <c r="DA753"/>
      <c r="DB753"/>
      <c r="DC753"/>
      <c r="DD753"/>
      <c r="DE753"/>
      <c r="DF753"/>
      <c r="DG753"/>
      <c r="DH753"/>
      <c r="DI753"/>
      <c r="DJ753"/>
      <c r="DK753"/>
      <c r="DL753"/>
      <c r="DM753"/>
      <c r="DN753"/>
      <c r="DO753"/>
      <c r="DP753"/>
      <c r="DQ753"/>
      <c r="DR753"/>
      <c r="DS753"/>
      <c r="DT753"/>
      <c r="DU753"/>
      <c r="DV753"/>
      <c r="DW753"/>
      <c r="DX753"/>
      <c r="DY753"/>
      <c r="DZ753"/>
      <c r="EA753"/>
      <c r="EB753"/>
      <c r="EC753"/>
      <c r="ED753"/>
      <c r="EE753"/>
      <c r="EF753"/>
      <c r="EG753"/>
      <c r="EH753"/>
      <c r="EI753"/>
      <c r="EJ753"/>
      <c r="EK753"/>
      <c r="EL753"/>
      <c r="EM753"/>
      <c r="EN753"/>
      <c r="EO753"/>
      <c r="EP753"/>
      <c r="EQ753"/>
      <c r="ER753"/>
      <c r="ES753"/>
      <c r="ET753"/>
      <c r="EU753"/>
      <c r="EV753"/>
      <c r="EW753"/>
      <c r="EX753"/>
      <c r="EY753"/>
      <c r="EZ753"/>
      <c r="FA753"/>
      <c r="FB753"/>
      <c r="FC753"/>
      <c r="FD753"/>
      <c r="FE753"/>
      <c r="FF753"/>
      <c r="FG753"/>
      <c r="FH753"/>
      <c r="FI753"/>
      <c r="FJ753"/>
      <c r="FK753"/>
      <c r="FL753"/>
      <c r="FM753"/>
      <c r="FN753"/>
      <c r="FO753"/>
      <c r="FP753"/>
      <c r="FQ753"/>
      <c r="FR753"/>
      <c r="FS753"/>
      <c r="FT753"/>
      <c r="FU753"/>
      <c r="FV753"/>
      <c r="FW753"/>
      <c r="FX753"/>
      <c r="FY753"/>
      <c r="FZ753"/>
      <c r="GA753"/>
      <c r="GB753"/>
      <c r="GC753"/>
      <c r="GD753"/>
      <c r="GE753"/>
      <c r="GF753"/>
      <c r="GG753"/>
      <c r="GH753"/>
      <c r="GI753"/>
      <c r="GJ753"/>
      <c r="GK753"/>
      <c r="GL753"/>
      <c r="GM753"/>
      <c r="GN753"/>
      <c r="GO753"/>
      <c r="GP753"/>
      <c r="GQ753"/>
      <c r="GR753"/>
      <c r="GS753"/>
      <c r="GT753"/>
      <c r="GU753"/>
      <c r="GV753"/>
      <c r="GW753"/>
      <c r="GX753"/>
      <c r="GY753"/>
      <c r="GZ753"/>
      <c r="HA753"/>
      <c r="HB753"/>
      <c r="HC753"/>
      <c r="HD753"/>
      <c r="HE753"/>
      <c r="HF753"/>
      <c r="HG753"/>
      <c r="HH753"/>
      <c r="HI753"/>
      <c r="HJ753"/>
      <c r="HK753"/>
      <c r="HL753"/>
      <c r="HM753"/>
      <c r="HN753"/>
      <c r="HO753"/>
      <c r="HP753"/>
      <c r="HQ753"/>
      <c r="HR753"/>
      <c r="HS753"/>
      <c r="HT753"/>
      <c r="HU753"/>
      <c r="HV753"/>
      <c r="HW753"/>
      <c r="HX753"/>
      <c r="HY753"/>
      <c r="HZ753"/>
      <c r="IA753"/>
      <c r="IB753"/>
      <c r="IC753"/>
      <c r="ID753"/>
      <c r="IE753"/>
      <c r="IF753"/>
      <c r="IG753"/>
      <c r="IH753"/>
      <c r="II753"/>
      <c r="IJ753"/>
      <c r="IK753"/>
      <c r="IL753"/>
      <c r="IM753"/>
      <c r="IN753"/>
      <c r="IO753"/>
      <c r="IP753"/>
      <c r="IQ753"/>
      <c r="IR753"/>
      <c r="IS753"/>
      <c r="IT753"/>
      <c r="IU753"/>
      <c r="IV753"/>
    </row>
    <row r="754" spans="1:256" s="488" customFormat="1" ht="12.75" hidden="1" customHeight="1" x14ac:dyDescent="0.2">
      <c r="A754" s="489"/>
      <c r="B754" s="499" t="s">
        <v>852</v>
      </c>
      <c r="C754" s="497"/>
      <c r="D754" s="491"/>
      <c r="E754" s="500"/>
      <c r="F754" s="501"/>
      <c r="G754" s="502">
        <v>300000</v>
      </c>
    </row>
    <row r="755" spans="1:256" s="488" customFormat="1" ht="12.75" hidden="1" customHeight="1" x14ac:dyDescent="0.2">
      <c r="A755" s="489"/>
      <c r="B755" s="499" t="s">
        <v>853</v>
      </c>
      <c r="C755" s="452"/>
      <c r="D755" s="454"/>
      <c r="E755" s="468"/>
      <c r="F755" s="503"/>
      <c r="G755" s="504">
        <v>1000000</v>
      </c>
    </row>
    <row r="756" spans="1:256" s="488" customFormat="1" ht="12.75" hidden="1" customHeight="1" x14ac:dyDescent="0.2">
      <c r="A756" s="471"/>
      <c r="B756" s="472" t="s">
        <v>854</v>
      </c>
      <c r="C756" s="497">
        <f>SUM(C757:C758)</f>
        <v>4100000</v>
      </c>
      <c r="D756" s="491">
        <f>SUM(D757:D758)</f>
        <v>3293365</v>
      </c>
      <c r="E756" s="491">
        <f>SUM(E757:E758)</f>
        <v>3353907.7800000003</v>
      </c>
      <c r="F756" s="496">
        <f>SUM(F757:F758)</f>
        <v>3099279.41</v>
      </c>
      <c r="G756" s="497">
        <f>G757+G758</f>
        <v>3100000</v>
      </c>
    </row>
    <row r="757" spans="1:256" ht="12.75" hidden="1" customHeight="1" x14ac:dyDescent="0.2">
      <c r="A757" s="471"/>
      <c r="B757" s="505" t="s">
        <v>850</v>
      </c>
      <c r="C757" s="459">
        <v>2000000</v>
      </c>
      <c r="D757" s="478">
        <f>2000000-6635</f>
        <v>1993365</v>
      </c>
      <c r="E757" s="506">
        <v>2000000</v>
      </c>
      <c r="F757" s="304">
        <v>1745387.63</v>
      </c>
      <c r="G757" s="507">
        <v>2500000</v>
      </c>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c r="AP757"/>
      <c r="AQ757"/>
      <c r="AR757"/>
      <c r="AS757"/>
      <c r="AT757"/>
      <c r="AU757"/>
      <c r="AV757"/>
      <c r="AW757"/>
      <c r="AX757"/>
      <c r="AY757"/>
      <c r="AZ757"/>
      <c r="BA757"/>
      <c r="BB757"/>
      <c r="BC757"/>
      <c r="BD757"/>
      <c r="BE757"/>
      <c r="BF757"/>
      <c r="BG757"/>
      <c r="BH757"/>
      <c r="BI757"/>
      <c r="BJ757"/>
      <c r="BK757"/>
      <c r="BL757"/>
      <c r="BM757"/>
      <c r="BN757"/>
      <c r="BO757"/>
      <c r="BP757"/>
      <c r="BQ757"/>
      <c r="BR757"/>
      <c r="BS757"/>
      <c r="BT757"/>
      <c r="BU757"/>
      <c r="BV757"/>
      <c r="BW757"/>
      <c r="BX757"/>
      <c r="BY757"/>
      <c r="BZ757"/>
      <c r="CA757"/>
      <c r="CB757"/>
      <c r="CC757"/>
      <c r="CD757"/>
      <c r="CE757"/>
      <c r="CF757"/>
      <c r="CG757"/>
      <c r="CH757"/>
      <c r="CI757"/>
      <c r="CJ757"/>
      <c r="CK757"/>
      <c r="CL757"/>
      <c r="CM757"/>
      <c r="CN757"/>
      <c r="CO757"/>
      <c r="CP757"/>
      <c r="CQ757"/>
      <c r="CR757"/>
      <c r="CS757"/>
      <c r="CT757"/>
      <c r="CU757"/>
      <c r="CV757"/>
      <c r="CW757"/>
      <c r="CX757"/>
      <c r="CY757"/>
      <c r="CZ757"/>
      <c r="DA757"/>
      <c r="DB757"/>
      <c r="DC757"/>
      <c r="DD757"/>
      <c r="DE757"/>
      <c r="DF757"/>
      <c r="DG757"/>
      <c r="DH757"/>
      <c r="DI757"/>
      <c r="DJ757"/>
      <c r="DK757"/>
      <c r="DL757"/>
      <c r="DM757"/>
      <c r="DN757"/>
      <c r="DO757"/>
      <c r="DP757"/>
      <c r="DQ757"/>
      <c r="DR757"/>
      <c r="DS757"/>
      <c r="DT757"/>
      <c r="DU757"/>
      <c r="DV757"/>
      <c r="DW757"/>
      <c r="DX757"/>
      <c r="DY757"/>
      <c r="DZ757"/>
      <c r="EA757"/>
      <c r="EB757"/>
      <c r="EC757"/>
      <c r="ED757"/>
      <c r="EE757"/>
      <c r="EF757"/>
      <c r="EG757"/>
      <c r="EH757"/>
      <c r="EI757"/>
      <c r="EJ757"/>
      <c r="EK757"/>
      <c r="EL757"/>
      <c r="EM757"/>
      <c r="EN757"/>
      <c r="EO757"/>
      <c r="EP757"/>
      <c r="EQ757"/>
      <c r="ER757"/>
      <c r="ES757"/>
      <c r="ET757"/>
      <c r="EU757"/>
      <c r="EV757"/>
      <c r="EW757"/>
      <c r="EX757"/>
      <c r="EY757"/>
      <c r="EZ757"/>
      <c r="FA757"/>
      <c r="FB757"/>
      <c r="FC757"/>
      <c r="FD757"/>
      <c r="FE757"/>
      <c r="FF757"/>
      <c r="FG757"/>
      <c r="FH757"/>
      <c r="FI757"/>
      <c r="FJ757"/>
      <c r="FK757"/>
      <c r="FL757"/>
      <c r="FM757"/>
      <c r="FN757"/>
      <c r="FO757"/>
      <c r="FP757"/>
      <c r="FQ757"/>
      <c r="FR757"/>
      <c r="FS757"/>
      <c r="FT757"/>
      <c r="FU757"/>
      <c r="FV757"/>
      <c r="FW757"/>
      <c r="FX757"/>
      <c r="FY757"/>
      <c r="FZ757"/>
      <c r="GA757"/>
      <c r="GB757"/>
      <c r="GC757"/>
      <c r="GD757"/>
      <c r="GE757"/>
      <c r="GF757"/>
      <c r="GG757"/>
      <c r="GH757"/>
      <c r="GI757"/>
      <c r="GJ757"/>
      <c r="GK757"/>
      <c r="GL757"/>
      <c r="GM757"/>
      <c r="GN757"/>
      <c r="GO757"/>
      <c r="GP757"/>
      <c r="GQ757"/>
      <c r="GR757"/>
      <c r="GS757"/>
      <c r="GT757"/>
      <c r="GU757"/>
      <c r="GV757"/>
      <c r="GW757"/>
      <c r="GX757"/>
      <c r="GY757"/>
      <c r="GZ757"/>
      <c r="HA757"/>
      <c r="HB757"/>
      <c r="HC757"/>
      <c r="HD757"/>
      <c r="HE757"/>
      <c r="HF757"/>
      <c r="HG757"/>
      <c r="HH757"/>
      <c r="HI757"/>
      <c r="HJ757"/>
      <c r="HK757"/>
      <c r="HL757"/>
      <c r="HM757"/>
      <c r="HN757"/>
      <c r="HO757"/>
      <c r="HP757"/>
      <c r="HQ757"/>
      <c r="HR757"/>
      <c r="HS757"/>
      <c r="HT757"/>
      <c r="HU757"/>
      <c r="HV757"/>
      <c r="HW757"/>
      <c r="HX757"/>
      <c r="HY757"/>
      <c r="HZ757"/>
      <c r="IA757"/>
      <c r="IB757"/>
      <c r="IC757"/>
      <c r="ID757"/>
      <c r="IE757"/>
      <c r="IF757"/>
      <c r="IG757"/>
      <c r="IH757"/>
      <c r="II757"/>
      <c r="IJ757"/>
      <c r="IK757"/>
      <c r="IL757"/>
      <c r="IM757"/>
      <c r="IN757"/>
      <c r="IO757"/>
      <c r="IP757"/>
      <c r="IQ757"/>
      <c r="IR757"/>
      <c r="IS757"/>
      <c r="IT757"/>
      <c r="IU757"/>
      <c r="IV757"/>
    </row>
    <row r="758" spans="1:256" ht="12.75" hidden="1" customHeight="1" x14ac:dyDescent="0.2">
      <c r="A758" s="471"/>
      <c r="B758" s="508" t="s">
        <v>855</v>
      </c>
      <c r="C758" s="509">
        <f>SUM(C759:C763)</f>
        <v>2100000</v>
      </c>
      <c r="D758" s="454">
        <f>SUM(D759:D763)</f>
        <v>1300000</v>
      </c>
      <c r="E758" s="454">
        <f>SUM(E759:E763)</f>
        <v>1353907.78</v>
      </c>
      <c r="F758" s="498">
        <v>1353891.78</v>
      </c>
      <c r="G758" s="509">
        <f>SUM(G759:G763)</f>
        <v>600000</v>
      </c>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c r="EB758"/>
      <c r="EC758"/>
      <c r="ED758"/>
      <c r="EE758"/>
      <c r="EF758"/>
      <c r="EG758"/>
      <c r="EH758"/>
      <c r="EI758"/>
      <c r="EJ758"/>
      <c r="EK758"/>
      <c r="EL758"/>
      <c r="EM758"/>
      <c r="EN758"/>
      <c r="EO758"/>
      <c r="EP758"/>
      <c r="EQ758"/>
      <c r="ER758"/>
      <c r="ES758"/>
      <c r="ET758"/>
      <c r="EU758"/>
      <c r="EV758"/>
      <c r="EW758"/>
      <c r="EX758"/>
      <c r="EY758"/>
      <c r="EZ758"/>
      <c r="FA758"/>
      <c r="FB758"/>
      <c r="FC758"/>
      <c r="FD758"/>
      <c r="FE758"/>
      <c r="FF758"/>
      <c r="FG758"/>
      <c r="FH758"/>
      <c r="FI758"/>
      <c r="FJ758"/>
      <c r="FK758"/>
      <c r="FL758"/>
      <c r="FM758"/>
      <c r="FN758"/>
      <c r="FO758"/>
      <c r="FP758"/>
      <c r="FQ758"/>
      <c r="FR758"/>
      <c r="FS758"/>
      <c r="FT758"/>
      <c r="FU758"/>
      <c r="FV758"/>
      <c r="FW758"/>
      <c r="FX758"/>
      <c r="FY758"/>
      <c r="FZ758"/>
      <c r="GA758"/>
      <c r="GB758"/>
      <c r="GC758"/>
      <c r="GD758"/>
      <c r="GE758"/>
      <c r="GF758"/>
      <c r="GG758"/>
      <c r="GH758"/>
      <c r="GI758"/>
      <c r="GJ758"/>
      <c r="GK758"/>
      <c r="GL758"/>
      <c r="GM758"/>
      <c r="GN758"/>
      <c r="GO758"/>
      <c r="GP758"/>
      <c r="GQ758"/>
      <c r="GR758"/>
      <c r="GS758"/>
      <c r="GT758"/>
      <c r="GU758"/>
      <c r="GV758"/>
      <c r="GW758"/>
      <c r="GX758"/>
      <c r="GY758"/>
      <c r="GZ758"/>
      <c r="HA758"/>
      <c r="HB758"/>
      <c r="HC758"/>
      <c r="HD758"/>
      <c r="HE758"/>
      <c r="HF758"/>
      <c r="HG758"/>
      <c r="HH758"/>
      <c r="HI758"/>
      <c r="HJ758"/>
      <c r="HK758"/>
      <c r="HL758"/>
      <c r="HM758"/>
      <c r="HN758"/>
      <c r="HO758"/>
      <c r="HP758"/>
      <c r="HQ758"/>
      <c r="HR758"/>
      <c r="HS758"/>
      <c r="HT758"/>
      <c r="HU758"/>
      <c r="HV758"/>
      <c r="HW758"/>
      <c r="HX758"/>
      <c r="HY758"/>
      <c r="HZ758"/>
      <c r="IA758"/>
      <c r="IB758"/>
      <c r="IC758"/>
      <c r="ID758"/>
      <c r="IE758"/>
      <c r="IF758"/>
      <c r="IG758"/>
      <c r="IH758"/>
      <c r="II758"/>
      <c r="IJ758"/>
      <c r="IK758"/>
      <c r="IL758"/>
      <c r="IM758"/>
      <c r="IN758"/>
      <c r="IO758"/>
      <c r="IP758"/>
      <c r="IQ758"/>
      <c r="IR758"/>
      <c r="IS758"/>
      <c r="IT758"/>
      <c r="IU758"/>
      <c r="IV758"/>
    </row>
    <row r="759" spans="1:256" ht="12.75" hidden="1" customHeight="1" x14ac:dyDescent="0.2">
      <c r="A759" s="489"/>
      <c r="B759" s="453" t="s">
        <v>856</v>
      </c>
      <c r="C759" s="450">
        <v>1300000</v>
      </c>
      <c r="D759" s="454">
        <v>1300000</v>
      </c>
      <c r="E759" s="455">
        <v>1353907.78</v>
      </c>
      <c r="F759" s="498">
        <f>SUM(F760:F763)</f>
        <v>0</v>
      </c>
      <c r="G759" s="452">
        <v>0</v>
      </c>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c r="EB759"/>
      <c r="EC759"/>
      <c r="ED759"/>
      <c r="EE759"/>
      <c r="EF759"/>
      <c r="EG759"/>
      <c r="EH759"/>
      <c r="EI759"/>
      <c r="EJ759"/>
      <c r="EK759"/>
      <c r="EL759"/>
      <c r="EM759"/>
      <c r="EN759"/>
      <c r="EO759"/>
      <c r="EP759"/>
      <c r="EQ759"/>
      <c r="ER759"/>
      <c r="ES759"/>
      <c r="ET759"/>
      <c r="EU759"/>
      <c r="EV759"/>
      <c r="EW759"/>
      <c r="EX759"/>
      <c r="EY759"/>
      <c r="EZ759"/>
      <c r="FA759"/>
      <c r="FB759"/>
      <c r="FC759"/>
      <c r="FD759"/>
      <c r="FE759"/>
      <c r="FF759"/>
      <c r="FG759"/>
      <c r="FH759"/>
      <c r="FI759"/>
      <c r="FJ759"/>
      <c r="FK759"/>
      <c r="FL759"/>
      <c r="FM759"/>
      <c r="FN759"/>
      <c r="FO759"/>
      <c r="FP759"/>
      <c r="FQ759"/>
      <c r="FR759"/>
      <c r="FS759"/>
      <c r="FT759"/>
      <c r="FU759"/>
      <c r="FV759"/>
      <c r="FW759"/>
      <c r="FX759"/>
      <c r="FY759"/>
      <c r="FZ759"/>
      <c r="GA759"/>
      <c r="GB759"/>
      <c r="GC759"/>
      <c r="GD759"/>
      <c r="GE759"/>
      <c r="GF759"/>
      <c r="GG759"/>
      <c r="GH759"/>
      <c r="GI759"/>
      <c r="GJ759"/>
      <c r="GK759"/>
      <c r="GL759"/>
      <c r="GM759"/>
      <c r="GN759"/>
      <c r="GO759"/>
      <c r="GP759"/>
      <c r="GQ759"/>
      <c r="GR759"/>
      <c r="GS759"/>
      <c r="GT759"/>
      <c r="GU759"/>
      <c r="GV759"/>
      <c r="GW759"/>
      <c r="GX759"/>
      <c r="GY759"/>
      <c r="GZ759"/>
      <c r="HA759"/>
      <c r="HB759"/>
      <c r="HC759"/>
      <c r="HD759"/>
      <c r="HE759"/>
      <c r="HF759"/>
      <c r="HG759"/>
      <c r="HH759"/>
      <c r="HI759"/>
      <c r="HJ759"/>
      <c r="HK759"/>
      <c r="HL759"/>
      <c r="HM759"/>
      <c r="HN759"/>
      <c r="HO759"/>
      <c r="HP759"/>
      <c r="HQ759"/>
      <c r="HR759"/>
      <c r="HS759"/>
      <c r="HT759"/>
      <c r="HU759"/>
      <c r="HV759"/>
      <c r="HW759"/>
      <c r="HX759"/>
      <c r="HY759"/>
      <c r="HZ759"/>
      <c r="IA759"/>
      <c r="IB759"/>
      <c r="IC759"/>
      <c r="ID759"/>
      <c r="IE759"/>
      <c r="IF759"/>
      <c r="IG759"/>
      <c r="IH759"/>
      <c r="II759"/>
      <c r="IJ759"/>
      <c r="IK759"/>
      <c r="IL759"/>
      <c r="IM759"/>
      <c r="IN759"/>
      <c r="IO759"/>
      <c r="IP759"/>
      <c r="IQ759"/>
      <c r="IR759"/>
      <c r="IS759"/>
      <c r="IT759"/>
      <c r="IU759"/>
      <c r="IV759"/>
    </row>
    <row r="760" spans="1:256" s="488" customFormat="1" ht="12.75" hidden="1" customHeight="1" x14ac:dyDescent="0.2">
      <c r="A760" s="489"/>
      <c r="B760" s="453" t="s">
        <v>857</v>
      </c>
      <c r="C760" s="450">
        <v>800000</v>
      </c>
      <c r="D760" s="454">
        <f>800000-800000</f>
        <v>0</v>
      </c>
      <c r="E760" s="468">
        <v>0</v>
      </c>
      <c r="F760" s="304">
        <v>0</v>
      </c>
      <c r="G760" s="113">
        <v>0</v>
      </c>
    </row>
    <row r="761" spans="1:256" s="488" customFormat="1" ht="12.75" hidden="1" customHeight="1" x14ac:dyDescent="0.2">
      <c r="A761" s="489"/>
      <c r="B761" s="453" t="s">
        <v>858</v>
      </c>
      <c r="C761" s="452"/>
      <c r="D761" s="454"/>
      <c r="E761" s="455"/>
      <c r="F761" s="510"/>
      <c r="G761" s="374">
        <v>300000</v>
      </c>
    </row>
    <row r="762" spans="1:256" s="488" customFormat="1" ht="12.75" hidden="1" customHeight="1" x14ac:dyDescent="0.2">
      <c r="A762" s="489"/>
      <c r="B762" s="511" t="s">
        <v>859</v>
      </c>
      <c r="C762" s="452"/>
      <c r="D762" s="454"/>
      <c r="E762" s="455"/>
      <c r="F762" s="510"/>
      <c r="G762" s="393">
        <v>300000</v>
      </c>
    </row>
    <row r="763" spans="1:256" s="488" customFormat="1" ht="12.75" hidden="1" customHeight="1" x14ac:dyDescent="0.2">
      <c r="A763" s="489"/>
      <c r="B763" s="453" t="s">
        <v>860</v>
      </c>
      <c r="C763" s="452"/>
      <c r="D763" s="454"/>
      <c r="E763" s="455"/>
      <c r="F763" s="510"/>
      <c r="G763" s="393">
        <v>0</v>
      </c>
    </row>
    <row r="764" spans="1:256" s="488" customFormat="1" ht="12.75" hidden="1" customHeight="1" x14ac:dyDescent="0.2">
      <c r="A764" s="471"/>
      <c r="B764" s="449" t="s">
        <v>861</v>
      </c>
      <c r="C764" s="497">
        <f>SUM(C765:C765)</f>
        <v>600000</v>
      </c>
      <c r="D764" s="491">
        <f>SUM(D765:D765)</f>
        <v>473000</v>
      </c>
      <c r="E764" s="491">
        <f>SUM(E765:E765)</f>
        <v>473000</v>
      </c>
      <c r="F764" s="512">
        <f>SUM(F765:F765)</f>
        <v>117051.4</v>
      </c>
      <c r="G764" s="513">
        <v>0</v>
      </c>
    </row>
    <row r="765" spans="1:256" ht="12.75" hidden="1" customHeight="1" x14ac:dyDescent="0.2">
      <c r="A765" s="471"/>
      <c r="B765" s="449" t="s">
        <v>862</v>
      </c>
      <c r="C765" s="452">
        <v>600000</v>
      </c>
      <c r="D765" s="454">
        <v>473000</v>
      </c>
      <c r="E765" s="455">
        <v>473000</v>
      </c>
      <c r="F765" s="304">
        <v>117051.4</v>
      </c>
      <c r="G765" s="114">
        <v>0</v>
      </c>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c r="EB765"/>
      <c r="EC765"/>
      <c r="ED765"/>
      <c r="EE765"/>
      <c r="EF765"/>
      <c r="EG765"/>
      <c r="EH765"/>
      <c r="EI765"/>
      <c r="EJ765"/>
      <c r="EK765"/>
      <c r="EL765"/>
      <c r="EM765"/>
      <c r="EN765"/>
      <c r="EO765"/>
      <c r="EP765"/>
      <c r="EQ765"/>
      <c r="ER765"/>
      <c r="ES765"/>
      <c r="ET765"/>
      <c r="EU765"/>
      <c r="EV765"/>
      <c r="EW765"/>
      <c r="EX765"/>
      <c r="EY765"/>
      <c r="EZ765"/>
      <c r="FA765"/>
      <c r="FB765"/>
      <c r="FC765"/>
      <c r="FD765"/>
      <c r="FE765"/>
      <c r="FF765"/>
      <c r="FG765"/>
      <c r="FH765"/>
      <c r="FI765"/>
      <c r="FJ765"/>
      <c r="FK765"/>
      <c r="FL765"/>
      <c r="FM765"/>
      <c r="FN765"/>
      <c r="FO765"/>
      <c r="FP765"/>
      <c r="FQ765"/>
      <c r="FR765"/>
      <c r="FS765"/>
      <c r="FT765"/>
      <c r="FU765"/>
      <c r="FV765"/>
      <c r="FW765"/>
      <c r="FX765"/>
      <c r="FY765"/>
      <c r="FZ765"/>
      <c r="GA765"/>
      <c r="GB765"/>
      <c r="GC765"/>
      <c r="GD765"/>
      <c r="GE765"/>
      <c r="GF765"/>
      <c r="GG765"/>
      <c r="GH765"/>
      <c r="GI765"/>
      <c r="GJ765"/>
      <c r="GK765"/>
      <c r="GL765"/>
      <c r="GM765"/>
      <c r="GN765"/>
      <c r="GO765"/>
      <c r="GP765"/>
      <c r="GQ765"/>
      <c r="GR765"/>
      <c r="GS765"/>
      <c r="GT765"/>
      <c r="GU765"/>
      <c r="GV765"/>
      <c r="GW765"/>
      <c r="GX765"/>
      <c r="GY765"/>
      <c r="GZ765"/>
      <c r="HA765"/>
      <c r="HB765"/>
      <c r="HC765"/>
      <c r="HD765"/>
      <c r="HE765"/>
      <c r="HF765"/>
      <c r="HG765"/>
      <c r="HH765"/>
      <c r="HI765"/>
      <c r="HJ765"/>
      <c r="HK765"/>
      <c r="HL765"/>
      <c r="HM765"/>
      <c r="HN765"/>
      <c r="HO765"/>
      <c r="HP765"/>
      <c r="HQ765"/>
      <c r="HR765"/>
      <c r="HS765"/>
      <c r="HT765"/>
      <c r="HU765"/>
      <c r="HV765"/>
      <c r="HW765"/>
      <c r="HX765"/>
      <c r="HY765"/>
      <c r="HZ765"/>
      <c r="IA765"/>
      <c r="IB765"/>
      <c r="IC765"/>
      <c r="ID765"/>
      <c r="IE765"/>
      <c r="IF765"/>
      <c r="IG765"/>
      <c r="IH765"/>
      <c r="II765"/>
      <c r="IJ765"/>
      <c r="IK765"/>
      <c r="IL765"/>
      <c r="IM765"/>
      <c r="IN765"/>
      <c r="IO765"/>
      <c r="IP765"/>
      <c r="IQ765"/>
      <c r="IR765"/>
      <c r="IS765"/>
      <c r="IT765"/>
      <c r="IU765"/>
      <c r="IV765"/>
    </row>
    <row r="766" spans="1:256" ht="12.75" hidden="1" customHeight="1" x14ac:dyDescent="0.2">
      <c r="A766" s="471"/>
      <c r="B766" s="472" t="s">
        <v>863</v>
      </c>
      <c r="C766" s="497">
        <f>C767+C768</f>
        <v>5500000</v>
      </c>
      <c r="D766" s="491">
        <f>D767+D768</f>
        <v>3391000</v>
      </c>
      <c r="E766" s="491">
        <f>E767+E768</f>
        <v>3133425</v>
      </c>
      <c r="F766" s="496">
        <f>F767+F768</f>
        <v>1795955.96</v>
      </c>
      <c r="G766" s="490">
        <f>G767+G768</f>
        <v>2500000</v>
      </c>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c r="EB766"/>
      <c r="EC766"/>
      <c r="ED766"/>
      <c r="EE766"/>
      <c r="EF766"/>
      <c r="EG766"/>
      <c r="EH766"/>
      <c r="EI766"/>
      <c r="EJ766"/>
      <c r="EK766"/>
      <c r="EL766"/>
      <c r="EM766"/>
      <c r="EN766"/>
      <c r="EO766"/>
      <c r="EP766"/>
      <c r="EQ766"/>
      <c r="ER766"/>
      <c r="ES766"/>
      <c r="ET766"/>
      <c r="EU766"/>
      <c r="EV766"/>
      <c r="EW766"/>
      <c r="EX766"/>
      <c r="EY766"/>
      <c r="EZ766"/>
      <c r="FA766"/>
      <c r="FB766"/>
      <c r="FC766"/>
      <c r="FD766"/>
      <c r="FE766"/>
      <c r="FF766"/>
      <c r="FG766"/>
      <c r="FH766"/>
      <c r="FI766"/>
      <c r="FJ766"/>
      <c r="FK766"/>
      <c r="FL766"/>
      <c r="FM766"/>
      <c r="FN766"/>
      <c r="FO766"/>
      <c r="FP766"/>
      <c r="FQ766"/>
      <c r="FR766"/>
      <c r="FS766"/>
      <c r="FT766"/>
      <c r="FU766"/>
      <c r="FV766"/>
      <c r="FW766"/>
      <c r="FX766"/>
      <c r="FY766"/>
      <c r="FZ766"/>
      <c r="GA766"/>
      <c r="GB766"/>
      <c r="GC766"/>
      <c r="GD766"/>
      <c r="GE766"/>
      <c r="GF766"/>
      <c r="GG766"/>
      <c r="GH766"/>
      <c r="GI766"/>
      <c r="GJ766"/>
      <c r="GK766"/>
      <c r="GL766"/>
      <c r="GM766"/>
      <c r="GN766"/>
      <c r="GO766"/>
      <c r="GP766"/>
      <c r="GQ766"/>
      <c r="GR766"/>
      <c r="GS766"/>
      <c r="GT766"/>
      <c r="GU766"/>
      <c r="GV766"/>
      <c r="GW766"/>
      <c r="GX766"/>
      <c r="GY766"/>
      <c r="GZ766"/>
      <c r="HA766"/>
      <c r="HB766"/>
      <c r="HC766"/>
      <c r="HD766"/>
      <c r="HE766"/>
      <c r="HF766"/>
      <c r="HG766"/>
      <c r="HH766"/>
      <c r="HI766"/>
      <c r="HJ766"/>
      <c r="HK766"/>
      <c r="HL766"/>
      <c r="HM766"/>
      <c r="HN766"/>
      <c r="HO766"/>
      <c r="HP766"/>
      <c r="HQ766"/>
      <c r="HR766"/>
      <c r="HS766"/>
      <c r="HT766"/>
      <c r="HU766"/>
      <c r="HV766"/>
      <c r="HW766"/>
      <c r="HX766"/>
      <c r="HY766"/>
      <c r="HZ766"/>
      <c r="IA766"/>
      <c r="IB766"/>
      <c r="IC766"/>
      <c r="ID766"/>
      <c r="IE766"/>
      <c r="IF766"/>
      <c r="IG766"/>
      <c r="IH766"/>
      <c r="II766"/>
      <c r="IJ766"/>
      <c r="IK766"/>
      <c r="IL766"/>
      <c r="IM766"/>
      <c r="IN766"/>
      <c r="IO766"/>
      <c r="IP766"/>
      <c r="IQ766"/>
      <c r="IR766"/>
      <c r="IS766"/>
      <c r="IT766"/>
      <c r="IU766"/>
      <c r="IV766"/>
    </row>
    <row r="767" spans="1:256" ht="12.75" hidden="1" customHeight="1" x14ac:dyDescent="0.2">
      <c r="A767" s="471"/>
      <c r="B767" s="449" t="s">
        <v>864</v>
      </c>
      <c r="C767" s="452">
        <v>1500000</v>
      </c>
      <c r="D767" s="454">
        <v>1891000</v>
      </c>
      <c r="E767" s="455">
        <v>1891000</v>
      </c>
      <c r="F767" s="304">
        <v>853530.95</v>
      </c>
      <c r="G767" s="114">
        <v>1500000</v>
      </c>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c r="EB767"/>
      <c r="EC767"/>
      <c r="ED767"/>
      <c r="EE767"/>
      <c r="EF767"/>
      <c r="EG767"/>
      <c r="EH767"/>
      <c r="EI767"/>
      <c r="EJ767"/>
      <c r="EK767"/>
      <c r="EL767"/>
      <c r="EM767"/>
      <c r="EN767"/>
      <c r="EO767"/>
      <c r="EP767"/>
      <c r="EQ767"/>
      <c r="ER767"/>
      <c r="ES767"/>
      <c r="ET767"/>
      <c r="EU767"/>
      <c r="EV767"/>
      <c r="EW767"/>
      <c r="EX767"/>
      <c r="EY767"/>
      <c r="EZ767"/>
      <c r="FA767"/>
      <c r="FB767"/>
      <c r="FC767"/>
      <c r="FD767"/>
      <c r="FE767"/>
      <c r="FF767"/>
      <c r="FG767"/>
      <c r="FH767"/>
      <c r="FI767"/>
      <c r="FJ767"/>
      <c r="FK767"/>
      <c r="FL767"/>
      <c r="FM767"/>
      <c r="FN767"/>
      <c r="FO767"/>
      <c r="FP767"/>
      <c r="FQ767"/>
      <c r="FR767"/>
      <c r="FS767"/>
      <c r="FT767"/>
      <c r="FU767"/>
      <c r="FV767"/>
      <c r="FW767"/>
      <c r="FX767"/>
      <c r="FY767"/>
      <c r="FZ767"/>
      <c r="GA767"/>
      <c r="GB767"/>
      <c r="GC767"/>
      <c r="GD767"/>
      <c r="GE767"/>
      <c r="GF767"/>
      <c r="GG767"/>
      <c r="GH767"/>
      <c r="GI767"/>
      <c r="GJ767"/>
      <c r="GK767"/>
      <c r="GL767"/>
      <c r="GM767"/>
      <c r="GN767"/>
      <c r="GO767"/>
      <c r="GP767"/>
      <c r="GQ767"/>
      <c r="GR767"/>
      <c r="GS767"/>
      <c r="GT767"/>
      <c r="GU767"/>
      <c r="GV767"/>
      <c r="GW767"/>
      <c r="GX767"/>
      <c r="GY767"/>
      <c r="GZ767"/>
      <c r="HA767"/>
      <c r="HB767"/>
      <c r="HC767"/>
      <c r="HD767"/>
      <c r="HE767"/>
      <c r="HF767"/>
      <c r="HG767"/>
      <c r="HH767"/>
      <c r="HI767"/>
      <c r="HJ767"/>
      <c r="HK767"/>
      <c r="HL767"/>
      <c r="HM767"/>
      <c r="HN767"/>
      <c r="HO767"/>
      <c r="HP767"/>
      <c r="HQ767"/>
      <c r="HR767"/>
      <c r="HS767"/>
      <c r="HT767"/>
      <c r="HU767"/>
      <c r="HV767"/>
      <c r="HW767"/>
      <c r="HX767"/>
      <c r="HY767"/>
      <c r="HZ767"/>
      <c r="IA767"/>
      <c r="IB767"/>
      <c r="IC767"/>
      <c r="ID767"/>
      <c r="IE767"/>
      <c r="IF767"/>
      <c r="IG767"/>
      <c r="IH767"/>
      <c r="II767"/>
      <c r="IJ767"/>
      <c r="IK767"/>
      <c r="IL767"/>
      <c r="IM767"/>
      <c r="IN767"/>
      <c r="IO767"/>
      <c r="IP767"/>
      <c r="IQ767"/>
      <c r="IR767"/>
      <c r="IS767"/>
      <c r="IT767"/>
      <c r="IU767"/>
      <c r="IV767"/>
    </row>
    <row r="768" spans="1:256" ht="12.75" hidden="1" customHeight="1" x14ac:dyDescent="0.2">
      <c r="A768" s="471"/>
      <c r="B768" s="514" t="s">
        <v>865</v>
      </c>
      <c r="C768" s="452">
        <f>SUM(C769:C775)</f>
        <v>4000000</v>
      </c>
      <c r="D768" s="454">
        <f>SUM(D769:D775)</f>
        <v>1500000</v>
      </c>
      <c r="E768" s="454">
        <f>SUM(E769:E775)</f>
        <v>1242425</v>
      </c>
      <c r="F768" s="498">
        <f>SUM(F769:F775)</f>
        <v>942425.01</v>
      </c>
      <c r="G768" s="450">
        <f>SUM(G769:G775)</f>
        <v>1000000</v>
      </c>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c r="EB768"/>
      <c r="EC768"/>
      <c r="ED768"/>
      <c r="EE768"/>
      <c r="EF768"/>
      <c r="EG768"/>
      <c r="EH768"/>
      <c r="EI768"/>
      <c r="EJ768"/>
      <c r="EK768"/>
      <c r="EL768"/>
      <c r="EM768"/>
      <c r="EN768"/>
      <c r="EO768"/>
      <c r="EP768"/>
      <c r="EQ768"/>
      <c r="ER768"/>
      <c r="ES768"/>
      <c r="ET768"/>
      <c r="EU768"/>
      <c r="EV768"/>
      <c r="EW768"/>
      <c r="EX768"/>
      <c r="EY768"/>
      <c r="EZ768"/>
      <c r="FA768"/>
      <c r="FB768"/>
      <c r="FC768"/>
      <c r="FD768"/>
      <c r="FE768"/>
      <c r="FF768"/>
      <c r="FG768"/>
      <c r="FH768"/>
      <c r="FI768"/>
      <c r="FJ768"/>
      <c r="FK768"/>
      <c r="FL768"/>
      <c r="FM768"/>
      <c r="FN768"/>
      <c r="FO768"/>
      <c r="FP768"/>
      <c r="FQ768"/>
      <c r="FR768"/>
      <c r="FS768"/>
      <c r="FT768"/>
      <c r="FU768"/>
      <c r="FV768"/>
      <c r="FW768"/>
      <c r="FX768"/>
      <c r="FY768"/>
      <c r="FZ768"/>
      <c r="GA768"/>
      <c r="GB768"/>
      <c r="GC768"/>
      <c r="GD768"/>
      <c r="GE768"/>
      <c r="GF768"/>
      <c r="GG768"/>
      <c r="GH768"/>
      <c r="GI768"/>
      <c r="GJ768"/>
      <c r="GK768"/>
      <c r="GL768"/>
      <c r="GM768"/>
      <c r="GN768"/>
      <c r="GO768"/>
      <c r="GP768"/>
      <c r="GQ768"/>
      <c r="GR768"/>
      <c r="GS768"/>
      <c r="GT768"/>
      <c r="GU768"/>
      <c r="GV768"/>
      <c r="GW768"/>
      <c r="GX768"/>
      <c r="GY768"/>
      <c r="GZ768"/>
      <c r="HA768"/>
      <c r="HB768"/>
      <c r="HC768"/>
      <c r="HD768"/>
      <c r="HE768"/>
      <c r="HF768"/>
      <c r="HG768"/>
      <c r="HH768"/>
      <c r="HI768"/>
      <c r="HJ768"/>
      <c r="HK768"/>
      <c r="HL768"/>
      <c r="HM768"/>
      <c r="HN768"/>
      <c r="HO768"/>
      <c r="HP768"/>
      <c r="HQ768"/>
      <c r="HR768"/>
      <c r="HS768"/>
      <c r="HT768"/>
      <c r="HU768"/>
      <c r="HV768"/>
      <c r="HW768"/>
      <c r="HX768"/>
      <c r="HY768"/>
      <c r="HZ768"/>
      <c r="IA768"/>
      <c r="IB768"/>
      <c r="IC768"/>
      <c r="ID768"/>
      <c r="IE768"/>
      <c r="IF768"/>
      <c r="IG768"/>
      <c r="IH768"/>
      <c r="II768"/>
      <c r="IJ768"/>
      <c r="IK768"/>
      <c r="IL768"/>
      <c r="IM768"/>
      <c r="IN768"/>
      <c r="IO768"/>
      <c r="IP768"/>
      <c r="IQ768"/>
      <c r="IR768"/>
      <c r="IS768"/>
      <c r="IT768"/>
      <c r="IU768"/>
      <c r="IV768"/>
    </row>
    <row r="769" spans="1:256" ht="12.75" hidden="1" customHeight="1" x14ac:dyDescent="0.2">
      <c r="A769" s="489"/>
      <c r="B769" s="514" t="s">
        <v>866</v>
      </c>
      <c r="C769" s="452">
        <v>500000</v>
      </c>
      <c r="D769" s="454">
        <v>0</v>
      </c>
      <c r="E769" s="455">
        <v>0</v>
      </c>
      <c r="F769" s="498">
        <v>0</v>
      </c>
      <c r="G769" s="450">
        <v>0</v>
      </c>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c r="EB769"/>
      <c r="EC769"/>
      <c r="ED769"/>
      <c r="EE769"/>
      <c r="EF769"/>
      <c r="EG769"/>
      <c r="EH769"/>
      <c r="EI769"/>
      <c r="EJ769"/>
      <c r="EK769"/>
      <c r="EL769"/>
      <c r="EM769"/>
      <c r="EN769"/>
      <c r="EO769"/>
      <c r="EP769"/>
      <c r="EQ769"/>
      <c r="ER769"/>
      <c r="ES769"/>
      <c r="ET769"/>
      <c r="EU769"/>
      <c r="EV769"/>
      <c r="EW769"/>
      <c r="EX769"/>
      <c r="EY769"/>
      <c r="EZ769"/>
      <c r="FA769"/>
      <c r="FB769"/>
      <c r="FC769"/>
      <c r="FD769"/>
      <c r="FE769"/>
      <c r="FF769"/>
      <c r="FG769"/>
      <c r="FH769"/>
      <c r="FI769"/>
      <c r="FJ769"/>
      <c r="FK769"/>
      <c r="FL769"/>
      <c r="FM769"/>
      <c r="FN769"/>
      <c r="FO769"/>
      <c r="FP769"/>
      <c r="FQ769"/>
      <c r="FR769"/>
      <c r="FS769"/>
      <c r="FT769"/>
      <c r="FU769"/>
      <c r="FV769"/>
      <c r="FW769"/>
      <c r="FX769"/>
      <c r="FY769"/>
      <c r="FZ769"/>
      <c r="GA769"/>
      <c r="GB769"/>
      <c r="GC769"/>
      <c r="GD769"/>
      <c r="GE769"/>
      <c r="GF769"/>
      <c r="GG769"/>
      <c r="GH769"/>
      <c r="GI769"/>
      <c r="GJ769"/>
      <c r="GK769"/>
      <c r="GL769"/>
      <c r="GM769"/>
      <c r="GN769"/>
      <c r="GO769"/>
      <c r="GP769"/>
      <c r="GQ769"/>
      <c r="GR769"/>
      <c r="GS769"/>
      <c r="GT769"/>
      <c r="GU769"/>
      <c r="GV769"/>
      <c r="GW769"/>
      <c r="GX769"/>
      <c r="GY769"/>
      <c r="GZ769"/>
      <c r="HA769"/>
      <c r="HB769"/>
      <c r="HC769"/>
      <c r="HD769"/>
      <c r="HE769"/>
      <c r="HF769"/>
      <c r="HG769"/>
      <c r="HH769"/>
      <c r="HI769"/>
      <c r="HJ769"/>
      <c r="HK769"/>
      <c r="HL769"/>
      <c r="HM769"/>
      <c r="HN769"/>
      <c r="HO769"/>
      <c r="HP769"/>
      <c r="HQ769"/>
      <c r="HR769"/>
      <c r="HS769"/>
      <c r="HT769"/>
      <c r="HU769"/>
      <c r="HV769"/>
      <c r="HW769"/>
      <c r="HX769"/>
      <c r="HY769"/>
      <c r="HZ769"/>
      <c r="IA769"/>
      <c r="IB769"/>
      <c r="IC769"/>
      <c r="ID769"/>
      <c r="IE769"/>
      <c r="IF769"/>
      <c r="IG769"/>
      <c r="IH769"/>
      <c r="II769"/>
      <c r="IJ769"/>
      <c r="IK769"/>
      <c r="IL769"/>
      <c r="IM769"/>
      <c r="IN769"/>
      <c r="IO769"/>
      <c r="IP769"/>
      <c r="IQ769"/>
      <c r="IR769"/>
      <c r="IS769"/>
      <c r="IT769"/>
      <c r="IU769"/>
      <c r="IV769"/>
    </row>
    <row r="770" spans="1:256" s="488" customFormat="1" ht="12.75" hidden="1" customHeight="1" x14ac:dyDescent="0.2">
      <c r="A770" s="489"/>
      <c r="B770" s="515" t="s">
        <v>867</v>
      </c>
      <c r="C770" s="450">
        <v>1500000</v>
      </c>
      <c r="D770" s="454">
        <f>1500000-300000</f>
        <v>1200000</v>
      </c>
      <c r="E770" s="455">
        <v>942425</v>
      </c>
      <c r="F770" s="304">
        <v>942425.01</v>
      </c>
      <c r="G770" s="114">
        <v>0</v>
      </c>
    </row>
    <row r="771" spans="1:256" s="488" customFormat="1" ht="12.75" hidden="1" customHeight="1" x14ac:dyDescent="0.2">
      <c r="A771" s="489"/>
      <c r="B771" s="515" t="s">
        <v>868</v>
      </c>
      <c r="C771" s="452">
        <v>500000</v>
      </c>
      <c r="D771" s="454">
        <f t="shared" ref="D771:D772" si="8">500000-400000</f>
        <v>100000</v>
      </c>
      <c r="E771" s="455">
        <v>100000</v>
      </c>
      <c r="F771" s="304">
        <v>0</v>
      </c>
      <c r="G771" s="114">
        <v>0</v>
      </c>
    </row>
    <row r="772" spans="1:256" s="488" customFormat="1" ht="12.75" hidden="1" customHeight="1" x14ac:dyDescent="0.2">
      <c r="A772" s="489"/>
      <c r="B772" s="516" t="s">
        <v>869</v>
      </c>
      <c r="C772" s="450">
        <v>500000</v>
      </c>
      <c r="D772" s="454">
        <f t="shared" si="8"/>
        <v>100000</v>
      </c>
      <c r="E772" s="455">
        <v>100000</v>
      </c>
      <c r="F772" s="304">
        <v>0</v>
      </c>
      <c r="G772" s="114">
        <v>0</v>
      </c>
    </row>
    <row r="773" spans="1:256" s="488" customFormat="1" ht="12.75" hidden="1" customHeight="1" x14ac:dyDescent="0.2">
      <c r="A773" s="489"/>
      <c r="B773" s="515" t="s">
        <v>870</v>
      </c>
      <c r="C773" s="450">
        <v>1000000</v>
      </c>
      <c r="D773" s="454">
        <f>1000000-900000</f>
        <v>100000</v>
      </c>
      <c r="E773" s="455">
        <v>100000</v>
      </c>
      <c r="F773" s="304">
        <v>0</v>
      </c>
      <c r="G773" s="113">
        <v>0</v>
      </c>
    </row>
    <row r="774" spans="1:256" s="488" customFormat="1" ht="12.75" hidden="1" customHeight="1" x14ac:dyDescent="0.2">
      <c r="A774" s="489"/>
      <c r="B774" s="515" t="s">
        <v>871</v>
      </c>
      <c r="C774" s="450"/>
      <c r="D774" s="454"/>
      <c r="E774" s="455"/>
      <c r="F774" s="304"/>
      <c r="G774" s="114">
        <v>500000</v>
      </c>
    </row>
    <row r="775" spans="1:256" s="488" customFormat="1" ht="12.75" hidden="1" customHeight="1" x14ac:dyDescent="0.2">
      <c r="A775" s="489"/>
      <c r="B775" s="517" t="s">
        <v>872</v>
      </c>
      <c r="C775" s="450"/>
      <c r="D775" s="454"/>
      <c r="E775" s="455"/>
      <c r="F775" s="304"/>
      <c r="G775" s="113">
        <v>500000</v>
      </c>
    </row>
    <row r="776" spans="1:256" s="488" customFormat="1" ht="12.75" hidden="1" customHeight="1" x14ac:dyDescent="0.2">
      <c r="A776" s="471"/>
      <c r="B776" s="514" t="s">
        <v>873</v>
      </c>
      <c r="C776" s="450">
        <v>100000</v>
      </c>
      <c r="D776" s="454">
        <f>100000-90000</f>
        <v>10000</v>
      </c>
      <c r="E776" s="455">
        <v>0</v>
      </c>
      <c r="F776" s="304">
        <v>0</v>
      </c>
      <c r="G776" s="114">
        <v>0</v>
      </c>
    </row>
    <row r="777" spans="1:256" s="488" customFormat="1" ht="12.75" hidden="1" customHeight="1" x14ac:dyDescent="0.2">
      <c r="A777" s="471"/>
      <c r="B777" s="449" t="s">
        <v>874</v>
      </c>
      <c r="C777" s="450">
        <v>260000</v>
      </c>
      <c r="D777" s="454">
        <v>260000</v>
      </c>
      <c r="E777" s="455">
        <v>260000</v>
      </c>
      <c r="F777" s="304">
        <v>119984</v>
      </c>
      <c r="G777" s="114">
        <v>260000</v>
      </c>
    </row>
    <row r="778" spans="1:256" ht="12.75" hidden="1" customHeight="1" x14ac:dyDescent="0.2">
      <c r="A778" s="471"/>
      <c r="B778" s="453" t="s">
        <v>875</v>
      </c>
      <c r="C778" s="450">
        <v>2850000</v>
      </c>
      <c r="D778" s="478">
        <f>2850000+6635</f>
        <v>2856635</v>
      </c>
      <c r="E778" s="479">
        <v>2300000</v>
      </c>
      <c r="F778" s="304">
        <v>1247627.56</v>
      </c>
      <c r="G778" s="114">
        <v>2500000</v>
      </c>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c r="EB778"/>
      <c r="EC778"/>
      <c r="ED778"/>
      <c r="EE778"/>
      <c r="EF778"/>
      <c r="EG778"/>
      <c r="EH778"/>
      <c r="EI778"/>
      <c r="EJ778"/>
      <c r="EK778"/>
      <c r="EL778"/>
      <c r="EM778"/>
      <c r="EN778"/>
      <c r="EO778"/>
      <c r="EP778"/>
      <c r="EQ778"/>
      <c r="ER778"/>
      <c r="ES778"/>
      <c r="ET778"/>
      <c r="EU778"/>
      <c r="EV778"/>
      <c r="EW778"/>
      <c r="EX778"/>
      <c r="EY778"/>
      <c r="EZ778"/>
      <c r="FA778"/>
      <c r="FB778"/>
      <c r="FC778"/>
      <c r="FD778"/>
      <c r="FE778"/>
      <c r="FF778"/>
      <c r="FG778"/>
      <c r="FH778"/>
      <c r="FI778"/>
      <c r="FJ778"/>
      <c r="FK778"/>
      <c r="FL778"/>
      <c r="FM778"/>
      <c r="FN778"/>
      <c r="FO778"/>
      <c r="FP778"/>
      <c r="FQ778"/>
      <c r="FR778"/>
      <c r="FS778"/>
      <c r="FT778"/>
      <c r="FU778"/>
      <c r="FV778"/>
      <c r="FW778"/>
      <c r="FX778"/>
      <c r="FY778"/>
      <c r="FZ778"/>
      <c r="GA778"/>
      <c r="GB778"/>
      <c r="GC778"/>
      <c r="GD778"/>
      <c r="GE778"/>
      <c r="GF778"/>
      <c r="GG778"/>
      <c r="GH778"/>
      <c r="GI778"/>
      <c r="GJ778"/>
      <c r="GK778"/>
      <c r="GL778"/>
      <c r="GM778"/>
      <c r="GN778"/>
      <c r="GO778"/>
      <c r="GP778"/>
      <c r="GQ778"/>
      <c r="GR778"/>
      <c r="GS778"/>
      <c r="GT778"/>
      <c r="GU778"/>
      <c r="GV778"/>
      <c r="GW778"/>
      <c r="GX778"/>
      <c r="GY778"/>
      <c r="GZ778"/>
      <c r="HA778"/>
      <c r="HB778"/>
      <c r="HC778"/>
      <c r="HD778"/>
      <c r="HE778"/>
      <c r="HF778"/>
      <c r="HG778"/>
      <c r="HH778"/>
      <c r="HI778"/>
      <c r="HJ778"/>
      <c r="HK778"/>
      <c r="HL778"/>
      <c r="HM778"/>
      <c r="HN778"/>
      <c r="HO778"/>
      <c r="HP778"/>
      <c r="HQ778"/>
      <c r="HR778"/>
      <c r="HS778"/>
      <c r="HT778"/>
      <c r="HU778"/>
      <c r="HV778"/>
      <c r="HW778"/>
      <c r="HX778"/>
      <c r="HY778"/>
      <c r="HZ778"/>
      <c r="IA778"/>
      <c r="IB778"/>
      <c r="IC778"/>
      <c r="ID778"/>
      <c r="IE778"/>
      <c r="IF778"/>
      <c r="IG778"/>
      <c r="IH778"/>
      <c r="II778"/>
      <c r="IJ778"/>
      <c r="IK778"/>
      <c r="IL778"/>
      <c r="IM778"/>
      <c r="IN778"/>
      <c r="IO778"/>
      <c r="IP778"/>
      <c r="IQ778"/>
      <c r="IR778"/>
      <c r="IS778"/>
      <c r="IT778"/>
      <c r="IU778"/>
      <c r="IV778"/>
    </row>
    <row r="779" spans="1:256" ht="12.75" hidden="1" customHeight="1" x14ac:dyDescent="0.2">
      <c r="A779" s="471"/>
      <c r="B779" s="453" t="s">
        <v>876</v>
      </c>
      <c r="C779" s="450">
        <v>100000</v>
      </c>
      <c r="D779" s="454">
        <v>100000</v>
      </c>
      <c r="E779" s="455">
        <v>100000</v>
      </c>
      <c r="F779" s="304">
        <f>54064+6634.92</f>
        <v>60698.92</v>
      </c>
      <c r="G779" s="114">
        <v>100000</v>
      </c>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c r="EB779"/>
      <c r="EC779"/>
      <c r="ED779"/>
      <c r="EE779"/>
      <c r="EF779"/>
      <c r="EG779"/>
      <c r="EH779"/>
      <c r="EI779"/>
      <c r="EJ779"/>
      <c r="EK779"/>
      <c r="EL779"/>
      <c r="EM779"/>
      <c r="EN779"/>
      <c r="EO779"/>
      <c r="EP779"/>
      <c r="EQ779"/>
      <c r="ER779"/>
      <c r="ES779"/>
      <c r="ET779"/>
      <c r="EU779"/>
      <c r="EV779"/>
      <c r="EW779"/>
      <c r="EX779"/>
      <c r="EY779"/>
      <c r="EZ779"/>
      <c r="FA779"/>
      <c r="FB779"/>
      <c r="FC779"/>
      <c r="FD779"/>
      <c r="FE779"/>
      <c r="FF779"/>
      <c r="FG779"/>
      <c r="FH779"/>
      <c r="FI779"/>
      <c r="FJ779"/>
      <c r="FK779"/>
      <c r="FL779"/>
      <c r="FM779"/>
      <c r="FN779"/>
      <c r="FO779"/>
      <c r="FP779"/>
      <c r="FQ779"/>
      <c r="FR779"/>
      <c r="FS779"/>
      <c r="FT779"/>
      <c r="FU779"/>
      <c r="FV779"/>
      <c r="FW779"/>
      <c r="FX779"/>
      <c r="FY779"/>
      <c r="FZ779"/>
      <c r="GA779"/>
      <c r="GB779"/>
      <c r="GC779"/>
      <c r="GD779"/>
      <c r="GE779"/>
      <c r="GF779"/>
      <c r="GG779"/>
      <c r="GH779"/>
      <c r="GI779"/>
      <c r="GJ779"/>
      <c r="GK779"/>
      <c r="GL779"/>
      <c r="GM779"/>
      <c r="GN779"/>
      <c r="GO779"/>
      <c r="GP779"/>
      <c r="GQ779"/>
      <c r="GR779"/>
      <c r="GS779"/>
      <c r="GT779"/>
      <c r="GU779"/>
      <c r="GV779"/>
      <c r="GW779"/>
      <c r="GX779"/>
      <c r="GY779"/>
      <c r="GZ779"/>
      <c r="HA779"/>
      <c r="HB779"/>
      <c r="HC779"/>
      <c r="HD779"/>
      <c r="HE779"/>
      <c r="HF779"/>
      <c r="HG779"/>
      <c r="HH779"/>
      <c r="HI779"/>
      <c r="HJ779"/>
      <c r="HK779"/>
      <c r="HL779"/>
      <c r="HM779"/>
      <c r="HN779"/>
      <c r="HO779"/>
      <c r="HP779"/>
      <c r="HQ779"/>
      <c r="HR779"/>
      <c r="HS779"/>
      <c r="HT779"/>
      <c r="HU779"/>
      <c r="HV779"/>
      <c r="HW779"/>
      <c r="HX779"/>
      <c r="HY779"/>
      <c r="HZ779"/>
      <c r="IA779"/>
      <c r="IB779"/>
      <c r="IC779"/>
      <c r="ID779"/>
      <c r="IE779"/>
      <c r="IF779"/>
      <c r="IG779"/>
      <c r="IH779"/>
      <c r="II779"/>
      <c r="IJ779"/>
      <c r="IK779"/>
      <c r="IL779"/>
      <c r="IM779"/>
      <c r="IN779"/>
      <c r="IO779"/>
      <c r="IP779"/>
      <c r="IQ779"/>
      <c r="IR779"/>
      <c r="IS779"/>
      <c r="IT779"/>
      <c r="IU779"/>
      <c r="IV779"/>
    </row>
    <row r="780" spans="1:256" ht="12.75" hidden="1" customHeight="1" x14ac:dyDescent="0.2">
      <c r="A780" s="471"/>
      <c r="B780" s="453" t="s">
        <v>877</v>
      </c>
      <c r="C780" s="450">
        <v>22100000</v>
      </c>
      <c r="D780" s="454">
        <v>22100000</v>
      </c>
      <c r="E780" s="455">
        <v>20000000</v>
      </c>
      <c r="F780" s="304">
        <v>11407059.789999999</v>
      </c>
      <c r="G780" s="114">
        <v>20000000</v>
      </c>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c r="EB780"/>
      <c r="EC780"/>
      <c r="ED780"/>
      <c r="EE780"/>
      <c r="EF780"/>
      <c r="EG780"/>
      <c r="EH780"/>
      <c r="EI780"/>
      <c r="EJ780"/>
      <c r="EK780"/>
      <c r="EL780"/>
      <c r="EM780"/>
      <c r="EN780"/>
      <c r="EO780"/>
      <c r="EP780"/>
      <c r="EQ780"/>
      <c r="ER780"/>
      <c r="ES780"/>
      <c r="ET780"/>
      <c r="EU780"/>
      <c r="EV780"/>
      <c r="EW780"/>
      <c r="EX780"/>
      <c r="EY780"/>
      <c r="EZ780"/>
      <c r="FA780"/>
      <c r="FB780"/>
      <c r="FC780"/>
      <c r="FD780"/>
      <c r="FE780"/>
      <c r="FF780"/>
      <c r="FG780"/>
      <c r="FH780"/>
      <c r="FI780"/>
      <c r="FJ780"/>
      <c r="FK780"/>
      <c r="FL780"/>
      <c r="FM780"/>
      <c r="FN780"/>
      <c r="FO780"/>
      <c r="FP780"/>
      <c r="FQ780"/>
      <c r="FR780"/>
      <c r="FS780"/>
      <c r="FT780"/>
      <c r="FU780"/>
      <c r="FV780"/>
      <c r="FW780"/>
      <c r="FX780"/>
      <c r="FY780"/>
      <c r="FZ780"/>
      <c r="GA780"/>
      <c r="GB780"/>
      <c r="GC780"/>
      <c r="GD780"/>
      <c r="GE780"/>
      <c r="GF780"/>
      <c r="GG780"/>
      <c r="GH780"/>
      <c r="GI780"/>
      <c r="GJ780"/>
      <c r="GK780"/>
      <c r="GL780"/>
      <c r="GM780"/>
      <c r="GN780"/>
      <c r="GO780"/>
      <c r="GP780"/>
      <c r="GQ780"/>
      <c r="GR780"/>
      <c r="GS780"/>
      <c r="GT780"/>
      <c r="GU780"/>
      <c r="GV780"/>
      <c r="GW780"/>
      <c r="GX780"/>
      <c r="GY780"/>
      <c r="GZ780"/>
      <c r="HA780"/>
      <c r="HB780"/>
      <c r="HC780"/>
      <c r="HD780"/>
      <c r="HE780"/>
      <c r="HF780"/>
      <c r="HG780"/>
      <c r="HH780"/>
      <c r="HI780"/>
      <c r="HJ780"/>
      <c r="HK780"/>
      <c r="HL780"/>
      <c r="HM780"/>
      <c r="HN780"/>
      <c r="HO780"/>
      <c r="HP780"/>
      <c r="HQ780"/>
      <c r="HR780"/>
      <c r="HS780"/>
      <c r="HT780"/>
      <c r="HU780"/>
      <c r="HV780"/>
      <c r="HW780"/>
      <c r="HX780"/>
      <c r="HY780"/>
      <c r="HZ780"/>
      <c r="IA780"/>
      <c r="IB780"/>
      <c r="IC780"/>
      <c r="ID780"/>
      <c r="IE780"/>
      <c r="IF780"/>
      <c r="IG780"/>
      <c r="IH780"/>
      <c r="II780"/>
      <c r="IJ780"/>
      <c r="IK780"/>
      <c r="IL780"/>
      <c r="IM780"/>
      <c r="IN780"/>
      <c r="IO780"/>
      <c r="IP780"/>
      <c r="IQ780"/>
      <c r="IR780"/>
      <c r="IS780"/>
      <c r="IT780"/>
      <c r="IU780"/>
      <c r="IV780"/>
    </row>
    <row r="781" spans="1:256" ht="12.75" hidden="1" customHeight="1" x14ac:dyDescent="0.2">
      <c r="A781" s="518"/>
      <c r="B781" s="514" t="s">
        <v>878</v>
      </c>
      <c r="C781" s="450"/>
      <c r="D781" s="454"/>
      <c r="E781" s="455"/>
      <c r="F781" s="304"/>
      <c r="G781" s="114">
        <v>50000</v>
      </c>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c r="EB781"/>
      <c r="EC781"/>
      <c r="ED781"/>
      <c r="EE781"/>
      <c r="EF781"/>
      <c r="EG781"/>
      <c r="EH781"/>
      <c r="EI781"/>
      <c r="EJ781"/>
      <c r="EK781"/>
      <c r="EL781"/>
      <c r="EM781"/>
      <c r="EN781"/>
      <c r="EO781"/>
      <c r="EP781"/>
      <c r="EQ781"/>
      <c r="ER781"/>
      <c r="ES781"/>
      <c r="ET781"/>
      <c r="EU781"/>
      <c r="EV781"/>
      <c r="EW781"/>
      <c r="EX781"/>
      <c r="EY781"/>
      <c r="EZ781"/>
      <c r="FA781"/>
      <c r="FB781"/>
      <c r="FC781"/>
      <c r="FD781"/>
      <c r="FE781"/>
      <c r="FF781"/>
      <c r="FG781"/>
      <c r="FH781"/>
      <c r="FI781"/>
      <c r="FJ781"/>
      <c r="FK781"/>
      <c r="FL781"/>
      <c r="FM781"/>
      <c r="FN781"/>
      <c r="FO781"/>
      <c r="FP781"/>
      <c r="FQ781"/>
      <c r="FR781"/>
      <c r="FS781"/>
      <c r="FT781"/>
      <c r="FU781"/>
      <c r="FV781"/>
      <c r="FW781"/>
      <c r="FX781"/>
      <c r="FY781"/>
      <c r="FZ781"/>
      <c r="GA781"/>
      <c r="GB781"/>
      <c r="GC781"/>
      <c r="GD781"/>
      <c r="GE781"/>
      <c r="GF781"/>
      <c r="GG781"/>
      <c r="GH781"/>
      <c r="GI781"/>
      <c r="GJ781"/>
      <c r="GK781"/>
      <c r="GL781"/>
      <c r="GM781"/>
      <c r="GN781"/>
      <c r="GO781"/>
      <c r="GP781"/>
      <c r="GQ781"/>
      <c r="GR781"/>
      <c r="GS781"/>
      <c r="GT781"/>
      <c r="GU781"/>
      <c r="GV781"/>
      <c r="GW781"/>
      <c r="GX781"/>
      <c r="GY781"/>
      <c r="GZ781"/>
      <c r="HA781"/>
      <c r="HB781"/>
      <c r="HC781"/>
      <c r="HD781"/>
      <c r="HE781"/>
      <c r="HF781"/>
      <c r="HG781"/>
      <c r="HH781"/>
      <c r="HI781"/>
      <c r="HJ781"/>
      <c r="HK781"/>
      <c r="HL781"/>
      <c r="HM781"/>
      <c r="HN781"/>
      <c r="HO781"/>
      <c r="HP781"/>
      <c r="HQ781"/>
      <c r="HR781"/>
      <c r="HS781"/>
      <c r="HT781"/>
      <c r="HU781"/>
      <c r="HV781"/>
      <c r="HW781"/>
      <c r="HX781"/>
      <c r="HY781"/>
      <c r="HZ781"/>
      <c r="IA781"/>
      <c r="IB781"/>
      <c r="IC781"/>
      <c r="ID781"/>
      <c r="IE781"/>
      <c r="IF781"/>
      <c r="IG781"/>
      <c r="IH781"/>
      <c r="II781"/>
      <c r="IJ781"/>
      <c r="IK781"/>
      <c r="IL781"/>
      <c r="IM781"/>
      <c r="IN781"/>
      <c r="IO781"/>
      <c r="IP781"/>
      <c r="IQ781"/>
      <c r="IR781"/>
      <c r="IS781"/>
      <c r="IT781"/>
      <c r="IU781"/>
      <c r="IV781"/>
    </row>
    <row r="782" spans="1:256" ht="12.75" hidden="1" customHeight="1" x14ac:dyDescent="0.2">
      <c r="A782" s="519">
        <v>3613</v>
      </c>
      <c r="B782" s="444" t="s">
        <v>879</v>
      </c>
      <c r="C782" s="447">
        <f>SUM(C783,C796,C797,C798,C815,C803,C816,C843)</f>
        <v>104815000</v>
      </c>
      <c r="D782" s="469">
        <f>SUM(D783,D796,D797,D798,D815,D803,D816,D843)</f>
        <v>34680450</v>
      </c>
      <c r="E782" s="469">
        <f>SUM(E783,E796,E797,E798,E815,E803,E816,E843)</f>
        <v>29164602.560000002</v>
      </c>
      <c r="F782" s="301">
        <f>SUM(F783,F796,F797,F798,F815,F803,F816,F843)</f>
        <v>11547335.569999998</v>
      </c>
      <c r="G782" s="105">
        <f>G783+G796+G797+G798+G803+G816+G817</f>
        <v>22809000</v>
      </c>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c r="EB782"/>
      <c r="EC782"/>
      <c r="ED782"/>
      <c r="EE782"/>
      <c r="EF782"/>
      <c r="EG782"/>
      <c r="EH782"/>
      <c r="EI782"/>
      <c r="EJ782"/>
      <c r="EK782"/>
      <c r="EL782"/>
      <c r="EM782"/>
      <c r="EN782"/>
      <c r="EO782"/>
      <c r="EP782"/>
      <c r="EQ782"/>
      <c r="ER782"/>
      <c r="ES782"/>
      <c r="ET782"/>
      <c r="EU782"/>
      <c r="EV782"/>
      <c r="EW782"/>
      <c r="EX782"/>
      <c r="EY782"/>
      <c r="EZ782"/>
      <c r="FA782"/>
      <c r="FB782"/>
      <c r="FC782"/>
      <c r="FD782"/>
      <c r="FE782"/>
      <c r="FF782"/>
      <c r="FG782"/>
      <c r="FH782"/>
      <c r="FI782"/>
      <c r="FJ782"/>
      <c r="FK782"/>
      <c r="FL782"/>
      <c r="FM782"/>
      <c r="FN782"/>
      <c r="FO782"/>
      <c r="FP782"/>
      <c r="FQ782"/>
      <c r="FR782"/>
      <c r="FS782"/>
      <c r="FT782"/>
      <c r="FU782"/>
      <c r="FV782"/>
      <c r="FW782"/>
      <c r="FX782"/>
      <c r="FY782"/>
      <c r="FZ782"/>
      <c r="GA782"/>
      <c r="GB782"/>
      <c r="GC782"/>
      <c r="GD782"/>
      <c r="GE782"/>
      <c r="GF782"/>
      <c r="GG782"/>
      <c r="GH782"/>
      <c r="GI782"/>
      <c r="GJ782"/>
      <c r="GK782"/>
      <c r="GL782"/>
      <c r="GM782"/>
      <c r="GN782"/>
      <c r="GO782"/>
      <c r="GP782"/>
      <c r="GQ782"/>
      <c r="GR782"/>
      <c r="GS782"/>
      <c r="GT782"/>
      <c r="GU782"/>
      <c r="GV782"/>
      <c r="GW782"/>
      <c r="GX782"/>
      <c r="GY782"/>
      <c r="GZ782"/>
      <c r="HA782"/>
      <c r="HB782"/>
      <c r="HC782"/>
      <c r="HD782"/>
      <c r="HE782"/>
      <c r="HF782"/>
      <c r="HG782"/>
      <c r="HH782"/>
      <c r="HI782"/>
      <c r="HJ782"/>
      <c r="HK782"/>
      <c r="HL782"/>
      <c r="HM782"/>
      <c r="HN782"/>
      <c r="HO782"/>
      <c r="HP782"/>
      <c r="HQ782"/>
      <c r="HR782"/>
      <c r="HS782"/>
      <c r="HT782"/>
      <c r="HU782"/>
      <c r="HV782"/>
      <c r="HW782"/>
      <c r="HX782"/>
      <c r="HY782"/>
      <c r="HZ782"/>
      <c r="IA782"/>
      <c r="IB782"/>
      <c r="IC782"/>
      <c r="ID782"/>
      <c r="IE782"/>
      <c r="IF782"/>
      <c r="IG782"/>
      <c r="IH782"/>
      <c r="II782"/>
      <c r="IJ782"/>
      <c r="IK782"/>
      <c r="IL782"/>
      <c r="IM782"/>
      <c r="IN782"/>
      <c r="IO782"/>
      <c r="IP782"/>
      <c r="IQ782"/>
      <c r="IR782"/>
      <c r="IS782"/>
      <c r="IT782"/>
      <c r="IU782"/>
      <c r="IV782"/>
    </row>
    <row r="783" spans="1:256" ht="12.75" hidden="1" customHeight="1" x14ac:dyDescent="0.2">
      <c r="A783" s="520"/>
      <c r="B783" s="449" t="s">
        <v>880</v>
      </c>
      <c r="C783" s="490">
        <f>SUM(C784:C790)</f>
        <v>81680000</v>
      </c>
      <c r="D783" s="491">
        <f>SUM(D784:D790)</f>
        <v>13287000</v>
      </c>
      <c r="E783" s="491">
        <f>SUM(E784:E790)</f>
        <v>10861152.560000001</v>
      </c>
      <c r="F783" s="521">
        <f>SUM(F784:F795)</f>
        <v>5167417.13</v>
      </c>
      <c r="G783" s="497">
        <f>SUM(G784:G795)</f>
        <v>6843000</v>
      </c>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c r="EB783"/>
      <c r="EC783"/>
      <c r="ED783"/>
      <c r="EE783"/>
      <c r="EF783"/>
      <c r="EG783"/>
      <c r="EH783"/>
      <c r="EI783"/>
      <c r="EJ783"/>
      <c r="EK783"/>
      <c r="EL783"/>
      <c r="EM783"/>
      <c r="EN783"/>
      <c r="EO783"/>
      <c r="EP783"/>
      <c r="EQ783"/>
      <c r="ER783"/>
      <c r="ES783"/>
      <c r="ET783"/>
      <c r="EU783"/>
      <c r="EV783"/>
      <c r="EW783"/>
      <c r="EX783"/>
      <c r="EY783"/>
      <c r="EZ783"/>
      <c r="FA783"/>
      <c r="FB783"/>
      <c r="FC783"/>
      <c r="FD783"/>
      <c r="FE783"/>
      <c r="FF783"/>
      <c r="FG783"/>
      <c r="FH783"/>
      <c r="FI783"/>
      <c r="FJ783"/>
      <c r="FK783"/>
      <c r="FL783"/>
      <c r="FM783"/>
      <c r="FN783"/>
      <c r="FO783"/>
      <c r="FP783"/>
      <c r="FQ783"/>
      <c r="FR783"/>
      <c r="FS783"/>
      <c r="FT783"/>
      <c r="FU783"/>
      <c r="FV783"/>
      <c r="FW783"/>
      <c r="FX783"/>
      <c r="FY783"/>
      <c r="FZ783"/>
      <c r="GA783"/>
      <c r="GB783"/>
      <c r="GC783"/>
      <c r="GD783"/>
      <c r="GE783"/>
      <c r="GF783"/>
      <c r="GG783"/>
      <c r="GH783"/>
      <c r="GI783"/>
      <c r="GJ783"/>
      <c r="GK783"/>
      <c r="GL783"/>
      <c r="GM783"/>
      <c r="GN783"/>
      <c r="GO783"/>
      <c r="GP783"/>
      <c r="GQ783"/>
      <c r="GR783"/>
      <c r="GS783"/>
      <c r="GT783"/>
      <c r="GU783"/>
      <c r="GV783"/>
      <c r="GW783"/>
      <c r="GX783"/>
      <c r="GY783"/>
      <c r="GZ783"/>
      <c r="HA783"/>
      <c r="HB783"/>
      <c r="HC783"/>
      <c r="HD783"/>
      <c r="HE783"/>
      <c r="HF783"/>
      <c r="HG783"/>
      <c r="HH783"/>
      <c r="HI783"/>
      <c r="HJ783"/>
      <c r="HK783"/>
      <c r="HL783"/>
      <c r="HM783"/>
      <c r="HN783"/>
      <c r="HO783"/>
      <c r="HP783"/>
      <c r="HQ783"/>
      <c r="HR783"/>
      <c r="HS783"/>
      <c r="HT783"/>
      <c r="HU783"/>
      <c r="HV783"/>
      <c r="HW783"/>
      <c r="HX783"/>
      <c r="HY783"/>
      <c r="HZ783"/>
      <c r="IA783"/>
      <c r="IB783"/>
      <c r="IC783"/>
      <c r="ID783"/>
      <c r="IE783"/>
      <c r="IF783"/>
      <c r="IG783"/>
      <c r="IH783"/>
      <c r="II783"/>
      <c r="IJ783"/>
      <c r="IK783"/>
      <c r="IL783"/>
      <c r="IM783"/>
      <c r="IN783"/>
      <c r="IO783"/>
      <c r="IP783"/>
      <c r="IQ783"/>
      <c r="IR783"/>
      <c r="IS783"/>
      <c r="IT783"/>
      <c r="IU783"/>
      <c r="IV783"/>
    </row>
    <row r="784" spans="1:256" s="2" customFormat="1" ht="12.75" hidden="1" customHeight="1" x14ac:dyDescent="0.2">
      <c r="A784" s="443"/>
      <c r="B784" s="453" t="s">
        <v>881</v>
      </c>
      <c r="C784" s="452">
        <f>4000000-500000</f>
        <v>3500000</v>
      </c>
      <c r="D784" s="454">
        <f>4000000-500000+500000</f>
        <v>4000000</v>
      </c>
      <c r="E784" s="455">
        <v>4000000</v>
      </c>
      <c r="F784" s="522">
        <v>5808</v>
      </c>
      <c r="G784" s="523">
        <v>0</v>
      </c>
    </row>
    <row r="785" spans="1:256" ht="12.75" hidden="1" customHeight="1" x14ac:dyDescent="0.2">
      <c r="A785" s="443"/>
      <c r="B785" s="453" t="s">
        <v>882</v>
      </c>
      <c r="C785" s="452"/>
      <c r="D785" s="454"/>
      <c r="E785" s="455"/>
      <c r="F785" s="522"/>
      <c r="G785" s="523">
        <v>750000</v>
      </c>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c r="EX785"/>
      <c r="EY785"/>
      <c r="EZ785"/>
      <c r="FA785"/>
      <c r="FB785"/>
      <c r="FC785"/>
      <c r="FD785"/>
      <c r="FE785"/>
      <c r="FF785"/>
      <c r="FG785"/>
      <c r="FH785"/>
      <c r="FI785"/>
      <c r="FJ785"/>
      <c r="FK785"/>
      <c r="FL785"/>
      <c r="FM785"/>
      <c r="FN785"/>
      <c r="FO785"/>
      <c r="FP785"/>
      <c r="FQ785"/>
      <c r="FR785"/>
      <c r="FS785"/>
      <c r="FT785"/>
      <c r="FU785"/>
      <c r="FV785"/>
      <c r="FW785"/>
      <c r="FX785"/>
      <c r="FY785"/>
      <c r="FZ785"/>
      <c r="GA785"/>
      <c r="GB785"/>
      <c r="GC785"/>
      <c r="GD785"/>
      <c r="GE785"/>
      <c r="GF785"/>
      <c r="GG785"/>
      <c r="GH785"/>
      <c r="GI785"/>
      <c r="GJ785"/>
      <c r="GK785"/>
      <c r="GL785"/>
      <c r="GM785"/>
      <c r="GN785"/>
      <c r="GO785"/>
      <c r="GP785"/>
      <c r="GQ785"/>
      <c r="GR785"/>
      <c r="GS785"/>
      <c r="GT785"/>
      <c r="GU785"/>
      <c r="GV785"/>
      <c r="GW785"/>
      <c r="GX785"/>
      <c r="GY785"/>
      <c r="GZ785"/>
      <c r="HA785"/>
      <c r="HB785"/>
      <c r="HC785"/>
      <c r="HD785"/>
      <c r="HE785"/>
      <c r="HF785"/>
      <c r="HG785"/>
      <c r="HH785"/>
      <c r="HI785"/>
      <c r="HJ785"/>
      <c r="HK785"/>
      <c r="HL785"/>
      <c r="HM785"/>
      <c r="HN785"/>
      <c r="HO785"/>
      <c r="HP785"/>
      <c r="HQ785"/>
      <c r="HR785"/>
      <c r="HS785"/>
      <c r="HT785"/>
      <c r="HU785"/>
      <c r="HV785"/>
      <c r="HW785"/>
      <c r="HX785"/>
      <c r="HY785"/>
      <c r="HZ785"/>
      <c r="IA785"/>
      <c r="IB785"/>
      <c r="IC785"/>
      <c r="ID785"/>
      <c r="IE785"/>
      <c r="IF785"/>
      <c r="IG785"/>
      <c r="IH785"/>
      <c r="II785"/>
      <c r="IJ785"/>
      <c r="IK785"/>
      <c r="IL785"/>
      <c r="IM785"/>
      <c r="IN785"/>
      <c r="IO785"/>
      <c r="IP785"/>
      <c r="IQ785"/>
      <c r="IR785"/>
      <c r="IS785"/>
      <c r="IT785"/>
      <c r="IU785"/>
      <c r="IV785"/>
    </row>
    <row r="786" spans="1:256" ht="12.75" hidden="1" customHeight="1" x14ac:dyDescent="0.2">
      <c r="A786" s="443"/>
      <c r="B786" s="524" t="s">
        <v>883</v>
      </c>
      <c r="C786" s="450">
        <v>68000000</v>
      </c>
      <c r="D786" s="454">
        <f>68000000-13486022-53513978</f>
        <v>1000000</v>
      </c>
      <c r="E786" s="455">
        <v>0</v>
      </c>
      <c r="F786" s="498">
        <v>0</v>
      </c>
      <c r="G786" s="450">
        <v>500000</v>
      </c>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c r="EB786"/>
      <c r="EC786"/>
      <c r="ED786"/>
      <c r="EE786"/>
      <c r="EF786"/>
      <c r="EG786"/>
      <c r="EH786"/>
      <c r="EI786"/>
      <c r="EJ786"/>
      <c r="EK786"/>
      <c r="EL786"/>
      <c r="EM786"/>
      <c r="EN786"/>
      <c r="EO786"/>
      <c r="EP786"/>
      <c r="EQ786"/>
      <c r="ER786"/>
      <c r="ES786"/>
      <c r="ET786"/>
      <c r="EU786"/>
      <c r="EV786"/>
      <c r="EW786"/>
      <c r="EX786"/>
      <c r="EY786"/>
      <c r="EZ786"/>
      <c r="FA786"/>
      <c r="FB786"/>
      <c r="FC786"/>
      <c r="FD786"/>
      <c r="FE786"/>
      <c r="FF786"/>
      <c r="FG786"/>
      <c r="FH786"/>
      <c r="FI786"/>
      <c r="FJ786"/>
      <c r="FK786"/>
      <c r="FL786"/>
      <c r="FM786"/>
      <c r="FN786"/>
      <c r="FO786"/>
      <c r="FP786"/>
      <c r="FQ786"/>
      <c r="FR786"/>
      <c r="FS786"/>
      <c r="FT786"/>
      <c r="FU786"/>
      <c r="FV786"/>
      <c r="FW786"/>
      <c r="FX786"/>
      <c r="FY786"/>
      <c r="FZ786"/>
      <c r="GA786"/>
      <c r="GB786"/>
      <c r="GC786"/>
      <c r="GD786"/>
      <c r="GE786"/>
      <c r="GF786"/>
      <c r="GG786"/>
      <c r="GH786"/>
      <c r="GI786"/>
      <c r="GJ786"/>
      <c r="GK786"/>
      <c r="GL786"/>
      <c r="GM786"/>
      <c r="GN786"/>
      <c r="GO786"/>
      <c r="GP786"/>
      <c r="GQ786"/>
      <c r="GR786"/>
      <c r="GS786"/>
      <c r="GT786"/>
      <c r="GU786"/>
      <c r="GV786"/>
      <c r="GW786"/>
      <c r="GX786"/>
      <c r="GY786"/>
      <c r="GZ786"/>
      <c r="HA786"/>
      <c r="HB786"/>
      <c r="HC786"/>
      <c r="HD786"/>
      <c r="HE786"/>
      <c r="HF786"/>
      <c r="HG786"/>
      <c r="HH786"/>
      <c r="HI786"/>
      <c r="HJ786"/>
      <c r="HK786"/>
      <c r="HL786"/>
      <c r="HM786"/>
      <c r="HN786"/>
      <c r="HO786"/>
      <c r="HP786"/>
      <c r="HQ786"/>
      <c r="HR786"/>
      <c r="HS786"/>
      <c r="HT786"/>
      <c r="HU786"/>
      <c r="HV786"/>
      <c r="HW786"/>
      <c r="HX786"/>
      <c r="HY786"/>
      <c r="HZ786"/>
      <c r="IA786"/>
      <c r="IB786"/>
      <c r="IC786"/>
      <c r="ID786"/>
      <c r="IE786"/>
      <c r="IF786"/>
      <c r="IG786"/>
      <c r="IH786"/>
      <c r="II786"/>
      <c r="IJ786"/>
      <c r="IK786"/>
      <c r="IL786"/>
      <c r="IM786"/>
      <c r="IN786"/>
      <c r="IO786"/>
      <c r="IP786"/>
      <c r="IQ786"/>
      <c r="IR786"/>
      <c r="IS786"/>
      <c r="IT786"/>
      <c r="IU786"/>
      <c r="IV786"/>
    </row>
    <row r="787" spans="1:256" ht="12.75" hidden="1" customHeight="1" x14ac:dyDescent="0.2">
      <c r="A787" s="443"/>
      <c r="B787" s="525" t="s">
        <v>884</v>
      </c>
      <c r="C787" s="450">
        <v>2000000</v>
      </c>
      <c r="D787" s="454">
        <f>2000000-1500000</f>
        <v>500000</v>
      </c>
      <c r="E787" s="455">
        <v>0</v>
      </c>
      <c r="F787" s="498">
        <v>0</v>
      </c>
      <c r="G787" s="450">
        <v>100000</v>
      </c>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c r="EB787"/>
      <c r="EC787"/>
      <c r="ED787"/>
      <c r="EE787"/>
      <c r="EF787"/>
      <c r="EG787"/>
      <c r="EH787"/>
      <c r="EI787"/>
      <c r="EJ787"/>
      <c r="EK787"/>
      <c r="EL787"/>
      <c r="EM787"/>
      <c r="EN787"/>
      <c r="EO787"/>
      <c r="EP787"/>
      <c r="EQ787"/>
      <c r="ER787"/>
      <c r="ES787"/>
      <c r="ET787"/>
      <c r="EU787"/>
      <c r="EV787"/>
      <c r="EW787"/>
      <c r="EX787"/>
      <c r="EY787"/>
      <c r="EZ787"/>
      <c r="FA787"/>
      <c r="FB787"/>
      <c r="FC787"/>
      <c r="FD787"/>
      <c r="FE787"/>
      <c r="FF787"/>
      <c r="FG787"/>
      <c r="FH787"/>
      <c r="FI787"/>
      <c r="FJ787"/>
      <c r="FK787"/>
      <c r="FL787"/>
      <c r="FM787"/>
      <c r="FN787"/>
      <c r="FO787"/>
      <c r="FP787"/>
      <c r="FQ787"/>
      <c r="FR787"/>
      <c r="FS787"/>
      <c r="FT787"/>
      <c r="FU787"/>
      <c r="FV787"/>
      <c r="FW787"/>
      <c r="FX787"/>
      <c r="FY787"/>
      <c r="FZ787"/>
      <c r="GA787"/>
      <c r="GB787"/>
      <c r="GC787"/>
      <c r="GD787"/>
      <c r="GE787"/>
      <c r="GF787"/>
      <c r="GG787"/>
      <c r="GH787"/>
      <c r="GI787"/>
      <c r="GJ787"/>
      <c r="GK787"/>
      <c r="GL787"/>
      <c r="GM787"/>
      <c r="GN787"/>
      <c r="GO787"/>
      <c r="GP787"/>
      <c r="GQ787"/>
      <c r="GR787"/>
      <c r="GS787"/>
      <c r="GT787"/>
      <c r="GU787"/>
      <c r="GV787"/>
      <c r="GW787"/>
      <c r="GX787"/>
      <c r="GY787"/>
      <c r="GZ787"/>
      <c r="HA787"/>
      <c r="HB787"/>
      <c r="HC787"/>
      <c r="HD787"/>
      <c r="HE787"/>
      <c r="HF787"/>
      <c r="HG787"/>
      <c r="HH787"/>
      <c r="HI787"/>
      <c r="HJ787"/>
      <c r="HK787"/>
      <c r="HL787"/>
      <c r="HM787"/>
      <c r="HN787"/>
      <c r="HO787"/>
      <c r="HP787"/>
      <c r="HQ787"/>
      <c r="HR787"/>
      <c r="HS787"/>
      <c r="HT787"/>
      <c r="HU787"/>
      <c r="HV787"/>
      <c r="HW787"/>
      <c r="HX787"/>
      <c r="HY787"/>
      <c r="HZ787"/>
      <c r="IA787"/>
      <c r="IB787"/>
      <c r="IC787"/>
      <c r="ID787"/>
      <c r="IE787"/>
      <c r="IF787"/>
      <c r="IG787"/>
      <c r="IH787"/>
      <c r="II787"/>
      <c r="IJ787"/>
      <c r="IK787"/>
      <c r="IL787"/>
      <c r="IM787"/>
      <c r="IN787"/>
      <c r="IO787"/>
      <c r="IP787"/>
      <c r="IQ787"/>
      <c r="IR787"/>
      <c r="IS787"/>
      <c r="IT787"/>
      <c r="IU787"/>
      <c r="IV787"/>
    </row>
    <row r="788" spans="1:256" ht="12.75" hidden="1" customHeight="1" x14ac:dyDescent="0.2">
      <c r="A788" s="443"/>
      <c r="B788" s="525" t="s">
        <v>885</v>
      </c>
      <c r="C788" s="450">
        <v>5500000</v>
      </c>
      <c r="D788" s="454">
        <v>5500000</v>
      </c>
      <c r="E788" s="455">
        <v>5122889.3</v>
      </c>
      <c r="F788" s="304">
        <v>5122889.13</v>
      </c>
      <c r="G788" s="114">
        <v>0</v>
      </c>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c r="EX788"/>
      <c r="EY788"/>
      <c r="EZ788"/>
      <c r="FA788"/>
      <c r="FB788"/>
      <c r="FC788"/>
      <c r="FD788"/>
      <c r="FE788"/>
      <c r="FF788"/>
      <c r="FG788"/>
      <c r="FH788"/>
      <c r="FI788"/>
      <c r="FJ788"/>
      <c r="FK788"/>
      <c r="FL788"/>
      <c r="FM788"/>
      <c r="FN788"/>
      <c r="FO788"/>
      <c r="FP788"/>
      <c r="FQ788"/>
      <c r="FR788"/>
      <c r="FS788"/>
      <c r="FT788"/>
      <c r="FU788"/>
      <c r="FV788"/>
      <c r="FW788"/>
      <c r="FX788"/>
      <c r="FY788"/>
      <c r="FZ788"/>
      <c r="GA788"/>
      <c r="GB788"/>
      <c r="GC788"/>
      <c r="GD788"/>
      <c r="GE788"/>
      <c r="GF788"/>
      <c r="GG788"/>
      <c r="GH788"/>
      <c r="GI788"/>
      <c r="GJ788"/>
      <c r="GK788"/>
      <c r="GL788"/>
      <c r="GM788"/>
      <c r="GN788"/>
      <c r="GO788"/>
      <c r="GP788"/>
      <c r="GQ788"/>
      <c r="GR788"/>
      <c r="GS788"/>
      <c r="GT788"/>
      <c r="GU788"/>
      <c r="GV788"/>
      <c r="GW788"/>
      <c r="GX788"/>
      <c r="GY788"/>
      <c r="GZ788"/>
      <c r="HA788"/>
      <c r="HB788"/>
      <c r="HC788"/>
      <c r="HD788"/>
      <c r="HE788"/>
      <c r="HF788"/>
      <c r="HG788"/>
      <c r="HH788"/>
      <c r="HI788"/>
      <c r="HJ788"/>
      <c r="HK788"/>
      <c r="HL788"/>
      <c r="HM788"/>
      <c r="HN788"/>
      <c r="HO788"/>
      <c r="HP788"/>
      <c r="HQ788"/>
      <c r="HR788"/>
      <c r="HS788"/>
      <c r="HT788"/>
      <c r="HU788"/>
      <c r="HV788"/>
      <c r="HW788"/>
      <c r="HX788"/>
      <c r="HY788"/>
      <c r="HZ788"/>
      <c r="IA788"/>
      <c r="IB788"/>
      <c r="IC788"/>
      <c r="ID788"/>
      <c r="IE788"/>
      <c r="IF788"/>
      <c r="IG788"/>
      <c r="IH788"/>
      <c r="II788"/>
      <c r="IJ788"/>
      <c r="IK788"/>
      <c r="IL788"/>
      <c r="IM788"/>
      <c r="IN788"/>
      <c r="IO788"/>
      <c r="IP788"/>
      <c r="IQ788"/>
      <c r="IR788"/>
      <c r="IS788"/>
      <c r="IT788"/>
      <c r="IU788"/>
      <c r="IV788"/>
    </row>
    <row r="789" spans="1:256" ht="12.75" hidden="1" customHeight="1" x14ac:dyDescent="0.2">
      <c r="A789" s="519"/>
      <c r="B789" s="524" t="s">
        <v>886</v>
      </c>
      <c r="C789" s="450">
        <v>500000</v>
      </c>
      <c r="D789" s="454">
        <v>500000</v>
      </c>
      <c r="E789" s="455">
        <v>730000</v>
      </c>
      <c r="F789" s="304">
        <v>38720</v>
      </c>
      <c r="G789" s="114">
        <v>0</v>
      </c>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c r="EX789"/>
      <c r="EY789"/>
      <c r="EZ789"/>
      <c r="FA789"/>
      <c r="FB789"/>
      <c r="FC789"/>
      <c r="FD789"/>
      <c r="FE789"/>
      <c r="FF789"/>
      <c r="FG789"/>
      <c r="FH789"/>
      <c r="FI789"/>
      <c r="FJ789"/>
      <c r="FK789"/>
      <c r="FL789"/>
      <c r="FM789"/>
      <c r="FN789"/>
      <c r="FO789"/>
      <c r="FP789"/>
      <c r="FQ789"/>
      <c r="FR789"/>
      <c r="FS789"/>
      <c r="FT789"/>
      <c r="FU789"/>
      <c r="FV789"/>
      <c r="FW789"/>
      <c r="FX789"/>
      <c r="FY789"/>
      <c r="FZ789"/>
      <c r="GA789"/>
      <c r="GB789"/>
      <c r="GC789"/>
      <c r="GD789"/>
      <c r="GE789"/>
      <c r="GF789"/>
      <c r="GG789"/>
      <c r="GH789"/>
      <c r="GI789"/>
      <c r="GJ789"/>
      <c r="GK789"/>
      <c r="GL789"/>
      <c r="GM789"/>
      <c r="GN789"/>
      <c r="GO789"/>
      <c r="GP789"/>
      <c r="GQ789"/>
      <c r="GR789"/>
      <c r="GS789"/>
      <c r="GT789"/>
      <c r="GU789"/>
      <c r="GV789"/>
      <c r="GW789"/>
      <c r="GX789"/>
      <c r="GY789"/>
      <c r="GZ789"/>
      <c r="HA789"/>
      <c r="HB789"/>
      <c r="HC789"/>
      <c r="HD789"/>
      <c r="HE789"/>
      <c r="HF789"/>
      <c r="HG789"/>
      <c r="HH789"/>
      <c r="HI789"/>
      <c r="HJ789"/>
      <c r="HK789"/>
      <c r="HL789"/>
      <c r="HM789"/>
      <c r="HN789"/>
      <c r="HO789"/>
      <c r="HP789"/>
      <c r="HQ789"/>
      <c r="HR789"/>
      <c r="HS789"/>
      <c r="HT789"/>
      <c r="HU789"/>
      <c r="HV789"/>
      <c r="HW789"/>
      <c r="HX789"/>
      <c r="HY789"/>
      <c r="HZ789"/>
      <c r="IA789"/>
      <c r="IB789"/>
      <c r="IC789"/>
      <c r="ID789"/>
      <c r="IE789"/>
      <c r="IF789"/>
      <c r="IG789"/>
      <c r="IH789"/>
      <c r="II789"/>
      <c r="IJ789"/>
      <c r="IK789"/>
      <c r="IL789"/>
      <c r="IM789"/>
      <c r="IN789"/>
      <c r="IO789"/>
      <c r="IP789"/>
      <c r="IQ789"/>
      <c r="IR789"/>
      <c r="IS789"/>
      <c r="IT789"/>
      <c r="IU789"/>
      <c r="IV789"/>
    </row>
    <row r="790" spans="1:256" ht="12.75" hidden="1" customHeight="1" x14ac:dyDescent="0.2">
      <c r="A790" s="519"/>
      <c r="B790" s="525" t="s">
        <v>887</v>
      </c>
      <c r="C790" s="450">
        <v>2180000</v>
      </c>
      <c r="D790" s="454">
        <f>2180000-393000</f>
        <v>1787000</v>
      </c>
      <c r="E790" s="455">
        <v>1008263.26</v>
      </c>
      <c r="F790" s="304">
        <v>0</v>
      </c>
      <c r="G790" s="114">
        <v>393000</v>
      </c>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c r="EX790"/>
      <c r="EY790"/>
      <c r="EZ790"/>
      <c r="FA790"/>
      <c r="FB790"/>
      <c r="FC790"/>
      <c r="FD790"/>
      <c r="FE790"/>
      <c r="FF790"/>
      <c r="FG790"/>
      <c r="FH790"/>
      <c r="FI790"/>
      <c r="FJ790"/>
      <c r="FK790"/>
      <c r="FL790"/>
      <c r="FM790"/>
      <c r="FN790"/>
      <c r="FO790"/>
      <c r="FP790"/>
      <c r="FQ790"/>
      <c r="FR790"/>
      <c r="FS790"/>
      <c r="FT790"/>
      <c r="FU790"/>
      <c r="FV790"/>
      <c r="FW790"/>
      <c r="FX790"/>
      <c r="FY790"/>
      <c r="FZ790"/>
      <c r="GA790"/>
      <c r="GB790"/>
      <c r="GC790"/>
      <c r="GD790"/>
      <c r="GE790"/>
      <c r="GF790"/>
      <c r="GG790"/>
      <c r="GH790"/>
      <c r="GI790"/>
      <c r="GJ790"/>
      <c r="GK790"/>
      <c r="GL790"/>
      <c r="GM790"/>
      <c r="GN790"/>
      <c r="GO790"/>
      <c r="GP790"/>
      <c r="GQ790"/>
      <c r="GR790"/>
      <c r="GS790"/>
      <c r="GT790"/>
      <c r="GU790"/>
      <c r="GV790"/>
      <c r="GW790"/>
      <c r="GX790"/>
      <c r="GY790"/>
      <c r="GZ790"/>
      <c r="HA790"/>
      <c r="HB790"/>
      <c r="HC790"/>
      <c r="HD790"/>
      <c r="HE790"/>
      <c r="HF790"/>
      <c r="HG790"/>
      <c r="HH790"/>
      <c r="HI790"/>
      <c r="HJ790"/>
      <c r="HK790"/>
      <c r="HL790"/>
      <c r="HM790"/>
      <c r="HN790"/>
      <c r="HO790"/>
      <c r="HP790"/>
      <c r="HQ790"/>
      <c r="HR790"/>
      <c r="HS790"/>
      <c r="HT790"/>
      <c r="HU790"/>
      <c r="HV790"/>
      <c r="HW790"/>
      <c r="HX790"/>
      <c r="HY790"/>
      <c r="HZ790"/>
      <c r="IA790"/>
      <c r="IB790"/>
      <c r="IC790"/>
      <c r="ID790"/>
      <c r="IE790"/>
      <c r="IF790"/>
      <c r="IG790"/>
      <c r="IH790"/>
      <c r="II790"/>
      <c r="IJ790"/>
      <c r="IK790"/>
      <c r="IL790"/>
      <c r="IM790"/>
      <c r="IN790"/>
      <c r="IO790"/>
      <c r="IP790"/>
      <c r="IQ790"/>
      <c r="IR790"/>
      <c r="IS790"/>
      <c r="IT790"/>
      <c r="IU790"/>
      <c r="IV790"/>
    </row>
    <row r="791" spans="1:256" ht="12.75" hidden="1" customHeight="1" x14ac:dyDescent="0.2">
      <c r="A791" s="519"/>
      <c r="B791" s="449" t="s">
        <v>888</v>
      </c>
      <c r="C791" s="452"/>
      <c r="D791" s="454"/>
      <c r="E791" s="455"/>
      <c r="F791" s="304"/>
      <c r="G791" s="114">
        <v>2300000</v>
      </c>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c r="EX791"/>
      <c r="EY791"/>
      <c r="EZ791"/>
      <c r="FA791"/>
      <c r="FB791"/>
      <c r="FC791"/>
      <c r="FD791"/>
      <c r="FE791"/>
      <c r="FF791"/>
      <c r="FG791"/>
      <c r="FH791"/>
      <c r="FI791"/>
      <c r="FJ791"/>
      <c r="FK791"/>
      <c r="FL791"/>
      <c r="FM791"/>
      <c r="FN791"/>
      <c r="FO791"/>
      <c r="FP791"/>
      <c r="FQ791"/>
      <c r="FR791"/>
      <c r="FS791"/>
      <c r="FT791"/>
      <c r="FU791"/>
      <c r="FV791"/>
      <c r="FW791"/>
      <c r="FX791"/>
      <c r="FY791"/>
      <c r="FZ791"/>
      <c r="GA791"/>
      <c r="GB791"/>
      <c r="GC791"/>
      <c r="GD791"/>
      <c r="GE791"/>
      <c r="GF791"/>
      <c r="GG791"/>
      <c r="GH791"/>
      <c r="GI791"/>
      <c r="GJ791"/>
      <c r="GK791"/>
      <c r="GL791"/>
      <c r="GM791"/>
      <c r="GN791"/>
      <c r="GO791"/>
      <c r="GP791"/>
      <c r="GQ791"/>
      <c r="GR791"/>
      <c r="GS791"/>
      <c r="GT791"/>
      <c r="GU791"/>
      <c r="GV791"/>
      <c r="GW791"/>
      <c r="GX791"/>
      <c r="GY791"/>
      <c r="GZ791"/>
      <c r="HA791"/>
      <c r="HB791"/>
      <c r="HC791"/>
      <c r="HD791"/>
      <c r="HE791"/>
      <c r="HF791"/>
      <c r="HG791"/>
      <c r="HH791"/>
      <c r="HI791"/>
      <c r="HJ791"/>
      <c r="HK791"/>
      <c r="HL791"/>
      <c r="HM791"/>
      <c r="HN791"/>
      <c r="HO791"/>
      <c r="HP791"/>
      <c r="HQ791"/>
      <c r="HR791"/>
      <c r="HS791"/>
      <c r="HT791"/>
      <c r="HU791"/>
      <c r="HV791"/>
      <c r="HW791"/>
      <c r="HX791"/>
      <c r="HY791"/>
      <c r="HZ791"/>
      <c r="IA791"/>
      <c r="IB791"/>
      <c r="IC791"/>
      <c r="ID791"/>
      <c r="IE791"/>
      <c r="IF791"/>
      <c r="IG791"/>
      <c r="IH791"/>
      <c r="II791"/>
      <c r="IJ791"/>
      <c r="IK791"/>
      <c r="IL791"/>
      <c r="IM791"/>
      <c r="IN791"/>
      <c r="IO791"/>
      <c r="IP791"/>
      <c r="IQ791"/>
      <c r="IR791"/>
      <c r="IS791"/>
      <c r="IT791"/>
      <c r="IU791"/>
      <c r="IV791"/>
    </row>
    <row r="792" spans="1:256" ht="12.75" hidden="1" customHeight="1" x14ac:dyDescent="0.2">
      <c r="A792" s="519"/>
      <c r="B792" s="524" t="s">
        <v>889</v>
      </c>
      <c r="C792" s="452"/>
      <c r="D792" s="454"/>
      <c r="E792" s="455"/>
      <c r="F792" s="304"/>
      <c r="G792" s="114">
        <v>100000</v>
      </c>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c r="EX792"/>
      <c r="EY792"/>
      <c r="EZ792"/>
      <c r="FA792"/>
      <c r="FB792"/>
      <c r="FC792"/>
      <c r="FD792"/>
      <c r="FE792"/>
      <c r="FF792"/>
      <c r="FG792"/>
      <c r="FH792"/>
      <c r="FI792"/>
      <c r="FJ792"/>
      <c r="FK792"/>
      <c r="FL792"/>
      <c r="FM792"/>
      <c r="FN792"/>
      <c r="FO792"/>
      <c r="FP792"/>
      <c r="FQ792"/>
      <c r="FR792"/>
      <c r="FS792"/>
      <c r="FT792"/>
      <c r="FU792"/>
      <c r="FV792"/>
      <c r="FW792"/>
      <c r="FX792"/>
      <c r="FY792"/>
      <c r="FZ792"/>
      <c r="GA792"/>
      <c r="GB792"/>
      <c r="GC792"/>
      <c r="GD792"/>
      <c r="GE792"/>
      <c r="GF792"/>
      <c r="GG792"/>
      <c r="GH792"/>
      <c r="GI792"/>
      <c r="GJ792"/>
      <c r="GK792"/>
      <c r="GL792"/>
      <c r="GM792"/>
      <c r="GN792"/>
      <c r="GO792"/>
      <c r="GP792"/>
      <c r="GQ792"/>
      <c r="GR792"/>
      <c r="GS792"/>
      <c r="GT792"/>
      <c r="GU792"/>
      <c r="GV792"/>
      <c r="GW792"/>
      <c r="GX792"/>
      <c r="GY792"/>
      <c r="GZ792"/>
      <c r="HA792"/>
      <c r="HB792"/>
      <c r="HC792"/>
      <c r="HD792"/>
      <c r="HE792"/>
      <c r="HF792"/>
      <c r="HG792"/>
      <c r="HH792"/>
      <c r="HI792"/>
      <c r="HJ792"/>
      <c r="HK792"/>
      <c r="HL792"/>
      <c r="HM792"/>
      <c r="HN792"/>
      <c r="HO792"/>
      <c r="HP792"/>
      <c r="HQ792"/>
      <c r="HR792"/>
      <c r="HS792"/>
      <c r="HT792"/>
      <c r="HU792"/>
      <c r="HV792"/>
      <c r="HW792"/>
      <c r="HX792"/>
      <c r="HY792"/>
      <c r="HZ792"/>
      <c r="IA792"/>
      <c r="IB792"/>
      <c r="IC792"/>
      <c r="ID792"/>
      <c r="IE792"/>
      <c r="IF792"/>
      <c r="IG792"/>
      <c r="IH792"/>
      <c r="II792"/>
      <c r="IJ792"/>
      <c r="IK792"/>
      <c r="IL792"/>
      <c r="IM792"/>
      <c r="IN792"/>
      <c r="IO792"/>
      <c r="IP792"/>
      <c r="IQ792"/>
      <c r="IR792"/>
      <c r="IS792"/>
      <c r="IT792"/>
      <c r="IU792"/>
      <c r="IV792"/>
    </row>
    <row r="793" spans="1:256" ht="12.75" hidden="1" customHeight="1" x14ac:dyDescent="0.2">
      <c r="A793" s="519"/>
      <c r="B793" s="525" t="s">
        <v>890</v>
      </c>
      <c r="C793" s="497"/>
      <c r="D793" s="454"/>
      <c r="E793" s="455"/>
      <c r="F793" s="304"/>
      <c r="G793" s="114">
        <v>0</v>
      </c>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c r="EX793"/>
      <c r="EY793"/>
      <c r="EZ793"/>
      <c r="FA793"/>
      <c r="FB793"/>
      <c r="FC793"/>
      <c r="FD793"/>
      <c r="FE793"/>
      <c r="FF793"/>
      <c r="FG793"/>
      <c r="FH793"/>
      <c r="FI793"/>
      <c r="FJ793"/>
      <c r="FK793"/>
      <c r="FL793"/>
      <c r="FM793"/>
      <c r="FN793"/>
      <c r="FO793"/>
      <c r="FP793"/>
      <c r="FQ793"/>
      <c r="FR793"/>
      <c r="FS793"/>
      <c r="FT793"/>
      <c r="FU793"/>
      <c r="FV793"/>
      <c r="FW793"/>
      <c r="FX793"/>
      <c r="FY793"/>
      <c r="FZ793"/>
      <c r="GA793"/>
      <c r="GB793"/>
      <c r="GC793"/>
      <c r="GD793"/>
      <c r="GE793"/>
      <c r="GF793"/>
      <c r="GG793"/>
      <c r="GH793"/>
      <c r="GI793"/>
      <c r="GJ793"/>
      <c r="GK793"/>
      <c r="GL793"/>
      <c r="GM793"/>
      <c r="GN793"/>
      <c r="GO793"/>
      <c r="GP793"/>
      <c r="GQ793"/>
      <c r="GR793"/>
      <c r="GS793"/>
      <c r="GT793"/>
      <c r="GU793"/>
      <c r="GV793"/>
      <c r="GW793"/>
      <c r="GX793"/>
      <c r="GY793"/>
      <c r="GZ793"/>
      <c r="HA793"/>
      <c r="HB793"/>
      <c r="HC793"/>
      <c r="HD793"/>
      <c r="HE793"/>
      <c r="HF793"/>
      <c r="HG793"/>
      <c r="HH793"/>
      <c r="HI793"/>
      <c r="HJ793"/>
      <c r="HK793"/>
      <c r="HL793"/>
      <c r="HM793"/>
      <c r="HN793"/>
      <c r="HO793"/>
      <c r="HP793"/>
      <c r="HQ793"/>
      <c r="HR793"/>
      <c r="HS793"/>
      <c r="HT793"/>
      <c r="HU793"/>
      <c r="HV793"/>
      <c r="HW793"/>
      <c r="HX793"/>
      <c r="HY793"/>
      <c r="HZ793"/>
      <c r="IA793"/>
      <c r="IB793"/>
      <c r="IC793"/>
      <c r="ID793"/>
      <c r="IE793"/>
      <c r="IF793"/>
      <c r="IG793"/>
      <c r="IH793"/>
      <c r="II793"/>
      <c r="IJ793"/>
      <c r="IK793"/>
      <c r="IL793"/>
      <c r="IM793"/>
      <c r="IN793"/>
      <c r="IO793"/>
      <c r="IP793"/>
      <c r="IQ793"/>
      <c r="IR793"/>
      <c r="IS793"/>
      <c r="IT793"/>
      <c r="IU793"/>
      <c r="IV793"/>
    </row>
    <row r="794" spans="1:256" ht="12.75" hidden="1" customHeight="1" x14ac:dyDescent="0.2">
      <c r="A794" s="519"/>
      <c r="B794" s="449" t="s">
        <v>891</v>
      </c>
      <c r="C794" s="497"/>
      <c r="D794" s="454"/>
      <c r="E794" s="455"/>
      <c r="F794" s="304"/>
      <c r="G794" s="113">
        <v>2000000</v>
      </c>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c r="EX794"/>
      <c r="EY794"/>
      <c r="EZ794"/>
      <c r="FA794"/>
      <c r="FB794"/>
      <c r="FC794"/>
      <c r="FD794"/>
      <c r="FE794"/>
      <c r="FF794"/>
      <c r="FG794"/>
      <c r="FH794"/>
      <c r="FI794"/>
      <c r="FJ794"/>
      <c r="FK794"/>
      <c r="FL794"/>
      <c r="FM794"/>
      <c r="FN794"/>
      <c r="FO794"/>
      <c r="FP794"/>
      <c r="FQ794"/>
      <c r="FR794"/>
      <c r="FS794"/>
      <c r="FT794"/>
      <c r="FU794"/>
      <c r="FV794"/>
      <c r="FW794"/>
      <c r="FX794"/>
      <c r="FY794"/>
      <c r="FZ794"/>
      <c r="GA794"/>
      <c r="GB794"/>
      <c r="GC794"/>
      <c r="GD794"/>
      <c r="GE794"/>
      <c r="GF794"/>
      <c r="GG794"/>
      <c r="GH794"/>
      <c r="GI794"/>
      <c r="GJ794"/>
      <c r="GK794"/>
      <c r="GL794"/>
      <c r="GM794"/>
      <c r="GN794"/>
      <c r="GO794"/>
      <c r="GP794"/>
      <c r="GQ794"/>
      <c r="GR794"/>
      <c r="GS794"/>
      <c r="GT794"/>
      <c r="GU794"/>
      <c r="GV794"/>
      <c r="GW794"/>
      <c r="GX794"/>
      <c r="GY794"/>
      <c r="GZ794"/>
      <c r="HA794"/>
      <c r="HB794"/>
      <c r="HC794"/>
      <c r="HD794"/>
      <c r="HE794"/>
      <c r="HF794"/>
      <c r="HG794"/>
      <c r="HH794"/>
      <c r="HI794"/>
      <c r="HJ794"/>
      <c r="HK794"/>
      <c r="HL794"/>
      <c r="HM794"/>
      <c r="HN794"/>
      <c r="HO794"/>
      <c r="HP794"/>
      <c r="HQ794"/>
      <c r="HR794"/>
      <c r="HS794"/>
      <c r="HT794"/>
      <c r="HU794"/>
      <c r="HV794"/>
      <c r="HW794"/>
      <c r="HX794"/>
      <c r="HY794"/>
      <c r="HZ794"/>
      <c r="IA794"/>
      <c r="IB794"/>
      <c r="IC794"/>
      <c r="ID794"/>
      <c r="IE794"/>
      <c r="IF794"/>
      <c r="IG794"/>
      <c r="IH794"/>
      <c r="II794"/>
      <c r="IJ794"/>
      <c r="IK794"/>
      <c r="IL794"/>
      <c r="IM794"/>
      <c r="IN794"/>
      <c r="IO794"/>
      <c r="IP794"/>
      <c r="IQ794"/>
      <c r="IR794"/>
      <c r="IS794"/>
      <c r="IT794"/>
      <c r="IU794"/>
      <c r="IV794"/>
    </row>
    <row r="795" spans="1:256" ht="12.75" hidden="1" customHeight="1" x14ac:dyDescent="0.2">
      <c r="A795" s="519"/>
      <c r="B795" s="449" t="s">
        <v>892</v>
      </c>
      <c r="C795" s="497"/>
      <c r="D795" s="454"/>
      <c r="E795" s="455"/>
      <c r="F795" s="304"/>
      <c r="G795" s="114">
        <v>700000</v>
      </c>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c r="EX795"/>
      <c r="EY795"/>
      <c r="EZ795"/>
      <c r="FA795"/>
      <c r="FB795"/>
      <c r="FC795"/>
      <c r="FD795"/>
      <c r="FE795"/>
      <c r="FF795"/>
      <c r="FG795"/>
      <c r="FH795"/>
      <c r="FI795"/>
      <c r="FJ795"/>
      <c r="FK795"/>
      <c r="FL795"/>
      <c r="FM795"/>
      <c r="FN795"/>
      <c r="FO795"/>
      <c r="FP795"/>
      <c r="FQ795"/>
      <c r="FR795"/>
      <c r="FS795"/>
      <c r="FT795"/>
      <c r="FU795"/>
      <c r="FV795"/>
      <c r="FW795"/>
      <c r="FX795"/>
      <c r="FY795"/>
      <c r="FZ795"/>
      <c r="GA795"/>
      <c r="GB795"/>
      <c r="GC795"/>
      <c r="GD795"/>
      <c r="GE795"/>
      <c r="GF795"/>
      <c r="GG795"/>
      <c r="GH795"/>
      <c r="GI795"/>
      <c r="GJ795"/>
      <c r="GK795"/>
      <c r="GL795"/>
      <c r="GM795"/>
      <c r="GN795"/>
      <c r="GO795"/>
      <c r="GP795"/>
      <c r="GQ795"/>
      <c r="GR795"/>
      <c r="GS795"/>
      <c r="GT795"/>
      <c r="GU795"/>
      <c r="GV795"/>
      <c r="GW795"/>
      <c r="GX795"/>
      <c r="GY795"/>
      <c r="GZ795"/>
      <c r="HA795"/>
      <c r="HB795"/>
      <c r="HC795"/>
      <c r="HD795"/>
      <c r="HE795"/>
      <c r="HF795"/>
      <c r="HG795"/>
      <c r="HH795"/>
      <c r="HI795"/>
      <c r="HJ795"/>
      <c r="HK795"/>
      <c r="HL795"/>
      <c r="HM795"/>
      <c r="HN795"/>
      <c r="HO795"/>
      <c r="HP795"/>
      <c r="HQ795"/>
      <c r="HR795"/>
      <c r="HS795"/>
      <c r="HT795"/>
      <c r="HU795"/>
      <c r="HV795"/>
      <c r="HW795"/>
      <c r="HX795"/>
      <c r="HY795"/>
      <c r="HZ795"/>
      <c r="IA795"/>
      <c r="IB795"/>
      <c r="IC795"/>
      <c r="ID795"/>
      <c r="IE795"/>
      <c r="IF795"/>
      <c r="IG795"/>
      <c r="IH795"/>
      <c r="II795"/>
      <c r="IJ795"/>
      <c r="IK795"/>
      <c r="IL795"/>
      <c r="IM795"/>
      <c r="IN795"/>
      <c r="IO795"/>
      <c r="IP795"/>
      <c r="IQ795"/>
      <c r="IR795"/>
      <c r="IS795"/>
      <c r="IT795"/>
      <c r="IU795"/>
      <c r="IV795"/>
    </row>
    <row r="796" spans="1:256" ht="12.75" hidden="1" customHeight="1" x14ac:dyDescent="0.2">
      <c r="A796" s="520"/>
      <c r="B796" s="526" t="s">
        <v>893</v>
      </c>
      <c r="C796" s="497">
        <v>30000</v>
      </c>
      <c r="D796" s="491">
        <v>30000</v>
      </c>
      <c r="E796" s="492">
        <v>30000</v>
      </c>
      <c r="F796" s="301">
        <v>0</v>
      </c>
      <c r="G796" s="114">
        <v>30000</v>
      </c>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c r="EX796"/>
      <c r="EY796"/>
      <c r="EZ796"/>
      <c r="FA796"/>
      <c r="FB796"/>
      <c r="FC796"/>
      <c r="FD796"/>
      <c r="FE796"/>
      <c r="FF796"/>
      <c r="FG796"/>
      <c r="FH796"/>
      <c r="FI796"/>
      <c r="FJ796"/>
      <c r="FK796"/>
      <c r="FL796"/>
      <c r="FM796"/>
      <c r="FN796"/>
      <c r="FO796"/>
      <c r="FP796"/>
      <c r="FQ796"/>
      <c r="FR796"/>
      <c r="FS796"/>
      <c r="FT796"/>
      <c r="FU796"/>
      <c r="FV796"/>
      <c r="FW796"/>
      <c r="FX796"/>
      <c r="FY796"/>
      <c r="FZ796"/>
      <c r="GA796"/>
      <c r="GB796"/>
      <c r="GC796"/>
      <c r="GD796"/>
      <c r="GE796"/>
      <c r="GF796"/>
      <c r="GG796"/>
      <c r="GH796"/>
      <c r="GI796"/>
      <c r="GJ796"/>
      <c r="GK796"/>
      <c r="GL796"/>
      <c r="GM796"/>
      <c r="GN796"/>
      <c r="GO796"/>
      <c r="GP796"/>
      <c r="GQ796"/>
      <c r="GR796"/>
      <c r="GS796"/>
      <c r="GT796"/>
      <c r="GU796"/>
      <c r="GV796"/>
      <c r="GW796"/>
      <c r="GX796"/>
      <c r="GY796"/>
      <c r="GZ796"/>
      <c r="HA796"/>
      <c r="HB796"/>
      <c r="HC796"/>
      <c r="HD796"/>
      <c r="HE796"/>
      <c r="HF796"/>
      <c r="HG796"/>
      <c r="HH796"/>
      <c r="HI796"/>
      <c r="HJ796"/>
      <c r="HK796"/>
      <c r="HL796"/>
      <c r="HM796"/>
      <c r="HN796"/>
      <c r="HO796"/>
      <c r="HP796"/>
      <c r="HQ796"/>
      <c r="HR796"/>
      <c r="HS796"/>
      <c r="HT796"/>
      <c r="HU796"/>
      <c r="HV796"/>
      <c r="HW796"/>
      <c r="HX796"/>
      <c r="HY796"/>
      <c r="HZ796"/>
      <c r="IA796"/>
      <c r="IB796"/>
      <c r="IC796"/>
      <c r="ID796"/>
      <c r="IE796"/>
      <c r="IF796"/>
      <c r="IG796"/>
      <c r="IH796"/>
      <c r="II796"/>
      <c r="IJ796"/>
      <c r="IK796"/>
      <c r="IL796"/>
      <c r="IM796"/>
      <c r="IN796"/>
      <c r="IO796"/>
      <c r="IP796"/>
      <c r="IQ796"/>
      <c r="IR796"/>
      <c r="IS796"/>
      <c r="IT796"/>
      <c r="IU796"/>
      <c r="IV796"/>
    </row>
    <row r="797" spans="1:256" ht="12.75" hidden="1" customHeight="1" x14ac:dyDescent="0.2">
      <c r="A797" s="520"/>
      <c r="B797" s="526" t="s">
        <v>894</v>
      </c>
      <c r="C797" s="497">
        <v>50000</v>
      </c>
      <c r="D797" s="491">
        <v>50000</v>
      </c>
      <c r="E797" s="492">
        <v>50000</v>
      </c>
      <c r="F797" s="301">
        <v>1434</v>
      </c>
      <c r="G797" s="114">
        <v>50000</v>
      </c>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c r="EX797"/>
      <c r="EY797"/>
      <c r="EZ797"/>
      <c r="FA797"/>
      <c r="FB797"/>
      <c r="FC797"/>
      <c r="FD797"/>
      <c r="FE797"/>
      <c r="FF797"/>
      <c r="FG797"/>
      <c r="FH797"/>
      <c r="FI797"/>
      <c r="FJ797"/>
      <c r="FK797"/>
      <c r="FL797"/>
      <c r="FM797"/>
      <c r="FN797"/>
      <c r="FO797"/>
      <c r="FP797"/>
      <c r="FQ797"/>
      <c r="FR797"/>
      <c r="FS797"/>
      <c r="FT797"/>
      <c r="FU797"/>
      <c r="FV797"/>
      <c r="FW797"/>
      <c r="FX797"/>
      <c r="FY797"/>
      <c r="FZ797"/>
      <c r="GA797"/>
      <c r="GB797"/>
      <c r="GC797"/>
      <c r="GD797"/>
      <c r="GE797"/>
      <c r="GF797"/>
      <c r="GG797"/>
      <c r="GH797"/>
      <c r="GI797"/>
      <c r="GJ797"/>
      <c r="GK797"/>
      <c r="GL797"/>
      <c r="GM797"/>
      <c r="GN797"/>
      <c r="GO797"/>
      <c r="GP797"/>
      <c r="GQ797"/>
      <c r="GR797"/>
      <c r="GS797"/>
      <c r="GT797"/>
      <c r="GU797"/>
      <c r="GV797"/>
      <c r="GW797"/>
      <c r="GX797"/>
      <c r="GY797"/>
      <c r="GZ797"/>
      <c r="HA797"/>
      <c r="HB797"/>
      <c r="HC797"/>
      <c r="HD797"/>
      <c r="HE797"/>
      <c r="HF797"/>
      <c r="HG797"/>
      <c r="HH797"/>
      <c r="HI797"/>
      <c r="HJ797"/>
      <c r="HK797"/>
      <c r="HL797"/>
      <c r="HM797"/>
      <c r="HN797"/>
      <c r="HO797"/>
      <c r="HP797"/>
      <c r="HQ797"/>
      <c r="HR797"/>
      <c r="HS797"/>
      <c r="HT797"/>
      <c r="HU797"/>
      <c r="HV797"/>
      <c r="HW797"/>
      <c r="HX797"/>
      <c r="HY797"/>
      <c r="HZ797"/>
      <c r="IA797"/>
      <c r="IB797"/>
      <c r="IC797"/>
      <c r="ID797"/>
      <c r="IE797"/>
      <c r="IF797"/>
      <c r="IG797"/>
      <c r="IH797"/>
      <c r="II797"/>
      <c r="IJ797"/>
      <c r="IK797"/>
      <c r="IL797"/>
      <c r="IM797"/>
      <c r="IN797"/>
      <c r="IO797"/>
      <c r="IP797"/>
      <c r="IQ797"/>
      <c r="IR797"/>
      <c r="IS797"/>
      <c r="IT797"/>
      <c r="IU797"/>
      <c r="IV797"/>
    </row>
    <row r="798" spans="1:256" ht="12.75" hidden="1" customHeight="1" x14ac:dyDescent="0.2">
      <c r="A798" s="520"/>
      <c r="B798" s="526" t="s">
        <v>895</v>
      </c>
      <c r="C798" s="497">
        <f>SUM(C799:C802)</f>
        <v>6270000</v>
      </c>
      <c r="D798" s="491">
        <f>SUM(D799:D802)</f>
        <v>6270000</v>
      </c>
      <c r="E798" s="491">
        <f>SUM(E799:E802)</f>
        <v>5100000</v>
      </c>
      <c r="F798" s="301">
        <f>SUM(F799:F802)</f>
        <v>2588757.64</v>
      </c>
      <c r="G798" s="114">
        <f>SUM(G799:G802)</f>
        <v>5100000</v>
      </c>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c r="EX798"/>
      <c r="EY798"/>
      <c r="EZ798"/>
      <c r="FA798"/>
      <c r="FB798"/>
      <c r="FC798"/>
      <c r="FD798"/>
      <c r="FE798"/>
      <c r="FF798"/>
      <c r="FG798"/>
      <c r="FH798"/>
      <c r="FI798"/>
      <c r="FJ798"/>
      <c r="FK798"/>
      <c r="FL798"/>
      <c r="FM798"/>
      <c r="FN798"/>
      <c r="FO798"/>
      <c r="FP798"/>
      <c r="FQ798"/>
      <c r="FR798"/>
      <c r="FS798"/>
      <c r="FT798"/>
      <c r="FU798"/>
      <c r="FV798"/>
      <c r="FW798"/>
      <c r="FX798"/>
      <c r="FY798"/>
      <c r="FZ798"/>
      <c r="GA798"/>
      <c r="GB798"/>
      <c r="GC798"/>
      <c r="GD798"/>
      <c r="GE798"/>
      <c r="GF798"/>
      <c r="GG798"/>
      <c r="GH798"/>
      <c r="GI798"/>
      <c r="GJ798"/>
      <c r="GK798"/>
      <c r="GL798"/>
      <c r="GM798"/>
      <c r="GN798"/>
      <c r="GO798"/>
      <c r="GP798"/>
      <c r="GQ798"/>
      <c r="GR798"/>
      <c r="GS798"/>
      <c r="GT798"/>
      <c r="GU798"/>
      <c r="GV798"/>
      <c r="GW798"/>
      <c r="GX798"/>
      <c r="GY798"/>
      <c r="GZ798"/>
      <c r="HA798"/>
      <c r="HB798"/>
      <c r="HC798"/>
      <c r="HD798"/>
      <c r="HE798"/>
      <c r="HF798"/>
      <c r="HG798"/>
      <c r="HH798"/>
      <c r="HI798"/>
      <c r="HJ798"/>
      <c r="HK798"/>
      <c r="HL798"/>
      <c r="HM798"/>
      <c r="HN798"/>
      <c r="HO798"/>
      <c r="HP798"/>
      <c r="HQ798"/>
      <c r="HR798"/>
      <c r="HS798"/>
      <c r="HT798"/>
      <c r="HU798"/>
      <c r="HV798"/>
      <c r="HW798"/>
      <c r="HX798"/>
      <c r="HY798"/>
      <c r="HZ798"/>
      <c r="IA798"/>
      <c r="IB798"/>
      <c r="IC798"/>
      <c r="ID798"/>
      <c r="IE798"/>
      <c r="IF798"/>
      <c r="IG798"/>
      <c r="IH798"/>
      <c r="II798"/>
      <c r="IJ798"/>
      <c r="IK798"/>
      <c r="IL798"/>
      <c r="IM798"/>
      <c r="IN798"/>
      <c r="IO798"/>
      <c r="IP798"/>
      <c r="IQ798"/>
      <c r="IR798"/>
      <c r="IS798"/>
      <c r="IT798"/>
      <c r="IU798"/>
      <c r="IV798"/>
    </row>
    <row r="799" spans="1:256" ht="12.75" hidden="1" customHeight="1" x14ac:dyDescent="0.2">
      <c r="A799" s="443"/>
      <c r="B799" s="514" t="s">
        <v>896</v>
      </c>
      <c r="C799" s="497">
        <v>970000</v>
      </c>
      <c r="D799" s="454">
        <v>970000</v>
      </c>
      <c r="E799" s="455">
        <v>800000</v>
      </c>
      <c r="F799" s="498">
        <v>389232.65</v>
      </c>
      <c r="G799" s="452">
        <v>800000</v>
      </c>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c r="EX799"/>
      <c r="EY799"/>
      <c r="EZ799"/>
      <c r="FA799"/>
      <c r="FB799"/>
      <c r="FC799"/>
      <c r="FD799"/>
      <c r="FE799"/>
      <c r="FF799"/>
      <c r="FG799"/>
      <c r="FH799"/>
      <c r="FI799"/>
      <c r="FJ799"/>
      <c r="FK799"/>
      <c r="FL799"/>
      <c r="FM799"/>
      <c r="FN799"/>
      <c r="FO799"/>
      <c r="FP799"/>
      <c r="FQ799"/>
      <c r="FR799"/>
      <c r="FS799"/>
      <c r="FT799"/>
      <c r="FU799"/>
      <c r="FV799"/>
      <c r="FW799"/>
      <c r="FX799"/>
      <c r="FY799"/>
      <c r="FZ799"/>
      <c r="GA799"/>
      <c r="GB799"/>
      <c r="GC799"/>
      <c r="GD799"/>
      <c r="GE799"/>
      <c r="GF799"/>
      <c r="GG799"/>
      <c r="GH799"/>
      <c r="GI799"/>
      <c r="GJ799"/>
      <c r="GK799"/>
      <c r="GL799"/>
      <c r="GM799"/>
      <c r="GN799"/>
      <c r="GO799"/>
      <c r="GP799"/>
      <c r="GQ799"/>
      <c r="GR799"/>
      <c r="GS799"/>
      <c r="GT799"/>
      <c r="GU799"/>
      <c r="GV799"/>
      <c r="GW799"/>
      <c r="GX799"/>
      <c r="GY799"/>
      <c r="GZ799"/>
      <c r="HA799"/>
      <c r="HB799"/>
      <c r="HC799"/>
      <c r="HD799"/>
      <c r="HE799"/>
      <c r="HF799"/>
      <c r="HG799"/>
      <c r="HH799"/>
      <c r="HI799"/>
      <c r="HJ799"/>
      <c r="HK799"/>
      <c r="HL799"/>
      <c r="HM799"/>
      <c r="HN799"/>
      <c r="HO799"/>
      <c r="HP799"/>
      <c r="HQ799"/>
      <c r="HR799"/>
      <c r="HS799"/>
      <c r="HT799"/>
      <c r="HU799"/>
      <c r="HV799"/>
      <c r="HW799"/>
      <c r="HX799"/>
      <c r="HY799"/>
      <c r="HZ799"/>
      <c r="IA799"/>
      <c r="IB799"/>
      <c r="IC799"/>
      <c r="ID799"/>
      <c r="IE799"/>
      <c r="IF799"/>
      <c r="IG799"/>
      <c r="IH799"/>
      <c r="II799"/>
      <c r="IJ799"/>
      <c r="IK799"/>
      <c r="IL799"/>
      <c r="IM799"/>
      <c r="IN799"/>
      <c r="IO799"/>
      <c r="IP799"/>
      <c r="IQ799"/>
      <c r="IR799"/>
      <c r="IS799"/>
      <c r="IT799"/>
      <c r="IU799"/>
      <c r="IV799"/>
    </row>
    <row r="800" spans="1:256" ht="12.75" hidden="1" customHeight="1" x14ac:dyDescent="0.2">
      <c r="A800" s="443"/>
      <c r="B800" s="514" t="s">
        <v>897</v>
      </c>
      <c r="C800" s="490">
        <v>2000000</v>
      </c>
      <c r="D800" s="454">
        <v>2000000</v>
      </c>
      <c r="E800" s="468">
        <v>1500000</v>
      </c>
      <c r="F800" s="498">
        <v>624560.66</v>
      </c>
      <c r="G800" s="452">
        <v>1500000</v>
      </c>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c r="EX800"/>
      <c r="EY800"/>
      <c r="EZ800"/>
      <c r="FA800"/>
      <c r="FB800"/>
      <c r="FC800"/>
      <c r="FD800"/>
      <c r="FE800"/>
      <c r="FF800"/>
      <c r="FG800"/>
      <c r="FH800"/>
      <c r="FI800"/>
      <c r="FJ800"/>
      <c r="FK800"/>
      <c r="FL800"/>
      <c r="FM800"/>
      <c r="FN800"/>
      <c r="FO800"/>
      <c r="FP800"/>
      <c r="FQ800"/>
      <c r="FR800"/>
      <c r="FS800"/>
      <c r="FT800"/>
      <c r="FU800"/>
      <c r="FV800"/>
      <c r="FW800"/>
      <c r="FX800"/>
      <c r="FY800"/>
      <c r="FZ800"/>
      <c r="GA800"/>
      <c r="GB800"/>
      <c r="GC800"/>
      <c r="GD800"/>
      <c r="GE800"/>
      <c r="GF800"/>
      <c r="GG800"/>
      <c r="GH800"/>
      <c r="GI800"/>
      <c r="GJ800"/>
      <c r="GK800"/>
      <c r="GL800"/>
      <c r="GM800"/>
      <c r="GN800"/>
      <c r="GO800"/>
      <c r="GP800"/>
      <c r="GQ800"/>
      <c r="GR800"/>
      <c r="GS800"/>
      <c r="GT800"/>
      <c r="GU800"/>
      <c r="GV800"/>
      <c r="GW800"/>
      <c r="GX800"/>
      <c r="GY800"/>
      <c r="GZ800"/>
      <c r="HA800"/>
      <c r="HB800"/>
      <c r="HC800"/>
      <c r="HD800"/>
      <c r="HE800"/>
      <c r="HF800"/>
      <c r="HG800"/>
      <c r="HH800"/>
      <c r="HI800"/>
      <c r="HJ800"/>
      <c r="HK800"/>
      <c r="HL800"/>
      <c r="HM800"/>
      <c r="HN800"/>
      <c r="HO800"/>
      <c r="HP800"/>
      <c r="HQ800"/>
      <c r="HR800"/>
      <c r="HS800"/>
      <c r="HT800"/>
      <c r="HU800"/>
      <c r="HV800"/>
      <c r="HW800"/>
      <c r="HX800"/>
      <c r="HY800"/>
      <c r="HZ800"/>
      <c r="IA800"/>
      <c r="IB800"/>
      <c r="IC800"/>
      <c r="ID800"/>
      <c r="IE800"/>
      <c r="IF800"/>
      <c r="IG800"/>
      <c r="IH800"/>
      <c r="II800"/>
      <c r="IJ800"/>
      <c r="IK800"/>
      <c r="IL800"/>
      <c r="IM800"/>
      <c r="IN800"/>
      <c r="IO800"/>
      <c r="IP800"/>
      <c r="IQ800"/>
      <c r="IR800"/>
      <c r="IS800"/>
      <c r="IT800"/>
      <c r="IU800"/>
      <c r="IV800"/>
    </row>
    <row r="801" spans="1:256" ht="12.75" hidden="1" customHeight="1" x14ac:dyDescent="0.2">
      <c r="A801" s="443"/>
      <c r="B801" s="514" t="s">
        <v>898</v>
      </c>
      <c r="C801" s="497">
        <v>1200000</v>
      </c>
      <c r="D801" s="454">
        <v>1200000</v>
      </c>
      <c r="E801" s="468">
        <v>1100000</v>
      </c>
      <c r="F801" s="498">
        <v>522246.79</v>
      </c>
      <c r="G801" s="452">
        <v>1100000</v>
      </c>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c r="EX801"/>
      <c r="EY801"/>
      <c r="EZ801"/>
      <c r="FA801"/>
      <c r="FB801"/>
      <c r="FC801"/>
      <c r="FD801"/>
      <c r="FE801"/>
      <c r="FF801"/>
      <c r="FG801"/>
      <c r="FH801"/>
      <c r="FI801"/>
      <c r="FJ801"/>
      <c r="FK801"/>
      <c r="FL801"/>
      <c r="FM801"/>
      <c r="FN801"/>
      <c r="FO801"/>
      <c r="FP801"/>
      <c r="FQ801"/>
      <c r="FR801"/>
      <c r="FS801"/>
      <c r="FT801"/>
      <c r="FU801"/>
      <c r="FV801"/>
      <c r="FW801"/>
      <c r="FX801"/>
      <c r="FY801"/>
      <c r="FZ801"/>
      <c r="GA801"/>
      <c r="GB801"/>
      <c r="GC801"/>
      <c r="GD801"/>
      <c r="GE801"/>
      <c r="GF801"/>
      <c r="GG801"/>
      <c r="GH801"/>
      <c r="GI801"/>
      <c r="GJ801"/>
      <c r="GK801"/>
      <c r="GL801"/>
      <c r="GM801"/>
      <c r="GN801"/>
      <c r="GO801"/>
      <c r="GP801"/>
      <c r="GQ801"/>
      <c r="GR801"/>
      <c r="GS801"/>
      <c r="GT801"/>
      <c r="GU801"/>
      <c r="GV801"/>
      <c r="GW801"/>
      <c r="GX801"/>
      <c r="GY801"/>
      <c r="GZ801"/>
      <c r="HA801"/>
      <c r="HB801"/>
      <c r="HC801"/>
      <c r="HD801"/>
      <c r="HE801"/>
      <c r="HF801"/>
      <c r="HG801"/>
      <c r="HH801"/>
      <c r="HI801"/>
      <c r="HJ801"/>
      <c r="HK801"/>
      <c r="HL801"/>
      <c r="HM801"/>
      <c r="HN801"/>
      <c r="HO801"/>
      <c r="HP801"/>
      <c r="HQ801"/>
      <c r="HR801"/>
      <c r="HS801"/>
      <c r="HT801"/>
      <c r="HU801"/>
      <c r="HV801"/>
      <c r="HW801"/>
      <c r="HX801"/>
      <c r="HY801"/>
      <c r="HZ801"/>
      <c r="IA801"/>
      <c r="IB801"/>
      <c r="IC801"/>
      <c r="ID801"/>
      <c r="IE801"/>
      <c r="IF801"/>
      <c r="IG801"/>
      <c r="IH801"/>
      <c r="II801"/>
      <c r="IJ801"/>
      <c r="IK801"/>
      <c r="IL801"/>
      <c r="IM801"/>
      <c r="IN801"/>
      <c r="IO801"/>
      <c r="IP801"/>
      <c r="IQ801"/>
      <c r="IR801"/>
      <c r="IS801"/>
      <c r="IT801"/>
      <c r="IU801"/>
      <c r="IV801"/>
    </row>
    <row r="802" spans="1:256" ht="12.75" hidden="1" customHeight="1" x14ac:dyDescent="0.2">
      <c r="A802" s="443"/>
      <c r="B802" s="514" t="s">
        <v>899</v>
      </c>
      <c r="C802" s="450">
        <v>2100000</v>
      </c>
      <c r="D802" s="454">
        <v>2100000</v>
      </c>
      <c r="E802" s="468">
        <v>1700000</v>
      </c>
      <c r="F802" s="304">
        <v>1052717.54</v>
      </c>
      <c r="G802" s="113">
        <v>1700000</v>
      </c>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c r="EX802"/>
      <c r="EY802"/>
      <c r="EZ802"/>
      <c r="FA802"/>
      <c r="FB802"/>
      <c r="FC802"/>
      <c r="FD802"/>
      <c r="FE802"/>
      <c r="FF802"/>
      <c r="FG802"/>
      <c r="FH802"/>
      <c r="FI802"/>
      <c r="FJ802"/>
      <c r="FK802"/>
      <c r="FL802"/>
      <c r="FM802"/>
      <c r="FN802"/>
      <c r="FO802"/>
      <c r="FP802"/>
      <c r="FQ802"/>
      <c r="FR802"/>
      <c r="FS802"/>
      <c r="FT802"/>
      <c r="FU802"/>
      <c r="FV802"/>
      <c r="FW802"/>
      <c r="FX802"/>
      <c r="FY802"/>
      <c r="FZ802"/>
      <c r="GA802"/>
      <c r="GB802"/>
      <c r="GC802"/>
      <c r="GD802"/>
      <c r="GE802"/>
      <c r="GF802"/>
      <c r="GG802"/>
      <c r="GH802"/>
      <c r="GI802"/>
      <c r="GJ802"/>
      <c r="GK802"/>
      <c r="GL802"/>
      <c r="GM802"/>
      <c r="GN802"/>
      <c r="GO802"/>
      <c r="GP802"/>
      <c r="GQ802"/>
      <c r="GR802"/>
      <c r="GS802"/>
      <c r="GT802"/>
      <c r="GU802"/>
      <c r="GV802"/>
      <c r="GW802"/>
      <c r="GX802"/>
      <c r="GY802"/>
      <c r="GZ802"/>
      <c r="HA802"/>
      <c r="HB802"/>
      <c r="HC802"/>
      <c r="HD802"/>
      <c r="HE802"/>
      <c r="HF802"/>
      <c r="HG802"/>
      <c r="HH802"/>
      <c r="HI802"/>
      <c r="HJ802"/>
      <c r="HK802"/>
      <c r="HL802"/>
      <c r="HM802"/>
      <c r="HN802"/>
      <c r="HO802"/>
      <c r="HP802"/>
      <c r="HQ802"/>
      <c r="HR802"/>
      <c r="HS802"/>
      <c r="HT802"/>
      <c r="HU802"/>
      <c r="HV802"/>
      <c r="HW802"/>
      <c r="HX802"/>
      <c r="HY802"/>
      <c r="HZ802"/>
      <c r="IA802"/>
      <c r="IB802"/>
      <c r="IC802"/>
      <c r="ID802"/>
      <c r="IE802"/>
      <c r="IF802"/>
      <c r="IG802"/>
      <c r="IH802"/>
      <c r="II802"/>
      <c r="IJ802"/>
      <c r="IK802"/>
      <c r="IL802"/>
      <c r="IM802"/>
      <c r="IN802"/>
      <c r="IO802"/>
      <c r="IP802"/>
      <c r="IQ802"/>
      <c r="IR802"/>
      <c r="IS802"/>
      <c r="IT802"/>
      <c r="IU802"/>
      <c r="IV802"/>
    </row>
    <row r="803" spans="1:256" ht="12.75" hidden="1" customHeight="1" x14ac:dyDescent="0.2">
      <c r="A803" s="520"/>
      <c r="B803" s="526" t="s">
        <v>900</v>
      </c>
      <c r="C803" s="490">
        <f>SUM(C804:C815)</f>
        <v>4635000</v>
      </c>
      <c r="D803" s="491">
        <f>SUM(D804:D815)</f>
        <v>4093450</v>
      </c>
      <c r="E803" s="491">
        <f>SUM(E804:E815)</f>
        <v>3553450</v>
      </c>
      <c r="F803" s="301">
        <f>SUM(F804:F815)</f>
        <v>2181359.8199999998</v>
      </c>
      <c r="G803" s="113">
        <f>SUM(G804:G815)</f>
        <v>4250000</v>
      </c>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c r="EX803"/>
      <c r="EY803"/>
      <c r="EZ803"/>
      <c r="FA803"/>
      <c r="FB803"/>
      <c r="FC803"/>
      <c r="FD803"/>
      <c r="FE803"/>
      <c r="FF803"/>
      <c r="FG803"/>
      <c r="FH803"/>
      <c r="FI803"/>
      <c r="FJ803"/>
      <c r="FK803"/>
      <c r="FL803"/>
      <c r="FM803"/>
      <c r="FN803"/>
      <c r="FO803"/>
      <c r="FP803"/>
      <c r="FQ803"/>
      <c r="FR803"/>
      <c r="FS803"/>
      <c r="FT803"/>
      <c r="FU803"/>
      <c r="FV803"/>
      <c r="FW803"/>
      <c r="FX803"/>
      <c r="FY803"/>
      <c r="FZ803"/>
      <c r="GA803"/>
      <c r="GB803"/>
      <c r="GC803"/>
      <c r="GD803"/>
      <c r="GE803"/>
      <c r="GF803"/>
      <c r="GG803"/>
      <c r="GH803"/>
      <c r="GI803"/>
      <c r="GJ803"/>
      <c r="GK803"/>
      <c r="GL803"/>
      <c r="GM803"/>
      <c r="GN803"/>
      <c r="GO803"/>
      <c r="GP803"/>
      <c r="GQ803"/>
      <c r="GR803"/>
      <c r="GS803"/>
      <c r="GT803"/>
      <c r="GU803"/>
      <c r="GV803"/>
      <c r="GW803"/>
      <c r="GX803"/>
      <c r="GY803"/>
      <c r="GZ803"/>
      <c r="HA803"/>
      <c r="HB803"/>
      <c r="HC803"/>
      <c r="HD803"/>
      <c r="HE803"/>
      <c r="HF803"/>
      <c r="HG803"/>
      <c r="HH803"/>
      <c r="HI803"/>
      <c r="HJ803"/>
      <c r="HK803"/>
      <c r="HL803"/>
      <c r="HM803"/>
      <c r="HN803"/>
      <c r="HO803"/>
      <c r="HP803"/>
      <c r="HQ803"/>
      <c r="HR803"/>
      <c r="HS803"/>
      <c r="HT803"/>
      <c r="HU803"/>
      <c r="HV803"/>
      <c r="HW803"/>
      <c r="HX803"/>
      <c r="HY803"/>
      <c r="HZ803"/>
      <c r="IA803"/>
      <c r="IB803"/>
      <c r="IC803"/>
      <c r="ID803"/>
      <c r="IE803"/>
      <c r="IF803"/>
      <c r="IG803"/>
      <c r="IH803"/>
      <c r="II803"/>
      <c r="IJ803"/>
      <c r="IK803"/>
      <c r="IL803"/>
      <c r="IM803"/>
      <c r="IN803"/>
      <c r="IO803"/>
      <c r="IP803"/>
      <c r="IQ803"/>
      <c r="IR803"/>
      <c r="IS803"/>
      <c r="IT803"/>
      <c r="IU803"/>
      <c r="IV803"/>
    </row>
    <row r="804" spans="1:256" ht="12.75" hidden="1" customHeight="1" x14ac:dyDescent="0.2">
      <c r="A804" s="443"/>
      <c r="B804" s="527" t="s">
        <v>901</v>
      </c>
      <c r="C804" s="459">
        <v>100000</v>
      </c>
      <c r="D804" s="454">
        <v>100000</v>
      </c>
      <c r="E804" s="528">
        <v>60000</v>
      </c>
      <c r="F804" s="304">
        <v>0</v>
      </c>
      <c r="G804" s="114">
        <v>0</v>
      </c>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c r="EX804"/>
      <c r="EY804"/>
      <c r="EZ804"/>
      <c r="FA804"/>
      <c r="FB804"/>
      <c r="FC804"/>
      <c r="FD804"/>
      <c r="FE804"/>
      <c r="FF804"/>
      <c r="FG804"/>
      <c r="FH804"/>
      <c r="FI804"/>
      <c r="FJ804"/>
      <c r="FK804"/>
      <c r="FL804"/>
      <c r="FM804"/>
      <c r="FN804"/>
      <c r="FO804"/>
      <c r="FP804"/>
      <c r="FQ804"/>
      <c r="FR804"/>
      <c r="FS804"/>
      <c r="FT804"/>
      <c r="FU804"/>
      <c r="FV804"/>
      <c r="FW804"/>
      <c r="FX804"/>
      <c r="FY804"/>
      <c r="FZ804"/>
      <c r="GA804"/>
      <c r="GB804"/>
      <c r="GC804"/>
      <c r="GD804"/>
      <c r="GE804"/>
      <c r="GF804"/>
      <c r="GG804"/>
      <c r="GH804"/>
      <c r="GI804"/>
      <c r="GJ804"/>
      <c r="GK804"/>
      <c r="GL804"/>
      <c r="GM804"/>
      <c r="GN804"/>
      <c r="GO804"/>
      <c r="GP804"/>
      <c r="GQ804"/>
      <c r="GR804"/>
      <c r="GS804"/>
      <c r="GT804"/>
      <c r="GU804"/>
      <c r="GV804"/>
      <c r="GW804"/>
      <c r="GX804"/>
      <c r="GY804"/>
      <c r="GZ804"/>
      <c r="HA804"/>
      <c r="HB804"/>
      <c r="HC804"/>
      <c r="HD804"/>
      <c r="HE804"/>
      <c r="HF804"/>
      <c r="HG804"/>
      <c r="HH804"/>
      <c r="HI804"/>
      <c r="HJ804"/>
      <c r="HK804"/>
      <c r="HL804"/>
      <c r="HM804"/>
      <c r="HN804"/>
      <c r="HO804"/>
      <c r="HP804"/>
      <c r="HQ804"/>
      <c r="HR804"/>
      <c r="HS804"/>
      <c r="HT804"/>
      <c r="HU804"/>
      <c r="HV804"/>
      <c r="HW804"/>
      <c r="HX804"/>
      <c r="HY804"/>
      <c r="HZ804"/>
      <c r="IA804"/>
      <c r="IB804"/>
      <c r="IC804"/>
      <c r="ID804"/>
      <c r="IE804"/>
      <c r="IF804"/>
      <c r="IG804"/>
      <c r="IH804"/>
      <c r="II804"/>
      <c r="IJ804"/>
      <c r="IK804"/>
      <c r="IL804"/>
      <c r="IM804"/>
      <c r="IN804"/>
      <c r="IO804"/>
      <c r="IP804"/>
      <c r="IQ804"/>
      <c r="IR804"/>
      <c r="IS804"/>
      <c r="IT804"/>
      <c r="IU804"/>
      <c r="IV804"/>
    </row>
    <row r="805" spans="1:256" ht="12.75" hidden="1" customHeight="1" x14ac:dyDescent="0.2">
      <c r="A805" s="443"/>
      <c r="B805" s="508" t="s">
        <v>902</v>
      </c>
      <c r="C805" s="509">
        <v>700000</v>
      </c>
      <c r="D805" s="454">
        <f>700000-550000</f>
        <v>150000</v>
      </c>
      <c r="E805" s="529">
        <v>100000</v>
      </c>
      <c r="F805" s="304">
        <v>0</v>
      </c>
      <c r="G805" s="113">
        <v>200000</v>
      </c>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c r="EX805"/>
      <c r="EY805"/>
      <c r="EZ805"/>
      <c r="FA805"/>
      <c r="FB805"/>
      <c r="FC805"/>
      <c r="FD805"/>
      <c r="FE805"/>
      <c r="FF805"/>
      <c r="FG805"/>
      <c r="FH805"/>
      <c r="FI805"/>
      <c r="FJ805"/>
      <c r="FK805"/>
      <c r="FL805"/>
      <c r="FM805"/>
      <c r="FN805"/>
      <c r="FO805"/>
      <c r="FP805"/>
      <c r="FQ805"/>
      <c r="FR805"/>
      <c r="FS805"/>
      <c r="FT805"/>
      <c r="FU805"/>
      <c r="FV805"/>
      <c r="FW805"/>
      <c r="FX805"/>
      <c r="FY805"/>
      <c r="FZ805"/>
      <c r="GA805"/>
      <c r="GB805"/>
      <c r="GC805"/>
      <c r="GD805"/>
      <c r="GE805"/>
      <c r="GF805"/>
      <c r="GG805"/>
      <c r="GH805"/>
      <c r="GI805"/>
      <c r="GJ805"/>
      <c r="GK805"/>
      <c r="GL805"/>
      <c r="GM805"/>
      <c r="GN805"/>
      <c r="GO805"/>
      <c r="GP805"/>
      <c r="GQ805"/>
      <c r="GR805"/>
      <c r="GS805"/>
      <c r="GT805"/>
      <c r="GU805"/>
      <c r="GV805"/>
      <c r="GW805"/>
      <c r="GX805"/>
      <c r="GY805"/>
      <c r="GZ805"/>
      <c r="HA805"/>
      <c r="HB805"/>
      <c r="HC805"/>
      <c r="HD805"/>
      <c r="HE805"/>
      <c r="HF805"/>
      <c r="HG805"/>
      <c r="HH805"/>
      <c r="HI805"/>
      <c r="HJ805"/>
      <c r="HK805"/>
      <c r="HL805"/>
      <c r="HM805"/>
      <c r="HN805"/>
      <c r="HO805"/>
      <c r="HP805"/>
      <c r="HQ805"/>
      <c r="HR805"/>
      <c r="HS805"/>
      <c r="HT805"/>
      <c r="HU805"/>
      <c r="HV805"/>
      <c r="HW805"/>
      <c r="HX805"/>
      <c r="HY805"/>
      <c r="HZ805"/>
      <c r="IA805"/>
      <c r="IB805"/>
      <c r="IC805"/>
      <c r="ID805"/>
      <c r="IE805"/>
      <c r="IF805"/>
      <c r="IG805"/>
      <c r="IH805"/>
      <c r="II805"/>
      <c r="IJ805"/>
      <c r="IK805"/>
      <c r="IL805"/>
      <c r="IM805"/>
      <c r="IN805"/>
      <c r="IO805"/>
      <c r="IP805"/>
      <c r="IQ805"/>
      <c r="IR805"/>
      <c r="IS805"/>
      <c r="IT805"/>
      <c r="IU805"/>
      <c r="IV805"/>
    </row>
    <row r="806" spans="1:256" ht="12.75" hidden="1" customHeight="1" x14ac:dyDescent="0.2">
      <c r="A806" s="443"/>
      <c r="B806" s="449" t="s">
        <v>903</v>
      </c>
      <c r="C806" s="452">
        <v>50000</v>
      </c>
      <c r="D806" s="454">
        <v>50000</v>
      </c>
      <c r="E806" s="455">
        <v>0</v>
      </c>
      <c r="F806" s="304">
        <v>0</v>
      </c>
      <c r="G806" s="113">
        <v>50000</v>
      </c>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c r="EX806"/>
      <c r="EY806"/>
      <c r="EZ806"/>
      <c r="FA806"/>
      <c r="FB806"/>
      <c r="FC806"/>
      <c r="FD806"/>
      <c r="FE806"/>
      <c r="FF806"/>
      <c r="FG806"/>
      <c r="FH806"/>
      <c r="FI806"/>
      <c r="FJ806"/>
      <c r="FK806"/>
      <c r="FL806"/>
      <c r="FM806"/>
      <c r="FN806"/>
      <c r="FO806"/>
      <c r="FP806"/>
      <c r="FQ806"/>
      <c r="FR806"/>
      <c r="FS806"/>
      <c r="FT806"/>
      <c r="FU806"/>
      <c r="FV806"/>
      <c r="FW806"/>
      <c r="FX806"/>
      <c r="FY806"/>
      <c r="FZ806"/>
      <c r="GA806"/>
      <c r="GB806"/>
      <c r="GC806"/>
      <c r="GD806"/>
      <c r="GE806"/>
      <c r="GF806"/>
      <c r="GG806"/>
      <c r="GH806"/>
      <c r="GI806"/>
      <c r="GJ806"/>
      <c r="GK806"/>
      <c r="GL806"/>
      <c r="GM806"/>
      <c r="GN806"/>
      <c r="GO806"/>
      <c r="GP806"/>
      <c r="GQ806"/>
      <c r="GR806"/>
      <c r="GS806"/>
      <c r="GT806"/>
      <c r="GU806"/>
      <c r="GV806"/>
      <c r="GW806"/>
      <c r="GX806"/>
      <c r="GY806"/>
      <c r="GZ806"/>
      <c r="HA806"/>
      <c r="HB806"/>
      <c r="HC806"/>
      <c r="HD806"/>
      <c r="HE806"/>
      <c r="HF806"/>
      <c r="HG806"/>
      <c r="HH806"/>
      <c r="HI806"/>
      <c r="HJ806"/>
      <c r="HK806"/>
      <c r="HL806"/>
      <c r="HM806"/>
      <c r="HN806"/>
      <c r="HO806"/>
      <c r="HP806"/>
      <c r="HQ806"/>
      <c r="HR806"/>
      <c r="HS806"/>
      <c r="HT806"/>
      <c r="HU806"/>
      <c r="HV806"/>
      <c r="HW806"/>
      <c r="HX806"/>
      <c r="HY806"/>
      <c r="HZ806"/>
      <c r="IA806"/>
      <c r="IB806"/>
      <c r="IC806"/>
      <c r="ID806"/>
      <c r="IE806"/>
      <c r="IF806"/>
      <c r="IG806"/>
      <c r="IH806"/>
      <c r="II806"/>
      <c r="IJ806"/>
      <c r="IK806"/>
      <c r="IL806"/>
      <c r="IM806"/>
      <c r="IN806"/>
      <c r="IO806"/>
      <c r="IP806"/>
      <c r="IQ806"/>
      <c r="IR806"/>
      <c r="IS806"/>
      <c r="IT806"/>
      <c r="IU806"/>
      <c r="IV806"/>
    </row>
    <row r="807" spans="1:256" ht="12.75" hidden="1" customHeight="1" x14ac:dyDescent="0.2">
      <c r="A807" s="443"/>
      <c r="B807" s="514" t="s">
        <v>904</v>
      </c>
      <c r="C807" s="452">
        <v>1200000</v>
      </c>
      <c r="D807" s="454">
        <v>1200000</v>
      </c>
      <c r="E807" s="468">
        <v>1200000</v>
      </c>
      <c r="F807" s="304">
        <v>829202.6</v>
      </c>
      <c r="G807" s="113">
        <v>1300000</v>
      </c>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c r="EX807"/>
      <c r="EY807"/>
      <c r="EZ807"/>
      <c r="FA807"/>
      <c r="FB807"/>
      <c r="FC807"/>
      <c r="FD807"/>
      <c r="FE807"/>
      <c r="FF807"/>
      <c r="FG807"/>
      <c r="FH807"/>
      <c r="FI807"/>
      <c r="FJ807"/>
      <c r="FK807"/>
      <c r="FL807"/>
      <c r="FM807"/>
      <c r="FN807"/>
      <c r="FO807"/>
      <c r="FP807"/>
      <c r="FQ807"/>
      <c r="FR807"/>
      <c r="FS807"/>
      <c r="FT807"/>
      <c r="FU807"/>
      <c r="FV807"/>
      <c r="FW807"/>
      <c r="FX807"/>
      <c r="FY807"/>
      <c r="FZ807"/>
      <c r="GA807"/>
      <c r="GB807"/>
      <c r="GC807"/>
      <c r="GD807"/>
      <c r="GE807"/>
      <c r="GF807"/>
      <c r="GG807"/>
      <c r="GH807"/>
      <c r="GI807"/>
      <c r="GJ807"/>
      <c r="GK807"/>
      <c r="GL807"/>
      <c r="GM807"/>
      <c r="GN807"/>
      <c r="GO807"/>
      <c r="GP807"/>
      <c r="GQ807"/>
      <c r="GR807"/>
      <c r="GS807"/>
      <c r="GT807"/>
      <c r="GU807"/>
      <c r="GV807"/>
      <c r="GW807"/>
      <c r="GX807"/>
      <c r="GY807"/>
      <c r="GZ807"/>
      <c r="HA807"/>
      <c r="HB807"/>
      <c r="HC807"/>
      <c r="HD807"/>
      <c r="HE807"/>
      <c r="HF807"/>
      <c r="HG807"/>
      <c r="HH807"/>
      <c r="HI807"/>
      <c r="HJ807"/>
      <c r="HK807"/>
      <c r="HL807"/>
      <c r="HM807"/>
      <c r="HN807"/>
      <c r="HO807"/>
      <c r="HP807"/>
      <c r="HQ807"/>
      <c r="HR807"/>
      <c r="HS807"/>
      <c r="HT807"/>
      <c r="HU807"/>
      <c r="HV807"/>
      <c r="HW807"/>
      <c r="HX807"/>
      <c r="HY807"/>
      <c r="HZ807"/>
      <c r="IA807"/>
      <c r="IB807"/>
      <c r="IC807"/>
      <c r="ID807"/>
      <c r="IE807"/>
      <c r="IF807"/>
      <c r="IG807"/>
      <c r="IH807"/>
      <c r="II807"/>
      <c r="IJ807"/>
      <c r="IK807"/>
      <c r="IL807"/>
      <c r="IM807"/>
      <c r="IN807"/>
      <c r="IO807"/>
      <c r="IP807"/>
      <c r="IQ807"/>
      <c r="IR807"/>
      <c r="IS807"/>
      <c r="IT807"/>
      <c r="IU807"/>
      <c r="IV807"/>
    </row>
    <row r="808" spans="1:256" ht="12.75" hidden="1" customHeight="1" x14ac:dyDescent="0.2">
      <c r="A808" s="443"/>
      <c r="B808" s="525" t="s">
        <v>905</v>
      </c>
      <c r="C808" s="452">
        <f>100000+200000</f>
        <v>300000</v>
      </c>
      <c r="D808" s="454">
        <f>100000+200000</f>
        <v>300000</v>
      </c>
      <c r="E808" s="455">
        <v>0</v>
      </c>
      <c r="F808" s="304">
        <v>45548.22</v>
      </c>
      <c r="G808" s="113">
        <v>0</v>
      </c>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c r="EX808"/>
      <c r="EY808"/>
      <c r="EZ808"/>
      <c r="FA808"/>
      <c r="FB808"/>
      <c r="FC808"/>
      <c r="FD808"/>
      <c r="FE808"/>
      <c r="FF808"/>
      <c r="FG808"/>
      <c r="FH808"/>
      <c r="FI808"/>
      <c r="FJ808"/>
      <c r="FK808"/>
      <c r="FL808"/>
      <c r="FM808"/>
      <c r="FN808"/>
      <c r="FO808"/>
      <c r="FP808"/>
      <c r="FQ808"/>
      <c r="FR808"/>
      <c r="FS808"/>
      <c r="FT808"/>
      <c r="FU808"/>
      <c r="FV808"/>
      <c r="FW808"/>
      <c r="FX808"/>
      <c r="FY808"/>
      <c r="FZ808"/>
      <c r="GA808"/>
      <c r="GB808"/>
      <c r="GC808"/>
      <c r="GD808"/>
      <c r="GE808"/>
      <c r="GF808"/>
      <c r="GG808"/>
      <c r="GH808"/>
      <c r="GI808"/>
      <c r="GJ808"/>
      <c r="GK808"/>
      <c r="GL808"/>
      <c r="GM808"/>
      <c r="GN808"/>
      <c r="GO808"/>
      <c r="GP808"/>
      <c r="GQ808"/>
      <c r="GR808"/>
      <c r="GS808"/>
      <c r="GT808"/>
      <c r="GU808"/>
      <c r="GV808"/>
      <c r="GW808"/>
      <c r="GX808"/>
      <c r="GY808"/>
      <c r="GZ808"/>
      <c r="HA808"/>
      <c r="HB808"/>
      <c r="HC808"/>
      <c r="HD808"/>
      <c r="HE808"/>
      <c r="HF808"/>
      <c r="HG808"/>
      <c r="HH808"/>
      <c r="HI808"/>
      <c r="HJ808"/>
      <c r="HK808"/>
      <c r="HL808"/>
      <c r="HM808"/>
      <c r="HN808"/>
      <c r="HO808"/>
      <c r="HP808"/>
      <c r="HQ808"/>
      <c r="HR808"/>
      <c r="HS808"/>
      <c r="HT808"/>
      <c r="HU808"/>
      <c r="HV808"/>
      <c r="HW808"/>
      <c r="HX808"/>
      <c r="HY808"/>
      <c r="HZ808"/>
      <c r="IA808"/>
      <c r="IB808"/>
      <c r="IC808"/>
      <c r="ID808"/>
      <c r="IE808"/>
      <c r="IF808"/>
      <c r="IG808"/>
      <c r="IH808"/>
      <c r="II808"/>
      <c r="IJ808"/>
      <c r="IK808"/>
      <c r="IL808"/>
      <c r="IM808"/>
      <c r="IN808"/>
      <c r="IO808"/>
      <c r="IP808"/>
      <c r="IQ808"/>
      <c r="IR808"/>
      <c r="IS808"/>
      <c r="IT808"/>
      <c r="IU808"/>
      <c r="IV808"/>
    </row>
    <row r="809" spans="1:256" ht="12.75" hidden="1" customHeight="1" x14ac:dyDescent="0.2">
      <c r="A809" s="443"/>
      <c r="B809" s="472" t="s">
        <v>906</v>
      </c>
      <c r="C809" s="450">
        <v>100000</v>
      </c>
      <c r="D809" s="454">
        <v>100000</v>
      </c>
      <c r="E809" s="455">
        <v>0</v>
      </c>
      <c r="F809" s="304">
        <v>8712</v>
      </c>
      <c r="G809" s="113">
        <v>100000</v>
      </c>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c r="EX809"/>
      <c r="EY809"/>
      <c r="EZ809"/>
      <c r="FA809"/>
      <c r="FB809"/>
      <c r="FC809"/>
      <c r="FD809"/>
      <c r="FE809"/>
      <c r="FF809"/>
      <c r="FG809"/>
      <c r="FH809"/>
      <c r="FI809"/>
      <c r="FJ809"/>
      <c r="FK809"/>
      <c r="FL809"/>
      <c r="FM809"/>
      <c r="FN809"/>
      <c r="FO809"/>
      <c r="FP809"/>
      <c r="FQ809"/>
      <c r="FR809"/>
      <c r="FS809"/>
      <c r="FT809"/>
      <c r="FU809"/>
      <c r="FV809"/>
      <c r="FW809"/>
      <c r="FX809"/>
      <c r="FY809"/>
      <c r="FZ809"/>
      <c r="GA809"/>
      <c r="GB809"/>
      <c r="GC809"/>
      <c r="GD809"/>
      <c r="GE809"/>
      <c r="GF809"/>
      <c r="GG809"/>
      <c r="GH809"/>
      <c r="GI809"/>
      <c r="GJ809"/>
      <c r="GK809"/>
      <c r="GL809"/>
      <c r="GM809"/>
      <c r="GN809"/>
      <c r="GO809"/>
      <c r="GP809"/>
      <c r="GQ809"/>
      <c r="GR809"/>
      <c r="GS809"/>
      <c r="GT809"/>
      <c r="GU809"/>
      <c r="GV809"/>
      <c r="GW809"/>
      <c r="GX809"/>
      <c r="GY809"/>
      <c r="GZ809"/>
      <c r="HA809"/>
      <c r="HB809"/>
      <c r="HC809"/>
      <c r="HD809"/>
      <c r="HE809"/>
      <c r="HF809"/>
      <c r="HG809"/>
      <c r="HH809"/>
      <c r="HI809"/>
      <c r="HJ809"/>
      <c r="HK809"/>
      <c r="HL809"/>
      <c r="HM809"/>
      <c r="HN809"/>
      <c r="HO809"/>
      <c r="HP809"/>
      <c r="HQ809"/>
      <c r="HR809"/>
      <c r="HS809"/>
      <c r="HT809"/>
      <c r="HU809"/>
      <c r="HV809"/>
      <c r="HW809"/>
      <c r="HX809"/>
      <c r="HY809"/>
      <c r="HZ809"/>
      <c r="IA809"/>
      <c r="IB809"/>
      <c r="IC809"/>
      <c r="ID809"/>
      <c r="IE809"/>
      <c r="IF809"/>
      <c r="IG809"/>
      <c r="IH809"/>
      <c r="II809"/>
      <c r="IJ809"/>
      <c r="IK809"/>
      <c r="IL809"/>
      <c r="IM809"/>
      <c r="IN809"/>
      <c r="IO809"/>
      <c r="IP809"/>
      <c r="IQ809"/>
      <c r="IR809"/>
      <c r="IS809"/>
      <c r="IT809"/>
      <c r="IU809"/>
      <c r="IV809"/>
    </row>
    <row r="810" spans="1:256" ht="12.75" hidden="1" customHeight="1" x14ac:dyDescent="0.2">
      <c r="A810" s="443"/>
      <c r="B810" s="525" t="s">
        <v>907</v>
      </c>
      <c r="C810" s="452">
        <v>100000</v>
      </c>
      <c r="D810" s="454">
        <v>100000</v>
      </c>
      <c r="E810" s="455">
        <v>100000</v>
      </c>
      <c r="F810" s="304">
        <v>0</v>
      </c>
      <c r="G810" s="113">
        <v>250000</v>
      </c>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c r="EX810"/>
      <c r="EY810"/>
      <c r="EZ810"/>
      <c r="FA810"/>
      <c r="FB810"/>
      <c r="FC810"/>
      <c r="FD810"/>
      <c r="FE810"/>
      <c r="FF810"/>
      <c r="FG810"/>
      <c r="FH810"/>
      <c r="FI810"/>
      <c r="FJ810"/>
      <c r="FK810"/>
      <c r="FL810"/>
      <c r="FM810"/>
      <c r="FN810"/>
      <c r="FO810"/>
      <c r="FP810"/>
      <c r="FQ810"/>
      <c r="FR810"/>
      <c r="FS810"/>
      <c r="FT810"/>
      <c r="FU810"/>
      <c r="FV810"/>
      <c r="FW810"/>
      <c r="FX810"/>
      <c r="FY810"/>
      <c r="FZ810"/>
      <c r="GA810"/>
      <c r="GB810"/>
      <c r="GC810"/>
      <c r="GD810"/>
      <c r="GE810"/>
      <c r="GF810"/>
      <c r="GG810"/>
      <c r="GH810"/>
      <c r="GI810"/>
      <c r="GJ810"/>
      <c r="GK810"/>
      <c r="GL810"/>
      <c r="GM810"/>
      <c r="GN810"/>
      <c r="GO810"/>
      <c r="GP810"/>
      <c r="GQ810"/>
      <c r="GR810"/>
      <c r="GS810"/>
      <c r="GT810"/>
      <c r="GU810"/>
      <c r="GV810"/>
      <c r="GW810"/>
      <c r="GX810"/>
      <c r="GY810"/>
      <c r="GZ810"/>
      <c r="HA810"/>
      <c r="HB810"/>
      <c r="HC810"/>
      <c r="HD810"/>
      <c r="HE810"/>
      <c r="HF810"/>
      <c r="HG810"/>
      <c r="HH810"/>
      <c r="HI810"/>
      <c r="HJ810"/>
      <c r="HK810"/>
      <c r="HL810"/>
      <c r="HM810"/>
      <c r="HN810"/>
      <c r="HO810"/>
      <c r="HP810"/>
      <c r="HQ810"/>
      <c r="HR810"/>
      <c r="HS810"/>
      <c r="HT810"/>
      <c r="HU810"/>
      <c r="HV810"/>
      <c r="HW810"/>
      <c r="HX810"/>
      <c r="HY810"/>
      <c r="HZ810"/>
      <c r="IA810"/>
      <c r="IB810"/>
      <c r="IC810"/>
      <c r="ID810"/>
      <c r="IE810"/>
      <c r="IF810"/>
      <c r="IG810"/>
      <c r="IH810"/>
      <c r="II810"/>
      <c r="IJ810"/>
      <c r="IK810"/>
      <c r="IL810"/>
      <c r="IM810"/>
      <c r="IN810"/>
      <c r="IO810"/>
      <c r="IP810"/>
      <c r="IQ810"/>
      <c r="IR810"/>
      <c r="IS810"/>
      <c r="IT810"/>
      <c r="IU810"/>
      <c r="IV810"/>
    </row>
    <row r="811" spans="1:256" ht="12.75" hidden="1" customHeight="1" x14ac:dyDescent="0.2">
      <c r="A811" s="443"/>
      <c r="B811" s="449" t="s">
        <v>908</v>
      </c>
      <c r="C811" s="450">
        <v>600000</v>
      </c>
      <c r="D811" s="454">
        <f>600000-2000</f>
        <v>598000</v>
      </c>
      <c r="E811" s="455">
        <v>598000</v>
      </c>
      <c r="F811" s="304">
        <f>30660+256090+11017</f>
        <v>297767</v>
      </c>
      <c r="G811" s="113">
        <v>700000</v>
      </c>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c r="EX811"/>
      <c r="EY811"/>
      <c r="EZ811"/>
      <c r="FA811"/>
      <c r="FB811"/>
      <c r="FC811"/>
      <c r="FD811"/>
      <c r="FE811"/>
      <c r="FF811"/>
      <c r="FG811"/>
      <c r="FH811"/>
      <c r="FI811"/>
      <c r="FJ811"/>
      <c r="FK811"/>
      <c r="FL811"/>
      <c r="FM811"/>
      <c r="FN811"/>
      <c r="FO811"/>
      <c r="FP811"/>
      <c r="FQ811"/>
      <c r="FR811"/>
      <c r="FS811"/>
      <c r="FT811"/>
      <c r="FU811"/>
      <c r="FV811"/>
      <c r="FW811"/>
      <c r="FX811"/>
      <c r="FY811"/>
      <c r="FZ811"/>
      <c r="GA811"/>
      <c r="GB811"/>
      <c r="GC811"/>
      <c r="GD811"/>
      <c r="GE811"/>
      <c r="GF811"/>
      <c r="GG811"/>
      <c r="GH811"/>
      <c r="GI811"/>
      <c r="GJ811"/>
      <c r="GK811"/>
      <c r="GL811"/>
      <c r="GM811"/>
      <c r="GN811"/>
      <c r="GO811"/>
      <c r="GP811"/>
      <c r="GQ811"/>
      <c r="GR811"/>
      <c r="GS811"/>
      <c r="GT811"/>
      <c r="GU811"/>
      <c r="GV811"/>
      <c r="GW811"/>
      <c r="GX811"/>
      <c r="GY811"/>
      <c r="GZ811"/>
      <c r="HA811"/>
      <c r="HB811"/>
      <c r="HC811"/>
      <c r="HD811"/>
      <c r="HE811"/>
      <c r="HF811"/>
      <c r="HG811"/>
      <c r="HH811"/>
      <c r="HI811"/>
      <c r="HJ811"/>
      <c r="HK811"/>
      <c r="HL811"/>
      <c r="HM811"/>
      <c r="HN811"/>
      <c r="HO811"/>
      <c r="HP811"/>
      <c r="HQ811"/>
      <c r="HR811"/>
      <c r="HS811"/>
      <c r="HT811"/>
      <c r="HU811"/>
      <c r="HV811"/>
      <c r="HW811"/>
      <c r="HX811"/>
      <c r="HY811"/>
      <c r="HZ811"/>
      <c r="IA811"/>
      <c r="IB811"/>
      <c r="IC811"/>
      <c r="ID811"/>
      <c r="IE811"/>
      <c r="IF811"/>
      <c r="IG811"/>
      <c r="IH811"/>
      <c r="II811"/>
      <c r="IJ811"/>
      <c r="IK811"/>
      <c r="IL811"/>
      <c r="IM811"/>
      <c r="IN811"/>
      <c r="IO811"/>
      <c r="IP811"/>
      <c r="IQ811"/>
      <c r="IR811"/>
      <c r="IS811"/>
      <c r="IT811"/>
      <c r="IU811"/>
      <c r="IV811"/>
    </row>
    <row r="812" spans="1:256" ht="12.75" hidden="1" customHeight="1" x14ac:dyDescent="0.2">
      <c r="A812" s="443"/>
      <c r="B812" s="525" t="s">
        <v>909</v>
      </c>
      <c r="C812" s="452">
        <v>1470000</v>
      </c>
      <c r="D812" s="454">
        <v>1480450</v>
      </c>
      <c r="E812" s="455">
        <v>1480450</v>
      </c>
      <c r="F812" s="304">
        <v>990450</v>
      </c>
      <c r="G812" s="113">
        <v>1550000</v>
      </c>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c r="EX812"/>
      <c r="EY812"/>
      <c r="EZ812"/>
      <c r="FA812"/>
      <c r="FB812"/>
      <c r="FC812"/>
      <c r="FD812"/>
      <c r="FE812"/>
      <c r="FF812"/>
      <c r="FG812"/>
      <c r="FH812"/>
      <c r="FI812"/>
      <c r="FJ812"/>
      <c r="FK812"/>
      <c r="FL812"/>
      <c r="FM812"/>
      <c r="FN812"/>
      <c r="FO812"/>
      <c r="FP812"/>
      <c r="FQ812"/>
      <c r="FR812"/>
      <c r="FS812"/>
      <c r="FT812"/>
      <c r="FU812"/>
      <c r="FV812"/>
      <c r="FW812"/>
      <c r="FX812"/>
      <c r="FY812"/>
      <c r="FZ812"/>
      <c r="GA812"/>
      <c r="GB812"/>
      <c r="GC812"/>
      <c r="GD812"/>
      <c r="GE812"/>
      <c r="GF812"/>
      <c r="GG812"/>
      <c r="GH812"/>
      <c r="GI812"/>
      <c r="GJ812"/>
      <c r="GK812"/>
      <c r="GL812"/>
      <c r="GM812"/>
      <c r="GN812"/>
      <c r="GO812"/>
      <c r="GP812"/>
      <c r="GQ812"/>
      <c r="GR812"/>
      <c r="GS812"/>
      <c r="GT812"/>
      <c r="GU812"/>
      <c r="GV812"/>
      <c r="GW812"/>
      <c r="GX812"/>
      <c r="GY812"/>
      <c r="GZ812"/>
      <c r="HA812"/>
      <c r="HB812"/>
      <c r="HC812"/>
      <c r="HD812"/>
      <c r="HE812"/>
      <c r="HF812"/>
      <c r="HG812"/>
      <c r="HH812"/>
      <c r="HI812"/>
      <c r="HJ812"/>
      <c r="HK812"/>
      <c r="HL812"/>
      <c r="HM812"/>
      <c r="HN812"/>
      <c r="HO812"/>
      <c r="HP812"/>
      <c r="HQ812"/>
      <c r="HR812"/>
      <c r="HS812"/>
      <c r="HT812"/>
      <c r="HU812"/>
      <c r="HV812"/>
      <c r="HW812"/>
      <c r="HX812"/>
      <c r="HY812"/>
      <c r="HZ812"/>
      <c r="IA812"/>
      <c r="IB812"/>
      <c r="IC812"/>
      <c r="ID812"/>
      <c r="IE812"/>
      <c r="IF812"/>
      <c r="IG812"/>
      <c r="IH812"/>
      <c r="II812"/>
      <c r="IJ812"/>
      <c r="IK812"/>
      <c r="IL812"/>
      <c r="IM812"/>
      <c r="IN812"/>
      <c r="IO812"/>
      <c r="IP812"/>
      <c r="IQ812"/>
      <c r="IR812"/>
      <c r="IS812"/>
      <c r="IT812"/>
      <c r="IU812"/>
      <c r="IV812"/>
    </row>
    <row r="813" spans="1:256" ht="12.75" hidden="1" customHeight="1" x14ac:dyDescent="0.2">
      <c r="A813" s="481"/>
      <c r="B813" s="514" t="s">
        <v>910</v>
      </c>
      <c r="C813" s="450"/>
      <c r="D813" s="454"/>
      <c r="E813" s="455"/>
      <c r="F813" s="304"/>
      <c r="G813" s="113">
        <v>50000</v>
      </c>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c r="EX813"/>
      <c r="EY813"/>
      <c r="EZ813"/>
      <c r="FA813"/>
      <c r="FB813"/>
      <c r="FC813"/>
      <c r="FD813"/>
      <c r="FE813"/>
      <c r="FF813"/>
      <c r="FG813"/>
      <c r="FH813"/>
      <c r="FI813"/>
      <c r="FJ813"/>
      <c r="FK813"/>
      <c r="FL813"/>
      <c r="FM813"/>
      <c r="FN813"/>
      <c r="FO813"/>
      <c r="FP813"/>
      <c r="FQ813"/>
      <c r="FR813"/>
      <c r="FS813"/>
      <c r="FT813"/>
      <c r="FU813"/>
      <c r="FV813"/>
      <c r="FW813"/>
      <c r="FX813"/>
      <c r="FY813"/>
      <c r="FZ813"/>
      <c r="GA813"/>
      <c r="GB813"/>
      <c r="GC813"/>
      <c r="GD813"/>
      <c r="GE813"/>
      <c r="GF813"/>
      <c r="GG813"/>
      <c r="GH813"/>
      <c r="GI813"/>
      <c r="GJ813"/>
      <c r="GK813"/>
      <c r="GL813"/>
      <c r="GM813"/>
      <c r="GN813"/>
      <c r="GO813"/>
      <c r="GP813"/>
      <c r="GQ813"/>
      <c r="GR813"/>
      <c r="GS813"/>
      <c r="GT813"/>
      <c r="GU813"/>
      <c r="GV813"/>
      <c r="GW813"/>
      <c r="GX813"/>
      <c r="GY813"/>
      <c r="GZ813"/>
      <c r="HA813"/>
      <c r="HB813"/>
      <c r="HC813"/>
      <c r="HD813"/>
      <c r="HE813"/>
      <c r="HF813"/>
      <c r="HG813"/>
      <c r="HH813"/>
      <c r="HI813"/>
      <c r="HJ813"/>
      <c r="HK813"/>
      <c r="HL813"/>
      <c r="HM813"/>
      <c r="HN813"/>
      <c r="HO813"/>
      <c r="HP813"/>
      <c r="HQ813"/>
      <c r="HR813"/>
      <c r="HS813"/>
      <c r="HT813"/>
      <c r="HU813"/>
      <c r="HV813"/>
      <c r="HW813"/>
      <c r="HX813"/>
      <c r="HY813"/>
      <c r="HZ813"/>
      <c r="IA813"/>
      <c r="IB813"/>
      <c r="IC813"/>
      <c r="ID813"/>
      <c r="IE813"/>
      <c r="IF813"/>
      <c r="IG813"/>
      <c r="IH813"/>
      <c r="II813"/>
      <c r="IJ813"/>
      <c r="IK813"/>
      <c r="IL813"/>
      <c r="IM813"/>
      <c r="IN813"/>
      <c r="IO813"/>
      <c r="IP813"/>
      <c r="IQ813"/>
      <c r="IR813"/>
      <c r="IS813"/>
      <c r="IT813"/>
      <c r="IU813"/>
      <c r="IV813"/>
    </row>
    <row r="814" spans="1:256" ht="12.75" hidden="1" customHeight="1" x14ac:dyDescent="0.2">
      <c r="A814" s="520"/>
      <c r="B814" s="449" t="s">
        <v>911</v>
      </c>
      <c r="C814" s="497">
        <v>15000</v>
      </c>
      <c r="D814" s="491">
        <v>15000</v>
      </c>
      <c r="E814" s="491">
        <v>15000</v>
      </c>
      <c r="F814" s="304">
        <v>9680</v>
      </c>
      <c r="G814" s="113">
        <v>15000</v>
      </c>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c r="EX814"/>
      <c r="EY814"/>
      <c r="EZ814"/>
      <c r="FA814"/>
      <c r="FB814"/>
      <c r="FC814"/>
      <c r="FD814"/>
      <c r="FE814"/>
      <c r="FF814"/>
      <c r="FG814"/>
      <c r="FH814"/>
      <c r="FI814"/>
      <c r="FJ814"/>
      <c r="FK814"/>
      <c r="FL814"/>
      <c r="FM814"/>
      <c r="FN814"/>
      <c r="FO814"/>
      <c r="FP814"/>
      <c r="FQ814"/>
      <c r="FR814"/>
      <c r="FS814"/>
      <c r="FT814"/>
      <c r="FU814"/>
      <c r="FV814"/>
      <c r="FW814"/>
      <c r="FX814"/>
      <c r="FY814"/>
      <c r="FZ814"/>
      <c r="GA814"/>
      <c r="GB814"/>
      <c r="GC814"/>
      <c r="GD814"/>
      <c r="GE814"/>
      <c r="GF814"/>
      <c r="GG814"/>
      <c r="GH814"/>
      <c r="GI814"/>
      <c r="GJ814"/>
      <c r="GK814"/>
      <c r="GL814"/>
      <c r="GM814"/>
      <c r="GN814"/>
      <c r="GO814"/>
      <c r="GP814"/>
      <c r="GQ814"/>
      <c r="GR814"/>
      <c r="GS814"/>
      <c r="GT814"/>
      <c r="GU814"/>
      <c r="GV814"/>
      <c r="GW814"/>
      <c r="GX814"/>
      <c r="GY814"/>
      <c r="GZ814"/>
      <c r="HA814"/>
      <c r="HB814"/>
      <c r="HC814"/>
      <c r="HD814"/>
      <c r="HE814"/>
      <c r="HF814"/>
      <c r="HG814"/>
      <c r="HH814"/>
      <c r="HI814"/>
      <c r="HJ814"/>
      <c r="HK814"/>
      <c r="HL814"/>
      <c r="HM814"/>
      <c r="HN814"/>
      <c r="HO814"/>
      <c r="HP814"/>
      <c r="HQ814"/>
      <c r="HR814"/>
      <c r="HS814"/>
      <c r="HT814"/>
      <c r="HU814"/>
      <c r="HV814"/>
      <c r="HW814"/>
      <c r="HX814"/>
      <c r="HY814"/>
      <c r="HZ814"/>
      <c r="IA814"/>
      <c r="IB814"/>
      <c r="IC814"/>
      <c r="ID814"/>
      <c r="IE814"/>
      <c r="IF814"/>
      <c r="IG814"/>
      <c r="IH814"/>
      <c r="II814"/>
      <c r="IJ814"/>
      <c r="IK814"/>
      <c r="IL814"/>
      <c r="IM814"/>
      <c r="IN814"/>
      <c r="IO814"/>
      <c r="IP814"/>
      <c r="IQ814"/>
      <c r="IR814"/>
      <c r="IS814"/>
      <c r="IT814"/>
      <c r="IU814"/>
      <c r="IV814"/>
    </row>
    <row r="815" spans="1:256" ht="12.75" hidden="1" customHeight="1" x14ac:dyDescent="0.2">
      <c r="A815" s="520"/>
      <c r="B815" s="453" t="s">
        <v>912</v>
      </c>
      <c r="C815" s="497">
        <v>0</v>
      </c>
      <c r="D815" s="491">
        <v>0</v>
      </c>
      <c r="E815" s="500">
        <v>0</v>
      </c>
      <c r="F815" s="304">
        <v>0</v>
      </c>
      <c r="G815" s="113">
        <v>35000</v>
      </c>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c r="EX815"/>
      <c r="EY815"/>
      <c r="EZ815"/>
      <c r="FA815"/>
      <c r="FB815"/>
      <c r="FC815"/>
      <c r="FD815"/>
      <c r="FE815"/>
      <c r="FF815"/>
      <c r="FG815"/>
      <c r="FH815"/>
      <c r="FI815"/>
      <c r="FJ815"/>
      <c r="FK815"/>
      <c r="FL815"/>
      <c r="FM815"/>
      <c r="FN815"/>
      <c r="FO815"/>
      <c r="FP815"/>
      <c r="FQ815"/>
      <c r="FR815"/>
      <c r="FS815"/>
      <c r="FT815"/>
      <c r="FU815"/>
      <c r="FV815"/>
      <c r="FW815"/>
      <c r="FX815"/>
      <c r="FY815"/>
      <c r="FZ815"/>
      <c r="GA815"/>
      <c r="GB815"/>
      <c r="GC815"/>
      <c r="GD815"/>
      <c r="GE815"/>
      <c r="GF815"/>
      <c r="GG815"/>
      <c r="GH815"/>
      <c r="GI815"/>
      <c r="GJ815"/>
      <c r="GK815"/>
      <c r="GL815"/>
      <c r="GM815"/>
      <c r="GN815"/>
      <c r="GO815"/>
      <c r="GP815"/>
      <c r="GQ815"/>
      <c r="GR815"/>
      <c r="GS815"/>
      <c r="GT815"/>
      <c r="GU815"/>
      <c r="GV815"/>
      <c r="GW815"/>
      <c r="GX815"/>
      <c r="GY815"/>
      <c r="GZ815"/>
      <c r="HA815"/>
      <c r="HB815"/>
      <c r="HC815"/>
      <c r="HD815"/>
      <c r="HE815"/>
      <c r="HF815"/>
      <c r="HG815"/>
      <c r="HH815"/>
      <c r="HI815"/>
      <c r="HJ815"/>
      <c r="HK815"/>
      <c r="HL815"/>
      <c r="HM815"/>
      <c r="HN815"/>
      <c r="HO815"/>
      <c r="HP815"/>
      <c r="HQ815"/>
      <c r="HR815"/>
      <c r="HS815"/>
      <c r="HT815"/>
      <c r="HU815"/>
      <c r="HV815"/>
      <c r="HW815"/>
      <c r="HX815"/>
      <c r="HY815"/>
      <c r="HZ815"/>
      <c r="IA815"/>
      <c r="IB815"/>
      <c r="IC815"/>
      <c r="ID815"/>
      <c r="IE815"/>
      <c r="IF815"/>
      <c r="IG815"/>
      <c r="IH815"/>
      <c r="II815"/>
      <c r="IJ815"/>
      <c r="IK815"/>
      <c r="IL815"/>
      <c r="IM815"/>
      <c r="IN815"/>
      <c r="IO815"/>
      <c r="IP815"/>
      <c r="IQ815"/>
      <c r="IR815"/>
      <c r="IS815"/>
      <c r="IT815"/>
      <c r="IU815"/>
      <c r="IV815"/>
    </row>
    <row r="816" spans="1:256" ht="12.75" hidden="1" customHeight="1" x14ac:dyDescent="0.2">
      <c r="A816" s="520"/>
      <c r="B816" s="449" t="s">
        <v>913</v>
      </c>
      <c r="C816" s="497">
        <f>SUM(C818,C829)</f>
        <v>10400000</v>
      </c>
      <c r="D816" s="491">
        <f>SUM(D818,D829)</f>
        <v>9600000</v>
      </c>
      <c r="E816" s="491">
        <f>SUM(E818,E829)</f>
        <v>9060000</v>
      </c>
      <c r="F816" s="304">
        <f>SUM(F818,F829)</f>
        <v>1527768.88</v>
      </c>
      <c r="G816" s="113">
        <f>G818+G829+G843</f>
        <v>6050000</v>
      </c>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c r="EX816"/>
      <c r="EY816"/>
      <c r="EZ816"/>
      <c r="FA816"/>
      <c r="FB816"/>
      <c r="FC816"/>
      <c r="FD816"/>
      <c r="FE816"/>
      <c r="FF816"/>
      <c r="FG816"/>
      <c r="FH816"/>
      <c r="FI816"/>
      <c r="FJ816"/>
      <c r="FK816"/>
      <c r="FL816"/>
      <c r="FM816"/>
      <c r="FN816"/>
      <c r="FO816"/>
      <c r="FP816"/>
      <c r="FQ816"/>
      <c r="FR816"/>
      <c r="FS816"/>
      <c r="FT816"/>
      <c r="FU816"/>
      <c r="FV816"/>
      <c r="FW816"/>
      <c r="FX816"/>
      <c r="FY816"/>
      <c r="FZ816"/>
      <c r="GA816"/>
      <c r="GB816"/>
      <c r="GC816"/>
      <c r="GD816"/>
      <c r="GE816"/>
      <c r="GF816"/>
      <c r="GG816"/>
      <c r="GH816"/>
      <c r="GI816"/>
      <c r="GJ816"/>
      <c r="GK816"/>
      <c r="GL816"/>
      <c r="GM816"/>
      <c r="GN816"/>
      <c r="GO816"/>
      <c r="GP816"/>
      <c r="GQ816"/>
      <c r="GR816"/>
      <c r="GS816"/>
      <c r="GT816"/>
      <c r="GU816"/>
      <c r="GV816"/>
      <c r="GW816"/>
      <c r="GX816"/>
      <c r="GY816"/>
      <c r="GZ816"/>
      <c r="HA816"/>
      <c r="HB816"/>
      <c r="HC816"/>
      <c r="HD816"/>
      <c r="HE816"/>
      <c r="HF816"/>
      <c r="HG816"/>
      <c r="HH816"/>
      <c r="HI816"/>
      <c r="HJ816"/>
      <c r="HK816"/>
      <c r="HL816"/>
      <c r="HM816"/>
      <c r="HN816"/>
      <c r="HO816"/>
      <c r="HP816"/>
      <c r="HQ816"/>
      <c r="HR816"/>
      <c r="HS816"/>
      <c r="HT816"/>
      <c r="HU816"/>
      <c r="HV816"/>
      <c r="HW816"/>
      <c r="HX816"/>
      <c r="HY816"/>
      <c r="HZ816"/>
      <c r="IA816"/>
      <c r="IB816"/>
      <c r="IC816"/>
      <c r="ID816"/>
      <c r="IE816"/>
      <c r="IF816"/>
      <c r="IG816"/>
      <c r="IH816"/>
      <c r="II816"/>
      <c r="IJ816"/>
      <c r="IK816"/>
      <c r="IL816"/>
      <c r="IM816"/>
      <c r="IN816"/>
      <c r="IO816"/>
      <c r="IP816"/>
      <c r="IQ816"/>
      <c r="IR816"/>
      <c r="IS816"/>
      <c r="IT816"/>
      <c r="IU816"/>
      <c r="IV816"/>
    </row>
    <row r="817" spans="1:256" ht="12.75" hidden="1" customHeight="1" x14ac:dyDescent="0.2">
      <c r="A817" s="520"/>
      <c r="B817" s="525" t="s">
        <v>914</v>
      </c>
      <c r="C817" s="450">
        <v>0</v>
      </c>
      <c r="D817" s="454">
        <v>0</v>
      </c>
      <c r="E817" s="455">
        <v>0</v>
      </c>
      <c r="F817" s="304">
        <v>0</v>
      </c>
      <c r="G817" s="113">
        <v>486000</v>
      </c>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c r="EX817"/>
      <c r="EY817"/>
      <c r="EZ817"/>
      <c r="FA817"/>
      <c r="FB817"/>
      <c r="FC817"/>
      <c r="FD817"/>
      <c r="FE817"/>
      <c r="FF817"/>
      <c r="FG817"/>
      <c r="FH817"/>
      <c r="FI817"/>
      <c r="FJ817"/>
      <c r="FK817"/>
      <c r="FL817"/>
      <c r="FM817"/>
      <c r="FN817"/>
      <c r="FO817"/>
      <c r="FP817"/>
      <c r="FQ817"/>
      <c r="FR817"/>
      <c r="FS817"/>
      <c r="FT817"/>
      <c r="FU817"/>
      <c r="FV817"/>
      <c r="FW817"/>
      <c r="FX817"/>
      <c r="FY817"/>
      <c r="FZ817"/>
      <c r="GA817"/>
      <c r="GB817"/>
      <c r="GC817"/>
      <c r="GD817"/>
      <c r="GE817"/>
      <c r="GF817"/>
      <c r="GG817"/>
      <c r="GH817"/>
      <c r="GI817"/>
      <c r="GJ817"/>
      <c r="GK817"/>
      <c r="GL817"/>
      <c r="GM817"/>
      <c r="GN817"/>
      <c r="GO817"/>
      <c r="GP817"/>
      <c r="GQ817"/>
      <c r="GR817"/>
      <c r="GS817"/>
      <c r="GT817"/>
      <c r="GU817"/>
      <c r="GV817"/>
      <c r="GW817"/>
      <c r="GX817"/>
      <c r="GY817"/>
      <c r="GZ817"/>
      <c r="HA817"/>
      <c r="HB817"/>
      <c r="HC817"/>
      <c r="HD817"/>
      <c r="HE817"/>
      <c r="HF817"/>
      <c r="HG817"/>
      <c r="HH817"/>
      <c r="HI817"/>
      <c r="HJ817"/>
      <c r="HK817"/>
      <c r="HL817"/>
      <c r="HM817"/>
      <c r="HN817"/>
      <c r="HO817"/>
      <c r="HP817"/>
      <c r="HQ817"/>
      <c r="HR817"/>
      <c r="HS817"/>
      <c r="HT817"/>
      <c r="HU817"/>
      <c r="HV817"/>
      <c r="HW817"/>
      <c r="HX817"/>
      <c r="HY817"/>
      <c r="HZ817"/>
      <c r="IA817"/>
      <c r="IB817"/>
      <c r="IC817"/>
      <c r="ID817"/>
      <c r="IE817"/>
      <c r="IF817"/>
      <c r="IG817"/>
      <c r="IH817"/>
      <c r="II817"/>
      <c r="IJ817"/>
      <c r="IK817"/>
      <c r="IL817"/>
      <c r="IM817"/>
      <c r="IN817"/>
      <c r="IO817"/>
      <c r="IP817"/>
      <c r="IQ817"/>
      <c r="IR817"/>
      <c r="IS817"/>
      <c r="IT817"/>
      <c r="IU817"/>
      <c r="IV817"/>
    </row>
    <row r="818" spans="1:256" ht="12.75" hidden="1" customHeight="1" x14ac:dyDescent="0.2">
      <c r="A818" s="443"/>
      <c r="B818" s="473" t="s">
        <v>915</v>
      </c>
      <c r="C818" s="530">
        <f>C819+C820</f>
        <v>6500000</v>
      </c>
      <c r="D818" s="531">
        <f>D819+D820</f>
        <v>6500000</v>
      </c>
      <c r="E818" s="531">
        <f>E819+E820</f>
        <v>6200000</v>
      </c>
      <c r="F818" s="512">
        <f>F819+F820</f>
        <v>1288855.94</v>
      </c>
      <c r="G818" s="530">
        <f>G819+G820</f>
        <v>2550000</v>
      </c>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c r="EX818"/>
      <c r="EY818"/>
      <c r="EZ818"/>
      <c r="FA818"/>
      <c r="FB818"/>
      <c r="FC818"/>
      <c r="FD818"/>
      <c r="FE818"/>
      <c r="FF818"/>
      <c r="FG818"/>
      <c r="FH818"/>
      <c r="FI818"/>
      <c r="FJ818"/>
      <c r="FK818"/>
      <c r="FL818"/>
      <c r="FM818"/>
      <c r="FN818"/>
      <c r="FO818"/>
      <c r="FP818"/>
      <c r="FQ818"/>
      <c r="FR818"/>
      <c r="FS818"/>
      <c r="FT818"/>
      <c r="FU818"/>
      <c r="FV818"/>
      <c r="FW818"/>
      <c r="FX818"/>
      <c r="FY818"/>
      <c r="FZ818"/>
      <c r="GA818"/>
      <c r="GB818"/>
      <c r="GC818"/>
      <c r="GD818"/>
      <c r="GE818"/>
      <c r="GF818"/>
      <c r="GG818"/>
      <c r="GH818"/>
      <c r="GI818"/>
      <c r="GJ818"/>
      <c r="GK818"/>
      <c r="GL818"/>
      <c r="GM818"/>
      <c r="GN818"/>
      <c r="GO818"/>
      <c r="GP818"/>
      <c r="GQ818"/>
      <c r="GR818"/>
      <c r="GS818"/>
      <c r="GT818"/>
      <c r="GU818"/>
      <c r="GV818"/>
      <c r="GW818"/>
      <c r="GX818"/>
      <c r="GY818"/>
      <c r="GZ818"/>
      <c r="HA818"/>
      <c r="HB818"/>
      <c r="HC818"/>
      <c r="HD818"/>
      <c r="HE818"/>
      <c r="HF818"/>
      <c r="HG818"/>
      <c r="HH818"/>
      <c r="HI818"/>
      <c r="HJ818"/>
      <c r="HK818"/>
      <c r="HL818"/>
      <c r="HM818"/>
      <c r="HN818"/>
      <c r="HO818"/>
      <c r="HP818"/>
      <c r="HQ818"/>
      <c r="HR818"/>
      <c r="HS818"/>
      <c r="HT818"/>
      <c r="HU818"/>
      <c r="HV818"/>
      <c r="HW818"/>
      <c r="HX818"/>
      <c r="HY818"/>
      <c r="HZ818"/>
      <c r="IA818"/>
      <c r="IB818"/>
      <c r="IC818"/>
      <c r="ID818"/>
      <c r="IE818"/>
      <c r="IF818"/>
      <c r="IG818"/>
      <c r="IH818"/>
      <c r="II818"/>
      <c r="IJ818"/>
      <c r="IK818"/>
      <c r="IL818"/>
      <c r="IM818"/>
      <c r="IN818"/>
      <c r="IO818"/>
      <c r="IP818"/>
      <c r="IQ818"/>
      <c r="IR818"/>
      <c r="IS818"/>
      <c r="IT818"/>
      <c r="IU818"/>
      <c r="IV818"/>
    </row>
    <row r="819" spans="1:256" ht="12.75" hidden="1" customHeight="1" x14ac:dyDescent="0.2">
      <c r="A819" s="443"/>
      <c r="B819" s="449" t="s">
        <v>916</v>
      </c>
      <c r="C819" s="452">
        <v>1500000</v>
      </c>
      <c r="D819" s="454">
        <v>1500000</v>
      </c>
      <c r="E819" s="468">
        <v>1500000</v>
      </c>
      <c r="F819" s="304">
        <v>1288855.94</v>
      </c>
      <c r="G819" s="113">
        <v>1500000</v>
      </c>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c r="EX819"/>
      <c r="EY819"/>
      <c r="EZ819"/>
      <c r="FA819"/>
      <c r="FB819"/>
      <c r="FC819"/>
      <c r="FD819"/>
      <c r="FE819"/>
      <c r="FF819"/>
      <c r="FG819"/>
      <c r="FH819"/>
      <c r="FI819"/>
      <c r="FJ819"/>
      <c r="FK819"/>
      <c r="FL819"/>
      <c r="FM819"/>
      <c r="FN819"/>
      <c r="FO819"/>
      <c r="FP819"/>
      <c r="FQ819"/>
      <c r="FR819"/>
      <c r="FS819"/>
      <c r="FT819"/>
      <c r="FU819"/>
      <c r="FV819"/>
      <c r="FW819"/>
      <c r="FX819"/>
      <c r="FY819"/>
      <c r="FZ819"/>
      <c r="GA819"/>
      <c r="GB819"/>
      <c r="GC819"/>
      <c r="GD819"/>
      <c r="GE819"/>
      <c r="GF819"/>
      <c r="GG819"/>
      <c r="GH819"/>
      <c r="GI819"/>
      <c r="GJ819"/>
      <c r="GK819"/>
      <c r="GL819"/>
      <c r="GM819"/>
      <c r="GN819"/>
      <c r="GO819"/>
      <c r="GP819"/>
      <c r="GQ819"/>
      <c r="GR819"/>
      <c r="GS819"/>
      <c r="GT819"/>
      <c r="GU819"/>
      <c r="GV819"/>
      <c r="GW819"/>
      <c r="GX819"/>
      <c r="GY819"/>
      <c r="GZ819"/>
      <c r="HA819"/>
      <c r="HB819"/>
      <c r="HC819"/>
      <c r="HD819"/>
      <c r="HE819"/>
      <c r="HF819"/>
      <c r="HG819"/>
      <c r="HH819"/>
      <c r="HI819"/>
      <c r="HJ819"/>
      <c r="HK819"/>
      <c r="HL819"/>
      <c r="HM819"/>
      <c r="HN819"/>
      <c r="HO819"/>
      <c r="HP819"/>
      <c r="HQ819"/>
      <c r="HR819"/>
      <c r="HS819"/>
      <c r="HT819"/>
      <c r="HU819"/>
      <c r="HV819"/>
      <c r="HW819"/>
      <c r="HX819"/>
      <c r="HY819"/>
      <c r="HZ819"/>
      <c r="IA819"/>
      <c r="IB819"/>
      <c r="IC819"/>
      <c r="ID819"/>
      <c r="IE819"/>
      <c r="IF819"/>
      <c r="IG819"/>
      <c r="IH819"/>
      <c r="II819"/>
      <c r="IJ819"/>
      <c r="IK819"/>
      <c r="IL819"/>
      <c r="IM819"/>
      <c r="IN819"/>
      <c r="IO819"/>
      <c r="IP819"/>
      <c r="IQ819"/>
      <c r="IR819"/>
      <c r="IS819"/>
      <c r="IT819"/>
      <c r="IU819"/>
      <c r="IV819"/>
    </row>
    <row r="820" spans="1:256" ht="12.75" hidden="1" customHeight="1" x14ac:dyDescent="0.2">
      <c r="A820" s="443"/>
      <c r="B820" s="449" t="s">
        <v>917</v>
      </c>
      <c r="C820" s="113">
        <f>SUM(C821:C828)</f>
        <v>5000000</v>
      </c>
      <c r="D820" s="495">
        <f>SUM(D821:D828)</f>
        <v>5000000</v>
      </c>
      <c r="E820" s="495">
        <f>SUM(E821:E828)</f>
        <v>4700000</v>
      </c>
      <c r="F820" s="304">
        <f>SUM(F821:F828)</f>
        <v>0</v>
      </c>
      <c r="G820" s="113">
        <f>SUM(G821:G828)</f>
        <v>1050000</v>
      </c>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c r="EX820"/>
      <c r="EY820"/>
      <c r="EZ820"/>
      <c r="FA820"/>
      <c r="FB820"/>
      <c r="FC820"/>
      <c r="FD820"/>
      <c r="FE820"/>
      <c r="FF820"/>
      <c r="FG820"/>
      <c r="FH820"/>
      <c r="FI820"/>
      <c r="FJ820"/>
      <c r="FK820"/>
      <c r="FL820"/>
      <c r="FM820"/>
      <c r="FN820"/>
      <c r="FO820"/>
      <c r="FP820"/>
      <c r="FQ820"/>
      <c r="FR820"/>
      <c r="FS820"/>
      <c r="FT820"/>
      <c r="FU820"/>
      <c r="FV820"/>
      <c r="FW820"/>
      <c r="FX820"/>
      <c r="FY820"/>
      <c r="FZ820"/>
      <c r="GA820"/>
      <c r="GB820"/>
      <c r="GC820"/>
      <c r="GD820"/>
      <c r="GE820"/>
      <c r="GF820"/>
      <c r="GG820"/>
      <c r="GH820"/>
      <c r="GI820"/>
      <c r="GJ820"/>
      <c r="GK820"/>
      <c r="GL820"/>
      <c r="GM820"/>
      <c r="GN820"/>
      <c r="GO820"/>
      <c r="GP820"/>
      <c r="GQ820"/>
      <c r="GR820"/>
      <c r="GS820"/>
      <c r="GT820"/>
      <c r="GU820"/>
      <c r="GV820"/>
      <c r="GW820"/>
      <c r="GX820"/>
      <c r="GY820"/>
      <c r="GZ820"/>
      <c r="HA820"/>
      <c r="HB820"/>
      <c r="HC820"/>
      <c r="HD820"/>
      <c r="HE820"/>
      <c r="HF820"/>
      <c r="HG820"/>
      <c r="HH820"/>
      <c r="HI820"/>
      <c r="HJ820"/>
      <c r="HK820"/>
      <c r="HL820"/>
      <c r="HM820"/>
      <c r="HN820"/>
      <c r="HO820"/>
      <c r="HP820"/>
      <c r="HQ820"/>
      <c r="HR820"/>
      <c r="HS820"/>
      <c r="HT820"/>
      <c r="HU820"/>
      <c r="HV820"/>
      <c r="HW820"/>
      <c r="HX820"/>
      <c r="HY820"/>
      <c r="HZ820"/>
      <c r="IA820"/>
      <c r="IB820"/>
      <c r="IC820"/>
      <c r="ID820"/>
      <c r="IE820"/>
      <c r="IF820"/>
      <c r="IG820"/>
      <c r="IH820"/>
      <c r="II820"/>
      <c r="IJ820"/>
      <c r="IK820"/>
      <c r="IL820"/>
      <c r="IM820"/>
      <c r="IN820"/>
      <c r="IO820"/>
      <c r="IP820"/>
      <c r="IQ820"/>
      <c r="IR820"/>
      <c r="IS820"/>
      <c r="IT820"/>
      <c r="IU820"/>
      <c r="IV820"/>
    </row>
    <row r="821" spans="1:256" ht="12.75" hidden="1" customHeight="1" x14ac:dyDescent="0.2">
      <c r="A821" s="520"/>
      <c r="B821" s="525" t="s">
        <v>918</v>
      </c>
      <c r="C821" s="490">
        <f>1500000-500000</f>
        <v>1000000</v>
      </c>
      <c r="D821" s="491">
        <f>1500000-500000</f>
        <v>1000000</v>
      </c>
      <c r="E821" s="492">
        <v>1000000</v>
      </c>
      <c r="F821" s="512">
        <v>0</v>
      </c>
      <c r="G821" s="530">
        <v>0</v>
      </c>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c r="EX821"/>
      <c r="EY821"/>
      <c r="EZ821"/>
      <c r="FA821"/>
      <c r="FB821"/>
      <c r="FC821"/>
      <c r="FD821"/>
      <c r="FE821"/>
      <c r="FF821"/>
      <c r="FG821"/>
      <c r="FH821"/>
      <c r="FI821"/>
      <c r="FJ821"/>
      <c r="FK821"/>
      <c r="FL821"/>
      <c r="FM821"/>
      <c r="FN821"/>
      <c r="FO821"/>
      <c r="FP821"/>
      <c r="FQ821"/>
      <c r="FR821"/>
      <c r="FS821"/>
      <c r="FT821"/>
      <c r="FU821"/>
      <c r="FV821"/>
      <c r="FW821"/>
      <c r="FX821"/>
      <c r="FY821"/>
      <c r="FZ821"/>
      <c r="GA821"/>
      <c r="GB821"/>
      <c r="GC821"/>
      <c r="GD821"/>
      <c r="GE821"/>
      <c r="GF821"/>
      <c r="GG821"/>
      <c r="GH821"/>
      <c r="GI821"/>
      <c r="GJ821"/>
      <c r="GK821"/>
      <c r="GL821"/>
      <c r="GM821"/>
      <c r="GN821"/>
      <c r="GO821"/>
      <c r="GP821"/>
      <c r="GQ821"/>
      <c r="GR821"/>
      <c r="GS821"/>
      <c r="GT821"/>
      <c r="GU821"/>
      <c r="GV821"/>
      <c r="GW821"/>
      <c r="GX821"/>
      <c r="GY821"/>
      <c r="GZ821"/>
      <c r="HA821"/>
      <c r="HB821"/>
      <c r="HC821"/>
      <c r="HD821"/>
      <c r="HE821"/>
      <c r="HF821"/>
      <c r="HG821"/>
      <c r="HH821"/>
      <c r="HI821"/>
      <c r="HJ821"/>
      <c r="HK821"/>
      <c r="HL821"/>
      <c r="HM821"/>
      <c r="HN821"/>
      <c r="HO821"/>
      <c r="HP821"/>
      <c r="HQ821"/>
      <c r="HR821"/>
      <c r="HS821"/>
      <c r="HT821"/>
      <c r="HU821"/>
      <c r="HV821"/>
      <c r="HW821"/>
      <c r="HX821"/>
      <c r="HY821"/>
      <c r="HZ821"/>
      <c r="IA821"/>
      <c r="IB821"/>
      <c r="IC821"/>
      <c r="ID821"/>
      <c r="IE821"/>
      <c r="IF821"/>
      <c r="IG821"/>
      <c r="IH821"/>
      <c r="II821"/>
      <c r="IJ821"/>
      <c r="IK821"/>
      <c r="IL821"/>
      <c r="IM821"/>
      <c r="IN821"/>
      <c r="IO821"/>
      <c r="IP821"/>
      <c r="IQ821"/>
      <c r="IR821"/>
      <c r="IS821"/>
      <c r="IT821"/>
      <c r="IU821"/>
      <c r="IV821"/>
    </row>
    <row r="822" spans="1:256" s="488" customFormat="1" ht="12.75" hidden="1" customHeight="1" x14ac:dyDescent="0.2">
      <c r="A822" s="520"/>
      <c r="B822" s="525" t="s">
        <v>919</v>
      </c>
      <c r="C822" s="490">
        <v>500000</v>
      </c>
      <c r="D822" s="491">
        <v>500000</v>
      </c>
      <c r="E822" s="492">
        <v>500000</v>
      </c>
      <c r="F822" s="512">
        <v>0</v>
      </c>
      <c r="G822" s="113">
        <v>0</v>
      </c>
    </row>
    <row r="823" spans="1:256" s="488" customFormat="1" ht="12.75" hidden="1" customHeight="1" x14ac:dyDescent="0.2">
      <c r="A823" s="520"/>
      <c r="B823" s="515" t="s">
        <v>920</v>
      </c>
      <c r="C823" s="497">
        <v>3500000</v>
      </c>
      <c r="D823" s="491">
        <v>3500000</v>
      </c>
      <c r="E823" s="492">
        <v>3200000</v>
      </c>
      <c r="F823" s="512">
        <v>0</v>
      </c>
      <c r="G823" s="113">
        <v>0</v>
      </c>
    </row>
    <row r="824" spans="1:256" s="488" customFormat="1" ht="12.75" hidden="1" customHeight="1" x14ac:dyDescent="0.2">
      <c r="A824" s="520"/>
      <c r="B824" s="532" t="s">
        <v>921</v>
      </c>
      <c r="C824" s="497"/>
      <c r="D824" s="491"/>
      <c r="E824" s="500"/>
      <c r="F824" s="501"/>
      <c r="G824" s="374">
        <v>600000</v>
      </c>
    </row>
    <row r="825" spans="1:256" s="488" customFormat="1" ht="12.75" hidden="1" customHeight="1" x14ac:dyDescent="0.2">
      <c r="A825" s="520"/>
      <c r="B825" s="532" t="s">
        <v>922</v>
      </c>
      <c r="C825" s="497"/>
      <c r="D825" s="491"/>
      <c r="E825" s="500"/>
      <c r="F825" s="501"/>
      <c r="G825" s="374">
        <v>0</v>
      </c>
    </row>
    <row r="826" spans="1:256" s="488" customFormat="1" ht="12.75" hidden="1" customHeight="1" x14ac:dyDescent="0.2">
      <c r="A826" s="520"/>
      <c r="B826" s="532" t="s">
        <v>923</v>
      </c>
      <c r="C826" s="497"/>
      <c r="D826" s="491"/>
      <c r="E826" s="500"/>
      <c r="F826" s="501"/>
      <c r="G826" s="374">
        <v>0</v>
      </c>
    </row>
    <row r="827" spans="1:256" s="488" customFormat="1" ht="12.75" hidden="1" customHeight="1" x14ac:dyDescent="0.2">
      <c r="A827" s="520"/>
      <c r="B827" s="532" t="s">
        <v>924</v>
      </c>
      <c r="C827" s="497"/>
      <c r="D827" s="491"/>
      <c r="E827" s="500"/>
      <c r="F827" s="501"/>
      <c r="G827" s="374">
        <v>200000</v>
      </c>
    </row>
    <row r="828" spans="1:256" s="488" customFormat="1" ht="12.75" hidden="1" customHeight="1" x14ac:dyDescent="0.2">
      <c r="A828" s="520"/>
      <c r="B828" s="532" t="s">
        <v>925</v>
      </c>
      <c r="C828" s="497"/>
      <c r="D828" s="491"/>
      <c r="E828" s="500"/>
      <c r="F828" s="501"/>
      <c r="G828" s="374">
        <v>250000</v>
      </c>
    </row>
    <row r="829" spans="1:256" s="488" customFormat="1" ht="12.75" hidden="1" customHeight="1" x14ac:dyDescent="0.2">
      <c r="A829" s="443"/>
      <c r="B829" s="449" t="s">
        <v>926</v>
      </c>
      <c r="C829" s="497">
        <f>SUM(C830:C831)</f>
        <v>3900000</v>
      </c>
      <c r="D829" s="491">
        <f>SUM(D830:D831)</f>
        <v>3100000</v>
      </c>
      <c r="E829" s="491">
        <f>SUM(E830:E831)</f>
        <v>2860000</v>
      </c>
      <c r="F829" s="496">
        <f>SUM(F830:F831)</f>
        <v>238912.94</v>
      </c>
      <c r="G829" s="497">
        <f>SUM(G830:G831)</f>
        <v>2700000</v>
      </c>
    </row>
    <row r="830" spans="1:256" s="488" customFormat="1" ht="12.75" hidden="1" customHeight="1" x14ac:dyDescent="0.2">
      <c r="A830" s="443"/>
      <c r="B830" s="449" t="s">
        <v>927</v>
      </c>
      <c r="C830" s="450">
        <v>500000</v>
      </c>
      <c r="D830" s="454">
        <v>500000</v>
      </c>
      <c r="E830" s="455">
        <v>500000</v>
      </c>
      <c r="F830" s="498">
        <v>191147.39</v>
      </c>
      <c r="G830" s="452">
        <v>600000</v>
      </c>
    </row>
    <row r="831" spans="1:256" s="488" customFormat="1" ht="12.75" hidden="1" customHeight="1" x14ac:dyDescent="0.2">
      <c r="A831" s="443"/>
      <c r="B831" s="449" t="s">
        <v>928</v>
      </c>
      <c r="C831" s="452">
        <f>SUM(C832:C842)</f>
        <v>3400000</v>
      </c>
      <c r="D831" s="454">
        <f>SUM(D832:D842)</f>
        <v>2600000</v>
      </c>
      <c r="E831" s="454">
        <f>SUM(E832:E842)</f>
        <v>2360000</v>
      </c>
      <c r="F831" s="498">
        <f>SUM(F832:F842)</f>
        <v>47765.55</v>
      </c>
      <c r="G831" s="452">
        <f>SUM(G832:G842)</f>
        <v>2100000</v>
      </c>
    </row>
    <row r="832" spans="1:256" s="488" customFormat="1" ht="12.75" hidden="1" customHeight="1" x14ac:dyDescent="0.2">
      <c r="A832" s="520"/>
      <c r="B832" s="453" t="s">
        <v>929</v>
      </c>
      <c r="C832" s="450">
        <v>100000</v>
      </c>
      <c r="D832" s="454">
        <v>100000</v>
      </c>
      <c r="E832" s="455">
        <v>100000</v>
      </c>
      <c r="F832" s="498">
        <v>0</v>
      </c>
      <c r="G832" s="452">
        <v>0</v>
      </c>
    </row>
    <row r="833" spans="1:256" ht="12.75" hidden="1" customHeight="1" x14ac:dyDescent="0.2">
      <c r="A833" s="520"/>
      <c r="B833" s="453" t="s">
        <v>930</v>
      </c>
      <c r="C833" s="450">
        <v>300000</v>
      </c>
      <c r="D833" s="454">
        <f>300000-100000</f>
        <v>200000</v>
      </c>
      <c r="E833" s="455">
        <v>200000</v>
      </c>
      <c r="F833" s="498">
        <v>23015</v>
      </c>
      <c r="G833" s="452">
        <v>0</v>
      </c>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c r="EX833"/>
      <c r="EY833"/>
      <c r="EZ833"/>
      <c r="FA833"/>
      <c r="FB833"/>
      <c r="FC833"/>
      <c r="FD833"/>
      <c r="FE833"/>
      <c r="FF833"/>
      <c r="FG833"/>
      <c r="FH833"/>
      <c r="FI833"/>
      <c r="FJ833"/>
      <c r="FK833"/>
      <c r="FL833"/>
      <c r="FM833"/>
      <c r="FN833"/>
      <c r="FO833"/>
      <c r="FP833"/>
      <c r="FQ833"/>
      <c r="FR833"/>
      <c r="FS833"/>
      <c r="FT833"/>
      <c r="FU833"/>
      <c r="FV833"/>
      <c r="FW833"/>
      <c r="FX833"/>
      <c r="FY833"/>
      <c r="FZ833"/>
      <c r="GA833"/>
      <c r="GB833"/>
      <c r="GC833"/>
      <c r="GD833"/>
      <c r="GE833"/>
      <c r="GF833"/>
      <c r="GG833"/>
      <c r="GH833"/>
      <c r="GI833"/>
      <c r="GJ833"/>
      <c r="GK833"/>
      <c r="GL833"/>
      <c r="GM833"/>
      <c r="GN833"/>
      <c r="GO833"/>
      <c r="GP833"/>
      <c r="GQ833"/>
      <c r="GR833"/>
      <c r="GS833"/>
      <c r="GT833"/>
      <c r="GU833"/>
      <c r="GV833"/>
      <c r="GW833"/>
      <c r="GX833"/>
      <c r="GY833"/>
      <c r="GZ833"/>
      <c r="HA833"/>
      <c r="HB833"/>
      <c r="HC833"/>
      <c r="HD833"/>
      <c r="HE833"/>
      <c r="HF833"/>
      <c r="HG833"/>
      <c r="HH833"/>
      <c r="HI833"/>
      <c r="HJ833"/>
      <c r="HK833"/>
      <c r="HL833"/>
      <c r="HM833"/>
      <c r="HN833"/>
      <c r="HO833"/>
      <c r="HP833"/>
      <c r="HQ833"/>
      <c r="HR833"/>
      <c r="HS833"/>
      <c r="HT833"/>
      <c r="HU833"/>
      <c r="HV833"/>
      <c r="HW833"/>
      <c r="HX833"/>
      <c r="HY833"/>
      <c r="HZ833"/>
      <c r="IA833"/>
      <c r="IB833"/>
      <c r="IC833"/>
      <c r="ID833"/>
      <c r="IE833"/>
      <c r="IF833"/>
      <c r="IG833"/>
      <c r="IH833"/>
      <c r="II833"/>
      <c r="IJ833"/>
      <c r="IK833"/>
      <c r="IL833"/>
      <c r="IM833"/>
      <c r="IN833"/>
      <c r="IO833"/>
      <c r="IP833"/>
      <c r="IQ833"/>
      <c r="IR833"/>
      <c r="IS833"/>
      <c r="IT833"/>
      <c r="IU833"/>
      <c r="IV833"/>
    </row>
    <row r="834" spans="1:256" ht="12.75" hidden="1" customHeight="1" x14ac:dyDescent="0.2">
      <c r="A834" s="520"/>
      <c r="B834" s="453" t="s">
        <v>931</v>
      </c>
      <c r="C834" s="452">
        <v>100000</v>
      </c>
      <c r="D834" s="454">
        <v>100000</v>
      </c>
      <c r="E834" s="455">
        <v>60000</v>
      </c>
      <c r="F834" s="498">
        <v>0</v>
      </c>
      <c r="G834" s="450">
        <v>500000</v>
      </c>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c r="EX834"/>
      <c r="EY834"/>
      <c r="EZ834"/>
      <c r="FA834"/>
      <c r="FB834"/>
      <c r="FC834"/>
      <c r="FD834"/>
      <c r="FE834"/>
      <c r="FF834"/>
      <c r="FG834"/>
      <c r="FH834"/>
      <c r="FI834"/>
      <c r="FJ834"/>
      <c r="FK834"/>
      <c r="FL834"/>
      <c r="FM834"/>
      <c r="FN834"/>
      <c r="FO834"/>
      <c r="FP834"/>
      <c r="FQ834"/>
      <c r="FR834"/>
      <c r="FS834"/>
      <c r="FT834"/>
      <c r="FU834"/>
      <c r="FV834"/>
      <c r="FW834"/>
      <c r="FX834"/>
      <c r="FY834"/>
      <c r="FZ834"/>
      <c r="GA834"/>
      <c r="GB834"/>
      <c r="GC834"/>
      <c r="GD834"/>
      <c r="GE834"/>
      <c r="GF834"/>
      <c r="GG834"/>
      <c r="GH834"/>
      <c r="GI834"/>
      <c r="GJ834"/>
      <c r="GK834"/>
      <c r="GL834"/>
      <c r="GM834"/>
      <c r="GN834"/>
      <c r="GO834"/>
      <c r="GP834"/>
      <c r="GQ834"/>
      <c r="GR834"/>
      <c r="GS834"/>
      <c r="GT834"/>
      <c r="GU834"/>
      <c r="GV834"/>
      <c r="GW834"/>
      <c r="GX834"/>
      <c r="GY834"/>
      <c r="GZ834"/>
      <c r="HA834"/>
      <c r="HB834"/>
      <c r="HC834"/>
      <c r="HD834"/>
      <c r="HE834"/>
      <c r="HF834"/>
      <c r="HG834"/>
      <c r="HH834"/>
      <c r="HI834"/>
      <c r="HJ834"/>
      <c r="HK834"/>
      <c r="HL834"/>
      <c r="HM834"/>
      <c r="HN834"/>
      <c r="HO834"/>
      <c r="HP834"/>
      <c r="HQ834"/>
      <c r="HR834"/>
      <c r="HS834"/>
      <c r="HT834"/>
      <c r="HU834"/>
      <c r="HV834"/>
      <c r="HW834"/>
      <c r="HX834"/>
      <c r="HY834"/>
      <c r="HZ834"/>
      <c r="IA834"/>
      <c r="IB834"/>
      <c r="IC834"/>
      <c r="ID834"/>
      <c r="IE834"/>
      <c r="IF834"/>
      <c r="IG834"/>
      <c r="IH834"/>
      <c r="II834"/>
      <c r="IJ834"/>
      <c r="IK834"/>
      <c r="IL834"/>
      <c r="IM834"/>
      <c r="IN834"/>
      <c r="IO834"/>
      <c r="IP834"/>
      <c r="IQ834"/>
      <c r="IR834"/>
      <c r="IS834"/>
      <c r="IT834"/>
      <c r="IU834"/>
      <c r="IV834"/>
    </row>
    <row r="835" spans="1:256" ht="12.75" hidden="1" customHeight="1" x14ac:dyDescent="0.2">
      <c r="A835" s="520"/>
      <c r="B835" s="516" t="s">
        <v>932</v>
      </c>
      <c r="C835" s="452">
        <f>350000-300000</f>
        <v>50000</v>
      </c>
      <c r="D835" s="454">
        <f>350000-300000</f>
        <v>50000</v>
      </c>
      <c r="E835" s="455">
        <v>50000</v>
      </c>
      <c r="F835" s="498">
        <v>0</v>
      </c>
      <c r="G835" s="452">
        <v>100000</v>
      </c>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c r="EX835"/>
      <c r="EY835"/>
      <c r="EZ835"/>
      <c r="FA835"/>
      <c r="FB835"/>
      <c r="FC835"/>
      <c r="FD835"/>
      <c r="FE835"/>
      <c r="FF835"/>
      <c r="FG835"/>
      <c r="FH835"/>
      <c r="FI835"/>
      <c r="FJ835"/>
      <c r="FK835"/>
      <c r="FL835"/>
      <c r="FM835"/>
      <c r="FN835"/>
      <c r="FO835"/>
      <c r="FP835"/>
      <c r="FQ835"/>
      <c r="FR835"/>
      <c r="FS835"/>
      <c r="FT835"/>
      <c r="FU835"/>
      <c r="FV835"/>
      <c r="FW835"/>
      <c r="FX835"/>
      <c r="FY835"/>
      <c r="FZ835"/>
      <c r="GA835"/>
      <c r="GB835"/>
      <c r="GC835"/>
      <c r="GD835"/>
      <c r="GE835"/>
      <c r="GF835"/>
      <c r="GG835"/>
      <c r="GH835"/>
      <c r="GI835"/>
      <c r="GJ835"/>
      <c r="GK835"/>
      <c r="GL835"/>
      <c r="GM835"/>
      <c r="GN835"/>
      <c r="GO835"/>
      <c r="GP835"/>
      <c r="GQ835"/>
      <c r="GR835"/>
      <c r="GS835"/>
      <c r="GT835"/>
      <c r="GU835"/>
      <c r="GV835"/>
      <c r="GW835"/>
      <c r="GX835"/>
      <c r="GY835"/>
      <c r="GZ835"/>
      <c r="HA835"/>
      <c r="HB835"/>
      <c r="HC835"/>
      <c r="HD835"/>
      <c r="HE835"/>
      <c r="HF835"/>
      <c r="HG835"/>
      <c r="HH835"/>
      <c r="HI835"/>
      <c r="HJ835"/>
      <c r="HK835"/>
      <c r="HL835"/>
      <c r="HM835"/>
      <c r="HN835"/>
      <c r="HO835"/>
      <c r="HP835"/>
      <c r="HQ835"/>
      <c r="HR835"/>
      <c r="HS835"/>
      <c r="HT835"/>
      <c r="HU835"/>
      <c r="HV835"/>
      <c r="HW835"/>
      <c r="HX835"/>
      <c r="HY835"/>
      <c r="HZ835"/>
      <c r="IA835"/>
      <c r="IB835"/>
      <c r="IC835"/>
      <c r="ID835"/>
      <c r="IE835"/>
      <c r="IF835"/>
      <c r="IG835"/>
      <c r="IH835"/>
      <c r="II835"/>
      <c r="IJ835"/>
      <c r="IK835"/>
      <c r="IL835"/>
      <c r="IM835"/>
      <c r="IN835"/>
      <c r="IO835"/>
      <c r="IP835"/>
      <c r="IQ835"/>
      <c r="IR835"/>
      <c r="IS835"/>
      <c r="IT835"/>
      <c r="IU835"/>
      <c r="IV835"/>
    </row>
    <row r="836" spans="1:256" s="488" customFormat="1" ht="12.75" hidden="1" customHeight="1" x14ac:dyDescent="0.2">
      <c r="A836" s="520"/>
      <c r="B836" s="516" t="s">
        <v>933</v>
      </c>
      <c r="C836" s="452">
        <v>200000</v>
      </c>
      <c r="D836" s="454">
        <f>200000-200000</f>
        <v>0</v>
      </c>
      <c r="E836" s="468">
        <v>0</v>
      </c>
      <c r="F836" s="498">
        <v>0</v>
      </c>
      <c r="G836" s="452">
        <v>0</v>
      </c>
    </row>
    <row r="837" spans="1:256" s="488" customFormat="1" ht="12.75" hidden="1" customHeight="1" x14ac:dyDescent="0.2">
      <c r="A837" s="520"/>
      <c r="B837" s="453" t="s">
        <v>934</v>
      </c>
      <c r="C837" s="452"/>
      <c r="D837" s="454"/>
      <c r="E837" s="468"/>
      <c r="F837" s="498"/>
      <c r="G837" s="452">
        <v>200000</v>
      </c>
    </row>
    <row r="838" spans="1:256" s="488" customFormat="1" ht="12.75" hidden="1" customHeight="1" x14ac:dyDescent="0.2">
      <c r="A838" s="520"/>
      <c r="B838" s="516" t="s">
        <v>935</v>
      </c>
      <c r="C838" s="452">
        <v>1300000</v>
      </c>
      <c r="D838" s="454">
        <v>1300000</v>
      </c>
      <c r="E838" s="468">
        <v>1900000</v>
      </c>
      <c r="F838" s="304">
        <v>0</v>
      </c>
      <c r="G838" s="113">
        <v>0</v>
      </c>
    </row>
    <row r="839" spans="1:256" s="488" customFormat="1" ht="12.75" hidden="1" customHeight="1" x14ac:dyDescent="0.2">
      <c r="A839" s="520"/>
      <c r="B839" s="516" t="s">
        <v>936</v>
      </c>
      <c r="C839" s="452"/>
      <c r="D839" s="454"/>
      <c r="E839" s="468"/>
      <c r="F839" s="304"/>
      <c r="G839" s="114">
        <v>200000</v>
      </c>
    </row>
    <row r="840" spans="1:256" s="488" customFormat="1" ht="12.75" hidden="1" customHeight="1" x14ac:dyDescent="0.2">
      <c r="A840" s="520"/>
      <c r="B840" s="516" t="s">
        <v>937</v>
      </c>
      <c r="C840" s="450">
        <v>300000</v>
      </c>
      <c r="D840" s="454">
        <v>300000</v>
      </c>
      <c r="E840" s="468">
        <v>0</v>
      </c>
      <c r="F840" s="304">
        <v>24750.55</v>
      </c>
      <c r="G840" s="113">
        <v>300000</v>
      </c>
    </row>
    <row r="841" spans="1:256" s="488" customFormat="1" ht="12.75" hidden="1" customHeight="1" x14ac:dyDescent="0.2">
      <c r="A841" s="520"/>
      <c r="B841" s="515" t="s">
        <v>938</v>
      </c>
      <c r="C841" s="450">
        <v>50000</v>
      </c>
      <c r="D841" s="454">
        <v>50000</v>
      </c>
      <c r="E841" s="455">
        <v>50000</v>
      </c>
      <c r="F841" s="304">
        <v>0</v>
      </c>
      <c r="G841" s="114">
        <v>800000</v>
      </c>
    </row>
    <row r="842" spans="1:256" s="488" customFormat="1" ht="12.75" hidden="1" customHeight="1" x14ac:dyDescent="0.2">
      <c r="A842" s="520"/>
      <c r="B842" s="525" t="s">
        <v>939</v>
      </c>
      <c r="C842" s="450">
        <v>1000000</v>
      </c>
      <c r="D842" s="454">
        <f>1000000-500000</f>
        <v>500000</v>
      </c>
      <c r="E842" s="468">
        <v>0</v>
      </c>
      <c r="F842" s="533">
        <v>0</v>
      </c>
      <c r="G842" s="149">
        <v>0</v>
      </c>
    </row>
    <row r="843" spans="1:256" s="488" customFormat="1" ht="12.75" hidden="1" customHeight="1" x14ac:dyDescent="0.2">
      <c r="A843" s="443"/>
      <c r="B843" s="534" t="s">
        <v>940</v>
      </c>
      <c r="C843" s="450">
        <f>SUM(C844:C848)</f>
        <v>1750000</v>
      </c>
      <c r="D843" s="454">
        <f>SUM(D844:D848)</f>
        <v>1350000</v>
      </c>
      <c r="E843" s="454">
        <f>SUM(E844:E848)</f>
        <v>510000</v>
      </c>
      <c r="F843" s="498">
        <f>SUM(F844:F848)</f>
        <v>80598.100000000006</v>
      </c>
      <c r="G843" s="450">
        <f>SUM(G844:G848)</f>
        <v>800000</v>
      </c>
    </row>
    <row r="844" spans="1:256" s="488" customFormat="1" ht="12.75" hidden="1" customHeight="1" x14ac:dyDescent="0.2">
      <c r="A844" s="443"/>
      <c r="B844" s="516" t="s">
        <v>941</v>
      </c>
      <c r="C844" s="450">
        <v>500000</v>
      </c>
      <c r="D844" s="454">
        <f>500000-50000</f>
        <v>450000</v>
      </c>
      <c r="E844" s="468">
        <v>200000</v>
      </c>
      <c r="F844" s="498">
        <v>0</v>
      </c>
      <c r="G844" s="450">
        <v>100000</v>
      </c>
    </row>
    <row r="845" spans="1:256" s="488" customFormat="1" ht="12.75" hidden="1" customHeight="1" x14ac:dyDescent="0.2">
      <c r="A845" s="443"/>
      <c r="B845" s="516" t="s">
        <v>942</v>
      </c>
      <c r="C845" s="452">
        <v>500000</v>
      </c>
      <c r="D845" s="454">
        <f>500000-50000-100000</f>
        <v>350000</v>
      </c>
      <c r="E845" s="455">
        <v>100000</v>
      </c>
      <c r="F845" s="498">
        <v>0</v>
      </c>
      <c r="G845" s="450">
        <v>300000</v>
      </c>
    </row>
    <row r="846" spans="1:256" s="488" customFormat="1" ht="12.75" hidden="1" customHeight="1" x14ac:dyDescent="0.2">
      <c r="A846" s="443"/>
      <c r="B846" s="516" t="s">
        <v>943</v>
      </c>
      <c r="C846" s="452">
        <v>50000</v>
      </c>
      <c r="D846" s="454">
        <v>50000</v>
      </c>
      <c r="E846" s="455">
        <v>50000</v>
      </c>
      <c r="F846" s="498">
        <v>0</v>
      </c>
      <c r="G846" s="450">
        <v>100000</v>
      </c>
    </row>
    <row r="847" spans="1:256" ht="12.75" hidden="1" customHeight="1" x14ac:dyDescent="0.2">
      <c r="A847" s="443"/>
      <c r="B847" s="516" t="s">
        <v>944</v>
      </c>
      <c r="C847" s="450">
        <v>200000</v>
      </c>
      <c r="D847" s="535">
        <f>200000-50000</f>
        <v>150000</v>
      </c>
      <c r="E847" s="455">
        <v>60000</v>
      </c>
      <c r="F847" s="536">
        <v>0</v>
      </c>
      <c r="G847" s="452">
        <v>0</v>
      </c>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c r="EX847"/>
      <c r="EY847"/>
      <c r="EZ847"/>
      <c r="FA847"/>
      <c r="FB847"/>
      <c r="FC847"/>
      <c r="FD847"/>
      <c r="FE847"/>
      <c r="FF847"/>
      <c r="FG847"/>
      <c r="FH847"/>
      <c r="FI847"/>
      <c r="FJ847"/>
      <c r="FK847"/>
      <c r="FL847"/>
      <c r="FM847"/>
      <c r="FN847"/>
      <c r="FO847"/>
      <c r="FP847"/>
      <c r="FQ847"/>
      <c r="FR847"/>
      <c r="FS847"/>
      <c r="FT847"/>
      <c r="FU847"/>
      <c r="FV847"/>
      <c r="FW847"/>
      <c r="FX847"/>
      <c r="FY847"/>
      <c r="FZ847"/>
      <c r="GA847"/>
      <c r="GB847"/>
      <c r="GC847"/>
      <c r="GD847"/>
      <c r="GE847"/>
      <c r="GF847"/>
      <c r="GG847"/>
      <c r="GH847"/>
      <c r="GI847"/>
      <c r="GJ847"/>
      <c r="GK847"/>
      <c r="GL847"/>
      <c r="GM847"/>
      <c r="GN847"/>
      <c r="GO847"/>
      <c r="GP847"/>
      <c r="GQ847"/>
      <c r="GR847"/>
      <c r="GS847"/>
      <c r="GT847"/>
      <c r="GU847"/>
      <c r="GV847"/>
      <c r="GW847"/>
      <c r="GX847"/>
      <c r="GY847"/>
      <c r="GZ847"/>
      <c r="HA847"/>
      <c r="HB847"/>
      <c r="HC847"/>
      <c r="HD847"/>
      <c r="HE847"/>
      <c r="HF847"/>
      <c r="HG847"/>
      <c r="HH847"/>
      <c r="HI847"/>
      <c r="HJ847"/>
      <c r="HK847"/>
      <c r="HL847"/>
      <c r="HM847"/>
      <c r="HN847"/>
      <c r="HO847"/>
      <c r="HP847"/>
      <c r="HQ847"/>
      <c r="HR847"/>
      <c r="HS847"/>
      <c r="HT847"/>
      <c r="HU847"/>
      <c r="HV847"/>
      <c r="HW847"/>
      <c r="HX847"/>
      <c r="HY847"/>
      <c r="HZ847"/>
      <c r="IA847"/>
      <c r="IB847"/>
      <c r="IC847"/>
      <c r="ID847"/>
      <c r="IE847"/>
      <c r="IF847"/>
      <c r="IG847"/>
      <c r="IH847"/>
      <c r="II847"/>
      <c r="IJ847"/>
      <c r="IK847"/>
      <c r="IL847"/>
      <c r="IM847"/>
      <c r="IN847"/>
      <c r="IO847"/>
      <c r="IP847"/>
      <c r="IQ847"/>
      <c r="IR847"/>
      <c r="IS847"/>
      <c r="IT847"/>
      <c r="IU847"/>
      <c r="IV847"/>
    </row>
    <row r="848" spans="1:256" ht="12.75" hidden="1" customHeight="1" x14ac:dyDescent="0.2">
      <c r="A848" s="519"/>
      <c r="B848" s="516" t="s">
        <v>945</v>
      </c>
      <c r="C848" s="450">
        <f>1000000-500000</f>
        <v>500000</v>
      </c>
      <c r="D848" s="454">
        <f>1000000-500000-50000-100000</f>
        <v>350000</v>
      </c>
      <c r="E848" s="455">
        <v>100000</v>
      </c>
      <c r="F848" s="498">
        <v>80598.100000000006</v>
      </c>
      <c r="G848" s="452">
        <v>300000</v>
      </c>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c r="EX848"/>
      <c r="EY848"/>
      <c r="EZ848"/>
      <c r="FA848"/>
      <c r="FB848"/>
      <c r="FC848"/>
      <c r="FD848"/>
      <c r="FE848"/>
      <c r="FF848"/>
      <c r="FG848"/>
      <c r="FH848"/>
      <c r="FI848"/>
      <c r="FJ848"/>
      <c r="FK848"/>
      <c r="FL848"/>
      <c r="FM848"/>
      <c r="FN848"/>
      <c r="FO848"/>
      <c r="FP848"/>
      <c r="FQ848"/>
      <c r="FR848"/>
      <c r="FS848"/>
      <c r="FT848"/>
      <c r="FU848"/>
      <c r="FV848"/>
      <c r="FW848"/>
      <c r="FX848"/>
      <c r="FY848"/>
      <c r="FZ848"/>
      <c r="GA848"/>
      <c r="GB848"/>
      <c r="GC848"/>
      <c r="GD848"/>
      <c r="GE848"/>
      <c r="GF848"/>
      <c r="GG848"/>
      <c r="GH848"/>
      <c r="GI848"/>
      <c r="GJ848"/>
      <c r="GK848"/>
      <c r="GL848"/>
      <c r="GM848"/>
      <c r="GN848"/>
      <c r="GO848"/>
      <c r="GP848"/>
      <c r="GQ848"/>
      <c r="GR848"/>
      <c r="GS848"/>
      <c r="GT848"/>
      <c r="GU848"/>
      <c r="GV848"/>
      <c r="GW848"/>
      <c r="GX848"/>
      <c r="GY848"/>
      <c r="GZ848"/>
      <c r="HA848"/>
      <c r="HB848"/>
      <c r="HC848"/>
      <c r="HD848"/>
      <c r="HE848"/>
      <c r="HF848"/>
      <c r="HG848"/>
      <c r="HH848"/>
      <c r="HI848"/>
      <c r="HJ848"/>
      <c r="HK848"/>
      <c r="HL848"/>
      <c r="HM848"/>
      <c r="HN848"/>
      <c r="HO848"/>
      <c r="HP848"/>
      <c r="HQ848"/>
      <c r="HR848"/>
      <c r="HS848"/>
      <c r="HT848"/>
      <c r="HU848"/>
      <c r="HV848"/>
      <c r="HW848"/>
      <c r="HX848"/>
      <c r="HY848"/>
      <c r="HZ848"/>
      <c r="IA848"/>
      <c r="IB848"/>
      <c r="IC848"/>
      <c r="ID848"/>
      <c r="IE848"/>
      <c r="IF848"/>
      <c r="IG848"/>
      <c r="IH848"/>
      <c r="II848"/>
      <c r="IJ848"/>
      <c r="IK848"/>
      <c r="IL848"/>
      <c r="IM848"/>
      <c r="IN848"/>
      <c r="IO848"/>
      <c r="IP848"/>
      <c r="IQ848"/>
      <c r="IR848"/>
      <c r="IS848"/>
      <c r="IT848"/>
      <c r="IU848"/>
      <c r="IV848"/>
    </row>
    <row r="849" spans="1:256" ht="12.75" hidden="1" customHeight="1" x14ac:dyDescent="0.2">
      <c r="A849" s="519">
        <v>3634</v>
      </c>
      <c r="B849" s="537" t="s">
        <v>946</v>
      </c>
      <c r="C849" s="445">
        <f>SUM(C850:C854)</f>
        <v>30034000</v>
      </c>
      <c r="D849" s="469">
        <f>SUM(D850:D854)</f>
        <v>22594783</v>
      </c>
      <c r="E849" s="469">
        <f>SUM(E850:E854)</f>
        <v>21335963.350000001</v>
      </c>
      <c r="F849" s="470">
        <f>SUM(F850:F854)</f>
        <v>9802375.8000000007</v>
      </c>
      <c r="G849" s="445">
        <f>SUM(G850:G854)</f>
        <v>28550000</v>
      </c>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c r="EX849"/>
      <c r="EY849"/>
      <c r="EZ849"/>
      <c r="FA849"/>
      <c r="FB849"/>
      <c r="FC849"/>
      <c r="FD849"/>
      <c r="FE849"/>
      <c r="FF849"/>
      <c r="FG849"/>
      <c r="FH849"/>
      <c r="FI849"/>
      <c r="FJ849"/>
      <c r="FK849"/>
      <c r="FL849"/>
      <c r="FM849"/>
      <c r="FN849"/>
      <c r="FO849"/>
      <c r="FP849"/>
      <c r="FQ849"/>
      <c r="FR849"/>
      <c r="FS849"/>
      <c r="FT849"/>
      <c r="FU849"/>
      <c r="FV849"/>
      <c r="FW849"/>
      <c r="FX849"/>
      <c r="FY849"/>
      <c r="FZ849"/>
      <c r="GA849"/>
      <c r="GB849"/>
      <c r="GC849"/>
      <c r="GD849"/>
      <c r="GE849"/>
      <c r="GF849"/>
      <c r="GG849"/>
      <c r="GH849"/>
      <c r="GI849"/>
      <c r="GJ849"/>
      <c r="GK849"/>
      <c r="GL849"/>
      <c r="GM849"/>
      <c r="GN849"/>
      <c r="GO849"/>
      <c r="GP849"/>
      <c r="GQ849"/>
      <c r="GR849"/>
      <c r="GS849"/>
      <c r="GT849"/>
      <c r="GU849"/>
      <c r="GV849"/>
      <c r="GW849"/>
      <c r="GX849"/>
      <c r="GY849"/>
      <c r="GZ849"/>
      <c r="HA849"/>
      <c r="HB849"/>
      <c r="HC849"/>
      <c r="HD849"/>
      <c r="HE849"/>
      <c r="HF849"/>
      <c r="HG849"/>
      <c r="HH849"/>
      <c r="HI849"/>
      <c r="HJ849"/>
      <c r="HK849"/>
      <c r="HL849"/>
      <c r="HM849"/>
      <c r="HN849"/>
      <c r="HO849"/>
      <c r="HP849"/>
      <c r="HQ849"/>
      <c r="HR849"/>
      <c r="HS849"/>
      <c r="HT849"/>
      <c r="HU849"/>
      <c r="HV849"/>
      <c r="HW849"/>
      <c r="HX849"/>
      <c r="HY849"/>
      <c r="HZ849"/>
      <c r="IA849"/>
      <c r="IB849"/>
      <c r="IC849"/>
      <c r="ID849"/>
      <c r="IE849"/>
      <c r="IF849"/>
      <c r="IG849"/>
      <c r="IH849"/>
      <c r="II849"/>
      <c r="IJ849"/>
      <c r="IK849"/>
      <c r="IL849"/>
      <c r="IM849"/>
      <c r="IN849"/>
      <c r="IO849"/>
      <c r="IP849"/>
      <c r="IQ849"/>
      <c r="IR849"/>
      <c r="IS849"/>
      <c r="IT849"/>
      <c r="IU849"/>
      <c r="IV849"/>
    </row>
    <row r="850" spans="1:256" ht="12.75" hidden="1" customHeight="1" x14ac:dyDescent="0.2">
      <c r="A850" s="443"/>
      <c r="B850" s="525" t="s">
        <v>947</v>
      </c>
      <c r="C850" s="452">
        <v>500000</v>
      </c>
      <c r="D850" s="454">
        <v>500000</v>
      </c>
      <c r="E850" s="468">
        <v>200000</v>
      </c>
      <c r="F850" s="304">
        <v>97574.11</v>
      </c>
      <c r="G850" s="113">
        <v>200000</v>
      </c>
      <c r="H850" s="2"/>
      <c r="I850" s="2"/>
      <c r="J850" s="2"/>
      <c r="K850" s="2"/>
      <c r="L850" s="2"/>
      <c r="M850" s="2"/>
      <c r="N850" s="2"/>
      <c r="O850" s="2"/>
      <c r="P850" s="2"/>
      <c r="Q850" s="2"/>
      <c r="R850" s="2"/>
      <c r="S850" s="2"/>
      <c r="T850" s="2"/>
      <c r="U850" s="2"/>
      <c r="V850" s="2"/>
      <c r="W850" s="2"/>
      <c r="X850" s="2"/>
      <c r="Y850" s="2"/>
      <c r="Z850" s="2"/>
      <c r="AA850" s="2"/>
      <c r="AB850" s="2"/>
      <c r="AC850" s="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c r="EX850"/>
      <c r="EY850"/>
      <c r="EZ850"/>
      <c r="FA850"/>
      <c r="FB850"/>
      <c r="FC850"/>
      <c r="FD850"/>
      <c r="FE850"/>
      <c r="FF850"/>
      <c r="FG850"/>
      <c r="FH850"/>
      <c r="FI850"/>
      <c r="FJ850"/>
      <c r="FK850"/>
      <c r="FL850"/>
      <c r="FM850"/>
      <c r="FN850"/>
      <c r="FO850"/>
      <c r="FP850"/>
      <c r="FQ850"/>
      <c r="FR850"/>
      <c r="FS850"/>
      <c r="FT850"/>
      <c r="FU850"/>
      <c r="FV850"/>
      <c r="FW850"/>
      <c r="FX850"/>
      <c r="FY850"/>
      <c r="FZ850"/>
      <c r="GA850"/>
      <c r="GB850"/>
      <c r="GC850"/>
      <c r="GD850"/>
      <c r="GE850"/>
      <c r="GF850"/>
      <c r="GG850"/>
      <c r="GH850"/>
      <c r="GI850"/>
      <c r="GJ850"/>
      <c r="GK850"/>
      <c r="GL850"/>
      <c r="GM850"/>
      <c r="GN850"/>
      <c r="GO850"/>
      <c r="GP850"/>
      <c r="GQ850"/>
      <c r="GR850"/>
      <c r="GS850"/>
      <c r="GT850"/>
      <c r="GU850"/>
      <c r="GV850"/>
      <c r="GW850"/>
      <c r="GX850"/>
      <c r="GY850"/>
      <c r="GZ850"/>
      <c r="HA850"/>
      <c r="HB850"/>
      <c r="HC850"/>
      <c r="HD850"/>
      <c r="HE850"/>
      <c r="HF850"/>
      <c r="HG850"/>
      <c r="HH850"/>
      <c r="HI850"/>
      <c r="HJ850"/>
      <c r="HK850"/>
      <c r="HL850"/>
      <c r="HM850"/>
      <c r="HN850"/>
      <c r="HO850"/>
      <c r="HP850"/>
      <c r="HQ850"/>
      <c r="HR850"/>
      <c r="HS850"/>
      <c r="HT850"/>
      <c r="HU850"/>
      <c r="HV850"/>
      <c r="HW850"/>
      <c r="HX850"/>
      <c r="HY850"/>
      <c r="HZ850"/>
      <c r="IA850"/>
      <c r="IB850"/>
      <c r="IC850"/>
      <c r="ID850"/>
      <c r="IE850"/>
      <c r="IF850"/>
      <c r="IG850"/>
      <c r="IH850"/>
      <c r="II850"/>
      <c r="IJ850"/>
      <c r="IK850"/>
      <c r="IL850"/>
      <c r="IM850"/>
      <c r="IN850"/>
      <c r="IO850"/>
      <c r="IP850"/>
      <c r="IQ850"/>
      <c r="IR850"/>
      <c r="IS850"/>
      <c r="IT850"/>
      <c r="IU850"/>
      <c r="IV850"/>
    </row>
    <row r="851" spans="1:256" ht="12.75" hidden="1" customHeight="1" x14ac:dyDescent="0.2">
      <c r="A851" s="443"/>
      <c r="B851" s="525" t="s">
        <v>948</v>
      </c>
      <c r="C851" s="450">
        <v>500000</v>
      </c>
      <c r="D851" s="454">
        <v>500000</v>
      </c>
      <c r="E851" s="528">
        <v>380000</v>
      </c>
      <c r="F851" s="498">
        <v>0</v>
      </c>
      <c r="G851" s="459">
        <v>500000</v>
      </c>
      <c r="H851" s="2"/>
      <c r="I851" s="2"/>
      <c r="J851" s="2"/>
      <c r="K851" s="2"/>
      <c r="L851" s="2"/>
      <c r="M851" s="2"/>
      <c r="N851" s="2"/>
      <c r="O851" s="2"/>
      <c r="P851" s="2"/>
      <c r="Q851" s="2"/>
      <c r="R851" s="2"/>
      <c r="S851" s="2"/>
      <c r="T851" s="2"/>
      <c r="U851" s="2"/>
      <c r="V851" s="2"/>
      <c r="W851" s="2"/>
      <c r="X851" s="2"/>
      <c r="Y851" s="2"/>
      <c r="Z851" s="2"/>
      <c r="AA851" s="2"/>
      <c r="AB851" s="2"/>
      <c r="AC851" s="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c r="EX851"/>
      <c r="EY851"/>
      <c r="EZ851"/>
      <c r="FA851"/>
      <c r="FB851"/>
      <c r="FC851"/>
      <c r="FD851"/>
      <c r="FE851"/>
      <c r="FF851"/>
      <c r="FG851"/>
      <c r="FH851"/>
      <c r="FI851"/>
      <c r="FJ851"/>
      <c r="FK851"/>
      <c r="FL851"/>
      <c r="FM851"/>
      <c r="FN851"/>
      <c r="FO851"/>
      <c r="FP851"/>
      <c r="FQ851"/>
      <c r="FR851"/>
      <c r="FS851"/>
      <c r="FT851"/>
      <c r="FU851"/>
      <c r="FV851"/>
      <c r="FW851"/>
      <c r="FX851"/>
      <c r="FY851"/>
      <c r="FZ851"/>
      <c r="GA851"/>
      <c r="GB851"/>
      <c r="GC851"/>
      <c r="GD851"/>
      <c r="GE851"/>
      <c r="GF851"/>
      <c r="GG851"/>
      <c r="GH851"/>
      <c r="GI851"/>
      <c r="GJ851"/>
      <c r="GK851"/>
      <c r="GL851"/>
      <c r="GM851"/>
      <c r="GN851"/>
      <c r="GO851"/>
      <c r="GP851"/>
      <c r="GQ851"/>
      <c r="GR851"/>
      <c r="GS851"/>
      <c r="GT851"/>
      <c r="GU851"/>
      <c r="GV851"/>
      <c r="GW851"/>
      <c r="GX851"/>
      <c r="GY851"/>
      <c r="GZ851"/>
      <c r="HA851"/>
      <c r="HB851"/>
      <c r="HC851"/>
      <c r="HD851"/>
      <c r="HE851"/>
      <c r="HF851"/>
      <c r="HG851"/>
      <c r="HH851"/>
      <c r="HI851"/>
      <c r="HJ851"/>
      <c r="HK851"/>
      <c r="HL851"/>
      <c r="HM851"/>
      <c r="HN851"/>
      <c r="HO851"/>
      <c r="HP851"/>
      <c r="HQ851"/>
      <c r="HR851"/>
      <c r="HS851"/>
      <c r="HT851"/>
      <c r="HU851"/>
      <c r="HV851"/>
      <c r="HW851"/>
      <c r="HX851"/>
      <c r="HY851"/>
      <c r="HZ851"/>
      <c r="IA851"/>
      <c r="IB851"/>
      <c r="IC851"/>
      <c r="ID851"/>
      <c r="IE851"/>
      <c r="IF851"/>
      <c r="IG851"/>
      <c r="IH851"/>
      <c r="II851"/>
      <c r="IJ851"/>
      <c r="IK851"/>
      <c r="IL851"/>
      <c r="IM851"/>
      <c r="IN851"/>
      <c r="IO851"/>
      <c r="IP851"/>
      <c r="IQ851"/>
      <c r="IR851"/>
      <c r="IS851"/>
      <c r="IT851"/>
      <c r="IU851"/>
      <c r="IV851"/>
    </row>
    <row r="852" spans="1:256" s="538" customFormat="1" ht="12.75" hidden="1" customHeight="1" x14ac:dyDescent="0.2">
      <c r="A852" s="443"/>
      <c r="B852" s="449" t="s">
        <v>949</v>
      </c>
      <c r="C852" s="450">
        <v>500000</v>
      </c>
      <c r="D852" s="454">
        <v>500000</v>
      </c>
      <c r="E852" s="529">
        <v>200000</v>
      </c>
      <c r="F852" s="498">
        <v>131442.38</v>
      </c>
      <c r="G852" s="509">
        <v>600000</v>
      </c>
      <c r="H852" s="2"/>
      <c r="I852" s="2"/>
      <c r="J852" s="2"/>
      <c r="K852" s="2"/>
      <c r="L852" s="2"/>
      <c r="M852" s="2"/>
      <c r="N852" s="2"/>
      <c r="O852" s="2"/>
      <c r="P852" s="2"/>
      <c r="Q852" s="2"/>
      <c r="R852" s="2"/>
      <c r="S852" s="2"/>
      <c r="T852" s="2"/>
      <c r="U852" s="2"/>
      <c r="V852" s="2"/>
      <c r="W852" s="2"/>
      <c r="X852" s="2"/>
      <c r="Y852" s="2"/>
      <c r="Z852" s="2"/>
      <c r="AA852" s="2"/>
      <c r="AB852" s="2"/>
      <c r="AC852" s="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row>
    <row r="853" spans="1:256" ht="12.75" hidden="1" customHeight="1" x14ac:dyDescent="0.2">
      <c r="A853" s="443"/>
      <c r="B853" s="525" t="s">
        <v>950</v>
      </c>
      <c r="C853" s="452">
        <v>0</v>
      </c>
      <c r="D853" s="454">
        <v>0</v>
      </c>
      <c r="E853" s="468">
        <v>0</v>
      </c>
      <c r="F853" s="498"/>
      <c r="G853" s="452">
        <v>1000000</v>
      </c>
      <c r="H853" s="2"/>
      <c r="I853" s="2"/>
      <c r="J853" s="2"/>
      <c r="K853" s="2"/>
      <c r="L853" s="2"/>
      <c r="M853" s="2"/>
      <c r="N853" s="2"/>
      <c r="O853" s="2"/>
      <c r="P853" s="2"/>
      <c r="Q853" s="2"/>
      <c r="R853" s="2"/>
      <c r="S853" s="2"/>
      <c r="T853" s="2"/>
      <c r="U853" s="2"/>
      <c r="V853" s="2"/>
      <c r="W853" s="2"/>
      <c r="X853" s="2"/>
      <c r="Y853" s="2"/>
      <c r="Z853" s="2"/>
      <c r="AA853" s="2"/>
      <c r="AB853" s="2"/>
      <c r="AC853" s="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c r="EX853"/>
      <c r="EY853"/>
      <c r="EZ853"/>
      <c r="FA853"/>
      <c r="FB853"/>
      <c r="FC853"/>
      <c r="FD853"/>
      <c r="FE853"/>
      <c r="FF853"/>
      <c r="FG853"/>
      <c r="FH853"/>
      <c r="FI853"/>
      <c r="FJ853"/>
      <c r="FK853"/>
      <c r="FL853"/>
      <c r="FM853"/>
      <c r="FN853"/>
      <c r="FO853"/>
      <c r="FP853"/>
      <c r="FQ853"/>
      <c r="FR853"/>
      <c r="FS853"/>
      <c r="FT853"/>
      <c r="FU853"/>
      <c r="FV853"/>
      <c r="FW853"/>
      <c r="FX853"/>
      <c r="FY853"/>
      <c r="FZ853"/>
      <c r="GA853"/>
      <c r="GB853"/>
      <c r="GC853"/>
      <c r="GD853"/>
      <c r="GE853"/>
      <c r="GF853"/>
      <c r="GG853"/>
      <c r="GH853"/>
      <c r="GI853"/>
      <c r="GJ853"/>
      <c r="GK853"/>
      <c r="GL853"/>
      <c r="GM853"/>
      <c r="GN853"/>
      <c r="GO853"/>
      <c r="GP853"/>
      <c r="GQ853"/>
      <c r="GR853"/>
      <c r="GS853"/>
      <c r="GT853"/>
      <c r="GU853"/>
      <c r="GV853"/>
      <c r="GW853"/>
      <c r="GX853"/>
      <c r="GY853"/>
      <c r="GZ853"/>
      <c r="HA853"/>
      <c r="HB853"/>
      <c r="HC853"/>
      <c r="HD853"/>
      <c r="HE853"/>
      <c r="HF853"/>
      <c r="HG853"/>
      <c r="HH853"/>
      <c r="HI853"/>
      <c r="HJ853"/>
      <c r="HK853"/>
      <c r="HL853"/>
      <c r="HM853"/>
      <c r="HN853"/>
      <c r="HO853"/>
      <c r="HP853"/>
      <c r="HQ853"/>
      <c r="HR853"/>
      <c r="HS853"/>
      <c r="HT853"/>
      <c r="HU853"/>
      <c r="HV853"/>
      <c r="HW853"/>
      <c r="HX853"/>
      <c r="HY853"/>
      <c r="HZ853"/>
      <c r="IA853"/>
      <c r="IB853"/>
      <c r="IC853"/>
      <c r="ID853"/>
      <c r="IE853"/>
      <c r="IF853"/>
      <c r="IG853"/>
      <c r="IH853"/>
      <c r="II853"/>
      <c r="IJ853"/>
      <c r="IK853"/>
      <c r="IL853"/>
      <c r="IM853"/>
      <c r="IN853"/>
      <c r="IO853"/>
      <c r="IP853"/>
      <c r="IQ853"/>
      <c r="IR853"/>
      <c r="IS853"/>
      <c r="IT853"/>
      <c r="IU853"/>
      <c r="IV853"/>
    </row>
    <row r="854" spans="1:256" ht="12.75" hidden="1" customHeight="1" x14ac:dyDescent="0.2">
      <c r="A854" s="471"/>
      <c r="B854" s="449" t="s">
        <v>951</v>
      </c>
      <c r="C854" s="452">
        <f>SUM(C855:C862)</f>
        <v>28534000</v>
      </c>
      <c r="D854" s="454">
        <f>SUM(D855:D862)</f>
        <v>21094783</v>
      </c>
      <c r="E854" s="454">
        <f>SUM(E855:E862)</f>
        <v>20555963.350000001</v>
      </c>
      <c r="F854" s="498">
        <f>SUM(F855:F862)</f>
        <v>9573359.3100000005</v>
      </c>
      <c r="G854" s="452">
        <f>SUM(G855:G871)</f>
        <v>26250000</v>
      </c>
      <c r="H854" s="2"/>
      <c r="I854" s="2"/>
      <c r="J854" s="2"/>
      <c r="K854" s="2"/>
      <c r="L854" s="2"/>
      <c r="M854" s="2"/>
      <c r="N854" s="2"/>
      <c r="O854" s="2"/>
      <c r="P854" s="2"/>
      <c r="Q854" s="2"/>
      <c r="R854" s="2"/>
      <c r="S854" s="2"/>
      <c r="T854" s="2"/>
      <c r="U854" s="2"/>
      <c r="V854" s="2"/>
      <c r="W854" s="2"/>
      <c r="X854" s="2"/>
      <c r="Y854" s="2"/>
      <c r="Z854" s="2"/>
      <c r="AA854" s="2"/>
      <c r="AB854" s="2"/>
      <c r="AC854" s="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c r="EX854"/>
      <c r="EY854"/>
      <c r="EZ854"/>
      <c r="FA854"/>
      <c r="FB854"/>
      <c r="FC854"/>
      <c r="FD854"/>
      <c r="FE854"/>
      <c r="FF854"/>
      <c r="FG854"/>
      <c r="FH854"/>
      <c r="FI854"/>
      <c r="FJ854"/>
      <c r="FK854"/>
      <c r="FL854"/>
      <c r="FM854"/>
      <c r="FN854"/>
      <c r="FO854"/>
      <c r="FP854"/>
      <c r="FQ854"/>
      <c r="FR854"/>
      <c r="FS854"/>
      <c r="FT854"/>
      <c r="FU854"/>
      <c r="FV854"/>
      <c r="FW854"/>
      <c r="FX854"/>
      <c r="FY854"/>
      <c r="FZ854"/>
      <c r="GA854"/>
      <c r="GB854"/>
      <c r="GC854"/>
      <c r="GD854"/>
      <c r="GE854"/>
      <c r="GF854"/>
      <c r="GG854"/>
      <c r="GH854"/>
      <c r="GI854"/>
      <c r="GJ854"/>
      <c r="GK854"/>
      <c r="GL854"/>
      <c r="GM854"/>
      <c r="GN854"/>
      <c r="GO854"/>
      <c r="GP854"/>
      <c r="GQ854"/>
      <c r="GR854"/>
      <c r="GS854"/>
      <c r="GT854"/>
      <c r="GU854"/>
      <c r="GV854"/>
      <c r="GW854"/>
      <c r="GX854"/>
      <c r="GY854"/>
      <c r="GZ854"/>
      <c r="HA854"/>
      <c r="HB854"/>
      <c r="HC854"/>
      <c r="HD854"/>
      <c r="HE854"/>
      <c r="HF854"/>
      <c r="HG854"/>
      <c r="HH854"/>
      <c r="HI854"/>
      <c r="HJ854"/>
      <c r="HK854"/>
      <c r="HL854"/>
      <c r="HM854"/>
      <c r="HN854"/>
      <c r="HO854"/>
      <c r="HP854"/>
      <c r="HQ854"/>
      <c r="HR854"/>
      <c r="HS854"/>
      <c r="HT854"/>
      <c r="HU854"/>
      <c r="HV854"/>
      <c r="HW854"/>
      <c r="HX854"/>
      <c r="HY854"/>
      <c r="HZ854"/>
      <c r="IA854"/>
      <c r="IB854"/>
      <c r="IC854"/>
      <c r="ID854"/>
      <c r="IE854"/>
      <c r="IF854"/>
      <c r="IG854"/>
      <c r="IH854"/>
      <c r="II854"/>
      <c r="IJ854"/>
      <c r="IK854"/>
      <c r="IL854"/>
      <c r="IM854"/>
      <c r="IN854"/>
      <c r="IO854"/>
      <c r="IP854"/>
      <c r="IQ854"/>
      <c r="IR854"/>
      <c r="IS854"/>
      <c r="IT854"/>
      <c r="IU854"/>
      <c r="IV854"/>
    </row>
    <row r="855" spans="1:256" ht="12.75" hidden="1" customHeight="1" x14ac:dyDescent="0.2">
      <c r="A855" s="471"/>
      <c r="B855" s="525" t="s">
        <v>952</v>
      </c>
      <c r="C855" s="452">
        <v>700000</v>
      </c>
      <c r="D855" s="454">
        <v>700000</v>
      </c>
      <c r="E855" s="468">
        <v>600000</v>
      </c>
      <c r="F855" s="304">
        <v>0</v>
      </c>
      <c r="G855" s="113">
        <v>0</v>
      </c>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c r="EX855"/>
      <c r="EY855"/>
      <c r="EZ855"/>
      <c r="FA855"/>
      <c r="FB855"/>
      <c r="FC855"/>
      <c r="FD855"/>
      <c r="FE855"/>
      <c r="FF855"/>
      <c r="FG855"/>
      <c r="FH855"/>
      <c r="FI855"/>
      <c r="FJ855"/>
      <c r="FK855"/>
      <c r="FL855"/>
      <c r="FM855"/>
      <c r="FN855"/>
      <c r="FO855"/>
      <c r="FP855"/>
      <c r="FQ855"/>
      <c r="FR855"/>
      <c r="FS855"/>
      <c r="FT855"/>
      <c r="FU855"/>
      <c r="FV855"/>
      <c r="FW855"/>
      <c r="FX855"/>
      <c r="FY855"/>
      <c r="FZ855"/>
      <c r="GA855"/>
      <c r="GB855"/>
      <c r="GC855"/>
      <c r="GD855"/>
      <c r="GE855"/>
      <c r="GF855"/>
      <c r="GG855"/>
      <c r="GH855"/>
      <c r="GI855"/>
      <c r="GJ855"/>
      <c r="GK855"/>
      <c r="GL855"/>
      <c r="GM855"/>
      <c r="GN855"/>
      <c r="GO855"/>
      <c r="GP855"/>
      <c r="GQ855"/>
      <c r="GR855"/>
      <c r="GS855"/>
      <c r="GT855"/>
      <c r="GU855"/>
      <c r="GV855"/>
      <c r="GW855"/>
      <c r="GX855"/>
      <c r="GY855"/>
      <c r="GZ855"/>
      <c r="HA855"/>
      <c r="HB855"/>
      <c r="HC855"/>
      <c r="HD855"/>
      <c r="HE855"/>
      <c r="HF855"/>
      <c r="HG855"/>
      <c r="HH855"/>
      <c r="HI855"/>
      <c r="HJ855"/>
      <c r="HK855"/>
      <c r="HL855"/>
      <c r="HM855"/>
      <c r="HN855"/>
      <c r="HO855"/>
      <c r="HP855"/>
      <c r="HQ855"/>
      <c r="HR855"/>
      <c r="HS855"/>
      <c r="HT855"/>
      <c r="HU855"/>
      <c r="HV855"/>
      <c r="HW855"/>
      <c r="HX855"/>
      <c r="HY855"/>
      <c r="HZ855"/>
      <c r="IA855"/>
      <c r="IB855"/>
      <c r="IC855"/>
      <c r="ID855"/>
      <c r="IE855"/>
      <c r="IF855"/>
      <c r="IG855"/>
      <c r="IH855"/>
      <c r="II855"/>
      <c r="IJ855"/>
      <c r="IK855"/>
      <c r="IL855"/>
      <c r="IM855"/>
      <c r="IN855"/>
      <c r="IO855"/>
      <c r="IP855"/>
      <c r="IQ855"/>
      <c r="IR855"/>
      <c r="IS855"/>
      <c r="IT855"/>
      <c r="IU855"/>
      <c r="IV855"/>
    </row>
    <row r="856" spans="1:256" ht="12.75" hidden="1" customHeight="1" x14ac:dyDescent="0.2">
      <c r="A856" s="471"/>
      <c r="B856" s="525" t="s">
        <v>953</v>
      </c>
      <c r="C856" s="452"/>
      <c r="D856" s="454"/>
      <c r="E856" s="468"/>
      <c r="F856" s="304">
        <v>0</v>
      </c>
      <c r="G856" s="113">
        <v>900000</v>
      </c>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c r="EX856"/>
      <c r="EY856"/>
      <c r="EZ856"/>
      <c r="FA856"/>
      <c r="FB856"/>
      <c r="FC856"/>
      <c r="FD856"/>
      <c r="FE856"/>
      <c r="FF856"/>
      <c r="FG856"/>
      <c r="FH856"/>
      <c r="FI856"/>
      <c r="FJ856"/>
      <c r="FK856"/>
      <c r="FL856"/>
      <c r="FM856"/>
      <c r="FN856"/>
      <c r="FO856"/>
      <c r="FP856"/>
      <c r="FQ856"/>
      <c r="FR856"/>
      <c r="FS856"/>
      <c r="FT856"/>
      <c r="FU856"/>
      <c r="FV856"/>
      <c r="FW856"/>
      <c r="FX856"/>
      <c r="FY856"/>
      <c r="FZ856"/>
      <c r="GA856"/>
      <c r="GB856"/>
      <c r="GC856"/>
      <c r="GD856"/>
      <c r="GE856"/>
      <c r="GF856"/>
      <c r="GG856"/>
      <c r="GH856"/>
      <c r="GI856"/>
      <c r="GJ856"/>
      <c r="GK856"/>
      <c r="GL856"/>
      <c r="GM856"/>
      <c r="GN856"/>
      <c r="GO856"/>
      <c r="GP856"/>
      <c r="GQ856"/>
      <c r="GR856"/>
      <c r="GS856"/>
      <c r="GT856"/>
      <c r="GU856"/>
      <c r="GV856"/>
      <c r="GW856"/>
      <c r="GX856"/>
      <c r="GY856"/>
      <c r="GZ856"/>
      <c r="HA856"/>
      <c r="HB856"/>
      <c r="HC856"/>
      <c r="HD856"/>
      <c r="HE856"/>
      <c r="HF856"/>
      <c r="HG856"/>
      <c r="HH856"/>
      <c r="HI856"/>
      <c r="HJ856"/>
      <c r="HK856"/>
      <c r="HL856"/>
      <c r="HM856"/>
      <c r="HN856"/>
      <c r="HO856"/>
      <c r="HP856"/>
      <c r="HQ856"/>
      <c r="HR856"/>
      <c r="HS856"/>
      <c r="HT856"/>
      <c r="HU856"/>
      <c r="HV856"/>
      <c r="HW856"/>
      <c r="HX856"/>
      <c r="HY856"/>
      <c r="HZ856"/>
      <c r="IA856"/>
      <c r="IB856"/>
      <c r="IC856"/>
      <c r="ID856"/>
      <c r="IE856"/>
      <c r="IF856"/>
      <c r="IG856"/>
      <c r="IH856"/>
      <c r="II856"/>
      <c r="IJ856"/>
      <c r="IK856"/>
      <c r="IL856"/>
      <c r="IM856"/>
      <c r="IN856"/>
      <c r="IO856"/>
      <c r="IP856"/>
      <c r="IQ856"/>
      <c r="IR856"/>
      <c r="IS856"/>
      <c r="IT856"/>
      <c r="IU856"/>
      <c r="IV856"/>
    </row>
    <row r="857" spans="1:256" ht="12.75" hidden="1" customHeight="1" x14ac:dyDescent="0.2">
      <c r="A857" s="471"/>
      <c r="B857" s="525" t="s">
        <v>954</v>
      </c>
      <c r="C857" s="452">
        <v>160000</v>
      </c>
      <c r="D857" s="454">
        <v>160000</v>
      </c>
      <c r="E857" s="468">
        <v>50000</v>
      </c>
      <c r="F857" s="304">
        <v>0</v>
      </c>
      <c r="G857" s="113">
        <v>0</v>
      </c>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c r="EX857"/>
      <c r="EY857"/>
      <c r="EZ857"/>
      <c r="FA857"/>
      <c r="FB857"/>
      <c r="FC857"/>
      <c r="FD857"/>
      <c r="FE857"/>
      <c r="FF857"/>
      <c r="FG857"/>
      <c r="FH857"/>
      <c r="FI857"/>
      <c r="FJ857"/>
      <c r="FK857"/>
      <c r="FL857"/>
      <c r="FM857"/>
      <c r="FN857"/>
      <c r="FO857"/>
      <c r="FP857"/>
      <c r="FQ857"/>
      <c r="FR857"/>
      <c r="FS857"/>
      <c r="FT857"/>
      <c r="FU857"/>
      <c r="FV857"/>
      <c r="FW857"/>
      <c r="FX857"/>
      <c r="FY857"/>
      <c r="FZ857"/>
      <c r="GA857"/>
      <c r="GB857"/>
      <c r="GC857"/>
      <c r="GD857"/>
      <c r="GE857"/>
      <c r="GF857"/>
      <c r="GG857"/>
      <c r="GH857"/>
      <c r="GI857"/>
      <c r="GJ857"/>
      <c r="GK857"/>
      <c r="GL857"/>
      <c r="GM857"/>
      <c r="GN857"/>
      <c r="GO857"/>
      <c r="GP857"/>
      <c r="GQ857"/>
      <c r="GR857"/>
      <c r="GS857"/>
      <c r="GT857"/>
      <c r="GU857"/>
      <c r="GV857"/>
      <c r="GW857"/>
      <c r="GX857"/>
      <c r="GY857"/>
      <c r="GZ857"/>
      <c r="HA857"/>
      <c r="HB857"/>
      <c r="HC857"/>
      <c r="HD857"/>
      <c r="HE857"/>
      <c r="HF857"/>
      <c r="HG857"/>
      <c r="HH857"/>
      <c r="HI857"/>
      <c r="HJ857"/>
      <c r="HK857"/>
      <c r="HL857"/>
      <c r="HM857"/>
      <c r="HN857"/>
      <c r="HO857"/>
      <c r="HP857"/>
      <c r="HQ857"/>
      <c r="HR857"/>
      <c r="HS857"/>
      <c r="HT857"/>
      <c r="HU857"/>
      <c r="HV857"/>
      <c r="HW857"/>
      <c r="HX857"/>
      <c r="HY857"/>
      <c r="HZ857"/>
      <c r="IA857"/>
      <c r="IB857"/>
      <c r="IC857"/>
      <c r="ID857"/>
      <c r="IE857"/>
      <c r="IF857"/>
      <c r="IG857"/>
      <c r="IH857"/>
      <c r="II857"/>
      <c r="IJ857"/>
      <c r="IK857"/>
      <c r="IL857"/>
      <c r="IM857"/>
      <c r="IN857"/>
      <c r="IO857"/>
      <c r="IP857"/>
      <c r="IQ857"/>
      <c r="IR857"/>
      <c r="IS857"/>
      <c r="IT857"/>
      <c r="IU857"/>
      <c r="IV857"/>
    </row>
    <row r="858" spans="1:256" ht="12.75" hidden="1" customHeight="1" x14ac:dyDescent="0.2">
      <c r="A858" s="471"/>
      <c r="B858" s="525" t="s">
        <v>955</v>
      </c>
      <c r="C858" s="452">
        <v>14645000</v>
      </c>
      <c r="D858" s="454">
        <f>14645000-3000000-1104217-748000</f>
        <v>9792783</v>
      </c>
      <c r="E858" s="468">
        <v>9700000</v>
      </c>
      <c r="F858" s="304">
        <v>8000</v>
      </c>
      <c r="G858" s="114">
        <v>0</v>
      </c>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c r="EX858"/>
      <c r="EY858"/>
      <c r="EZ858"/>
      <c r="FA858"/>
      <c r="FB858"/>
      <c r="FC858"/>
      <c r="FD858"/>
      <c r="FE858"/>
      <c r="FF858"/>
      <c r="FG858"/>
      <c r="FH858"/>
      <c r="FI858"/>
      <c r="FJ858"/>
      <c r="FK858"/>
      <c r="FL858"/>
      <c r="FM858"/>
      <c r="FN858"/>
      <c r="FO858"/>
      <c r="FP858"/>
      <c r="FQ858"/>
      <c r="FR858"/>
      <c r="FS858"/>
      <c r="FT858"/>
      <c r="FU858"/>
      <c r="FV858"/>
      <c r="FW858"/>
      <c r="FX858"/>
      <c r="FY858"/>
      <c r="FZ858"/>
      <c r="GA858"/>
      <c r="GB858"/>
      <c r="GC858"/>
      <c r="GD858"/>
      <c r="GE858"/>
      <c r="GF858"/>
      <c r="GG858"/>
      <c r="GH858"/>
      <c r="GI858"/>
      <c r="GJ858"/>
      <c r="GK858"/>
      <c r="GL858"/>
      <c r="GM858"/>
      <c r="GN858"/>
      <c r="GO858"/>
      <c r="GP858"/>
      <c r="GQ858"/>
      <c r="GR858"/>
      <c r="GS858"/>
      <c r="GT858"/>
      <c r="GU858"/>
      <c r="GV858"/>
      <c r="GW858"/>
      <c r="GX858"/>
      <c r="GY858"/>
      <c r="GZ858"/>
      <c r="HA858"/>
      <c r="HB858"/>
      <c r="HC858"/>
      <c r="HD858"/>
      <c r="HE858"/>
      <c r="HF858"/>
      <c r="HG858"/>
      <c r="HH858"/>
      <c r="HI858"/>
      <c r="HJ858"/>
      <c r="HK858"/>
      <c r="HL858"/>
      <c r="HM858"/>
      <c r="HN858"/>
      <c r="HO858"/>
      <c r="HP858"/>
      <c r="HQ858"/>
      <c r="HR858"/>
      <c r="HS858"/>
      <c r="HT858"/>
      <c r="HU858"/>
      <c r="HV858"/>
      <c r="HW858"/>
      <c r="HX858"/>
      <c r="HY858"/>
      <c r="HZ858"/>
      <c r="IA858"/>
      <c r="IB858"/>
      <c r="IC858"/>
      <c r="ID858"/>
      <c r="IE858"/>
      <c r="IF858"/>
      <c r="IG858"/>
      <c r="IH858"/>
      <c r="II858"/>
      <c r="IJ858"/>
      <c r="IK858"/>
      <c r="IL858"/>
      <c r="IM858"/>
      <c r="IN858"/>
      <c r="IO858"/>
      <c r="IP858"/>
      <c r="IQ858"/>
      <c r="IR858"/>
      <c r="IS858"/>
      <c r="IT858"/>
      <c r="IU858"/>
      <c r="IV858"/>
    </row>
    <row r="859" spans="1:256" ht="12.75" hidden="1" customHeight="1" x14ac:dyDescent="0.2">
      <c r="A859" s="471"/>
      <c r="B859" s="525" t="s">
        <v>956</v>
      </c>
      <c r="C859" s="452">
        <v>0</v>
      </c>
      <c r="D859" s="454">
        <v>748000</v>
      </c>
      <c r="E859" s="468">
        <v>679297.55</v>
      </c>
      <c r="F859" s="304">
        <v>747662.55</v>
      </c>
      <c r="G859" s="113">
        <v>0</v>
      </c>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c r="EX859"/>
      <c r="EY859"/>
      <c r="EZ859"/>
      <c r="FA859"/>
      <c r="FB859"/>
      <c r="FC859"/>
      <c r="FD859"/>
      <c r="FE859"/>
      <c r="FF859"/>
      <c r="FG859"/>
      <c r="FH859"/>
      <c r="FI859"/>
      <c r="FJ859"/>
      <c r="FK859"/>
      <c r="FL859"/>
      <c r="FM859"/>
      <c r="FN859"/>
      <c r="FO859"/>
      <c r="FP859"/>
      <c r="FQ859"/>
      <c r="FR859"/>
      <c r="FS859"/>
      <c r="FT859"/>
      <c r="FU859"/>
      <c r="FV859"/>
      <c r="FW859"/>
      <c r="FX859"/>
      <c r="FY859"/>
      <c r="FZ859"/>
      <c r="GA859"/>
      <c r="GB859"/>
      <c r="GC859"/>
      <c r="GD859"/>
      <c r="GE859"/>
      <c r="GF859"/>
      <c r="GG859"/>
      <c r="GH859"/>
      <c r="GI859"/>
      <c r="GJ859"/>
      <c r="GK859"/>
      <c r="GL859"/>
      <c r="GM859"/>
      <c r="GN859"/>
      <c r="GO859"/>
      <c r="GP859"/>
      <c r="GQ859"/>
      <c r="GR859"/>
      <c r="GS859"/>
      <c r="GT859"/>
      <c r="GU859"/>
      <c r="GV859"/>
      <c r="GW859"/>
      <c r="GX859"/>
      <c r="GY859"/>
      <c r="GZ859"/>
      <c r="HA859"/>
      <c r="HB859"/>
      <c r="HC859"/>
      <c r="HD859"/>
      <c r="HE859"/>
      <c r="HF859"/>
      <c r="HG859"/>
      <c r="HH859"/>
      <c r="HI859"/>
      <c r="HJ859"/>
      <c r="HK859"/>
      <c r="HL859"/>
      <c r="HM859"/>
      <c r="HN859"/>
      <c r="HO859"/>
      <c r="HP859"/>
      <c r="HQ859"/>
      <c r="HR859"/>
      <c r="HS859"/>
      <c r="HT859"/>
      <c r="HU859"/>
      <c r="HV859"/>
      <c r="HW859"/>
      <c r="HX859"/>
      <c r="HY859"/>
      <c r="HZ859"/>
      <c r="IA859"/>
      <c r="IB859"/>
      <c r="IC859"/>
      <c r="ID859"/>
      <c r="IE859"/>
      <c r="IF859"/>
      <c r="IG859"/>
      <c r="IH859"/>
      <c r="II859"/>
      <c r="IJ859"/>
      <c r="IK859"/>
      <c r="IL859"/>
      <c r="IM859"/>
      <c r="IN859"/>
      <c r="IO859"/>
      <c r="IP859"/>
      <c r="IQ859"/>
      <c r="IR859"/>
      <c r="IS859"/>
      <c r="IT859"/>
      <c r="IU859"/>
      <c r="IV859"/>
    </row>
    <row r="860" spans="1:256" s="2" customFormat="1" ht="12.75" hidden="1" customHeight="1" x14ac:dyDescent="0.2">
      <c r="A860" s="471"/>
      <c r="B860" s="525" t="s">
        <v>957</v>
      </c>
      <c r="C860" s="450">
        <v>8067000</v>
      </c>
      <c r="D860" s="454">
        <f>8067000-1700000-727000</f>
        <v>5640000</v>
      </c>
      <c r="E860" s="468">
        <v>5600000</v>
      </c>
      <c r="F860" s="304">
        <v>4973916.7300000004</v>
      </c>
      <c r="G860" s="113">
        <v>0</v>
      </c>
    </row>
    <row r="861" spans="1:256" s="2" customFormat="1" ht="12.75" hidden="1" customHeight="1" x14ac:dyDescent="0.2">
      <c r="A861" s="471"/>
      <c r="B861" s="525" t="s">
        <v>958</v>
      </c>
      <c r="C861" s="450">
        <v>3372000</v>
      </c>
      <c r="D861" s="454">
        <f>3372000-572000</f>
        <v>2800000</v>
      </c>
      <c r="E861" s="468">
        <v>2672665.7999999998</v>
      </c>
      <c r="F861" s="304">
        <v>2589780.7999999998</v>
      </c>
      <c r="G861" s="114">
        <v>0</v>
      </c>
    </row>
    <row r="862" spans="1:256" s="2" customFormat="1" ht="12.75" hidden="1" customHeight="1" x14ac:dyDescent="0.2">
      <c r="A862" s="471"/>
      <c r="B862" s="525" t="s">
        <v>959</v>
      </c>
      <c r="C862" s="450">
        <v>1590000</v>
      </c>
      <c r="D862" s="454">
        <f>1590000-336000</f>
        <v>1254000</v>
      </c>
      <c r="E862" s="468">
        <v>1254000</v>
      </c>
      <c r="F862" s="304">
        <v>1253999.23</v>
      </c>
      <c r="G862" s="113">
        <v>0</v>
      </c>
    </row>
    <row r="863" spans="1:256" s="2" customFormat="1" ht="12.75" hidden="1" customHeight="1" x14ac:dyDescent="0.2">
      <c r="A863" s="471"/>
      <c r="B863" s="539" t="s">
        <v>960</v>
      </c>
      <c r="C863" s="452"/>
      <c r="D863" s="454"/>
      <c r="E863" s="468"/>
      <c r="F863" s="510"/>
      <c r="G863" s="450">
        <v>200000</v>
      </c>
    </row>
    <row r="864" spans="1:256" s="2" customFormat="1" ht="12.75" hidden="1" customHeight="1" x14ac:dyDescent="0.2">
      <c r="A864" s="471"/>
      <c r="B864" s="540" t="s">
        <v>961</v>
      </c>
      <c r="C864" s="450"/>
      <c r="D864" s="454"/>
      <c r="E864" s="468"/>
      <c r="F864" s="510"/>
      <c r="G864" s="450">
        <v>4750000</v>
      </c>
    </row>
    <row r="865" spans="1:256" s="2" customFormat="1" ht="12.75" hidden="1" customHeight="1" x14ac:dyDescent="0.2">
      <c r="A865" s="471"/>
      <c r="B865" s="540" t="s">
        <v>962</v>
      </c>
      <c r="C865" s="452"/>
      <c r="D865" s="454"/>
      <c r="E865" s="455"/>
      <c r="F865" s="510"/>
      <c r="G865" s="452">
        <v>3300000</v>
      </c>
    </row>
    <row r="866" spans="1:256" s="2" customFormat="1" ht="12.75" hidden="1" customHeight="1" x14ac:dyDescent="0.2">
      <c r="A866" s="471"/>
      <c r="B866" s="540" t="s">
        <v>963</v>
      </c>
      <c r="C866" s="450"/>
      <c r="D866" s="454"/>
      <c r="E866" s="468"/>
      <c r="F866" s="510"/>
      <c r="G866" s="450">
        <v>3750000</v>
      </c>
    </row>
    <row r="867" spans="1:256" s="2" customFormat="1" ht="12.75" hidden="1" customHeight="1" x14ac:dyDescent="0.2">
      <c r="A867" s="471"/>
      <c r="B867" s="540" t="s">
        <v>964</v>
      </c>
      <c r="C867" s="452"/>
      <c r="D867" s="454"/>
      <c r="E867" s="455"/>
      <c r="F867" s="510"/>
      <c r="G867" s="450">
        <v>2050000</v>
      </c>
    </row>
    <row r="868" spans="1:256" s="2" customFormat="1" ht="12.75" hidden="1" customHeight="1" x14ac:dyDescent="0.2">
      <c r="A868" s="471"/>
      <c r="B868" s="540" t="s">
        <v>965</v>
      </c>
      <c r="C868" s="452"/>
      <c r="D868" s="454"/>
      <c r="E868" s="455"/>
      <c r="F868" s="510"/>
      <c r="G868" s="452">
        <v>2000000</v>
      </c>
    </row>
    <row r="869" spans="1:256" s="2" customFormat="1" ht="12.75" hidden="1" customHeight="1" x14ac:dyDescent="0.2">
      <c r="A869" s="471"/>
      <c r="B869" s="540" t="s">
        <v>966</v>
      </c>
      <c r="C869" s="452"/>
      <c r="D869" s="454"/>
      <c r="E869" s="468"/>
      <c r="F869" s="510"/>
      <c r="G869" s="452">
        <v>6000000</v>
      </c>
    </row>
    <row r="870" spans="1:256" s="2" customFormat="1" ht="12.75" hidden="1" customHeight="1" x14ac:dyDescent="0.2">
      <c r="A870" s="471"/>
      <c r="B870" s="540" t="s">
        <v>967</v>
      </c>
      <c r="C870" s="452"/>
      <c r="D870" s="454"/>
      <c r="E870" s="468"/>
      <c r="F870" s="510"/>
      <c r="G870" s="452">
        <v>2000000</v>
      </c>
    </row>
    <row r="871" spans="1:256" s="2" customFormat="1" ht="12.75" hidden="1" customHeight="1" x14ac:dyDescent="0.2">
      <c r="A871" s="471"/>
      <c r="B871" s="540" t="s">
        <v>968</v>
      </c>
      <c r="C871" s="450"/>
      <c r="D871" s="454"/>
      <c r="E871" s="468"/>
      <c r="F871" s="510"/>
      <c r="G871" s="450">
        <v>1300000</v>
      </c>
    </row>
    <row r="872" spans="1:256" s="2" customFormat="1" ht="12.75" hidden="1" customHeight="1" x14ac:dyDescent="0.2">
      <c r="A872" s="443">
        <v>3699</v>
      </c>
      <c r="B872" s="537" t="s">
        <v>969</v>
      </c>
      <c r="C872" s="447">
        <f>C873</f>
        <v>10000</v>
      </c>
      <c r="D872" s="469">
        <f>D873</f>
        <v>10000</v>
      </c>
      <c r="E872" s="469">
        <f>E873</f>
        <v>10000</v>
      </c>
      <c r="F872" s="301">
        <v>0</v>
      </c>
      <c r="G872" s="109">
        <v>0</v>
      </c>
    </row>
    <row r="873" spans="1:256" s="2" customFormat="1" ht="12.75" hidden="1" customHeight="1" x14ac:dyDescent="0.2">
      <c r="A873" s="471"/>
      <c r="B873" s="541" t="s">
        <v>970</v>
      </c>
      <c r="C873" s="450">
        <v>10000</v>
      </c>
      <c r="D873" s="454">
        <v>10000</v>
      </c>
      <c r="E873" s="468">
        <v>10000</v>
      </c>
      <c r="F873" s="304">
        <v>0</v>
      </c>
      <c r="G873" s="114">
        <v>0</v>
      </c>
    </row>
    <row r="874" spans="1:256" s="2" customFormat="1" ht="12.75" hidden="1" customHeight="1" x14ac:dyDescent="0.2">
      <c r="A874" s="443">
        <v>4351</v>
      </c>
      <c r="B874" s="537" t="s">
        <v>971</v>
      </c>
      <c r="C874" s="447">
        <v>10000</v>
      </c>
      <c r="D874" s="469">
        <v>10000</v>
      </c>
      <c r="E874" s="469">
        <v>10000</v>
      </c>
      <c r="F874" s="301">
        <v>3512.87</v>
      </c>
      <c r="G874" s="105">
        <v>10000</v>
      </c>
    </row>
    <row r="875" spans="1:256" s="2" customFormat="1" ht="12.75" hidden="1" customHeight="1" x14ac:dyDescent="0.2">
      <c r="A875" s="443">
        <v>4374</v>
      </c>
      <c r="B875" s="537" t="s">
        <v>759</v>
      </c>
      <c r="C875" s="445">
        <f>C876</f>
        <v>1015000</v>
      </c>
      <c r="D875" s="469">
        <f>D876</f>
        <v>915000</v>
      </c>
      <c r="E875" s="469">
        <f>E876</f>
        <v>915000</v>
      </c>
      <c r="F875" s="470">
        <f>F876</f>
        <v>630565.32999999996</v>
      </c>
      <c r="G875" s="445">
        <f>G876</f>
        <v>850000</v>
      </c>
    </row>
    <row r="876" spans="1:256" ht="12.75" hidden="1" customHeight="1" x14ac:dyDescent="0.2">
      <c r="A876" s="471"/>
      <c r="B876" s="467" t="s">
        <v>972</v>
      </c>
      <c r="C876" s="452">
        <f>SUM(C877,C878)</f>
        <v>1015000</v>
      </c>
      <c r="D876" s="454">
        <f>SUM(D877,D878)</f>
        <v>915000</v>
      </c>
      <c r="E876" s="454">
        <f>SUM(E877,E878)</f>
        <v>915000</v>
      </c>
      <c r="F876" s="498">
        <f>SUM(F877,F878)</f>
        <v>630565.32999999996</v>
      </c>
      <c r="G876" s="452">
        <f>SUM(G877,G878)</f>
        <v>850000</v>
      </c>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c r="EX876"/>
      <c r="EY876"/>
      <c r="EZ876"/>
      <c r="FA876"/>
      <c r="FB876"/>
      <c r="FC876"/>
      <c r="FD876"/>
      <c r="FE876"/>
      <c r="FF876"/>
      <c r="FG876"/>
      <c r="FH876"/>
      <c r="FI876"/>
      <c r="FJ876"/>
      <c r="FK876"/>
      <c r="FL876"/>
      <c r="FM876"/>
      <c r="FN876"/>
      <c r="FO876"/>
      <c r="FP876"/>
      <c r="FQ876"/>
      <c r="FR876"/>
      <c r="FS876"/>
      <c r="FT876"/>
      <c r="FU876"/>
      <c r="FV876"/>
      <c r="FW876"/>
      <c r="FX876"/>
      <c r="FY876"/>
      <c r="FZ876"/>
      <c r="GA876"/>
      <c r="GB876"/>
      <c r="GC876"/>
      <c r="GD876"/>
      <c r="GE876"/>
      <c r="GF876"/>
      <c r="GG876"/>
      <c r="GH876"/>
      <c r="GI876"/>
      <c r="GJ876"/>
      <c r="GK876"/>
      <c r="GL876"/>
      <c r="GM876"/>
      <c r="GN876"/>
      <c r="GO876"/>
      <c r="GP876"/>
      <c r="GQ876"/>
      <c r="GR876"/>
      <c r="GS876"/>
      <c r="GT876"/>
      <c r="GU876"/>
      <c r="GV876"/>
      <c r="GW876"/>
      <c r="GX876"/>
      <c r="GY876"/>
      <c r="GZ876"/>
      <c r="HA876"/>
      <c r="HB876"/>
      <c r="HC876"/>
      <c r="HD876"/>
      <c r="HE876"/>
      <c r="HF876"/>
      <c r="HG876"/>
      <c r="HH876"/>
      <c r="HI876"/>
      <c r="HJ876"/>
      <c r="HK876"/>
      <c r="HL876"/>
      <c r="HM876"/>
      <c r="HN876"/>
      <c r="HO876"/>
      <c r="HP876"/>
      <c r="HQ876"/>
      <c r="HR876"/>
      <c r="HS876"/>
      <c r="HT876"/>
      <c r="HU876"/>
      <c r="HV876"/>
      <c r="HW876"/>
      <c r="HX876"/>
      <c r="HY876"/>
      <c r="HZ876"/>
      <c r="IA876"/>
      <c r="IB876"/>
      <c r="IC876"/>
      <c r="ID876"/>
      <c r="IE876"/>
      <c r="IF876"/>
      <c r="IG876"/>
      <c r="IH876"/>
      <c r="II876"/>
      <c r="IJ876"/>
      <c r="IK876"/>
      <c r="IL876"/>
      <c r="IM876"/>
      <c r="IN876"/>
      <c r="IO876"/>
      <c r="IP876"/>
      <c r="IQ876"/>
      <c r="IR876"/>
      <c r="IS876"/>
      <c r="IT876"/>
      <c r="IU876"/>
      <c r="IV876"/>
    </row>
    <row r="877" spans="1:256" ht="12.75" hidden="1" customHeight="1" x14ac:dyDescent="0.2">
      <c r="A877" s="542"/>
      <c r="B877" s="499" t="s">
        <v>973</v>
      </c>
      <c r="C877" s="452">
        <v>690000</v>
      </c>
      <c r="D877" s="454">
        <v>690000</v>
      </c>
      <c r="E877" s="468">
        <v>690000</v>
      </c>
      <c r="F877" s="304">
        <v>630565.32999999996</v>
      </c>
      <c r="G877" s="113">
        <v>600000</v>
      </c>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c r="EX877"/>
      <c r="EY877"/>
      <c r="EZ877"/>
      <c r="FA877"/>
      <c r="FB877"/>
      <c r="FC877"/>
      <c r="FD877"/>
      <c r="FE877"/>
      <c r="FF877"/>
      <c r="FG877"/>
      <c r="FH877"/>
      <c r="FI877"/>
      <c r="FJ877"/>
      <c r="FK877"/>
      <c r="FL877"/>
      <c r="FM877"/>
      <c r="FN877"/>
      <c r="FO877"/>
      <c r="FP877"/>
      <c r="FQ877"/>
      <c r="FR877"/>
      <c r="FS877"/>
      <c r="FT877"/>
      <c r="FU877"/>
      <c r="FV877"/>
      <c r="FW877"/>
      <c r="FX877"/>
      <c r="FY877"/>
      <c r="FZ877"/>
      <c r="GA877"/>
      <c r="GB877"/>
      <c r="GC877"/>
      <c r="GD877"/>
      <c r="GE877"/>
      <c r="GF877"/>
      <c r="GG877"/>
      <c r="GH877"/>
      <c r="GI877"/>
      <c r="GJ877"/>
      <c r="GK877"/>
      <c r="GL877"/>
      <c r="GM877"/>
      <c r="GN877"/>
      <c r="GO877"/>
      <c r="GP877"/>
      <c r="GQ877"/>
      <c r="GR877"/>
      <c r="GS877"/>
      <c r="GT877"/>
      <c r="GU877"/>
      <c r="GV877"/>
      <c r="GW877"/>
      <c r="GX877"/>
      <c r="GY877"/>
      <c r="GZ877"/>
      <c r="HA877"/>
      <c r="HB877"/>
      <c r="HC877"/>
      <c r="HD877"/>
      <c r="HE877"/>
      <c r="HF877"/>
      <c r="HG877"/>
      <c r="HH877"/>
      <c r="HI877"/>
      <c r="HJ877"/>
      <c r="HK877"/>
      <c r="HL877"/>
      <c r="HM877"/>
      <c r="HN877"/>
      <c r="HO877"/>
      <c r="HP877"/>
      <c r="HQ877"/>
      <c r="HR877"/>
      <c r="HS877"/>
      <c r="HT877"/>
      <c r="HU877"/>
      <c r="HV877"/>
      <c r="HW877"/>
      <c r="HX877"/>
      <c r="HY877"/>
      <c r="HZ877"/>
      <c r="IA877"/>
      <c r="IB877"/>
      <c r="IC877"/>
      <c r="ID877"/>
      <c r="IE877"/>
      <c r="IF877"/>
      <c r="IG877"/>
      <c r="IH877"/>
      <c r="II877"/>
      <c r="IJ877"/>
      <c r="IK877"/>
      <c r="IL877"/>
      <c r="IM877"/>
      <c r="IN877"/>
      <c r="IO877"/>
      <c r="IP877"/>
      <c r="IQ877"/>
      <c r="IR877"/>
      <c r="IS877"/>
      <c r="IT877"/>
      <c r="IU877"/>
      <c r="IV877"/>
    </row>
    <row r="878" spans="1:256" ht="12.75" hidden="1" customHeight="1" x14ac:dyDescent="0.2">
      <c r="A878" s="542"/>
      <c r="B878" s="543" t="s">
        <v>974</v>
      </c>
      <c r="C878" s="452">
        <v>325000</v>
      </c>
      <c r="D878" s="454">
        <f>325000-100000</f>
        <v>225000</v>
      </c>
      <c r="E878" s="468">
        <v>225000</v>
      </c>
      <c r="F878" s="304">
        <v>0</v>
      </c>
      <c r="G878" s="113">
        <v>250000</v>
      </c>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c r="EX878"/>
      <c r="EY878"/>
      <c r="EZ878"/>
      <c r="FA878"/>
      <c r="FB878"/>
      <c r="FC878"/>
      <c r="FD878"/>
      <c r="FE878"/>
      <c r="FF878"/>
      <c r="FG878"/>
      <c r="FH878"/>
      <c r="FI878"/>
      <c r="FJ878"/>
      <c r="FK878"/>
      <c r="FL878"/>
      <c r="FM878"/>
      <c r="FN878"/>
      <c r="FO878"/>
      <c r="FP878"/>
      <c r="FQ878"/>
      <c r="FR878"/>
      <c r="FS878"/>
      <c r="FT878"/>
      <c r="FU878"/>
      <c r="FV878"/>
      <c r="FW878"/>
      <c r="FX878"/>
      <c r="FY878"/>
      <c r="FZ878"/>
      <c r="GA878"/>
      <c r="GB878"/>
      <c r="GC878"/>
      <c r="GD878"/>
      <c r="GE878"/>
      <c r="GF878"/>
      <c r="GG878"/>
      <c r="GH878"/>
      <c r="GI878"/>
      <c r="GJ878"/>
      <c r="GK878"/>
      <c r="GL878"/>
      <c r="GM878"/>
      <c r="GN878"/>
      <c r="GO878"/>
      <c r="GP878"/>
      <c r="GQ878"/>
      <c r="GR878"/>
      <c r="GS878"/>
      <c r="GT878"/>
      <c r="GU878"/>
      <c r="GV878"/>
      <c r="GW878"/>
      <c r="GX878"/>
      <c r="GY878"/>
      <c r="GZ878"/>
      <c r="HA878"/>
      <c r="HB878"/>
      <c r="HC878"/>
      <c r="HD878"/>
      <c r="HE878"/>
      <c r="HF878"/>
      <c r="HG878"/>
      <c r="HH878"/>
      <c r="HI878"/>
      <c r="HJ878"/>
      <c r="HK878"/>
      <c r="HL878"/>
      <c r="HM878"/>
      <c r="HN878"/>
      <c r="HO878"/>
      <c r="HP878"/>
      <c r="HQ878"/>
      <c r="HR878"/>
      <c r="HS878"/>
      <c r="HT878"/>
      <c r="HU878"/>
      <c r="HV878"/>
      <c r="HW878"/>
      <c r="HX878"/>
      <c r="HY878"/>
      <c r="HZ878"/>
      <c r="IA878"/>
      <c r="IB878"/>
      <c r="IC878"/>
      <c r="ID878"/>
      <c r="IE878"/>
      <c r="IF878"/>
      <c r="IG878"/>
      <c r="IH878"/>
      <c r="II878"/>
      <c r="IJ878"/>
      <c r="IK878"/>
      <c r="IL878"/>
      <c r="IM878"/>
      <c r="IN878"/>
      <c r="IO878"/>
      <c r="IP878"/>
      <c r="IQ878"/>
      <c r="IR878"/>
      <c r="IS878"/>
      <c r="IT878"/>
      <c r="IU878"/>
      <c r="IV878"/>
    </row>
    <row r="879" spans="1:256" ht="12.75" hidden="1" customHeight="1" x14ac:dyDescent="0.2">
      <c r="A879" s="443">
        <v>6171</v>
      </c>
      <c r="B879" s="537" t="s">
        <v>975</v>
      </c>
      <c r="C879" s="447">
        <f>SUM(C880:C883)</f>
        <v>910000</v>
      </c>
      <c r="D879" s="469">
        <f>SUM(D880:D883)</f>
        <v>912000</v>
      </c>
      <c r="E879" s="469">
        <f>SUM(E880:E883)</f>
        <v>592000</v>
      </c>
      <c r="F879" s="470">
        <f>SUM(F880:F883)</f>
        <v>217174.47</v>
      </c>
      <c r="G879" s="447">
        <f>SUM(G880:G884)</f>
        <v>2550000</v>
      </c>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c r="EX879"/>
      <c r="EY879"/>
      <c r="EZ879"/>
      <c r="FA879"/>
      <c r="FB879"/>
      <c r="FC879"/>
      <c r="FD879"/>
      <c r="FE879"/>
      <c r="FF879"/>
      <c r="FG879"/>
      <c r="FH879"/>
      <c r="FI879"/>
      <c r="FJ879"/>
      <c r="FK879"/>
      <c r="FL879"/>
      <c r="FM879"/>
      <c r="FN879"/>
      <c r="FO879"/>
      <c r="FP879"/>
      <c r="FQ879"/>
      <c r="FR879"/>
      <c r="FS879"/>
      <c r="FT879"/>
      <c r="FU879"/>
      <c r="FV879"/>
      <c r="FW879"/>
      <c r="FX879"/>
      <c r="FY879"/>
      <c r="FZ879"/>
      <c r="GA879"/>
      <c r="GB879"/>
      <c r="GC879"/>
      <c r="GD879"/>
      <c r="GE879"/>
      <c r="GF879"/>
      <c r="GG879"/>
      <c r="GH879"/>
      <c r="GI879"/>
      <c r="GJ879"/>
      <c r="GK879"/>
      <c r="GL879"/>
      <c r="GM879"/>
      <c r="GN879"/>
      <c r="GO879"/>
      <c r="GP879"/>
      <c r="GQ879"/>
      <c r="GR879"/>
      <c r="GS879"/>
      <c r="GT879"/>
      <c r="GU879"/>
      <c r="GV879"/>
      <c r="GW879"/>
      <c r="GX879"/>
      <c r="GY879"/>
      <c r="GZ879"/>
      <c r="HA879"/>
      <c r="HB879"/>
      <c r="HC879"/>
      <c r="HD879"/>
      <c r="HE879"/>
      <c r="HF879"/>
      <c r="HG879"/>
      <c r="HH879"/>
      <c r="HI879"/>
      <c r="HJ879"/>
      <c r="HK879"/>
      <c r="HL879"/>
      <c r="HM879"/>
      <c r="HN879"/>
      <c r="HO879"/>
      <c r="HP879"/>
      <c r="HQ879"/>
      <c r="HR879"/>
      <c r="HS879"/>
      <c r="HT879"/>
      <c r="HU879"/>
      <c r="HV879"/>
      <c r="HW879"/>
      <c r="HX879"/>
      <c r="HY879"/>
      <c r="HZ879"/>
      <c r="IA879"/>
      <c r="IB879"/>
      <c r="IC879"/>
      <c r="ID879"/>
      <c r="IE879"/>
      <c r="IF879"/>
      <c r="IG879"/>
      <c r="IH879"/>
      <c r="II879"/>
      <c r="IJ879"/>
      <c r="IK879"/>
      <c r="IL879"/>
      <c r="IM879"/>
      <c r="IN879"/>
      <c r="IO879"/>
      <c r="IP879"/>
      <c r="IQ879"/>
      <c r="IR879"/>
      <c r="IS879"/>
      <c r="IT879"/>
      <c r="IU879"/>
      <c r="IV879"/>
    </row>
    <row r="880" spans="1:256" ht="12.75" hidden="1" customHeight="1" x14ac:dyDescent="0.2">
      <c r="A880" s="471"/>
      <c r="B880" s="472" t="s">
        <v>976</v>
      </c>
      <c r="C880" s="452">
        <f>20000+220000</f>
        <v>240000</v>
      </c>
      <c r="D880" s="478">
        <v>140000</v>
      </c>
      <c r="E880" s="480">
        <v>20000</v>
      </c>
      <c r="F880" s="304">
        <v>2000</v>
      </c>
      <c r="G880" s="113">
        <v>50000</v>
      </c>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c r="EX880"/>
      <c r="EY880"/>
      <c r="EZ880"/>
      <c r="FA880"/>
      <c r="FB880"/>
      <c r="FC880"/>
      <c r="FD880"/>
      <c r="FE880"/>
      <c r="FF880"/>
      <c r="FG880"/>
      <c r="FH880"/>
      <c r="FI880"/>
      <c r="FJ880"/>
      <c r="FK880"/>
      <c r="FL880"/>
      <c r="FM880"/>
      <c r="FN880"/>
      <c r="FO880"/>
      <c r="FP880"/>
      <c r="FQ880"/>
      <c r="FR880"/>
      <c r="FS880"/>
      <c r="FT880"/>
      <c r="FU880"/>
      <c r="FV880"/>
      <c r="FW880"/>
      <c r="FX880"/>
      <c r="FY880"/>
      <c r="FZ880"/>
      <c r="GA880"/>
      <c r="GB880"/>
      <c r="GC880"/>
      <c r="GD880"/>
      <c r="GE880"/>
      <c r="GF880"/>
      <c r="GG880"/>
      <c r="GH880"/>
      <c r="GI880"/>
      <c r="GJ880"/>
      <c r="GK880"/>
      <c r="GL880"/>
      <c r="GM880"/>
      <c r="GN880"/>
      <c r="GO880"/>
      <c r="GP880"/>
      <c r="GQ880"/>
      <c r="GR880"/>
      <c r="GS880"/>
      <c r="GT880"/>
      <c r="GU880"/>
      <c r="GV880"/>
      <c r="GW880"/>
      <c r="GX880"/>
      <c r="GY880"/>
      <c r="GZ880"/>
      <c r="HA880"/>
      <c r="HB880"/>
      <c r="HC880"/>
      <c r="HD880"/>
      <c r="HE880"/>
      <c r="HF880"/>
      <c r="HG880"/>
      <c r="HH880"/>
      <c r="HI880"/>
      <c r="HJ880"/>
      <c r="HK880"/>
      <c r="HL880"/>
      <c r="HM880"/>
      <c r="HN880"/>
      <c r="HO880"/>
      <c r="HP880"/>
      <c r="HQ880"/>
      <c r="HR880"/>
      <c r="HS880"/>
      <c r="HT880"/>
      <c r="HU880"/>
      <c r="HV880"/>
      <c r="HW880"/>
      <c r="HX880"/>
      <c r="HY880"/>
      <c r="HZ880"/>
      <c r="IA880"/>
      <c r="IB880"/>
      <c r="IC880"/>
      <c r="ID880"/>
      <c r="IE880"/>
      <c r="IF880"/>
      <c r="IG880"/>
      <c r="IH880"/>
      <c r="II880"/>
      <c r="IJ880"/>
      <c r="IK880"/>
      <c r="IL880"/>
      <c r="IM880"/>
      <c r="IN880"/>
      <c r="IO880"/>
      <c r="IP880"/>
      <c r="IQ880"/>
      <c r="IR880"/>
      <c r="IS880"/>
      <c r="IT880"/>
      <c r="IU880"/>
      <c r="IV880"/>
    </row>
    <row r="881" spans="1:256" ht="12.75" hidden="1" customHeight="1" x14ac:dyDescent="0.2">
      <c r="A881" s="542"/>
      <c r="B881" s="472" t="s">
        <v>977</v>
      </c>
      <c r="C881" s="452">
        <v>70000</v>
      </c>
      <c r="D881" s="478">
        <v>172000</v>
      </c>
      <c r="E881" s="480">
        <v>172000</v>
      </c>
      <c r="F881" s="304">
        <v>215174.47</v>
      </c>
      <c r="G881" s="113">
        <v>0</v>
      </c>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c r="EX881"/>
      <c r="EY881"/>
      <c r="EZ881"/>
      <c r="FA881"/>
      <c r="FB881"/>
      <c r="FC881"/>
      <c r="FD881"/>
      <c r="FE881"/>
      <c r="FF881"/>
      <c r="FG881"/>
      <c r="FH881"/>
      <c r="FI881"/>
      <c r="FJ881"/>
      <c r="FK881"/>
      <c r="FL881"/>
      <c r="FM881"/>
      <c r="FN881"/>
      <c r="FO881"/>
      <c r="FP881"/>
      <c r="FQ881"/>
      <c r="FR881"/>
      <c r="FS881"/>
      <c r="FT881"/>
      <c r="FU881"/>
      <c r="FV881"/>
      <c r="FW881"/>
      <c r="FX881"/>
      <c r="FY881"/>
      <c r="FZ881"/>
      <c r="GA881"/>
      <c r="GB881"/>
      <c r="GC881"/>
      <c r="GD881"/>
      <c r="GE881"/>
      <c r="GF881"/>
      <c r="GG881"/>
      <c r="GH881"/>
      <c r="GI881"/>
      <c r="GJ881"/>
      <c r="GK881"/>
      <c r="GL881"/>
      <c r="GM881"/>
      <c r="GN881"/>
      <c r="GO881"/>
      <c r="GP881"/>
      <c r="GQ881"/>
      <c r="GR881"/>
      <c r="GS881"/>
      <c r="GT881"/>
      <c r="GU881"/>
      <c r="GV881"/>
      <c r="GW881"/>
      <c r="GX881"/>
      <c r="GY881"/>
      <c r="GZ881"/>
      <c r="HA881"/>
      <c r="HB881"/>
      <c r="HC881"/>
      <c r="HD881"/>
      <c r="HE881"/>
      <c r="HF881"/>
      <c r="HG881"/>
      <c r="HH881"/>
      <c r="HI881"/>
      <c r="HJ881"/>
      <c r="HK881"/>
      <c r="HL881"/>
      <c r="HM881"/>
      <c r="HN881"/>
      <c r="HO881"/>
      <c r="HP881"/>
      <c r="HQ881"/>
      <c r="HR881"/>
      <c r="HS881"/>
      <c r="HT881"/>
      <c r="HU881"/>
      <c r="HV881"/>
      <c r="HW881"/>
      <c r="HX881"/>
      <c r="HY881"/>
      <c r="HZ881"/>
      <c r="IA881"/>
      <c r="IB881"/>
      <c r="IC881"/>
      <c r="ID881"/>
      <c r="IE881"/>
      <c r="IF881"/>
      <c r="IG881"/>
      <c r="IH881"/>
      <c r="II881"/>
      <c r="IJ881"/>
      <c r="IK881"/>
      <c r="IL881"/>
      <c r="IM881"/>
      <c r="IN881"/>
      <c r="IO881"/>
      <c r="IP881"/>
      <c r="IQ881"/>
      <c r="IR881"/>
      <c r="IS881"/>
      <c r="IT881"/>
      <c r="IU881"/>
      <c r="IV881"/>
    </row>
    <row r="882" spans="1:256" ht="12.75" hidden="1" customHeight="1" x14ac:dyDescent="0.2">
      <c r="A882" s="542"/>
      <c r="B882" s="474" t="s">
        <v>978</v>
      </c>
      <c r="C882" s="452">
        <v>600000</v>
      </c>
      <c r="D882" s="454">
        <v>600000</v>
      </c>
      <c r="E882" s="468">
        <v>400000</v>
      </c>
      <c r="F882" s="304">
        <v>0</v>
      </c>
      <c r="G882" s="113">
        <v>2000000</v>
      </c>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c r="EX882"/>
      <c r="EY882"/>
      <c r="EZ882"/>
      <c r="FA882"/>
      <c r="FB882"/>
      <c r="FC882"/>
      <c r="FD882"/>
      <c r="FE882"/>
      <c r="FF882"/>
      <c r="FG882"/>
      <c r="FH882"/>
      <c r="FI882"/>
      <c r="FJ882"/>
      <c r="FK882"/>
      <c r="FL882"/>
      <c r="FM882"/>
      <c r="FN882"/>
      <c r="FO882"/>
      <c r="FP882"/>
      <c r="FQ882"/>
      <c r="FR882"/>
      <c r="FS882"/>
      <c r="FT882"/>
      <c r="FU882"/>
      <c r="FV882"/>
      <c r="FW882"/>
      <c r="FX882"/>
      <c r="FY882"/>
      <c r="FZ882"/>
      <c r="GA882"/>
      <c r="GB882"/>
      <c r="GC882"/>
      <c r="GD882"/>
      <c r="GE882"/>
      <c r="GF882"/>
      <c r="GG882"/>
      <c r="GH882"/>
      <c r="GI882"/>
      <c r="GJ882"/>
      <c r="GK882"/>
      <c r="GL882"/>
      <c r="GM882"/>
      <c r="GN882"/>
      <c r="GO882"/>
      <c r="GP882"/>
      <c r="GQ882"/>
      <c r="GR882"/>
      <c r="GS882"/>
      <c r="GT882"/>
      <c r="GU882"/>
      <c r="GV882"/>
      <c r="GW882"/>
      <c r="GX882"/>
      <c r="GY882"/>
      <c r="GZ882"/>
      <c r="HA882"/>
      <c r="HB882"/>
      <c r="HC882"/>
      <c r="HD882"/>
      <c r="HE882"/>
      <c r="HF882"/>
      <c r="HG882"/>
      <c r="HH882"/>
      <c r="HI882"/>
      <c r="HJ882"/>
      <c r="HK882"/>
      <c r="HL882"/>
      <c r="HM882"/>
      <c r="HN882"/>
      <c r="HO882"/>
      <c r="HP882"/>
      <c r="HQ882"/>
      <c r="HR882"/>
      <c r="HS882"/>
      <c r="HT882"/>
      <c r="HU882"/>
      <c r="HV882"/>
      <c r="HW882"/>
      <c r="HX882"/>
      <c r="HY882"/>
      <c r="HZ882"/>
      <c r="IA882"/>
      <c r="IB882"/>
      <c r="IC882"/>
      <c r="ID882"/>
      <c r="IE882"/>
      <c r="IF882"/>
      <c r="IG882"/>
      <c r="IH882"/>
      <c r="II882"/>
      <c r="IJ882"/>
      <c r="IK882"/>
      <c r="IL882"/>
      <c r="IM882"/>
      <c r="IN882"/>
      <c r="IO882"/>
      <c r="IP882"/>
      <c r="IQ882"/>
      <c r="IR882"/>
      <c r="IS882"/>
      <c r="IT882"/>
      <c r="IU882"/>
      <c r="IV882"/>
    </row>
    <row r="883" spans="1:256" ht="12.75" hidden="1" customHeight="1" x14ac:dyDescent="0.2">
      <c r="A883" s="471"/>
      <c r="B883" s="474" t="s">
        <v>979</v>
      </c>
      <c r="C883" s="452">
        <v>0</v>
      </c>
      <c r="D883" s="454">
        <v>0</v>
      </c>
      <c r="E883" s="468">
        <v>0</v>
      </c>
      <c r="F883" s="304">
        <v>0</v>
      </c>
      <c r="G883" s="113">
        <v>300000</v>
      </c>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c r="EX883"/>
      <c r="EY883"/>
      <c r="EZ883"/>
      <c r="FA883"/>
      <c r="FB883"/>
      <c r="FC883"/>
      <c r="FD883"/>
      <c r="FE883"/>
      <c r="FF883"/>
      <c r="FG883"/>
      <c r="FH883"/>
      <c r="FI883"/>
      <c r="FJ883"/>
      <c r="FK883"/>
      <c r="FL883"/>
      <c r="FM883"/>
      <c r="FN883"/>
      <c r="FO883"/>
      <c r="FP883"/>
      <c r="FQ883"/>
      <c r="FR883"/>
      <c r="FS883"/>
      <c r="FT883"/>
      <c r="FU883"/>
      <c r="FV883"/>
      <c r="FW883"/>
      <c r="FX883"/>
      <c r="FY883"/>
      <c r="FZ883"/>
      <c r="GA883"/>
      <c r="GB883"/>
      <c r="GC883"/>
      <c r="GD883"/>
      <c r="GE883"/>
      <c r="GF883"/>
      <c r="GG883"/>
      <c r="GH883"/>
      <c r="GI883"/>
      <c r="GJ883"/>
      <c r="GK883"/>
      <c r="GL883"/>
      <c r="GM883"/>
      <c r="GN883"/>
      <c r="GO883"/>
      <c r="GP883"/>
      <c r="GQ883"/>
      <c r="GR883"/>
      <c r="GS883"/>
      <c r="GT883"/>
      <c r="GU883"/>
      <c r="GV883"/>
      <c r="GW883"/>
      <c r="GX883"/>
      <c r="GY883"/>
      <c r="GZ883"/>
      <c r="HA883"/>
      <c r="HB883"/>
      <c r="HC883"/>
      <c r="HD883"/>
      <c r="HE883"/>
      <c r="HF883"/>
      <c r="HG883"/>
      <c r="HH883"/>
      <c r="HI883"/>
      <c r="HJ883"/>
      <c r="HK883"/>
      <c r="HL883"/>
      <c r="HM883"/>
      <c r="HN883"/>
      <c r="HO883"/>
      <c r="HP883"/>
      <c r="HQ883"/>
      <c r="HR883"/>
      <c r="HS883"/>
      <c r="HT883"/>
      <c r="HU883"/>
      <c r="HV883"/>
      <c r="HW883"/>
      <c r="HX883"/>
      <c r="HY883"/>
      <c r="HZ883"/>
      <c r="IA883"/>
      <c r="IB883"/>
      <c r="IC883"/>
      <c r="ID883"/>
      <c r="IE883"/>
      <c r="IF883"/>
      <c r="IG883"/>
      <c r="IH883"/>
      <c r="II883"/>
      <c r="IJ883"/>
      <c r="IK883"/>
      <c r="IL883"/>
      <c r="IM883"/>
      <c r="IN883"/>
      <c r="IO883"/>
      <c r="IP883"/>
      <c r="IQ883"/>
      <c r="IR883"/>
      <c r="IS883"/>
      <c r="IT883"/>
      <c r="IU883"/>
      <c r="IV883"/>
    </row>
    <row r="884" spans="1:256" ht="12.75" hidden="1" customHeight="1" x14ac:dyDescent="0.2">
      <c r="A884" s="544"/>
      <c r="B884" s="505" t="s">
        <v>980</v>
      </c>
      <c r="C884" s="459">
        <v>0</v>
      </c>
      <c r="D884" s="454">
        <v>0</v>
      </c>
      <c r="E884" s="528">
        <v>0</v>
      </c>
      <c r="F884" s="304">
        <v>0</v>
      </c>
      <c r="G884" s="166">
        <v>200000</v>
      </c>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c r="EX884"/>
      <c r="EY884"/>
      <c r="EZ884"/>
      <c r="FA884"/>
      <c r="FB884"/>
      <c r="FC884"/>
      <c r="FD884"/>
      <c r="FE884"/>
      <c r="FF884"/>
      <c r="FG884"/>
      <c r="FH884"/>
      <c r="FI884"/>
      <c r="FJ884"/>
      <c r="FK884"/>
      <c r="FL884"/>
      <c r="FM884"/>
      <c r="FN884"/>
      <c r="FO884"/>
      <c r="FP884"/>
      <c r="FQ884"/>
      <c r="FR884"/>
      <c r="FS884"/>
      <c r="FT884"/>
      <c r="FU884"/>
      <c r="FV884"/>
      <c r="FW884"/>
      <c r="FX884"/>
      <c r="FY884"/>
      <c r="FZ884"/>
      <c r="GA884"/>
      <c r="GB884"/>
      <c r="GC884"/>
      <c r="GD884"/>
      <c r="GE884"/>
      <c r="GF884"/>
      <c r="GG884"/>
      <c r="GH884"/>
      <c r="GI884"/>
      <c r="GJ884"/>
      <c r="GK884"/>
      <c r="GL884"/>
      <c r="GM884"/>
      <c r="GN884"/>
      <c r="GO884"/>
      <c r="GP884"/>
      <c r="GQ884"/>
      <c r="GR884"/>
      <c r="GS884"/>
      <c r="GT884"/>
      <c r="GU884"/>
      <c r="GV884"/>
      <c r="GW884"/>
      <c r="GX884"/>
      <c r="GY884"/>
      <c r="GZ884"/>
      <c r="HA884"/>
      <c r="HB884"/>
      <c r="HC884"/>
      <c r="HD884"/>
      <c r="HE884"/>
      <c r="HF884"/>
      <c r="HG884"/>
      <c r="HH884"/>
      <c r="HI884"/>
      <c r="HJ884"/>
      <c r="HK884"/>
      <c r="HL884"/>
      <c r="HM884"/>
      <c r="HN884"/>
      <c r="HO884"/>
      <c r="HP884"/>
      <c r="HQ884"/>
      <c r="HR884"/>
      <c r="HS884"/>
      <c r="HT884"/>
      <c r="HU884"/>
      <c r="HV884"/>
      <c r="HW884"/>
      <c r="HX884"/>
      <c r="HY884"/>
      <c r="HZ884"/>
      <c r="IA884"/>
      <c r="IB884"/>
      <c r="IC884"/>
      <c r="ID884"/>
      <c r="IE884"/>
      <c r="IF884"/>
      <c r="IG884"/>
      <c r="IH884"/>
      <c r="II884"/>
      <c r="IJ884"/>
      <c r="IK884"/>
      <c r="IL884"/>
      <c r="IM884"/>
      <c r="IN884"/>
      <c r="IO884"/>
      <c r="IP884"/>
      <c r="IQ884"/>
      <c r="IR884"/>
      <c r="IS884"/>
      <c r="IT884"/>
      <c r="IU884"/>
      <c r="IV884"/>
    </row>
    <row r="885" spans="1:256" s="545" customFormat="1" ht="20.25" hidden="1" x14ac:dyDescent="0.3">
      <c r="A885" s="64"/>
      <c r="B885" s="546" t="s">
        <v>52</v>
      </c>
      <c r="C885" s="281">
        <f>SUM(C886+C891+C896)</f>
        <v>1211750</v>
      </c>
      <c r="D885" s="547">
        <f>SUM(D886+D891+D896)</f>
        <v>637750</v>
      </c>
      <c r="E885" s="281">
        <f>SUM(E886+E891+E896)</f>
        <v>379640</v>
      </c>
      <c r="F885" s="280">
        <f>SUM(F886+F891+F896)</f>
        <v>120303.64</v>
      </c>
      <c r="G885" s="281">
        <f>SUM(G886+G891+G896)</f>
        <v>600000</v>
      </c>
      <c r="H885" s="32"/>
      <c r="IP885" s="98"/>
      <c r="IQ885" s="98"/>
      <c r="IR885" s="98"/>
      <c r="IS885" s="98"/>
      <c r="IT885" s="98"/>
      <c r="IU885" s="98"/>
      <c r="IV885" s="98"/>
    </row>
    <row r="886" spans="1:256" s="545" customFormat="1" hidden="1" x14ac:dyDescent="0.2">
      <c r="A886" s="102">
        <v>2169</v>
      </c>
      <c r="B886" s="103" t="s">
        <v>981</v>
      </c>
      <c r="C886" s="105">
        <f>SUM(C887+C888+C889)</f>
        <v>250000</v>
      </c>
      <c r="D886" s="105">
        <f>SUM(D887+D888+D889+D890)</f>
        <v>250000</v>
      </c>
      <c r="E886" s="105">
        <f>SUM(E887+E888+E889+E890)</f>
        <v>9000</v>
      </c>
      <c r="F886" s="105">
        <f>SUM(F887+F888+F889+F890)</f>
        <v>2553.6400000000003</v>
      </c>
      <c r="G886" s="105">
        <v>250000</v>
      </c>
      <c r="H886" s="88"/>
      <c r="IP886" s="98"/>
      <c r="IQ886" s="98"/>
      <c r="IR886" s="98"/>
      <c r="IS886" s="98"/>
      <c r="IT886" s="98"/>
      <c r="IU886" s="98"/>
      <c r="IV886" s="98"/>
    </row>
    <row r="887" spans="1:256" s="545" customFormat="1" hidden="1" x14ac:dyDescent="0.2">
      <c r="A887" s="102"/>
      <c r="B887" s="306" t="s">
        <v>982</v>
      </c>
      <c r="C887" s="113">
        <v>47000</v>
      </c>
      <c r="D887" s="113">
        <v>47000</v>
      </c>
      <c r="E887" s="113">
        <v>3000</v>
      </c>
      <c r="F887" s="113">
        <v>0</v>
      </c>
      <c r="G887" s="114">
        <v>47000</v>
      </c>
      <c r="H887" s="32"/>
      <c r="IP887" s="98"/>
      <c r="IQ887" s="98"/>
      <c r="IR887" s="98"/>
      <c r="IS887" s="98"/>
      <c r="IT887" s="98"/>
      <c r="IU887" s="98"/>
      <c r="IV887" s="98"/>
    </row>
    <row r="888" spans="1:256" s="545" customFormat="1" hidden="1" x14ac:dyDescent="0.2">
      <c r="A888" s="102"/>
      <c r="B888" s="306" t="s">
        <v>983</v>
      </c>
      <c r="C888" s="113">
        <v>200000</v>
      </c>
      <c r="D888" s="113">
        <v>199000</v>
      </c>
      <c r="E888" s="113">
        <v>5000</v>
      </c>
      <c r="F888" s="113">
        <v>1553.64</v>
      </c>
      <c r="G888" s="114">
        <v>200000</v>
      </c>
      <c r="H888" s="32"/>
      <c r="IP888" s="98"/>
      <c r="IQ888" s="98"/>
      <c r="IR888" s="98"/>
      <c r="IS888" s="98"/>
      <c r="IT888" s="98"/>
      <c r="IU888" s="98"/>
      <c r="IV888" s="98"/>
    </row>
    <row r="889" spans="1:256" s="545" customFormat="1" hidden="1" x14ac:dyDescent="0.2">
      <c r="A889" s="102"/>
      <c r="B889" s="306" t="s">
        <v>984</v>
      </c>
      <c r="C889" s="113">
        <v>3000</v>
      </c>
      <c r="D889" s="113">
        <v>3000</v>
      </c>
      <c r="E889" s="113">
        <v>0</v>
      </c>
      <c r="F889" s="113">
        <v>0</v>
      </c>
      <c r="G889" s="114">
        <v>3000</v>
      </c>
      <c r="H889" s="32"/>
      <c r="IP889" s="98"/>
      <c r="IQ889" s="98"/>
      <c r="IR889" s="98"/>
      <c r="IS889" s="98"/>
      <c r="IT889" s="98"/>
      <c r="IU889" s="98"/>
      <c r="IV889" s="98"/>
    </row>
    <row r="890" spans="1:256" s="545" customFormat="1" hidden="1" x14ac:dyDescent="0.2">
      <c r="A890" s="102"/>
      <c r="B890" s="306" t="s">
        <v>985</v>
      </c>
      <c r="C890" s="113">
        <v>0</v>
      </c>
      <c r="D890" s="113">
        <v>1000</v>
      </c>
      <c r="E890" s="113">
        <v>1000</v>
      </c>
      <c r="F890" s="113">
        <v>1000</v>
      </c>
      <c r="G890" s="114">
        <v>0</v>
      </c>
      <c r="H890" s="32"/>
      <c r="IP890" s="98"/>
      <c r="IQ890" s="98"/>
      <c r="IR890" s="98"/>
      <c r="IS890" s="98"/>
      <c r="IT890" s="98"/>
      <c r="IU890" s="98"/>
      <c r="IV890" s="98"/>
    </row>
    <row r="891" spans="1:256" s="545" customFormat="1" hidden="1" x14ac:dyDescent="0.2">
      <c r="A891" s="106">
        <v>3635</v>
      </c>
      <c r="B891" s="107" t="s">
        <v>986</v>
      </c>
      <c r="C891" s="109">
        <f>SUM(C892+C893+C894+C895)</f>
        <v>387750</v>
      </c>
      <c r="D891" s="109">
        <f>SUM(D892+D893+D894+D895)</f>
        <v>387750</v>
      </c>
      <c r="E891" s="109">
        <f>SUM(E892+E893+E894+E895)</f>
        <v>370640</v>
      </c>
      <c r="F891" s="109">
        <f>SUM(F892+F893+F894+F895)</f>
        <v>117750</v>
      </c>
      <c r="G891" s="109">
        <f>SUM(G892+G893+G894+G895)</f>
        <v>350000</v>
      </c>
      <c r="H891" s="88"/>
      <c r="IP891" s="98"/>
      <c r="IQ891" s="98"/>
      <c r="IR891" s="98"/>
      <c r="IS891" s="98"/>
      <c r="IT891" s="98"/>
      <c r="IU891" s="98"/>
      <c r="IV891" s="98"/>
    </row>
    <row r="892" spans="1:256" s="545" customFormat="1" hidden="1" x14ac:dyDescent="0.2">
      <c r="A892" s="111"/>
      <c r="B892" s="112" t="s">
        <v>987</v>
      </c>
      <c r="C892" s="113">
        <v>20000</v>
      </c>
      <c r="D892" s="113">
        <v>20000</v>
      </c>
      <c r="E892" s="113">
        <v>16940</v>
      </c>
      <c r="F892" s="113">
        <v>0</v>
      </c>
      <c r="G892" s="114">
        <v>50000</v>
      </c>
      <c r="H892" s="88"/>
      <c r="IP892" s="98"/>
      <c r="IQ892" s="98"/>
      <c r="IR892" s="98"/>
      <c r="IS892" s="98"/>
      <c r="IT892" s="98"/>
      <c r="IU892" s="98"/>
      <c r="IV892" s="98"/>
    </row>
    <row r="893" spans="1:256" s="545" customFormat="1" hidden="1" x14ac:dyDescent="0.2">
      <c r="A893" s="111"/>
      <c r="B893" s="112" t="s">
        <v>988</v>
      </c>
      <c r="C893" s="113">
        <v>250000</v>
      </c>
      <c r="D893" s="113">
        <v>250000</v>
      </c>
      <c r="E893" s="113">
        <v>235950</v>
      </c>
      <c r="F893" s="113">
        <v>0</v>
      </c>
      <c r="G893" s="114">
        <v>0</v>
      </c>
      <c r="H893" s="32"/>
      <c r="IP893" s="98"/>
      <c r="IQ893" s="98"/>
      <c r="IR893" s="98"/>
      <c r="IS893" s="98"/>
      <c r="IT893" s="98"/>
      <c r="IU893" s="98"/>
      <c r="IV893" s="98"/>
    </row>
    <row r="894" spans="1:256" s="545" customFormat="1" hidden="1" x14ac:dyDescent="0.2">
      <c r="A894" s="111"/>
      <c r="B894" s="112" t="s">
        <v>989</v>
      </c>
      <c r="C894" s="113">
        <v>0</v>
      </c>
      <c r="D894" s="113">
        <v>0</v>
      </c>
      <c r="E894" s="266">
        <v>0</v>
      </c>
      <c r="F894" s="266">
        <v>0</v>
      </c>
      <c r="G894" s="114">
        <v>300000</v>
      </c>
      <c r="H894" s="32"/>
      <c r="IP894" s="98"/>
      <c r="IQ894" s="98"/>
      <c r="IR894" s="98"/>
      <c r="IS894" s="98"/>
      <c r="IT894" s="98"/>
      <c r="IU894" s="98"/>
      <c r="IV894" s="98"/>
    </row>
    <row r="895" spans="1:256" s="545" customFormat="1" hidden="1" x14ac:dyDescent="0.2">
      <c r="A895" s="548"/>
      <c r="B895" s="112" t="s">
        <v>990</v>
      </c>
      <c r="C895" s="266">
        <v>117750</v>
      </c>
      <c r="D895" s="266">
        <v>117750</v>
      </c>
      <c r="E895" s="266">
        <v>117750</v>
      </c>
      <c r="F895" s="266">
        <v>117750</v>
      </c>
      <c r="G895" s="143">
        <v>0</v>
      </c>
      <c r="H895" s="32"/>
      <c r="IP895" s="98"/>
      <c r="IQ895" s="98"/>
      <c r="IR895" s="98"/>
      <c r="IS895" s="98"/>
      <c r="IT895" s="98"/>
      <c r="IU895" s="98"/>
      <c r="IV895" s="98"/>
    </row>
    <row r="896" spans="1:256" s="545" customFormat="1" ht="15.75" hidden="1" x14ac:dyDescent="0.25">
      <c r="A896" s="549"/>
      <c r="B896" s="64" t="s">
        <v>991</v>
      </c>
      <c r="C896" s="287">
        <v>574000</v>
      </c>
      <c r="D896" s="287">
        <v>0</v>
      </c>
      <c r="E896" s="287">
        <v>0</v>
      </c>
      <c r="F896" s="231">
        <v>0</v>
      </c>
      <c r="G896" s="287">
        <v>0</v>
      </c>
      <c r="H896" s="32"/>
      <c r="IP896" s="98"/>
      <c r="IQ896" s="98"/>
      <c r="IR896" s="98"/>
      <c r="IS896" s="98"/>
      <c r="IT896" s="98"/>
      <c r="IU896" s="98"/>
      <c r="IV896" s="98"/>
    </row>
    <row r="897" spans="1:256" s="545" customFormat="1" hidden="1" x14ac:dyDescent="0.2">
      <c r="A897" s="424">
        <v>3699</v>
      </c>
      <c r="B897" s="103" t="s">
        <v>992</v>
      </c>
      <c r="C897" s="105">
        <v>574000</v>
      </c>
      <c r="D897" s="105">
        <v>0</v>
      </c>
      <c r="E897" s="105">
        <v>0</v>
      </c>
      <c r="F897" s="105">
        <v>0</v>
      </c>
      <c r="G897" s="105">
        <v>0</v>
      </c>
      <c r="H897" s="88"/>
      <c r="IP897" s="98"/>
      <c r="IQ897" s="98"/>
      <c r="IR897" s="98"/>
      <c r="IS897" s="98"/>
      <c r="IT897" s="98"/>
      <c r="IU897" s="98"/>
      <c r="IV897" s="98"/>
    </row>
    <row r="898" spans="1:256" s="550" customFormat="1" hidden="1" x14ac:dyDescent="0.2">
      <c r="A898" s="421"/>
      <c r="B898" s="107"/>
      <c r="C898" s="266"/>
      <c r="D898" s="266"/>
      <c r="E898" s="266"/>
      <c r="F898" s="266"/>
      <c r="G898" s="266"/>
      <c r="H898" s="88"/>
      <c r="IP898" s="1"/>
      <c r="IQ898" s="1"/>
      <c r="IR898" s="1"/>
      <c r="IS898" s="1"/>
      <c r="IT898" s="1"/>
      <c r="IU898" s="1"/>
      <c r="IV898" s="1"/>
    </row>
    <row r="899" spans="1:256" s="244" customFormat="1" ht="20.25" hidden="1" x14ac:dyDescent="0.3">
      <c r="A899" s="312"/>
      <c r="B899" s="93" t="s">
        <v>54</v>
      </c>
      <c r="C899" s="551">
        <f>SUM(C900:C906,C908:C910,C913,C919)</f>
        <v>39215960</v>
      </c>
      <c r="D899" s="551">
        <f>SUM(D900:D906,D908:D910,D913,D919)</f>
        <v>110513968.37</v>
      </c>
      <c r="E899" s="551">
        <f>SUM(E900:E906,E908:E910,E913,E919)</f>
        <v>104362912.75</v>
      </c>
      <c r="F899" s="552">
        <f>SUM(F900:F906,F908:F910,F913,F919)</f>
        <v>111132121.87</v>
      </c>
      <c r="G899" s="551">
        <f>SUM(G900:G906,G908:G910,G913,G919)</f>
        <v>36184308.620000005</v>
      </c>
      <c r="H899" s="88"/>
    </row>
    <row r="900" spans="1:256" s="553" customFormat="1" ht="15.75" hidden="1" x14ac:dyDescent="0.2">
      <c r="A900" s="554" t="s">
        <v>993</v>
      </c>
      <c r="B900" s="390" t="s">
        <v>994</v>
      </c>
      <c r="C900" s="555">
        <v>50000</v>
      </c>
      <c r="D900" s="555">
        <v>50000</v>
      </c>
      <c r="E900" s="555">
        <v>50000</v>
      </c>
      <c r="F900" s="555">
        <v>50000</v>
      </c>
      <c r="G900" s="105">
        <v>10000</v>
      </c>
      <c r="H900" s="88"/>
    </row>
    <row r="901" spans="1:256" s="553" customFormat="1" ht="48.75" hidden="1" x14ac:dyDescent="0.2">
      <c r="A901" s="556" t="s">
        <v>995</v>
      </c>
      <c r="B901" s="370" t="s">
        <v>996</v>
      </c>
      <c r="C901" s="105">
        <f>12860.75+242500</f>
        <v>255360.75</v>
      </c>
      <c r="D901" s="105">
        <f>12860.75+242500</f>
        <v>255360.75</v>
      </c>
      <c r="E901" s="105">
        <f>12860.75+242500</f>
        <v>255360.75</v>
      </c>
      <c r="F901" s="105">
        <f>7186.9+120577.86</f>
        <v>127764.76</v>
      </c>
      <c r="G901" s="105">
        <f>6808.62+242500</f>
        <v>249308.62</v>
      </c>
      <c r="H901" s="32"/>
    </row>
    <row r="902" spans="1:256" s="98" customFormat="1" ht="12.75" hidden="1" customHeight="1" x14ac:dyDescent="0.3">
      <c r="A902" s="106">
        <v>3113</v>
      </c>
      <c r="B902" s="107" t="s">
        <v>997</v>
      </c>
      <c r="C902" s="109">
        <v>0</v>
      </c>
      <c r="D902" s="109">
        <f>26198.73+1237.11</f>
        <v>27435.84</v>
      </c>
      <c r="E902" s="109">
        <f>26198.73+1237.11</f>
        <v>27435.84</v>
      </c>
      <c r="F902" s="109">
        <f>26198.73+1237.11</f>
        <v>27435.84</v>
      </c>
      <c r="G902" s="105">
        <v>0</v>
      </c>
      <c r="H902" s="88"/>
      <c r="N902" s="557"/>
    </row>
    <row r="903" spans="1:256" s="98" customFormat="1" ht="12.75" hidden="1" customHeight="1" x14ac:dyDescent="0.3">
      <c r="A903" s="106">
        <v>3311</v>
      </c>
      <c r="B903" s="107" t="s">
        <v>998</v>
      </c>
      <c r="C903" s="109">
        <v>0</v>
      </c>
      <c r="D903" s="109">
        <v>291160.94</v>
      </c>
      <c r="E903" s="109">
        <v>291160.94</v>
      </c>
      <c r="F903" s="109">
        <v>291160.94</v>
      </c>
      <c r="G903" s="105">
        <v>0</v>
      </c>
      <c r="H903" s="88"/>
      <c r="N903" s="557"/>
    </row>
    <row r="904" spans="1:256" s="98" customFormat="1" ht="12.75" hidden="1" customHeight="1" x14ac:dyDescent="0.3">
      <c r="A904" s="106">
        <v>3392</v>
      </c>
      <c r="B904" s="107" t="s">
        <v>999</v>
      </c>
      <c r="C904" s="109">
        <v>0</v>
      </c>
      <c r="D904" s="109">
        <v>214337.64</v>
      </c>
      <c r="E904" s="109">
        <v>214337.64</v>
      </c>
      <c r="F904" s="109">
        <v>214337.64</v>
      </c>
      <c r="G904" s="105">
        <v>0</v>
      </c>
      <c r="H904" s="88"/>
      <c r="N904" s="557"/>
    </row>
    <row r="905" spans="1:256" s="98" customFormat="1" ht="12.75" hidden="1" customHeight="1" x14ac:dyDescent="0.3">
      <c r="A905" s="106">
        <v>3634</v>
      </c>
      <c r="B905" s="107" t="s">
        <v>1000</v>
      </c>
      <c r="C905" s="109">
        <v>0</v>
      </c>
      <c r="D905" s="109">
        <v>7703155</v>
      </c>
      <c r="E905" s="109">
        <v>7703155</v>
      </c>
      <c r="F905" s="109">
        <v>7703693</v>
      </c>
      <c r="G905" s="105">
        <v>8000000</v>
      </c>
      <c r="H905" s="88"/>
      <c r="N905" s="558"/>
    </row>
    <row r="906" spans="1:256" s="553" customFormat="1" ht="15.75" hidden="1" x14ac:dyDescent="0.2">
      <c r="A906" s="102">
        <v>3639</v>
      </c>
      <c r="B906" s="103" t="s">
        <v>1001</v>
      </c>
      <c r="C906" s="105">
        <f>C907</f>
        <v>150000</v>
      </c>
      <c r="D906" s="105">
        <f>D907</f>
        <v>150000</v>
      </c>
      <c r="E906" s="105">
        <f>E907</f>
        <v>100000</v>
      </c>
      <c r="F906" s="105">
        <f>F907</f>
        <v>47016</v>
      </c>
      <c r="G906" s="105">
        <f>G907</f>
        <v>150000</v>
      </c>
      <c r="H906" s="88"/>
    </row>
    <row r="907" spans="1:256" s="553" customFormat="1" ht="12.75" hidden="1" customHeight="1" x14ac:dyDescent="0.2">
      <c r="A907" s="106"/>
      <c r="B907" s="306" t="s">
        <v>1002</v>
      </c>
      <c r="C907" s="114">
        <f>150*1000</f>
        <v>150000</v>
      </c>
      <c r="D907" s="114">
        <v>150000</v>
      </c>
      <c r="E907" s="113">
        <v>100000</v>
      </c>
      <c r="F907" s="113">
        <v>47016</v>
      </c>
      <c r="G907" s="114">
        <v>150000</v>
      </c>
      <c r="H907" s="88"/>
    </row>
    <row r="908" spans="1:256" hidden="1" x14ac:dyDescent="0.2">
      <c r="A908" s="106">
        <v>6171</v>
      </c>
      <c r="B908" s="559" t="s">
        <v>1003</v>
      </c>
      <c r="C908" s="105">
        <v>200000</v>
      </c>
      <c r="D908" s="105">
        <v>200000</v>
      </c>
      <c r="E908" s="109">
        <v>100000</v>
      </c>
      <c r="F908" s="109">
        <v>3509</v>
      </c>
      <c r="G908" s="105">
        <v>150000</v>
      </c>
      <c r="H908" s="32"/>
    </row>
    <row r="909" spans="1:256" hidden="1" x14ac:dyDescent="0.2">
      <c r="A909" s="106">
        <v>6310</v>
      </c>
      <c r="B909" s="107" t="s">
        <v>1004</v>
      </c>
      <c r="C909" s="109">
        <v>350000</v>
      </c>
      <c r="D909" s="109">
        <v>350000</v>
      </c>
      <c r="E909" s="109">
        <v>320000</v>
      </c>
      <c r="F909" s="109">
        <v>217186.23</v>
      </c>
      <c r="G909" s="105">
        <v>320000</v>
      </c>
      <c r="H909" s="88"/>
    </row>
    <row r="910" spans="1:256" hidden="1" x14ac:dyDescent="0.2">
      <c r="A910" s="106">
        <v>6399</v>
      </c>
      <c r="B910" s="107" t="s">
        <v>1005</v>
      </c>
      <c r="C910" s="109">
        <f>SUM(C911:C912)</f>
        <v>28000000</v>
      </c>
      <c r="D910" s="109">
        <f>SUM(D911:D912)</f>
        <v>23831976</v>
      </c>
      <c r="E910" s="109">
        <f>SUM(E911:E912)</f>
        <v>25015870</v>
      </c>
      <c r="F910" s="109">
        <f>SUM(F911:F912)</f>
        <v>25015870</v>
      </c>
      <c r="G910" s="109">
        <f>SUM(G911:G912)</f>
        <v>26000000</v>
      </c>
      <c r="H910" s="88"/>
    </row>
    <row r="911" spans="1:256" hidden="1" x14ac:dyDescent="0.2">
      <c r="A911" s="111"/>
      <c r="B911" s="112" t="s">
        <v>1006</v>
      </c>
      <c r="C911" s="113">
        <v>25000000</v>
      </c>
      <c r="D911" s="109">
        <v>22015870</v>
      </c>
      <c r="E911" s="109">
        <v>22015870</v>
      </c>
      <c r="F911" s="109">
        <v>22015870</v>
      </c>
      <c r="G911" s="113">
        <v>23000000</v>
      </c>
      <c r="H911" s="88"/>
    </row>
    <row r="912" spans="1:256" hidden="1" x14ac:dyDescent="0.2">
      <c r="A912" s="111"/>
      <c r="B912" s="112" t="s">
        <v>1007</v>
      </c>
      <c r="C912" s="113">
        <v>3000000</v>
      </c>
      <c r="D912" s="113">
        <v>1816106</v>
      </c>
      <c r="E912" s="114">
        <v>3000000</v>
      </c>
      <c r="F912" s="114">
        <v>3000000</v>
      </c>
      <c r="G912" s="114">
        <v>3000000</v>
      </c>
      <c r="H912" s="88"/>
    </row>
    <row r="913" spans="1:14" s="98" customFormat="1" ht="12.75" hidden="1" customHeight="1" x14ac:dyDescent="0.3">
      <c r="A913" s="106">
        <v>6402</v>
      </c>
      <c r="B913" s="107" t="s">
        <v>1008</v>
      </c>
      <c r="C913" s="109">
        <f>SUM(C914:C918)</f>
        <v>0</v>
      </c>
      <c r="D913" s="109">
        <f>SUM(D914:D918)</f>
        <v>60592.58</v>
      </c>
      <c r="E913" s="109">
        <f>SUM(E914:E918)</f>
        <v>60592.58</v>
      </c>
      <c r="F913" s="109">
        <f>SUM(F914:F918)</f>
        <v>60592.58</v>
      </c>
      <c r="G913" s="109">
        <f>SUM(G914:G918)</f>
        <v>0</v>
      </c>
      <c r="H913" s="88"/>
      <c r="N913" s="558"/>
    </row>
    <row r="914" spans="1:14" s="2" customFormat="1" ht="12.75" hidden="1" customHeight="1" x14ac:dyDescent="0.3">
      <c r="A914" s="115"/>
      <c r="B914" s="159" t="s">
        <v>1009</v>
      </c>
      <c r="C914" s="113">
        <v>0</v>
      </c>
      <c r="D914" s="113">
        <v>2283</v>
      </c>
      <c r="E914" s="113">
        <v>2283</v>
      </c>
      <c r="F914" s="113">
        <v>2283</v>
      </c>
      <c r="G914" s="114">
        <v>0</v>
      </c>
      <c r="H914" s="88"/>
      <c r="N914" s="558"/>
    </row>
    <row r="915" spans="1:14" s="2" customFormat="1" ht="12.75" hidden="1" customHeight="1" x14ac:dyDescent="0.3">
      <c r="A915" s="115"/>
      <c r="B915" s="159" t="s">
        <v>1010</v>
      </c>
      <c r="C915" s="113">
        <v>0</v>
      </c>
      <c r="D915" s="113">
        <v>7004</v>
      </c>
      <c r="E915" s="113">
        <v>7004</v>
      </c>
      <c r="F915" s="113">
        <v>7004</v>
      </c>
      <c r="G915" s="114">
        <v>0</v>
      </c>
      <c r="H915" s="88"/>
      <c r="N915" s="558"/>
    </row>
    <row r="916" spans="1:14" s="2" customFormat="1" ht="12.75" hidden="1" customHeight="1" x14ac:dyDescent="0.3">
      <c r="A916" s="115"/>
      <c r="B916" s="159" t="s">
        <v>1011</v>
      </c>
      <c r="C916" s="113">
        <v>0</v>
      </c>
      <c r="D916" s="113">
        <v>31176</v>
      </c>
      <c r="E916" s="113">
        <v>31176</v>
      </c>
      <c r="F916" s="113">
        <v>31176</v>
      </c>
      <c r="G916" s="114">
        <v>0</v>
      </c>
      <c r="H916" s="88"/>
      <c r="N916" s="558"/>
    </row>
    <row r="917" spans="1:14" s="2" customFormat="1" ht="12.75" hidden="1" customHeight="1" x14ac:dyDescent="0.3">
      <c r="A917" s="115"/>
      <c r="B917" s="159" t="s">
        <v>1012</v>
      </c>
      <c r="C917" s="113">
        <v>0</v>
      </c>
      <c r="D917" s="113">
        <v>5607</v>
      </c>
      <c r="E917" s="113">
        <v>5607</v>
      </c>
      <c r="F917" s="113">
        <v>5607</v>
      </c>
      <c r="G917" s="114">
        <v>0</v>
      </c>
      <c r="H917" s="88"/>
      <c r="N917" s="558"/>
    </row>
    <row r="918" spans="1:14" s="2" customFormat="1" ht="12.75" hidden="1" customHeight="1" x14ac:dyDescent="0.3">
      <c r="A918" s="115"/>
      <c r="B918" s="159" t="s">
        <v>1013</v>
      </c>
      <c r="C918" s="113">
        <v>0</v>
      </c>
      <c r="D918" s="113">
        <v>14522.58</v>
      </c>
      <c r="E918" s="113">
        <v>14522.58</v>
      </c>
      <c r="F918" s="113">
        <v>14522.58</v>
      </c>
      <c r="G918" s="114">
        <v>0</v>
      </c>
      <c r="H918" s="88"/>
      <c r="N918" s="558"/>
    </row>
    <row r="919" spans="1:14" s="244" customFormat="1" ht="15.75" hidden="1" x14ac:dyDescent="0.25">
      <c r="A919" s="106">
        <v>6409</v>
      </c>
      <c r="B919" s="107" t="s">
        <v>1014</v>
      </c>
      <c r="C919" s="109">
        <f>SUM(C920:C921)</f>
        <v>10210599.25</v>
      </c>
      <c r="D919" s="109">
        <f>SUM(D920:D921)</f>
        <v>77379949.620000005</v>
      </c>
      <c r="E919" s="109">
        <f>SUM(E920:E921)</f>
        <v>70225000</v>
      </c>
      <c r="F919" s="109">
        <f>SUM(F920:F921)</f>
        <v>77373555.88000001</v>
      </c>
      <c r="G919" s="109">
        <f>SUM(G920:G921)</f>
        <v>1305000</v>
      </c>
      <c r="H919" s="88"/>
    </row>
    <row r="920" spans="1:14" s="98" customFormat="1" hidden="1" x14ac:dyDescent="0.2">
      <c r="A920" s="111"/>
      <c r="B920" s="112" t="s">
        <v>1015</v>
      </c>
      <c r="C920" s="113">
        <f>10000*1000-0.75+600</f>
        <v>10000599.25</v>
      </c>
      <c r="D920" s="113">
        <v>77154949.620000005</v>
      </c>
      <c r="E920" s="113">
        <v>70000000</v>
      </c>
      <c r="F920" s="113">
        <v>77154949.620000005</v>
      </c>
      <c r="G920" s="114">
        <v>1000000</v>
      </c>
      <c r="H920" s="88"/>
    </row>
    <row r="921" spans="1:14" s="98" customFormat="1" ht="36.75" hidden="1" x14ac:dyDescent="0.2">
      <c r="A921" s="560"/>
      <c r="B921" s="561" t="s">
        <v>1016</v>
      </c>
      <c r="C921" s="241">
        <v>210000</v>
      </c>
      <c r="D921" s="241">
        <v>225000</v>
      </c>
      <c r="E921" s="266">
        <v>225000</v>
      </c>
      <c r="F921" s="113">
        <v>218606.26</v>
      </c>
      <c r="G921" s="114">
        <f>(5+80+50+80+30+5+60)*1000-5000</f>
        <v>305000</v>
      </c>
      <c r="H921" s="32"/>
    </row>
    <row r="922" spans="1:14" s="98" customFormat="1" ht="23.25" hidden="1" x14ac:dyDescent="0.35">
      <c r="A922" s="562"/>
      <c r="B922" s="563" t="s">
        <v>55</v>
      </c>
      <c r="C922" s="363">
        <f>SUM(C266+C354+C481+C486+C492+C503+C507+C511+C604+C608+C625+C633+C673+C679+C702+C885+C899)</f>
        <v>870089265</v>
      </c>
      <c r="D922" s="363">
        <f>SUM(D266+D354+D481+D486+D492+D503+D507+D511+D604+D608+D625+D633+D673+D679+D702+D885+D899)</f>
        <v>866332786.38999999</v>
      </c>
      <c r="E922" s="363">
        <f>SUM(E266+E354+E481+E486+E492+E503+E507+E511+E604+E608+E625+E633+E673+E679+E702+E885+E899)</f>
        <v>772802863.4000001</v>
      </c>
      <c r="F922" s="363">
        <f>SUM(F266+F354+F481+F486+F492+F503+F507+F511+F604+F608+F625+F633+F673+F679+F702+F885+F899)</f>
        <v>495324827.22000003</v>
      </c>
      <c r="G922" s="363">
        <f>SUM(G266+G354+G481+G486+G492+G503+G507+G511+G604+G608+G625+G633+G673+G679+G702+G885+G899)</f>
        <v>886320745.25</v>
      </c>
      <c r="H922" s="32"/>
    </row>
    <row r="923" spans="1:14" hidden="1" x14ac:dyDescent="0.2">
      <c r="B923" s="564"/>
      <c r="F923" s="1"/>
    </row>
    <row r="924" spans="1:14" x14ac:dyDescent="0.2">
      <c r="F924" s="1"/>
    </row>
    <row r="925" spans="1:14" s="98" customFormat="1" x14ac:dyDescent="0.2">
      <c r="A925" s="1"/>
      <c r="B925" s="1"/>
      <c r="C925" s="1"/>
      <c r="D925" s="1"/>
      <c r="E925" s="1"/>
      <c r="F925" s="2"/>
      <c r="G925" s="1"/>
      <c r="H925" s="1"/>
    </row>
    <row r="926" spans="1:14" s="98" customFormat="1" x14ac:dyDescent="0.2">
      <c r="A926" s="1"/>
      <c r="B926" s="1"/>
      <c r="C926" s="1"/>
      <c r="D926" s="1"/>
      <c r="E926" s="1"/>
      <c r="F926" s="2"/>
      <c r="G926" s="1"/>
      <c r="H926" s="1"/>
    </row>
  </sheetData>
  <sheetProtection selectLockedCells="1" selectUnlockedCells="1"/>
  <printOptions horizontalCentered="1"/>
  <pageMargins left="0" right="0" top="0.39375000000000004" bottom="0.39375000000000004" header="0.51180555555555562" footer="0"/>
  <pageSetup paperSize="9" firstPageNumber="0" fitToHeight="0" orientation="landscape" horizontalDpi="300" verticalDpi="300"/>
  <headerFooter>
    <oddFooter>&amp;C&amp;P</oddFooter>
  </headerFooter>
  <rowBreaks count="2" manualBreakCount="2">
    <brk id="50" max="16383" man="1"/>
    <brk id="263" max="16383" man="1"/>
  </rowBreaks>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2"/>
  </sheetPr>
  <dimension ref="A1:IV35"/>
  <sheetViews>
    <sheetView topLeftCell="B1" zoomScale="70" workbookViewId="0">
      <pane ySplit="2" topLeftCell="A3" activePane="bottomLeft" state="frozen"/>
      <selection activeCell="J16" sqref="J16:O17"/>
      <selection pane="bottomLeft" activeCell="B1" sqref="B1"/>
    </sheetView>
  </sheetViews>
  <sheetFormatPr defaultColWidth="9.5703125" defaultRowHeight="12.75" x14ac:dyDescent="0.2"/>
  <cols>
    <col min="1" max="1" width="20.85546875" style="1" hidden="1" customWidth="1"/>
    <col min="2" max="2" width="84.7109375" style="1" customWidth="1"/>
    <col min="3" max="3" width="26.28515625" style="1" hidden="1" customWidth="1"/>
    <col min="4" max="4" width="26.140625" style="1" hidden="1" customWidth="1"/>
    <col min="5" max="5" width="26.28515625" style="1" hidden="1" customWidth="1"/>
    <col min="6" max="6" width="26.28515625" style="2" hidden="1" customWidth="1"/>
    <col min="7" max="7" width="26.28515625" style="1" customWidth="1"/>
    <col min="8" max="9" width="24.28515625" style="1" hidden="1" customWidth="1"/>
    <col min="10" max="15" width="26.28515625" style="1" customWidth="1"/>
    <col min="16" max="16384" width="9.5703125" style="1"/>
  </cols>
  <sheetData>
    <row r="1" spans="1:15" ht="15.75" x14ac:dyDescent="0.25">
      <c r="G1" s="565"/>
      <c r="M1" s="565" t="s">
        <v>0</v>
      </c>
      <c r="O1" s="565" t="s">
        <v>0</v>
      </c>
    </row>
    <row r="2" spans="1:15" ht="91.9" customHeight="1" x14ac:dyDescent="0.2">
      <c r="A2" s="566" t="s">
        <v>1</v>
      </c>
      <c r="B2" s="567" t="s">
        <v>1017</v>
      </c>
      <c r="C2" s="568" t="s">
        <v>1018</v>
      </c>
      <c r="D2" s="11" t="s">
        <v>1019</v>
      </c>
      <c r="E2" s="11" t="s">
        <v>1020</v>
      </c>
      <c r="F2" s="569" t="s">
        <v>1021</v>
      </c>
      <c r="G2" s="570" t="s">
        <v>1022</v>
      </c>
      <c r="H2" s="571"/>
      <c r="I2" s="572"/>
      <c r="J2" s="573" t="s">
        <v>1023</v>
      </c>
      <c r="K2" s="574" t="s">
        <v>1024</v>
      </c>
      <c r="L2" s="574" t="s">
        <v>1025</v>
      </c>
      <c r="M2" s="575" t="s">
        <v>1026</v>
      </c>
      <c r="N2" s="575" t="s">
        <v>1027</v>
      </c>
      <c r="O2" s="575" t="s">
        <v>1028</v>
      </c>
    </row>
    <row r="3" spans="1:15" ht="27.75" x14ac:dyDescent="0.3">
      <c r="A3" s="576"/>
      <c r="B3" s="577" t="s">
        <v>56</v>
      </c>
      <c r="C3" s="578"/>
      <c r="D3" s="94"/>
      <c r="E3" s="95"/>
      <c r="F3" s="579"/>
      <c r="G3" s="580"/>
      <c r="H3" s="581" t="s">
        <v>1029</v>
      </c>
      <c r="I3" s="569" t="s">
        <v>1030</v>
      </c>
      <c r="J3" s="575"/>
      <c r="K3" s="575"/>
      <c r="L3" s="582"/>
      <c r="M3" s="582"/>
      <c r="N3" s="582"/>
      <c r="O3" s="582"/>
    </row>
    <row r="4" spans="1:15" s="98" customFormat="1" ht="18" x14ac:dyDescent="0.25">
      <c r="A4" s="583"/>
      <c r="B4" s="584" t="s">
        <v>57</v>
      </c>
      <c r="C4" s="585">
        <v>520342400</v>
      </c>
      <c r="D4" s="585">
        <v>515639325.25999999</v>
      </c>
      <c r="E4" s="585">
        <v>520076147.83999997</v>
      </c>
      <c r="F4" s="586">
        <v>450628042.74000001</v>
      </c>
      <c r="G4" s="585">
        <v>545682000</v>
      </c>
      <c r="H4" s="587" t="e">
        <f>SUM(#REF!,#REF!,#REF!,#REF!)</f>
        <v>#REF!</v>
      </c>
      <c r="I4" s="588" t="e">
        <f>SUM(#REF!,#REF!,#REF!,#REF!)</f>
        <v>#REF!</v>
      </c>
      <c r="J4" s="589"/>
      <c r="K4" s="589"/>
      <c r="L4" s="590"/>
      <c r="M4" s="590"/>
      <c r="N4" s="590"/>
      <c r="O4" s="590"/>
    </row>
    <row r="5" spans="1:15" s="98" customFormat="1" ht="18.75" customHeight="1" x14ac:dyDescent="0.25">
      <c r="A5" s="591"/>
      <c r="B5" s="583" t="s">
        <v>10</v>
      </c>
      <c r="C5" s="592">
        <v>153980616.31999999</v>
      </c>
      <c r="D5" s="593">
        <v>150828199.38999999</v>
      </c>
      <c r="E5" s="593">
        <v>149786193.13999999</v>
      </c>
      <c r="F5" s="594">
        <v>139449746.31</v>
      </c>
      <c r="G5" s="585">
        <f>163831937.36+125387.36</f>
        <v>163957324.72000003</v>
      </c>
      <c r="H5" s="595" t="e">
        <f>SUM(#REF!,#REF!,#REF!,#REF!,#REF!,#REF!)</f>
        <v>#REF!</v>
      </c>
      <c r="I5" s="596" t="e">
        <f>SUM(#REF!,#REF!,#REF!,#REF!,#REF!,#REF!)</f>
        <v>#REF!</v>
      </c>
      <c r="J5" s="590"/>
      <c r="K5" s="590"/>
      <c r="L5" s="590"/>
      <c r="M5" s="590"/>
      <c r="N5" s="590"/>
      <c r="O5" s="590"/>
    </row>
    <row r="6" spans="1:15" s="98" customFormat="1" ht="18.75" customHeight="1" x14ac:dyDescent="0.25">
      <c r="A6" s="597"/>
      <c r="B6" s="583" t="s">
        <v>11</v>
      </c>
      <c r="C6" s="592">
        <v>87239000</v>
      </c>
      <c r="D6" s="593">
        <v>84680111</v>
      </c>
      <c r="E6" s="593">
        <v>70755171</v>
      </c>
      <c r="F6" s="594">
        <v>62381100.5</v>
      </c>
      <c r="G6" s="585">
        <v>72976820.010000005</v>
      </c>
      <c r="H6" s="321" t="e">
        <f>SUM(#REF!,#REF!)</f>
        <v>#REF!</v>
      </c>
      <c r="I6" s="598" t="e">
        <f>SUM(#REF!,#REF!)</f>
        <v>#REF!</v>
      </c>
      <c r="J6" s="590"/>
      <c r="K6" s="590"/>
      <c r="L6" s="590"/>
      <c r="M6" s="590"/>
      <c r="N6" s="590"/>
      <c r="O6" s="590"/>
    </row>
    <row r="7" spans="1:15" s="98" customFormat="1" ht="18.75" customHeight="1" x14ac:dyDescent="0.25">
      <c r="A7" s="597"/>
      <c r="B7" s="583" t="s">
        <v>196</v>
      </c>
      <c r="C7" s="599">
        <v>66897844.799999997</v>
      </c>
      <c r="D7" s="594">
        <v>106611837.77</v>
      </c>
      <c r="E7" s="594">
        <v>106745579.55</v>
      </c>
      <c r="F7" s="594">
        <v>93190668.200000003</v>
      </c>
      <c r="G7" s="585">
        <v>56420206.439999998</v>
      </c>
      <c r="H7" s="321" t="e">
        <f>SUM(#REF!,#REF!,#REF!,#REF!,#REF!,#REF!,#REF!,#REF!)</f>
        <v>#REF!</v>
      </c>
      <c r="I7" s="600" t="e">
        <f>SUM(#REF!,#REF!,#REF!,#REF!,#REF!,#REF!,#REF!,#REF!)</f>
        <v>#REF!</v>
      </c>
      <c r="J7" s="590"/>
      <c r="K7" s="590"/>
      <c r="L7" s="590"/>
      <c r="M7" s="590"/>
      <c r="N7" s="590"/>
      <c r="O7" s="590"/>
    </row>
    <row r="8" spans="1:15" s="98" customFormat="1" ht="20.25" x14ac:dyDescent="0.3">
      <c r="A8" s="601"/>
      <c r="B8" s="577" t="s">
        <v>13</v>
      </c>
      <c r="C8" s="602">
        <f t="shared" ref="C8:O8" si="0">SUM(C4+C5+C6+C7)</f>
        <v>828459861.11999989</v>
      </c>
      <c r="D8" s="603">
        <f t="shared" si="0"/>
        <v>857759473.41999996</v>
      </c>
      <c r="E8" s="603">
        <f t="shared" si="0"/>
        <v>847363091.52999997</v>
      </c>
      <c r="F8" s="604">
        <f t="shared" si="0"/>
        <v>745649557.75</v>
      </c>
      <c r="G8" s="603">
        <f t="shared" si="0"/>
        <v>839036351.17000008</v>
      </c>
      <c r="H8" s="605" t="e">
        <f t="shared" si="0"/>
        <v>#REF!</v>
      </c>
      <c r="I8" s="606" t="e">
        <f t="shared" si="0"/>
        <v>#REF!</v>
      </c>
      <c r="J8" s="603">
        <f t="shared" si="0"/>
        <v>0</v>
      </c>
      <c r="K8" s="603">
        <f t="shared" si="0"/>
        <v>0</v>
      </c>
      <c r="L8" s="603">
        <f t="shared" si="0"/>
        <v>0</v>
      </c>
      <c r="M8" s="603">
        <f t="shared" si="0"/>
        <v>0</v>
      </c>
      <c r="N8" s="603">
        <f t="shared" si="0"/>
        <v>0</v>
      </c>
      <c r="O8" s="603">
        <f t="shared" si="0"/>
        <v>0</v>
      </c>
    </row>
    <row r="9" spans="1:15" s="98" customFormat="1" ht="18" x14ac:dyDescent="0.25">
      <c r="A9" s="597"/>
      <c r="B9" s="583" t="s">
        <v>14</v>
      </c>
      <c r="C9" s="607">
        <v>172017736.08000001</v>
      </c>
      <c r="D9" s="585">
        <f>172017736.08-8742723.14</f>
        <v>163275012.94</v>
      </c>
      <c r="E9" s="585">
        <f>175689443.04-93078106.63</f>
        <v>82611336.409999996</v>
      </c>
      <c r="F9" s="586">
        <f>170971561.02-210300830.12</f>
        <v>-39329269.099999994</v>
      </c>
      <c r="G9" s="608">
        <f>174060399.19-400000+24200-125387.36-55000</f>
        <v>173504211.82999998</v>
      </c>
      <c r="H9" s="609" t="e">
        <f>SUM(#REF!)</f>
        <v>#REF!</v>
      </c>
      <c r="I9" s="610" t="e">
        <f>SUM(#REF!)</f>
        <v>#REF!</v>
      </c>
      <c r="J9" s="590"/>
      <c r="K9" s="590"/>
      <c r="L9" s="590"/>
      <c r="M9" s="590"/>
      <c r="N9" s="590"/>
      <c r="O9" s="590"/>
    </row>
    <row r="10" spans="1:15" s="85" customFormat="1" ht="24" customHeight="1" x14ac:dyDescent="0.4">
      <c r="A10" s="611"/>
      <c r="B10" s="612" t="s">
        <v>15</v>
      </c>
      <c r="C10" s="613">
        <f t="shared" ref="C10:O10" si="1">SUM(C8+C9)</f>
        <v>1000477597.1999999</v>
      </c>
      <c r="D10" s="614">
        <f t="shared" si="1"/>
        <v>1021034486.3599999</v>
      </c>
      <c r="E10" s="614">
        <f t="shared" si="1"/>
        <v>929974427.93999994</v>
      </c>
      <c r="F10" s="615">
        <f t="shared" si="1"/>
        <v>706320288.64999998</v>
      </c>
      <c r="G10" s="616">
        <f t="shared" si="1"/>
        <v>1012540563</v>
      </c>
      <c r="H10" s="617" t="e">
        <f t="shared" si="1"/>
        <v>#REF!</v>
      </c>
      <c r="I10" s="618" t="e">
        <f t="shared" si="1"/>
        <v>#REF!</v>
      </c>
      <c r="J10" s="616">
        <f t="shared" si="1"/>
        <v>0</v>
      </c>
      <c r="K10" s="616">
        <f t="shared" si="1"/>
        <v>0</v>
      </c>
      <c r="L10" s="616">
        <f t="shared" si="1"/>
        <v>0</v>
      </c>
      <c r="M10" s="616">
        <f t="shared" si="1"/>
        <v>0</v>
      </c>
      <c r="N10" s="616">
        <f t="shared" si="1"/>
        <v>0</v>
      </c>
      <c r="O10" s="616">
        <f t="shared" si="1"/>
        <v>0</v>
      </c>
    </row>
    <row r="11" spans="1:15" s="98" customFormat="1" ht="20.25" x14ac:dyDescent="0.3">
      <c r="A11" s="619"/>
      <c r="B11" s="577" t="s">
        <v>257</v>
      </c>
      <c r="C11" s="620"/>
      <c r="D11" s="621"/>
      <c r="E11" s="622"/>
      <c r="F11" s="623"/>
      <c r="G11" s="624"/>
      <c r="H11" s="387"/>
      <c r="I11" s="136"/>
      <c r="J11" s="590"/>
      <c r="K11" s="590"/>
      <c r="L11" s="590"/>
      <c r="M11" s="590"/>
      <c r="N11" s="590"/>
      <c r="O11" s="590"/>
    </row>
    <row r="12" spans="1:15" s="98" customFormat="1" ht="18" x14ac:dyDescent="0.25">
      <c r="A12" s="619"/>
      <c r="B12" s="625" t="s">
        <v>17</v>
      </c>
      <c r="C12" s="626">
        <f>C31-C13</f>
        <v>760881693</v>
      </c>
      <c r="D12" s="626">
        <f>D31-D13</f>
        <v>830064442.99000001</v>
      </c>
      <c r="E12" s="627">
        <f>E31-E13</f>
        <v>764974427.93999994</v>
      </c>
      <c r="F12" s="628">
        <f>F31-F13</f>
        <v>592764173.62</v>
      </c>
      <c r="G12" s="626">
        <f>G31-G13</f>
        <v>732444521</v>
      </c>
      <c r="H12" s="387"/>
      <c r="I12" s="136"/>
      <c r="J12" s="590"/>
      <c r="K12" s="590"/>
      <c r="L12" s="590"/>
      <c r="M12" s="590"/>
      <c r="N12" s="590"/>
      <c r="O12" s="590"/>
    </row>
    <row r="13" spans="1:15" s="98" customFormat="1" ht="18" x14ac:dyDescent="0.25">
      <c r="A13" s="619"/>
      <c r="B13" s="625" t="s">
        <v>18</v>
      </c>
      <c r="C13" s="626">
        <v>239595904.19999999</v>
      </c>
      <c r="D13" s="621">
        <v>190970043.37</v>
      </c>
      <c r="E13" s="622">
        <v>165000000</v>
      </c>
      <c r="F13" s="629">
        <v>113556115.03</v>
      </c>
      <c r="G13" s="630">
        <v>280096042</v>
      </c>
      <c r="H13" s="387"/>
      <c r="I13" s="136"/>
      <c r="J13" s="590"/>
      <c r="K13" s="590"/>
      <c r="L13" s="590"/>
      <c r="M13" s="590"/>
      <c r="N13" s="590"/>
      <c r="O13" s="590"/>
    </row>
    <row r="14" spans="1:15" ht="20.25" x14ac:dyDescent="0.3">
      <c r="A14" s="631"/>
      <c r="B14" s="577" t="s">
        <v>258</v>
      </c>
      <c r="C14" s="632">
        <v>75934044.200000003</v>
      </c>
      <c r="D14" s="593">
        <v>76799081.200000003</v>
      </c>
      <c r="E14" s="593">
        <v>62587532.75</v>
      </c>
      <c r="F14" s="594">
        <v>42692858.439999998</v>
      </c>
      <c r="G14" s="633">
        <f>90898982-400000+24200</f>
        <v>90523182</v>
      </c>
      <c r="H14" s="363" t="e">
        <f>#REF!+#REF!+#REF!+#REF!</f>
        <v>#REF!</v>
      </c>
      <c r="I14" s="364" t="e">
        <f>#REF!+#REF!+#REF!+#REF!</f>
        <v>#REF!</v>
      </c>
      <c r="J14" s="582"/>
      <c r="K14" s="582"/>
      <c r="L14" s="582"/>
      <c r="M14" s="582"/>
      <c r="N14" s="582"/>
      <c r="O14" s="582"/>
    </row>
    <row r="15" spans="1:15" ht="20.25" customHeight="1" x14ac:dyDescent="0.3">
      <c r="A15" s="631"/>
      <c r="B15" s="577" t="s">
        <v>1031</v>
      </c>
      <c r="C15" s="634">
        <v>196635250</v>
      </c>
      <c r="D15" s="635">
        <v>147903272.44999999</v>
      </c>
      <c r="E15" s="636">
        <v>124153015.69</v>
      </c>
      <c r="F15" s="599">
        <v>89270388.510000005</v>
      </c>
      <c r="G15" s="637">
        <v>268131950</v>
      </c>
      <c r="H15" s="638" t="e">
        <f>#REF!+#REF!+#REF!+#REF!+#REF!</f>
        <v>#REF!</v>
      </c>
      <c r="I15" s="639" t="e">
        <f>#REF!+#REF!+#REF!+#REF!+#REF!</f>
        <v>#REF!</v>
      </c>
      <c r="J15" s="582"/>
      <c r="K15" s="582"/>
      <c r="L15" s="582"/>
      <c r="M15" s="582"/>
      <c r="N15" s="582"/>
      <c r="O15" s="582"/>
    </row>
    <row r="16" spans="1:15" ht="20.25" x14ac:dyDescent="0.2">
      <c r="A16" s="640"/>
      <c r="B16" s="641" t="s">
        <v>31</v>
      </c>
      <c r="C16" s="642">
        <v>15000</v>
      </c>
      <c r="D16" s="643">
        <v>15000</v>
      </c>
      <c r="E16" s="644">
        <v>15000</v>
      </c>
      <c r="F16" s="645">
        <v>7000</v>
      </c>
      <c r="G16" s="646">
        <v>15000</v>
      </c>
      <c r="H16" s="647" t="e">
        <f>SUM(#REF!)</f>
        <v>#REF!</v>
      </c>
      <c r="I16" s="648" t="e">
        <f>SUM(#REF!)</f>
        <v>#REF!</v>
      </c>
      <c r="J16" s="646">
        <v>15000</v>
      </c>
      <c r="K16" s="646">
        <v>0</v>
      </c>
      <c r="L16" s="646">
        <v>15000</v>
      </c>
      <c r="M16" s="646">
        <v>15000</v>
      </c>
      <c r="N16" s="646">
        <v>15000</v>
      </c>
      <c r="O16" s="646">
        <v>15000</v>
      </c>
    </row>
    <row r="17" spans="1:256" s="98" customFormat="1" ht="20.25" x14ac:dyDescent="0.3">
      <c r="A17" s="649"/>
      <c r="B17" s="577" t="s">
        <v>1032</v>
      </c>
      <c r="C17" s="650">
        <v>13200772</v>
      </c>
      <c r="D17" s="643">
        <v>13802650.27</v>
      </c>
      <c r="E17" s="643">
        <v>13802650.27</v>
      </c>
      <c r="F17" s="645">
        <v>10570028.17</v>
      </c>
      <c r="G17" s="651">
        <v>15625044</v>
      </c>
      <c r="H17" s="281" t="e">
        <f>SUM(#REF!)</f>
        <v>#REF!</v>
      </c>
      <c r="I17" s="280" t="e">
        <f>SUM(#REF!)</f>
        <v>#REF!</v>
      </c>
      <c r="J17" s="652">
        <v>16236396.609999999</v>
      </c>
      <c r="K17" s="652">
        <v>9798109.5800000001</v>
      </c>
      <c r="L17" s="652">
        <v>16236396.609999999</v>
      </c>
      <c r="M17" s="652">
        <v>17552152</v>
      </c>
      <c r="N17" s="652">
        <v>17552152</v>
      </c>
      <c r="O17" s="652">
        <v>17552152</v>
      </c>
    </row>
    <row r="18" spans="1:256" s="98" customFormat="1" ht="20.25" x14ac:dyDescent="0.2">
      <c r="A18" s="653"/>
      <c r="B18" s="654" t="s">
        <v>33</v>
      </c>
      <c r="C18" s="650">
        <v>10220291</v>
      </c>
      <c r="D18" s="643">
        <v>10531291</v>
      </c>
      <c r="E18" s="643">
        <v>10451291</v>
      </c>
      <c r="F18" s="643">
        <v>8448421.3499999996</v>
      </c>
      <c r="G18" s="643">
        <v>11266280</v>
      </c>
      <c r="H18" s="547" t="e">
        <f>SUM(#REF!,#REF!,#REF!)</f>
        <v>#REF!</v>
      </c>
      <c r="I18" s="280" t="e">
        <f>SUM(#REF!,#REF!,#REF!)</f>
        <v>#REF!</v>
      </c>
      <c r="J18" s="590"/>
      <c r="K18" s="590"/>
      <c r="L18" s="590"/>
      <c r="M18" s="590"/>
      <c r="N18" s="590"/>
      <c r="O18" s="590"/>
    </row>
    <row r="19" spans="1:256" s="98" customFormat="1" ht="20.25" x14ac:dyDescent="0.3">
      <c r="A19" s="655"/>
      <c r="B19" s="577" t="s">
        <v>34</v>
      </c>
      <c r="C19" s="592">
        <v>162000</v>
      </c>
      <c r="D19" s="593">
        <v>162000</v>
      </c>
      <c r="E19" s="593">
        <v>115000</v>
      </c>
      <c r="F19" s="594">
        <v>71783</v>
      </c>
      <c r="G19" s="637">
        <v>162000</v>
      </c>
      <c r="H19" s="656" t="e">
        <f>SUM(#REF!)</f>
        <v>#REF!</v>
      </c>
      <c r="I19" s="364" t="e">
        <f>SUM(#REF!)</f>
        <v>#REF!</v>
      </c>
      <c r="J19" s="590"/>
      <c r="K19" s="590"/>
      <c r="L19" s="590"/>
      <c r="M19" s="590"/>
      <c r="N19" s="590"/>
      <c r="O19" s="590"/>
    </row>
    <row r="20" spans="1:256" s="98" customFormat="1" ht="20.25" x14ac:dyDescent="0.3">
      <c r="A20" s="653"/>
      <c r="B20" s="577" t="s">
        <v>630</v>
      </c>
      <c r="C20" s="592">
        <v>250000</v>
      </c>
      <c r="D20" s="593">
        <v>1114200</v>
      </c>
      <c r="E20" s="593">
        <v>1114200</v>
      </c>
      <c r="F20" s="594">
        <v>988812.64</v>
      </c>
      <c r="G20" s="657">
        <v>1000000</v>
      </c>
      <c r="H20" s="363" t="e">
        <f>SUM(#REF!)</f>
        <v>#REF!</v>
      </c>
      <c r="I20" s="364" t="e">
        <f>SUM(#REF!)</f>
        <v>#REF!</v>
      </c>
      <c r="J20" s="590"/>
      <c r="K20" s="590"/>
      <c r="L20" s="590"/>
      <c r="M20" s="590"/>
      <c r="N20" s="590"/>
      <c r="O20" s="590"/>
    </row>
    <row r="21" spans="1:256" s="658" customFormat="1" ht="20.25" x14ac:dyDescent="0.3">
      <c r="A21" s="659"/>
      <c r="B21" s="660" t="s">
        <v>36</v>
      </c>
      <c r="C21" s="634">
        <v>117668120</v>
      </c>
      <c r="D21" s="637">
        <v>118295909.52</v>
      </c>
      <c r="E21" s="637">
        <v>127455503.73</v>
      </c>
      <c r="F21" s="661">
        <v>101247856.52</v>
      </c>
      <c r="G21" s="637">
        <f>112769300-55000</f>
        <v>112714300</v>
      </c>
      <c r="H21" s="652" t="e">
        <f>#REF!+#REF!+#REF!</f>
        <v>#REF!</v>
      </c>
      <c r="I21" s="662" t="e">
        <f>#REF!+#REF!+#REF!</f>
        <v>#REF!</v>
      </c>
      <c r="J21" s="663"/>
      <c r="K21" s="663"/>
      <c r="L21" s="663"/>
      <c r="M21" s="663"/>
      <c r="N21" s="663"/>
      <c r="O21" s="663"/>
    </row>
    <row r="22" spans="1:256" ht="21" customHeight="1" x14ac:dyDescent="0.3">
      <c r="A22" s="649"/>
      <c r="B22" s="577" t="s">
        <v>716</v>
      </c>
      <c r="C22" s="664">
        <v>28556700</v>
      </c>
      <c r="D22" s="665">
        <v>28556700</v>
      </c>
      <c r="E22" s="665">
        <v>28000000</v>
      </c>
      <c r="F22" s="666">
        <v>21729006.469999999</v>
      </c>
      <c r="G22" s="667">
        <f>28674400-750000</f>
        <v>27924400</v>
      </c>
      <c r="H22" s="281" t="e">
        <f>#REF!</f>
        <v>#REF!</v>
      </c>
      <c r="I22" s="280" t="e">
        <f>#REF!</f>
        <v>#REF!</v>
      </c>
      <c r="J22" s="582"/>
      <c r="K22" s="582"/>
      <c r="L22" s="582"/>
      <c r="M22" s="582"/>
      <c r="N22" s="582"/>
      <c r="O22" s="582"/>
    </row>
    <row r="23" spans="1:256" ht="20.25" x14ac:dyDescent="0.3">
      <c r="A23" s="649"/>
      <c r="B23" s="577" t="s">
        <v>719</v>
      </c>
      <c r="C23" s="668">
        <v>31499210</v>
      </c>
      <c r="D23" s="669">
        <v>46385768.509999998</v>
      </c>
      <c r="E23" s="669">
        <v>46315204.509999998</v>
      </c>
      <c r="F23" s="670">
        <v>36900550.670000002</v>
      </c>
      <c r="G23" s="637">
        <v>35630624</v>
      </c>
      <c r="H23" s="671" t="e">
        <f>SUM(#REF!)+#REF!</f>
        <v>#REF!</v>
      </c>
      <c r="I23" s="672" t="e">
        <f>SUM(#REF!)+#REF!</f>
        <v>#REF!</v>
      </c>
      <c r="J23" s="582"/>
      <c r="K23" s="582"/>
      <c r="L23" s="582"/>
      <c r="M23" s="582"/>
      <c r="N23" s="582"/>
      <c r="O23" s="582"/>
    </row>
    <row r="24" spans="1:256" ht="20.25" x14ac:dyDescent="0.3">
      <c r="A24" s="649"/>
      <c r="B24" s="577" t="s">
        <v>735</v>
      </c>
      <c r="C24" s="673">
        <v>166253060</v>
      </c>
      <c r="D24" s="674">
        <v>166935662</v>
      </c>
      <c r="E24" s="674">
        <v>166935662</v>
      </c>
      <c r="F24" s="675">
        <v>131476589.47</v>
      </c>
      <c r="G24" s="676">
        <v>171743160</v>
      </c>
      <c r="H24" s="677" t="e">
        <f>#REF!+#REF!+#REF!+#REF!</f>
        <v>#REF!</v>
      </c>
      <c r="I24" s="678" t="e">
        <f>#REF!+#REF!+#REF!+#REF!</f>
        <v>#REF!</v>
      </c>
      <c r="J24" s="582"/>
      <c r="K24" s="582"/>
      <c r="L24" s="582"/>
      <c r="M24" s="582"/>
      <c r="N24" s="582"/>
      <c r="O24" s="582"/>
    </row>
    <row r="25" spans="1:256" ht="20.25" x14ac:dyDescent="0.3">
      <c r="A25" s="649"/>
      <c r="B25" s="577" t="s">
        <v>43</v>
      </c>
      <c r="C25" s="607">
        <v>15923250</v>
      </c>
      <c r="D25" s="585">
        <v>14022694.890000001</v>
      </c>
      <c r="E25" s="585">
        <v>13310577.109999999</v>
      </c>
      <c r="F25" s="586">
        <v>13145809.810000001</v>
      </c>
      <c r="G25" s="679">
        <v>17006123</v>
      </c>
      <c r="H25" s="680" t="e">
        <f>#REF!+#REF!</f>
        <v>#REF!</v>
      </c>
      <c r="I25" s="681" t="e">
        <f>#REF!+#REF!</f>
        <v>#REF!</v>
      </c>
      <c r="J25" s="582"/>
      <c r="K25" s="582"/>
      <c r="L25" s="582"/>
      <c r="M25" s="582"/>
      <c r="N25" s="582"/>
      <c r="O25" s="582"/>
    </row>
    <row r="26" spans="1:256" ht="20.25" x14ac:dyDescent="0.2">
      <c r="A26" s="682"/>
      <c r="B26" s="654" t="s">
        <v>777</v>
      </c>
      <c r="C26" s="650">
        <v>18717400</v>
      </c>
      <c r="D26" s="643">
        <v>24729128</v>
      </c>
      <c r="E26" s="643">
        <v>24729128</v>
      </c>
      <c r="F26" s="645">
        <v>12910386.02</v>
      </c>
      <c r="G26" s="683">
        <v>19471500</v>
      </c>
      <c r="H26" s="647" t="e">
        <f>#REF!</f>
        <v>#REF!</v>
      </c>
      <c r="I26" s="684" t="e">
        <f>#REF!</f>
        <v>#REF!</v>
      </c>
      <c r="J26" s="582">
        <v>24044500</v>
      </c>
      <c r="K26" s="582">
        <v>6442311.1100000003</v>
      </c>
      <c r="L26" s="582">
        <v>24044500</v>
      </c>
      <c r="M26" s="582">
        <v>17943000</v>
      </c>
      <c r="N26" s="582"/>
      <c r="O26" s="582"/>
    </row>
    <row r="27" spans="1:256" ht="20.25" x14ac:dyDescent="0.3">
      <c r="A27" s="649"/>
      <c r="B27" s="577" t="s">
        <v>1033</v>
      </c>
      <c r="C27" s="650">
        <v>87547000</v>
      </c>
      <c r="D27" s="643">
        <v>92991835.549999997</v>
      </c>
      <c r="E27" s="643">
        <v>91041835.549999997</v>
      </c>
      <c r="F27" s="645">
        <v>73107335.950000003</v>
      </c>
      <c r="G27" s="683">
        <v>67229000</v>
      </c>
      <c r="H27" s="647" t="e">
        <f>SUM(#REF!,#REF!,#REF!,#REF!,#REF!,#REF!,#REF!,#REF!,#REF!,#REF!,#REF!,#REF!,#REF!,#REF!)</f>
        <v>#REF!</v>
      </c>
      <c r="I27" s="685" t="e">
        <f>SUM(#REF!,#REF!,#REF!,#REF!,#REF!,#REF!,#REF!,#REF!,#REF!,#REF!,#REF!,#REF!,#REF!,#REF!)</f>
        <v>#REF!</v>
      </c>
      <c r="J27" s="582"/>
      <c r="K27" s="582"/>
      <c r="L27" s="582"/>
      <c r="M27" s="582"/>
      <c r="N27" s="582"/>
      <c r="O27" s="582"/>
    </row>
    <row r="28" spans="1:256" ht="20.25" x14ac:dyDescent="0.2">
      <c r="A28" s="686"/>
      <c r="B28" s="654" t="s">
        <v>803</v>
      </c>
      <c r="C28" s="650">
        <v>151698000</v>
      </c>
      <c r="D28" s="643">
        <v>138947425.38</v>
      </c>
      <c r="E28" s="643">
        <v>117609224.17</v>
      </c>
      <c r="F28" s="645">
        <v>92868596.790000007</v>
      </c>
      <c r="G28" s="683">
        <v>136758000</v>
      </c>
      <c r="H28" s="281" t="e">
        <f>SUM(#REF!,#REF!,#REF!,#REF!,#REF!,#REF!,#REF!,#REF!)</f>
        <v>#REF!</v>
      </c>
      <c r="I28" s="280" t="e">
        <f>SUM(#REF!,#REF!,#REF!,#REF!,#REF!,#REF!,#REF!,#REF!,#REF!)</f>
        <v>#REF!</v>
      </c>
      <c r="J28" s="687"/>
      <c r="K28" s="687"/>
      <c r="L28" s="687"/>
      <c r="M28" s="687"/>
      <c r="N28" s="687"/>
      <c r="O28" s="687"/>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row>
    <row r="29" spans="1:256" s="545" customFormat="1" ht="20.25" x14ac:dyDescent="0.3">
      <c r="A29" s="649"/>
      <c r="B29" s="577" t="s">
        <v>1034</v>
      </c>
      <c r="C29" s="650">
        <v>1145000</v>
      </c>
      <c r="D29" s="650">
        <v>1145000</v>
      </c>
      <c r="E29" s="643">
        <v>1145000</v>
      </c>
      <c r="F29" s="645">
        <v>208550</v>
      </c>
      <c r="G29" s="683">
        <v>350000</v>
      </c>
      <c r="H29" s="281" t="e">
        <f>SUM(#REF!+#REF!+#REF!)</f>
        <v>#REF!</v>
      </c>
      <c r="I29" s="280" t="e">
        <f>SUM(#REF!+#REF!+#REF!)</f>
        <v>#REF!</v>
      </c>
      <c r="J29" s="688"/>
      <c r="K29" s="688"/>
      <c r="L29" s="688"/>
      <c r="M29" s="688"/>
      <c r="N29" s="688"/>
      <c r="O29" s="688"/>
      <c r="IP29" s="98"/>
      <c r="IQ29" s="98"/>
      <c r="IR29" s="98"/>
      <c r="IS29" s="98"/>
      <c r="IT29" s="98"/>
      <c r="IU29" s="98"/>
      <c r="IV29" s="98"/>
    </row>
    <row r="30" spans="1:256" s="244" customFormat="1" ht="20.25" x14ac:dyDescent="0.3">
      <c r="A30" s="649"/>
      <c r="B30" s="577" t="s">
        <v>54</v>
      </c>
      <c r="C30" s="592">
        <v>85052500</v>
      </c>
      <c r="D30" s="593">
        <v>138696867.59</v>
      </c>
      <c r="E30" s="593">
        <v>101193603.16</v>
      </c>
      <c r="F30" s="594">
        <v>70676314.840000004</v>
      </c>
      <c r="G30" s="657">
        <v>36990000</v>
      </c>
      <c r="H30" s="551" t="e">
        <f>SUM(#REF!,#REF!,#REF!)</f>
        <v>#REF!</v>
      </c>
      <c r="I30" s="689" t="e">
        <f>SUM(#REF!,#REF!,#REF!)</f>
        <v>#REF!</v>
      </c>
      <c r="J30" s="690"/>
      <c r="K30" s="690"/>
      <c r="L30" s="690"/>
      <c r="M30" s="690"/>
      <c r="N30" s="690"/>
      <c r="O30" s="690"/>
    </row>
    <row r="31" spans="1:256" s="98" customFormat="1" ht="23.25" x14ac:dyDescent="0.35">
      <c r="A31" s="691"/>
      <c r="B31" s="691" t="s">
        <v>55</v>
      </c>
      <c r="C31" s="692">
        <f t="shared" ref="C31:I31" si="2">SUM(C14+C15+C16+C17+C18+C19+C20+C21+C22+C23+C24+C25+C26+C27+C28+C29+C30)</f>
        <v>1000477597.2</v>
      </c>
      <c r="D31" s="693">
        <f t="shared" si="2"/>
        <v>1021034486.36</v>
      </c>
      <c r="E31" s="693">
        <f t="shared" si="2"/>
        <v>929974427.93999994</v>
      </c>
      <c r="F31" s="694">
        <f t="shared" si="2"/>
        <v>706320288.64999998</v>
      </c>
      <c r="G31" s="695">
        <f>SUM(G14+G15+G16+G17+G18+G19+G20+G21+G22+G23+G24+G25+G26+G27+G28+G29+G30)</f>
        <v>1012540563</v>
      </c>
      <c r="H31" s="696" t="e">
        <f t="shared" si="2"/>
        <v>#REF!</v>
      </c>
      <c r="I31" s="697" t="e">
        <f t="shared" si="2"/>
        <v>#REF!</v>
      </c>
      <c r="J31" s="695">
        <f t="shared" ref="J31:O31" si="3">SUM(J14+J15+J16+J17+J18+J19+J20+J21+J22+J23+J24+J25+J26+J27+J28+J29+J30)</f>
        <v>40295896.609999999</v>
      </c>
      <c r="K31" s="695">
        <f t="shared" si="3"/>
        <v>16240420.690000001</v>
      </c>
      <c r="L31" s="695">
        <f t="shared" si="3"/>
        <v>40295896.609999999</v>
      </c>
      <c r="M31" s="695">
        <f t="shared" si="3"/>
        <v>35510152</v>
      </c>
      <c r="N31" s="695">
        <f t="shared" si="3"/>
        <v>17567152</v>
      </c>
      <c r="O31" s="695">
        <f t="shared" si="3"/>
        <v>17567152</v>
      </c>
    </row>
    <row r="32" spans="1:256" x14ac:dyDescent="0.2">
      <c r="B32" s="564"/>
      <c r="F32" s="1"/>
    </row>
    <row r="33" spans="1:8" x14ac:dyDescent="0.2">
      <c r="F33" s="1"/>
    </row>
    <row r="34" spans="1:8" s="98" customFormat="1" x14ac:dyDescent="0.2">
      <c r="A34" s="1"/>
      <c r="B34" s="1"/>
      <c r="C34" s="1"/>
      <c r="D34" s="1"/>
      <c r="E34" s="1"/>
      <c r="F34" s="2"/>
      <c r="G34" s="1"/>
      <c r="H34" s="1"/>
    </row>
    <row r="35" spans="1:8" s="98" customFormat="1" x14ac:dyDescent="0.2">
      <c r="A35" s="1"/>
      <c r="B35" s="1"/>
      <c r="C35" s="1"/>
      <c r="D35" s="1"/>
      <c r="E35" s="1"/>
      <c r="F35" s="2"/>
      <c r="G35" s="1"/>
      <c r="H35" s="1"/>
    </row>
  </sheetData>
  <sheetProtection selectLockedCells="1" selectUnlockedCells="1"/>
  <autoFilter ref="F2:F38"/>
  <printOptions horizontalCentered="1"/>
  <pageMargins left="3.937007874015748E-2" right="3.937007874015748E-2" top="0.78740157480314954" bottom="0.19685039370078738" header="0.31496062992125984" footer="0.31496062992125984"/>
  <pageSetup paperSize="9" scale="67" firstPageNumber="0" orientation="landscape" horizontalDpi="300" verticalDpi="300"/>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22"/>
  </sheetPr>
  <dimension ref="A1:IS25688"/>
  <sheetViews>
    <sheetView zoomScale="80" workbookViewId="0">
      <pane ySplit="2" topLeftCell="A3" activePane="bottomLeft" state="frozen"/>
      <selection activeCell="L36" sqref="L36"/>
      <selection pane="bottomLeft"/>
    </sheetView>
  </sheetViews>
  <sheetFormatPr defaultColWidth="9.5703125" defaultRowHeight="12.75" x14ac:dyDescent="0.2"/>
  <cols>
    <col min="1" max="1" width="28.7109375" style="1" customWidth="1"/>
    <col min="2" max="2" width="93.42578125" style="1" customWidth="1"/>
    <col min="3" max="3" width="25.85546875" style="1" customWidth="1"/>
    <col min="4" max="7" width="23.7109375" style="1" customWidth="1"/>
    <col min="8" max="9" width="23.7109375" style="582" customWidth="1"/>
    <col min="10" max="10" width="23.7109375" style="1" customWidth="1"/>
    <col min="11" max="16384" width="9.5703125" style="1"/>
  </cols>
  <sheetData>
    <row r="1" spans="1:10" ht="15.75" x14ac:dyDescent="0.25">
      <c r="G1" s="698" t="s">
        <v>1035</v>
      </c>
      <c r="H1" s="1"/>
      <c r="I1" s="1"/>
    </row>
    <row r="2" spans="1:10" ht="91.9" customHeight="1" x14ac:dyDescent="0.2">
      <c r="A2" s="566" t="s">
        <v>1036</v>
      </c>
      <c r="B2" s="699" t="s">
        <v>1037</v>
      </c>
      <c r="C2" s="569" t="s">
        <v>1038</v>
      </c>
      <c r="D2" s="573" t="s">
        <v>1023</v>
      </c>
      <c r="E2" s="574" t="s">
        <v>1024</v>
      </c>
      <c r="F2" s="574" t="s">
        <v>1039</v>
      </c>
      <c r="G2" s="575" t="s">
        <v>1026</v>
      </c>
      <c r="H2" s="575" t="s">
        <v>1027</v>
      </c>
      <c r="I2" s="575" t="s">
        <v>1040</v>
      </c>
      <c r="J2" s="700" t="s">
        <v>1041</v>
      </c>
    </row>
    <row r="3" spans="1:10" ht="36" customHeight="1" x14ac:dyDescent="0.3">
      <c r="A3" s="576"/>
      <c r="B3" s="701" t="s">
        <v>56</v>
      </c>
      <c r="C3" s="575"/>
      <c r="D3" s="94"/>
      <c r="E3" s="95"/>
      <c r="F3" s="702"/>
      <c r="G3" s="703" t="s">
        <v>1042</v>
      </c>
      <c r="H3" s="703" t="s">
        <v>1043</v>
      </c>
      <c r="I3" s="704" t="s">
        <v>1044</v>
      </c>
      <c r="J3" s="704" t="s">
        <v>1045</v>
      </c>
    </row>
    <row r="4" spans="1:10" s="98" customFormat="1" ht="18" x14ac:dyDescent="0.25">
      <c r="A4" s="583"/>
      <c r="B4" s="705" t="s">
        <v>57</v>
      </c>
      <c r="C4" s="706">
        <f t="shared" ref="C4:J4" si="0">SUM(C5:C16,C20:C25,C32:C37)</f>
        <v>545682000</v>
      </c>
      <c r="D4" s="706">
        <f t="shared" si="0"/>
        <v>552556050</v>
      </c>
      <c r="E4" s="706">
        <f t="shared" si="0"/>
        <v>383613624.72999996</v>
      </c>
      <c r="F4" s="707">
        <f t="shared" si="0"/>
        <v>537045597.83999991</v>
      </c>
      <c r="G4" s="707">
        <f t="shared" si="0"/>
        <v>558862897.83999991</v>
      </c>
      <c r="H4" s="707">
        <f t="shared" si="0"/>
        <v>545891247.83999991</v>
      </c>
      <c r="I4" s="707">
        <f t="shared" si="0"/>
        <v>561700547.83999991</v>
      </c>
      <c r="J4" s="707">
        <f t="shared" si="0"/>
        <v>556650047.83999991</v>
      </c>
    </row>
    <row r="5" spans="1:10" s="98" customFormat="1" ht="12.75" customHeight="1" x14ac:dyDescent="0.2">
      <c r="A5" s="708">
        <v>1111</v>
      </c>
      <c r="B5" s="709" t="s">
        <v>1046</v>
      </c>
      <c r="C5" s="710">
        <v>76180000</v>
      </c>
      <c r="D5" s="711">
        <v>76180000</v>
      </c>
      <c r="E5" s="711">
        <v>50554551.549999997</v>
      </c>
      <c r="F5" s="712">
        <v>76000000</v>
      </c>
      <c r="G5" s="711">
        <f>(54100000*0.155174/100)*1000</f>
        <v>83949134</v>
      </c>
      <c r="H5" s="713">
        <v>79918400</v>
      </c>
      <c r="I5" s="714">
        <v>86230000</v>
      </c>
      <c r="J5" s="715">
        <v>83980000</v>
      </c>
    </row>
    <row r="6" spans="1:10" s="98" customFormat="1" ht="12.75" customHeight="1" x14ac:dyDescent="0.2">
      <c r="A6" s="716">
        <v>1111</v>
      </c>
      <c r="B6" s="717" t="s">
        <v>1047</v>
      </c>
      <c r="C6" s="718">
        <v>7440000</v>
      </c>
      <c r="D6" s="719">
        <v>7440000</v>
      </c>
      <c r="E6" s="719">
        <v>4925272.6100000003</v>
      </c>
      <c r="F6" s="712">
        <v>7400000</v>
      </c>
      <c r="G6" s="719">
        <f>(3400000*0.263492/100)*1000</f>
        <v>8958728.0000000019</v>
      </c>
      <c r="H6" s="720">
        <v>8425400</v>
      </c>
      <c r="I6" s="721">
        <v>9090000</v>
      </c>
      <c r="J6" s="722">
        <v>8850000</v>
      </c>
    </row>
    <row r="7" spans="1:10" s="98" customFormat="1" ht="12.75" customHeight="1" x14ac:dyDescent="0.2">
      <c r="A7" s="716">
        <v>1112</v>
      </c>
      <c r="B7" s="717" t="s">
        <v>1048</v>
      </c>
      <c r="C7" s="718">
        <v>5470000</v>
      </c>
      <c r="D7" s="718">
        <v>5470000</v>
      </c>
      <c r="E7" s="723">
        <v>2806725.54</v>
      </c>
      <c r="F7" s="712">
        <v>4000000</v>
      </c>
      <c r="G7" s="723">
        <f>(4600000*0.155174/100)*1000-1138004</f>
        <v>6000000</v>
      </c>
      <c r="H7" s="724">
        <v>7138000</v>
      </c>
      <c r="I7" s="721">
        <v>6750000</v>
      </c>
      <c r="J7" s="722">
        <v>7120000</v>
      </c>
    </row>
    <row r="8" spans="1:10" s="98" customFormat="1" ht="12.75" customHeight="1" x14ac:dyDescent="0.2">
      <c r="A8" s="716">
        <v>1113</v>
      </c>
      <c r="B8" s="717" t="s">
        <v>1049</v>
      </c>
      <c r="C8" s="718">
        <v>14850000</v>
      </c>
      <c r="D8" s="723">
        <v>14850000</v>
      </c>
      <c r="E8" s="723">
        <v>12330308.369999999</v>
      </c>
      <c r="F8" s="712">
        <v>16000000</v>
      </c>
      <c r="G8" s="723">
        <f>(9700000*0.155174/100)*1000</f>
        <v>15051878</v>
      </c>
      <c r="H8" s="724">
        <v>13345000</v>
      </c>
      <c r="I8" s="721">
        <v>14620000</v>
      </c>
      <c r="J8" s="722">
        <v>15110000</v>
      </c>
    </row>
    <row r="9" spans="1:10" s="98" customFormat="1" ht="12.75" customHeight="1" x14ac:dyDescent="0.2">
      <c r="A9" s="716">
        <v>1121</v>
      </c>
      <c r="B9" s="717" t="s">
        <v>1050</v>
      </c>
      <c r="C9" s="718">
        <f>119931345-1345</f>
        <v>119930000</v>
      </c>
      <c r="D9" s="723">
        <v>119930000</v>
      </c>
      <c r="E9" s="723">
        <v>71337107.640000001</v>
      </c>
      <c r="F9" s="712">
        <v>107000000</v>
      </c>
      <c r="G9" s="723">
        <f>(76700000*0.155174/100)*1000-2018458</f>
        <v>117000000.00000001</v>
      </c>
      <c r="H9" s="724">
        <v>120104700</v>
      </c>
      <c r="I9" s="721">
        <v>119970000</v>
      </c>
      <c r="J9" s="722">
        <v>118990000</v>
      </c>
    </row>
    <row r="10" spans="1:10" s="98" customFormat="1" ht="25.5" customHeight="1" x14ac:dyDescent="0.2">
      <c r="A10" s="716">
        <v>1122</v>
      </c>
      <c r="B10" s="725" t="s">
        <v>1051</v>
      </c>
      <c r="C10" s="726">
        <v>30000000</v>
      </c>
      <c r="D10" s="726">
        <v>46435050</v>
      </c>
      <c r="E10" s="726">
        <v>46435050</v>
      </c>
      <c r="F10" s="726">
        <v>46435050</v>
      </c>
      <c r="G10" s="726">
        <v>30000000</v>
      </c>
      <c r="H10" s="727">
        <v>29950000</v>
      </c>
      <c r="I10" s="728">
        <v>29950000</v>
      </c>
      <c r="J10" s="727">
        <v>29950000</v>
      </c>
    </row>
    <row r="11" spans="1:10" s="98" customFormat="1" ht="12.75" customHeight="1" x14ac:dyDescent="0.2">
      <c r="A11" s="716">
        <v>1211</v>
      </c>
      <c r="B11" s="717" t="s">
        <v>1052</v>
      </c>
      <c r="C11" s="723">
        <v>233630000</v>
      </c>
      <c r="D11" s="723">
        <v>233630000</v>
      </c>
      <c r="E11" s="104">
        <v>149430655.61000001</v>
      </c>
      <c r="F11" s="729">
        <v>225000000</v>
      </c>
      <c r="G11" s="723">
        <f>(150600000*0.155174/100)*1000</f>
        <v>233692044.00000003</v>
      </c>
      <c r="H11" s="724">
        <v>236019700</v>
      </c>
      <c r="I11" s="721">
        <v>236190000</v>
      </c>
      <c r="J11" s="730">
        <v>233750000</v>
      </c>
    </row>
    <row r="12" spans="1:10" s="98" customFormat="1" ht="25.5" x14ac:dyDescent="0.2">
      <c r="A12" s="716">
        <v>1334</v>
      </c>
      <c r="B12" s="725" t="s">
        <v>1053</v>
      </c>
      <c r="C12" s="731">
        <v>50000</v>
      </c>
      <c r="D12" s="109"/>
      <c r="E12" s="109"/>
      <c r="F12" s="732"/>
      <c r="G12" s="731"/>
      <c r="H12" s="721"/>
      <c r="I12" s="733"/>
      <c r="J12" s="722"/>
    </row>
    <row r="13" spans="1:10" s="98" customFormat="1" x14ac:dyDescent="0.2">
      <c r="A13" s="716">
        <v>1335</v>
      </c>
      <c r="B13" s="717" t="s">
        <v>1054</v>
      </c>
      <c r="C13" s="731">
        <v>2000</v>
      </c>
      <c r="D13" s="109"/>
      <c r="E13" s="109"/>
      <c r="F13" s="732"/>
      <c r="G13" s="731"/>
      <c r="H13" s="721"/>
      <c r="I13" s="733"/>
      <c r="J13" s="730"/>
    </row>
    <row r="14" spans="1:10" s="98" customFormat="1" x14ac:dyDescent="0.2">
      <c r="A14" s="716">
        <v>1336</v>
      </c>
      <c r="B14" s="717" t="s">
        <v>1055</v>
      </c>
      <c r="C14" s="731">
        <v>0</v>
      </c>
      <c r="D14" s="109"/>
      <c r="E14" s="109"/>
      <c r="F14" s="109"/>
      <c r="G14" s="731"/>
      <c r="H14" s="721"/>
      <c r="I14" s="733"/>
      <c r="J14" s="722"/>
    </row>
    <row r="15" spans="1:10" s="98" customFormat="1" x14ac:dyDescent="0.2">
      <c r="A15" s="716">
        <v>1341</v>
      </c>
      <c r="B15" s="717" t="s">
        <v>1056</v>
      </c>
      <c r="C15" s="731">
        <v>600000</v>
      </c>
      <c r="D15" s="105">
        <v>600000</v>
      </c>
      <c r="E15" s="109">
        <v>601444.36</v>
      </c>
      <c r="F15" s="732">
        <v>650000</v>
      </c>
      <c r="G15" s="732">
        <v>650000</v>
      </c>
      <c r="H15" s="732">
        <v>650000</v>
      </c>
      <c r="I15" s="732">
        <v>650000</v>
      </c>
      <c r="J15" s="734">
        <v>650000</v>
      </c>
    </row>
    <row r="16" spans="1:10" s="98" customFormat="1" x14ac:dyDescent="0.2">
      <c r="A16" s="716">
        <v>1343</v>
      </c>
      <c r="B16" s="717" t="s">
        <v>1057</v>
      </c>
      <c r="C16" s="735">
        <f t="shared" ref="C16:J16" si="1">SUM(C17:C19)</f>
        <v>425000</v>
      </c>
      <c r="D16" s="735">
        <f t="shared" si="1"/>
        <v>250000</v>
      </c>
      <c r="E16" s="735">
        <f t="shared" si="1"/>
        <v>183367</v>
      </c>
      <c r="F16" s="735">
        <f t="shared" si="1"/>
        <v>280000</v>
      </c>
      <c r="G16" s="735">
        <f t="shared" si="1"/>
        <v>320000</v>
      </c>
      <c r="H16" s="735">
        <f t="shared" si="1"/>
        <v>320000</v>
      </c>
      <c r="I16" s="735">
        <f t="shared" si="1"/>
        <v>320000</v>
      </c>
      <c r="J16" s="735">
        <f t="shared" si="1"/>
        <v>320000</v>
      </c>
    </row>
    <row r="17" spans="1:30" x14ac:dyDescent="0.2">
      <c r="A17" s="736" t="s">
        <v>1058</v>
      </c>
      <c r="B17" s="737" t="s">
        <v>1059</v>
      </c>
      <c r="C17" s="738">
        <v>250000</v>
      </c>
      <c r="D17" s="113">
        <v>250000</v>
      </c>
      <c r="E17" s="113">
        <v>183367</v>
      </c>
      <c r="F17" s="739">
        <v>280000</v>
      </c>
      <c r="G17" s="738">
        <v>320000</v>
      </c>
      <c r="H17" s="733">
        <v>320000</v>
      </c>
      <c r="I17" s="733">
        <v>320000</v>
      </c>
      <c r="J17" s="740">
        <v>320000</v>
      </c>
    </row>
    <row r="18" spans="1:30" x14ac:dyDescent="0.2">
      <c r="A18" s="741"/>
      <c r="B18" s="737" t="s">
        <v>1060</v>
      </c>
      <c r="C18" s="738">
        <v>90000</v>
      </c>
      <c r="D18" s="113"/>
      <c r="E18" s="113"/>
      <c r="F18" s="739"/>
      <c r="G18" s="738"/>
      <c r="H18" s="733"/>
      <c r="I18" s="733"/>
      <c r="J18" s="742"/>
    </row>
    <row r="19" spans="1:30" x14ac:dyDescent="0.2">
      <c r="A19" s="741"/>
      <c r="B19" s="737" t="s">
        <v>1061</v>
      </c>
      <c r="C19" s="738">
        <v>85000</v>
      </c>
      <c r="D19" s="113"/>
      <c r="E19" s="113"/>
      <c r="F19" s="739"/>
      <c r="G19" s="738"/>
      <c r="H19" s="733"/>
      <c r="I19" s="733"/>
      <c r="J19" s="743"/>
    </row>
    <row r="20" spans="1:30" ht="25.5" x14ac:dyDescent="0.2">
      <c r="A20" s="744">
        <v>1345</v>
      </c>
      <c r="B20" s="725" t="s">
        <v>1062</v>
      </c>
      <c r="C20" s="731">
        <v>17500000</v>
      </c>
      <c r="D20" s="105">
        <v>17500000</v>
      </c>
      <c r="E20" s="105">
        <v>16192838.52</v>
      </c>
      <c r="F20" s="745">
        <v>17500000</v>
      </c>
      <c r="G20" s="731">
        <v>17500000</v>
      </c>
      <c r="H20" s="731">
        <v>17500000</v>
      </c>
      <c r="I20" s="731">
        <v>17500000</v>
      </c>
      <c r="J20" s="731">
        <v>17500000</v>
      </c>
    </row>
    <row r="21" spans="1:30" s="98" customFormat="1" ht="24.75" x14ac:dyDescent="0.2">
      <c r="A21" s="716">
        <v>1346</v>
      </c>
      <c r="B21" s="725" t="s">
        <v>1063</v>
      </c>
      <c r="C21" s="731">
        <v>180000</v>
      </c>
      <c r="D21" s="105"/>
      <c r="E21" s="105"/>
      <c r="F21" s="172"/>
      <c r="G21" s="731"/>
      <c r="H21" s="733"/>
      <c r="I21" s="733"/>
      <c r="J21" s="722"/>
    </row>
    <row r="22" spans="1:30" s="98" customFormat="1" x14ac:dyDescent="0.2">
      <c r="A22" s="716">
        <v>1353</v>
      </c>
      <c r="B22" s="717" t="s">
        <v>1064</v>
      </c>
      <c r="C22" s="746">
        <v>750000</v>
      </c>
      <c r="D22" s="109"/>
      <c r="E22" s="109"/>
      <c r="F22" s="732"/>
      <c r="G22" s="746"/>
      <c r="H22" s="733"/>
      <c r="I22" s="733"/>
      <c r="J22" s="722"/>
    </row>
    <row r="23" spans="1:30" s="98" customFormat="1" ht="12.75" customHeight="1" x14ac:dyDescent="0.2">
      <c r="A23" s="716">
        <v>1356</v>
      </c>
      <c r="B23" s="717" t="s">
        <v>1065</v>
      </c>
      <c r="C23" s="726">
        <v>250000</v>
      </c>
      <c r="D23" s="109">
        <v>250000</v>
      </c>
      <c r="E23" s="109">
        <v>242547.84</v>
      </c>
      <c r="F23" s="109">
        <v>242547.84</v>
      </c>
      <c r="G23" s="109">
        <v>242547.84</v>
      </c>
      <c r="H23" s="109">
        <v>242547.84</v>
      </c>
      <c r="I23" s="181">
        <v>242547.84</v>
      </c>
      <c r="J23" s="726">
        <v>242547.84</v>
      </c>
    </row>
    <row r="24" spans="1:30" s="98" customFormat="1" ht="12.75" customHeight="1" x14ac:dyDescent="0.2">
      <c r="A24" s="716">
        <v>1359</v>
      </c>
      <c r="B24" s="717" t="s">
        <v>1066</v>
      </c>
      <c r="C24" s="726">
        <v>0</v>
      </c>
      <c r="D24" s="109"/>
      <c r="E24" s="109"/>
      <c r="F24" s="732"/>
      <c r="G24" s="726"/>
      <c r="H24" s="733"/>
      <c r="I24" s="733"/>
      <c r="J24" s="722"/>
    </row>
    <row r="25" spans="1:30" s="98" customFormat="1" ht="12.75" customHeight="1" x14ac:dyDescent="0.2">
      <c r="A25" s="716">
        <v>1361</v>
      </c>
      <c r="B25" s="717" t="s">
        <v>1067</v>
      </c>
      <c r="C25" s="735">
        <f t="shared" ref="C25:J25" si="2">SUM(C26:C31)</f>
        <v>8825000</v>
      </c>
      <c r="D25" s="735">
        <f t="shared" si="2"/>
        <v>421000</v>
      </c>
      <c r="E25" s="735">
        <f t="shared" si="2"/>
        <v>354800</v>
      </c>
      <c r="F25" s="735">
        <f t="shared" si="2"/>
        <v>478000</v>
      </c>
      <c r="G25" s="735">
        <f t="shared" si="2"/>
        <v>457000</v>
      </c>
      <c r="H25" s="735">
        <f t="shared" si="2"/>
        <v>457500</v>
      </c>
      <c r="I25" s="735">
        <f t="shared" si="2"/>
        <v>458000</v>
      </c>
      <c r="J25" s="735">
        <f t="shared" si="2"/>
        <v>457500</v>
      </c>
    </row>
    <row r="26" spans="1:30" ht="12.75" customHeight="1" x14ac:dyDescent="0.2">
      <c r="A26" s="741"/>
      <c r="B26" s="737" t="s">
        <v>1068</v>
      </c>
      <c r="C26" s="738">
        <v>5500000</v>
      </c>
      <c r="D26" s="113"/>
      <c r="E26" s="113"/>
      <c r="F26" s="178"/>
      <c r="G26" s="738"/>
      <c r="H26" s="733"/>
      <c r="I26" s="747"/>
      <c r="J26" s="743"/>
    </row>
    <row r="27" spans="1:30" ht="27.75" customHeight="1" x14ac:dyDescent="0.2">
      <c r="A27" s="748" t="s">
        <v>1069</v>
      </c>
      <c r="B27" s="749" t="s">
        <v>1070</v>
      </c>
      <c r="C27" s="738">
        <v>416000</v>
      </c>
      <c r="D27" s="113">
        <v>416000</v>
      </c>
      <c r="E27" s="113">
        <v>347100</v>
      </c>
      <c r="F27" s="178">
        <v>470000</v>
      </c>
      <c r="G27" s="738">
        <v>450000</v>
      </c>
      <c r="H27" s="738">
        <v>450000</v>
      </c>
      <c r="I27" s="738">
        <v>450000</v>
      </c>
      <c r="J27" s="738">
        <v>450000</v>
      </c>
    </row>
    <row r="28" spans="1:30" ht="12.75" customHeight="1" x14ac:dyDescent="0.2">
      <c r="A28" s="741"/>
      <c r="B28" s="737" t="s">
        <v>1071</v>
      </c>
      <c r="C28" s="738">
        <v>1000000</v>
      </c>
      <c r="D28" s="113"/>
      <c r="E28" s="113"/>
      <c r="F28" s="178"/>
      <c r="G28" s="738"/>
      <c r="H28" s="733"/>
      <c r="I28" s="733"/>
      <c r="J28" s="742"/>
    </row>
    <row r="29" spans="1:30" s="126" customFormat="1" ht="24" customHeight="1" x14ac:dyDescent="0.2">
      <c r="A29" s="736" t="s">
        <v>1072</v>
      </c>
      <c r="B29" s="749" t="s">
        <v>1073</v>
      </c>
      <c r="C29" s="750">
        <v>1719000</v>
      </c>
      <c r="D29" s="113"/>
      <c r="E29" s="113"/>
      <c r="F29" s="178"/>
      <c r="G29" s="750"/>
      <c r="H29" s="751"/>
      <c r="I29" s="751"/>
      <c r="J29" s="752"/>
      <c r="K29" s="130"/>
      <c r="L29" s="130"/>
      <c r="M29" s="130"/>
      <c r="N29" s="130"/>
      <c r="O29" s="130"/>
      <c r="P29" s="130"/>
      <c r="Q29" s="130"/>
      <c r="R29" s="130"/>
      <c r="S29" s="130"/>
      <c r="T29" s="130"/>
      <c r="U29" s="130"/>
      <c r="V29" s="130"/>
      <c r="W29" s="130"/>
      <c r="X29" s="130"/>
      <c r="Y29" s="130"/>
      <c r="Z29" s="130"/>
      <c r="AA29" s="130"/>
      <c r="AB29" s="130"/>
      <c r="AC29" s="130"/>
      <c r="AD29" s="130"/>
    </row>
    <row r="30" spans="1:30" ht="12.75" customHeight="1" x14ac:dyDescent="0.2">
      <c r="A30" s="741"/>
      <c r="B30" s="737" t="s">
        <v>1074</v>
      </c>
      <c r="C30" s="750">
        <v>185000</v>
      </c>
      <c r="D30" s="113"/>
      <c r="E30" s="113"/>
      <c r="F30" s="178"/>
      <c r="G30" s="750"/>
      <c r="H30" s="733"/>
      <c r="I30" s="733"/>
      <c r="J30" s="740"/>
    </row>
    <row r="31" spans="1:30" ht="12.75" customHeight="1" x14ac:dyDescent="0.2">
      <c r="A31" s="748" t="s">
        <v>1075</v>
      </c>
      <c r="B31" s="737" t="s">
        <v>1076</v>
      </c>
      <c r="C31" s="738">
        <v>5000</v>
      </c>
      <c r="D31" s="113">
        <v>5000</v>
      </c>
      <c r="E31" s="113">
        <f>100+7600</f>
        <v>7700</v>
      </c>
      <c r="F31" s="178">
        <v>8000</v>
      </c>
      <c r="G31" s="738">
        <v>7000</v>
      </c>
      <c r="H31" s="733">
        <v>7500</v>
      </c>
      <c r="I31" s="733">
        <v>8000</v>
      </c>
      <c r="J31" s="742">
        <v>7500</v>
      </c>
    </row>
    <row r="32" spans="1:30" ht="12.75" customHeight="1" x14ac:dyDescent="0.2">
      <c r="A32" s="736" t="s">
        <v>1077</v>
      </c>
      <c r="B32" s="717" t="s">
        <v>1078</v>
      </c>
      <c r="C32" s="731">
        <v>2640000</v>
      </c>
      <c r="D32" s="731">
        <v>2640000</v>
      </c>
      <c r="E32" s="109">
        <v>951076.94</v>
      </c>
      <c r="F32" s="181">
        <v>960000</v>
      </c>
      <c r="G32" s="731">
        <v>0</v>
      </c>
      <c r="H32" s="733">
        <v>0</v>
      </c>
      <c r="I32" s="2617">
        <v>7910000</v>
      </c>
      <c r="J32" s="2619">
        <v>7910000</v>
      </c>
    </row>
    <row r="33" spans="1:59" ht="12.75" customHeight="1" x14ac:dyDescent="0.2">
      <c r="A33" s="736" t="s">
        <v>1079</v>
      </c>
      <c r="B33" s="717" t="s">
        <v>1080</v>
      </c>
      <c r="C33" s="731">
        <v>3000000</v>
      </c>
      <c r="D33" s="731">
        <v>3000000</v>
      </c>
      <c r="E33" s="109">
        <v>6164503.2000000002</v>
      </c>
      <c r="F33" s="181">
        <v>6200000</v>
      </c>
      <c r="G33" s="731">
        <v>0</v>
      </c>
      <c r="H33" s="731">
        <v>0</v>
      </c>
      <c r="I33" s="2618"/>
      <c r="J33" s="2620"/>
    </row>
    <row r="34" spans="1:59" ht="12.75" customHeight="1" x14ac:dyDescent="0.2">
      <c r="A34" s="736" t="s">
        <v>1081</v>
      </c>
      <c r="B34" s="717" t="s">
        <v>1082</v>
      </c>
      <c r="C34" s="731">
        <v>0</v>
      </c>
      <c r="D34" s="731">
        <v>0</v>
      </c>
      <c r="E34" s="731">
        <v>1898021.23</v>
      </c>
      <c r="F34" s="153">
        <v>2600000</v>
      </c>
      <c r="G34" s="731">
        <v>3200000</v>
      </c>
      <c r="H34" s="731">
        <v>3200000</v>
      </c>
      <c r="I34" s="753">
        <v>3200000</v>
      </c>
      <c r="J34" s="754">
        <v>3200000</v>
      </c>
    </row>
    <row r="35" spans="1:59" ht="12.75" customHeight="1" x14ac:dyDescent="0.2">
      <c r="A35" s="736" t="s">
        <v>1083</v>
      </c>
      <c r="B35" s="717" t="s">
        <v>1084</v>
      </c>
      <c r="C35" s="731">
        <v>0</v>
      </c>
      <c r="D35" s="731">
        <v>0</v>
      </c>
      <c r="E35" s="731">
        <v>2015699.68</v>
      </c>
      <c r="F35" s="153">
        <v>3000000</v>
      </c>
      <c r="G35" s="731">
        <v>3700000</v>
      </c>
      <c r="H35" s="731">
        <v>3700000</v>
      </c>
      <c r="I35" s="731">
        <v>3700000</v>
      </c>
      <c r="J35" s="731">
        <v>3700000</v>
      </c>
    </row>
    <row r="36" spans="1:59" ht="12.75" customHeight="1" x14ac:dyDescent="0.2">
      <c r="A36" s="736" t="s">
        <v>1085</v>
      </c>
      <c r="B36" s="717" t="s">
        <v>1084</v>
      </c>
      <c r="C36" s="731">
        <v>0</v>
      </c>
      <c r="D36" s="731">
        <v>0</v>
      </c>
      <c r="E36" s="731">
        <v>890401.74</v>
      </c>
      <c r="F36" s="153">
        <v>1300000</v>
      </c>
      <c r="G36" s="731">
        <v>1600000</v>
      </c>
      <c r="H36" s="731">
        <v>1600000</v>
      </c>
      <c r="I36" s="731">
        <v>1600000</v>
      </c>
      <c r="J36" s="731">
        <v>1600000</v>
      </c>
    </row>
    <row r="37" spans="1:59" s="98" customFormat="1" ht="12.75" customHeight="1" x14ac:dyDescent="0.2">
      <c r="A37" s="716" t="s">
        <v>1086</v>
      </c>
      <c r="B37" s="717" t="s">
        <v>1087</v>
      </c>
      <c r="C37" s="726">
        <v>23960000</v>
      </c>
      <c r="D37" s="755">
        <v>23960000</v>
      </c>
      <c r="E37" s="755">
        <v>16299252.9</v>
      </c>
      <c r="F37" s="153">
        <v>22000000</v>
      </c>
      <c r="G37" s="726">
        <v>36541566</v>
      </c>
      <c r="H37" s="721">
        <v>23320000</v>
      </c>
      <c r="I37" s="721">
        <v>23320000</v>
      </c>
      <c r="J37" s="722">
        <v>23320000</v>
      </c>
    </row>
    <row r="38" spans="1:59" s="98" customFormat="1" ht="12.75" customHeight="1" x14ac:dyDescent="0.2">
      <c r="A38" s="756"/>
      <c r="B38" s="757"/>
      <c r="C38" s="758"/>
      <c r="D38" s="133"/>
      <c r="E38" s="133"/>
      <c r="F38" s="759"/>
      <c r="G38" s="758"/>
      <c r="H38" s="760"/>
      <c r="I38" s="761"/>
      <c r="J38" s="762"/>
    </row>
    <row r="39" spans="1:59" s="98" customFormat="1" ht="18.75" customHeight="1" x14ac:dyDescent="0.25">
      <c r="A39" s="591"/>
      <c r="B39" s="763" t="s">
        <v>10</v>
      </c>
      <c r="C39" s="363">
        <f t="shared" ref="C39:I39" si="3">SUM(C40,C52:C55,C67:C68,C82:C82,C95:C97,C116:C117)</f>
        <v>163957324.72000003</v>
      </c>
      <c r="D39" s="363">
        <f t="shared" si="3"/>
        <v>23205562.689999998</v>
      </c>
      <c r="E39" s="363">
        <f t="shared" si="3"/>
        <v>102040334.18000001</v>
      </c>
      <c r="F39" s="363">
        <f t="shared" si="3"/>
        <v>7204609.0599999996</v>
      </c>
      <c r="G39" s="363">
        <f t="shared" si="3"/>
        <v>1437020</v>
      </c>
      <c r="H39" s="363">
        <f t="shared" si="3"/>
        <v>1337020</v>
      </c>
      <c r="I39" s="364">
        <f t="shared" si="3"/>
        <v>1237020</v>
      </c>
      <c r="J39" s="590"/>
    </row>
    <row r="40" spans="1:59" s="98" customFormat="1" ht="12.75" customHeight="1" x14ac:dyDescent="0.2">
      <c r="A40" s="764">
        <v>2111</v>
      </c>
      <c r="B40" s="709" t="s">
        <v>1088</v>
      </c>
      <c r="C40" s="765">
        <f t="shared" ref="C40:I40" si="4">SUM(C41:C51)</f>
        <v>16515400</v>
      </c>
      <c r="D40" s="765">
        <f t="shared" si="4"/>
        <v>0</v>
      </c>
      <c r="E40" s="765">
        <f t="shared" si="4"/>
        <v>0</v>
      </c>
      <c r="F40" s="765">
        <f t="shared" si="4"/>
        <v>0</v>
      </c>
      <c r="G40" s="765">
        <f t="shared" si="4"/>
        <v>0</v>
      </c>
      <c r="H40" s="765">
        <f t="shared" si="4"/>
        <v>0</v>
      </c>
      <c r="I40" s="765">
        <f t="shared" si="4"/>
        <v>0</v>
      </c>
    </row>
    <row r="41" spans="1:59" s="98" customFormat="1" ht="12.75" customHeight="1" x14ac:dyDescent="0.2">
      <c r="A41" s="764"/>
      <c r="B41" s="766" t="s">
        <v>1089</v>
      </c>
      <c r="C41" s="738">
        <v>0</v>
      </c>
      <c r="D41" s="767"/>
      <c r="E41" s="767"/>
      <c r="F41" s="768"/>
      <c r="G41" s="738"/>
      <c r="H41" s="769"/>
      <c r="I41" s="770"/>
    </row>
    <row r="42" spans="1:59" ht="12.75" customHeight="1" x14ac:dyDescent="0.2">
      <c r="A42" s="771"/>
      <c r="B42" s="737" t="s">
        <v>1090</v>
      </c>
      <c r="C42" s="738">
        <v>800000</v>
      </c>
      <c r="D42" s="772"/>
      <c r="E42" s="772"/>
      <c r="F42" s="773"/>
      <c r="G42" s="738"/>
      <c r="H42" s="774"/>
      <c r="I42" s="775"/>
    </row>
    <row r="43" spans="1:59" ht="12.75" customHeight="1" x14ac:dyDescent="0.2">
      <c r="A43" s="776"/>
      <c r="B43" s="737" t="s">
        <v>1091</v>
      </c>
      <c r="C43" s="738">
        <v>950000</v>
      </c>
      <c r="D43" s="772"/>
      <c r="E43" s="772"/>
      <c r="F43" s="773"/>
      <c r="G43" s="738"/>
      <c r="H43" s="774"/>
      <c r="I43" s="775"/>
    </row>
    <row r="44" spans="1:59" ht="12.75" customHeight="1" x14ac:dyDescent="0.2">
      <c r="A44" s="776"/>
      <c r="B44" s="737" t="s">
        <v>1092</v>
      </c>
      <c r="C44" s="738">
        <v>0</v>
      </c>
      <c r="D44" s="731"/>
      <c r="E44" s="772"/>
      <c r="F44" s="768"/>
      <c r="G44" s="738"/>
      <c r="H44" s="774"/>
      <c r="I44" s="775"/>
    </row>
    <row r="45" spans="1:59" ht="12.75" customHeight="1" x14ac:dyDescent="0.2">
      <c r="A45" s="776"/>
      <c r="B45" s="737" t="s">
        <v>1093</v>
      </c>
      <c r="C45" s="738">
        <v>0</v>
      </c>
      <c r="D45" s="767"/>
      <c r="E45" s="772"/>
      <c r="F45" s="768"/>
      <c r="G45" s="738"/>
      <c r="H45" s="774"/>
      <c r="I45" s="775"/>
    </row>
    <row r="46" spans="1:59" s="777" customFormat="1" ht="12.75" customHeight="1" x14ac:dyDescent="0.2">
      <c r="A46" s="776"/>
      <c r="B46" s="778" t="s">
        <v>1094</v>
      </c>
      <c r="C46" s="767">
        <v>6700000</v>
      </c>
      <c r="D46" s="767"/>
      <c r="E46" s="772"/>
      <c r="F46" s="768"/>
      <c r="G46" s="767"/>
      <c r="H46" s="774"/>
      <c r="I46" s="775"/>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c r="AW46" s="1"/>
      <c r="AX46" s="1"/>
      <c r="AY46" s="1"/>
      <c r="AZ46" s="1"/>
      <c r="BA46" s="1"/>
      <c r="BB46" s="1"/>
      <c r="BC46" s="1"/>
      <c r="BD46" s="1"/>
      <c r="BE46" s="1"/>
      <c r="BF46" s="1"/>
      <c r="BG46" s="1"/>
    </row>
    <row r="47" spans="1:59" s="777" customFormat="1" ht="12.75" customHeight="1" x14ac:dyDescent="0.2">
      <c r="A47" s="776"/>
      <c r="B47" s="778" t="s">
        <v>1095</v>
      </c>
      <c r="C47" s="767">
        <v>2049000</v>
      </c>
      <c r="D47" s="767"/>
      <c r="E47" s="772"/>
      <c r="F47" s="773"/>
      <c r="G47" s="767"/>
      <c r="H47" s="774"/>
      <c r="I47" s="775"/>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c r="AW47" s="1"/>
      <c r="AX47" s="1"/>
      <c r="AY47" s="1"/>
      <c r="AZ47" s="1"/>
      <c r="BA47" s="1"/>
      <c r="BB47" s="1"/>
      <c r="BC47" s="1"/>
      <c r="BD47" s="1"/>
      <c r="BE47" s="1"/>
      <c r="BF47" s="1"/>
      <c r="BG47" s="1"/>
    </row>
    <row r="48" spans="1:59" s="777" customFormat="1" ht="12.75" customHeight="1" x14ac:dyDescent="0.2">
      <c r="A48" s="776"/>
      <c r="B48" s="778" t="s">
        <v>1096</v>
      </c>
      <c r="C48" s="767">
        <v>2955900</v>
      </c>
      <c r="D48" s="767"/>
      <c r="E48" s="767"/>
      <c r="F48" s="768"/>
      <c r="G48" s="767"/>
      <c r="H48" s="774"/>
      <c r="I48" s="775"/>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c r="AW48" s="1"/>
      <c r="AX48" s="1"/>
      <c r="AY48" s="1"/>
      <c r="AZ48" s="1"/>
      <c r="BA48" s="1"/>
      <c r="BB48" s="1"/>
      <c r="BC48" s="1"/>
      <c r="BD48" s="1"/>
      <c r="BE48" s="1"/>
      <c r="BF48" s="1"/>
      <c r="BG48" s="1"/>
    </row>
    <row r="49" spans="1:59" ht="12.75" customHeight="1" x14ac:dyDescent="0.2">
      <c r="A49" s="776"/>
      <c r="B49" s="778" t="s">
        <v>1097</v>
      </c>
      <c r="C49" s="767">
        <v>3000000</v>
      </c>
      <c r="D49" s="767"/>
      <c r="E49" s="767"/>
      <c r="F49" s="768"/>
      <c r="G49" s="767"/>
      <c r="H49" s="774"/>
      <c r="I49" s="775"/>
    </row>
    <row r="50" spans="1:59" ht="12.75" customHeight="1" x14ac:dyDescent="0.2">
      <c r="A50" s="776"/>
      <c r="B50" s="778" t="s">
        <v>1098</v>
      </c>
      <c r="C50" s="767">
        <v>60000</v>
      </c>
      <c r="D50" s="779"/>
      <c r="E50" s="779"/>
      <c r="F50" s="780"/>
      <c r="G50" s="767"/>
      <c r="H50" s="774"/>
      <c r="I50" s="775"/>
    </row>
    <row r="51" spans="1:59" ht="12.75" customHeight="1" x14ac:dyDescent="0.2">
      <c r="A51" s="776"/>
      <c r="B51" s="778" t="s">
        <v>1099</v>
      </c>
      <c r="C51" s="767">
        <v>500</v>
      </c>
      <c r="D51" s="772"/>
      <c r="E51" s="772"/>
      <c r="F51" s="773"/>
      <c r="G51" s="767"/>
      <c r="H51" s="774"/>
      <c r="I51" s="775"/>
    </row>
    <row r="52" spans="1:59" s="781" customFormat="1" ht="12.75" customHeight="1" x14ac:dyDescent="0.2">
      <c r="A52" s="771">
        <v>2119</v>
      </c>
      <c r="B52" s="782" t="s">
        <v>1100</v>
      </c>
      <c r="C52" s="746">
        <v>3000000</v>
      </c>
      <c r="D52" s="734"/>
      <c r="E52" s="734"/>
      <c r="F52" s="783"/>
      <c r="G52" s="746"/>
      <c r="H52" s="769"/>
      <c r="I52" s="770"/>
      <c r="J52" s="98"/>
      <c r="K52" s="98"/>
      <c r="L52" s="98"/>
      <c r="M52" s="98"/>
      <c r="N52" s="98"/>
      <c r="O52" s="98"/>
      <c r="P52" s="98"/>
      <c r="Q52" s="98"/>
      <c r="R52" s="98"/>
      <c r="S52" s="98"/>
      <c r="T52" s="98"/>
      <c r="U52" s="98"/>
      <c r="V52" s="98"/>
      <c r="W52" s="98"/>
      <c r="X52" s="98"/>
      <c r="Y52" s="98"/>
      <c r="Z52" s="98"/>
      <c r="AA52" s="98"/>
      <c r="AB52" s="98"/>
      <c r="AC52" s="98"/>
      <c r="AD52" s="98"/>
      <c r="AE52" s="98"/>
      <c r="AF52" s="98"/>
      <c r="AG52" s="98"/>
      <c r="AH52" s="98"/>
      <c r="AI52" s="98"/>
      <c r="AJ52" s="98"/>
      <c r="AK52" s="98"/>
      <c r="AL52" s="98"/>
      <c r="AM52" s="98"/>
      <c r="AN52" s="98"/>
      <c r="AO52" s="98"/>
      <c r="AP52" s="98"/>
      <c r="AQ52" s="98"/>
      <c r="AR52" s="98"/>
      <c r="AS52" s="98"/>
      <c r="AT52" s="98"/>
      <c r="AU52" s="98"/>
      <c r="AV52" s="98"/>
      <c r="AW52" s="98"/>
      <c r="AX52" s="98"/>
      <c r="AY52" s="98"/>
      <c r="AZ52" s="98"/>
      <c r="BA52" s="98"/>
      <c r="BB52" s="98"/>
      <c r="BC52" s="98"/>
      <c r="BD52" s="98"/>
      <c r="BE52" s="98"/>
      <c r="BF52" s="98"/>
      <c r="BG52" s="98"/>
    </row>
    <row r="53" spans="1:59" s="98" customFormat="1" ht="24.75" x14ac:dyDescent="0.2">
      <c r="A53" s="771">
        <v>2122</v>
      </c>
      <c r="B53" s="784" t="s">
        <v>1101</v>
      </c>
      <c r="C53" s="785">
        <f>SUM(355760+288696.24+157064+934180+398227+74093+156477+126060+522020+175356+962729.12)</f>
        <v>4150662.3600000003</v>
      </c>
      <c r="D53" s="746">
        <v>6185909.0599999996</v>
      </c>
      <c r="E53" s="746">
        <v>3451400.06</v>
      </c>
      <c r="F53" s="746">
        <v>6185909.0599999996</v>
      </c>
      <c r="G53" s="786">
        <v>522020</v>
      </c>
      <c r="H53" s="786">
        <v>522020</v>
      </c>
      <c r="I53" s="786">
        <v>522020</v>
      </c>
    </row>
    <row r="54" spans="1:59" s="98" customFormat="1" ht="12.75" customHeight="1" x14ac:dyDescent="0.2">
      <c r="A54" s="771">
        <v>2131</v>
      </c>
      <c r="B54" s="782" t="s">
        <v>1102</v>
      </c>
      <c r="C54" s="746">
        <v>1000000</v>
      </c>
      <c r="D54" s="734"/>
      <c r="E54" s="734"/>
      <c r="F54" s="783"/>
      <c r="G54" s="746"/>
      <c r="H54" s="769"/>
      <c r="I54" s="770"/>
    </row>
    <row r="55" spans="1:59" s="98" customFormat="1" ht="12.75" customHeight="1" x14ac:dyDescent="0.2">
      <c r="A55" s="771">
        <v>2132</v>
      </c>
      <c r="B55" s="787" t="s">
        <v>1103</v>
      </c>
      <c r="C55" s="734">
        <f t="shared" ref="C55:I55" si="5">SUM(C56:C66)</f>
        <v>105248875</v>
      </c>
      <c r="D55" s="734">
        <f t="shared" si="5"/>
        <v>0</v>
      </c>
      <c r="E55" s="734">
        <f t="shared" si="5"/>
        <v>0</v>
      </c>
      <c r="F55" s="734">
        <f t="shared" si="5"/>
        <v>0</v>
      </c>
      <c r="G55" s="734">
        <f t="shared" si="5"/>
        <v>0</v>
      </c>
      <c r="H55" s="734">
        <f t="shared" si="5"/>
        <v>0</v>
      </c>
      <c r="I55" s="734">
        <f t="shared" si="5"/>
        <v>0</v>
      </c>
    </row>
    <row r="56" spans="1:59" ht="12.75" customHeight="1" x14ac:dyDescent="0.2">
      <c r="A56" s="776"/>
      <c r="B56" s="778" t="s">
        <v>1104</v>
      </c>
      <c r="C56" s="767">
        <v>810000</v>
      </c>
      <c r="D56" s="772"/>
      <c r="E56" s="772"/>
      <c r="F56" s="773"/>
      <c r="G56" s="767"/>
      <c r="H56" s="774"/>
      <c r="I56" s="775"/>
    </row>
    <row r="57" spans="1:59" ht="12.75" customHeight="1" x14ac:dyDescent="0.2">
      <c r="A57" s="776"/>
      <c r="B57" s="778" t="s">
        <v>1105</v>
      </c>
      <c r="C57" s="767">
        <v>7000</v>
      </c>
      <c r="D57" s="772"/>
      <c r="E57" s="772"/>
      <c r="F57" s="773"/>
      <c r="G57" s="767"/>
      <c r="H57" s="774"/>
      <c r="I57" s="775"/>
    </row>
    <row r="58" spans="1:59" ht="12.75" customHeight="1" x14ac:dyDescent="0.2">
      <c r="A58" s="776"/>
      <c r="B58" s="778" t="s">
        <v>1106</v>
      </c>
      <c r="C58" s="767">
        <v>600000</v>
      </c>
      <c r="D58" s="772"/>
      <c r="E58" s="772"/>
      <c r="F58" s="773"/>
      <c r="G58" s="767"/>
      <c r="H58" s="774"/>
      <c r="I58" s="775"/>
    </row>
    <row r="59" spans="1:59" s="777" customFormat="1" ht="12.75" customHeight="1" x14ac:dyDescent="0.2">
      <c r="A59" s="776"/>
      <c r="B59" s="778" t="s">
        <v>1107</v>
      </c>
      <c r="C59" s="767">
        <v>340000</v>
      </c>
      <c r="D59" s="767"/>
      <c r="E59" s="772"/>
      <c r="F59" s="773"/>
      <c r="G59" s="767"/>
      <c r="H59" s="774"/>
      <c r="I59" s="775"/>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c r="AW59" s="1"/>
      <c r="AX59" s="1"/>
      <c r="AY59" s="1"/>
      <c r="AZ59" s="1"/>
      <c r="BA59" s="1"/>
      <c r="BB59" s="1"/>
      <c r="BC59" s="1"/>
      <c r="BD59" s="1"/>
      <c r="BE59" s="1"/>
      <c r="BF59" s="1"/>
      <c r="BG59" s="1"/>
    </row>
    <row r="60" spans="1:59" s="777" customFormat="1" ht="12.75" customHeight="1" x14ac:dyDescent="0.2">
      <c r="A60" s="776"/>
      <c r="B60" s="788" t="s">
        <v>1108</v>
      </c>
      <c r="C60" s="767">
        <v>75480000</v>
      </c>
      <c r="D60" s="767"/>
      <c r="E60" s="767"/>
      <c r="F60" s="773"/>
      <c r="G60" s="767"/>
      <c r="H60" s="774"/>
      <c r="I60" s="775"/>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c r="AW60" s="1"/>
      <c r="AX60" s="1"/>
      <c r="AY60" s="1"/>
      <c r="AZ60" s="1"/>
      <c r="BA60" s="1"/>
      <c r="BB60" s="1"/>
      <c r="BC60" s="1"/>
      <c r="BD60" s="1"/>
      <c r="BE60" s="1"/>
      <c r="BF60" s="1"/>
      <c r="BG60" s="1"/>
    </row>
    <row r="61" spans="1:59" ht="12.75" customHeight="1" x14ac:dyDescent="0.2">
      <c r="A61" s="776"/>
      <c r="B61" s="788" t="s">
        <v>1109</v>
      </c>
      <c r="C61" s="767">
        <v>180875</v>
      </c>
      <c r="D61" s="772"/>
      <c r="E61" s="772"/>
      <c r="F61" s="773"/>
      <c r="G61" s="767"/>
      <c r="H61" s="774"/>
      <c r="I61" s="775"/>
    </row>
    <row r="62" spans="1:59" ht="12.75" customHeight="1" x14ac:dyDescent="0.2">
      <c r="A62" s="776"/>
      <c r="B62" s="778" t="s">
        <v>1110</v>
      </c>
      <c r="C62" s="767">
        <v>500000</v>
      </c>
      <c r="D62" s="772"/>
      <c r="E62" s="772"/>
      <c r="F62" s="773"/>
      <c r="G62" s="767"/>
      <c r="H62" s="774"/>
      <c r="I62" s="775"/>
    </row>
    <row r="63" spans="1:59" s="777" customFormat="1" ht="24.75" x14ac:dyDescent="0.2">
      <c r="A63" s="776"/>
      <c r="B63" s="789" t="s">
        <v>1111</v>
      </c>
      <c r="C63" s="767">
        <v>15796000</v>
      </c>
      <c r="D63" s="767"/>
      <c r="E63" s="767"/>
      <c r="F63" s="773"/>
      <c r="G63" s="767"/>
      <c r="H63" s="774"/>
      <c r="I63" s="775"/>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c r="AW63" s="1"/>
      <c r="AX63" s="1"/>
      <c r="AY63" s="1"/>
      <c r="AZ63" s="1"/>
      <c r="BA63" s="1"/>
      <c r="BB63" s="1"/>
      <c r="BC63" s="1"/>
      <c r="BD63" s="1"/>
      <c r="BE63" s="1"/>
      <c r="BF63" s="1"/>
      <c r="BG63" s="1"/>
    </row>
    <row r="64" spans="1:59" s="777" customFormat="1" ht="12.75" customHeight="1" x14ac:dyDescent="0.2">
      <c r="A64" s="776"/>
      <c r="B64" s="778" t="s">
        <v>1112</v>
      </c>
      <c r="C64" s="767">
        <v>11500000</v>
      </c>
      <c r="D64" s="767"/>
      <c r="E64" s="767"/>
      <c r="F64" s="773"/>
      <c r="G64" s="767"/>
      <c r="H64" s="774"/>
      <c r="I64" s="775"/>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c r="AW64" s="1"/>
      <c r="AX64" s="1"/>
      <c r="AY64" s="1"/>
      <c r="AZ64" s="1"/>
      <c r="BA64" s="1"/>
      <c r="BB64" s="1"/>
      <c r="BC64" s="1"/>
      <c r="BD64" s="1"/>
      <c r="BE64" s="1"/>
      <c r="BF64" s="1"/>
      <c r="BG64" s="1"/>
    </row>
    <row r="65" spans="1:59" s="777" customFormat="1" ht="12.75" customHeight="1" x14ac:dyDescent="0.2">
      <c r="A65" s="776"/>
      <c r="B65" s="778" t="s">
        <v>1113</v>
      </c>
      <c r="C65" s="767">
        <v>20000</v>
      </c>
      <c r="D65" s="767"/>
      <c r="E65" s="772"/>
      <c r="F65" s="773"/>
      <c r="G65" s="767"/>
      <c r="H65" s="774"/>
      <c r="I65" s="775"/>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c r="AW65" s="1"/>
      <c r="AX65" s="1"/>
      <c r="AY65" s="1"/>
      <c r="AZ65" s="1"/>
      <c r="BA65" s="1"/>
      <c r="BB65" s="1"/>
      <c r="BC65" s="1"/>
      <c r="BD65" s="1"/>
      <c r="BE65" s="1"/>
      <c r="BF65" s="1"/>
      <c r="BG65" s="1"/>
    </row>
    <row r="66" spans="1:59" ht="12.75" customHeight="1" x14ac:dyDescent="0.2">
      <c r="A66" s="790"/>
      <c r="B66" s="778" t="s">
        <v>1114</v>
      </c>
      <c r="C66" s="767">
        <v>15000</v>
      </c>
      <c r="D66" s="772"/>
      <c r="E66" s="772"/>
      <c r="F66" s="773"/>
      <c r="G66" s="767"/>
      <c r="H66" s="774"/>
      <c r="I66" s="775"/>
    </row>
    <row r="67" spans="1:59" s="98" customFormat="1" ht="12.75" customHeight="1" x14ac:dyDescent="0.2">
      <c r="A67" s="791">
        <v>2141</v>
      </c>
      <c r="B67" s="787" t="s">
        <v>118</v>
      </c>
      <c r="C67" s="746">
        <v>10000</v>
      </c>
      <c r="D67" s="746">
        <v>10000</v>
      </c>
      <c r="E67" s="734">
        <v>850406.88</v>
      </c>
      <c r="F67" s="783">
        <v>1000000</v>
      </c>
      <c r="G67" s="783">
        <v>900000</v>
      </c>
      <c r="H67" s="783">
        <v>800000</v>
      </c>
      <c r="I67" s="783">
        <v>700000</v>
      </c>
    </row>
    <row r="68" spans="1:59" s="98" customFormat="1" ht="12.75" customHeight="1" x14ac:dyDescent="0.2">
      <c r="A68" s="791">
        <v>2212</v>
      </c>
      <c r="B68" s="787" t="s">
        <v>1115</v>
      </c>
      <c r="C68" s="734">
        <f>SUM(C69:C81)</f>
        <v>11730000</v>
      </c>
      <c r="D68" s="734"/>
      <c r="E68" s="734"/>
      <c r="F68" s="783"/>
      <c r="G68" s="734"/>
      <c r="H68" s="769"/>
      <c r="I68" s="770"/>
    </row>
    <row r="69" spans="1:59" ht="12.75" customHeight="1" x14ac:dyDescent="0.2">
      <c r="A69" s="792" t="s">
        <v>1116</v>
      </c>
      <c r="B69" s="778" t="s">
        <v>1117</v>
      </c>
      <c r="C69" s="767">
        <v>15000</v>
      </c>
      <c r="D69" s="772">
        <v>15000</v>
      </c>
      <c r="E69" s="772">
        <v>16500</v>
      </c>
      <c r="F69" s="772">
        <v>20000</v>
      </c>
      <c r="G69" s="772">
        <v>20000</v>
      </c>
      <c r="H69" s="772">
        <v>20000</v>
      </c>
      <c r="I69" s="772">
        <v>20000</v>
      </c>
    </row>
    <row r="70" spans="1:59" ht="12.75" customHeight="1" x14ac:dyDescent="0.2">
      <c r="A70" s="790"/>
      <c r="B70" s="778" t="s">
        <v>121</v>
      </c>
      <c r="C70" s="767">
        <v>100000</v>
      </c>
      <c r="D70" s="772"/>
      <c r="E70" s="772"/>
      <c r="F70" s="773"/>
      <c r="G70" s="767"/>
      <c r="H70" s="774"/>
      <c r="I70" s="775"/>
    </row>
    <row r="71" spans="1:59" ht="12.75" customHeight="1" x14ac:dyDescent="0.2">
      <c r="A71" s="790"/>
      <c r="B71" s="778" t="s">
        <v>1118</v>
      </c>
      <c r="C71" s="767">
        <v>0</v>
      </c>
      <c r="D71" s="772"/>
      <c r="E71" s="772"/>
      <c r="F71" s="773"/>
      <c r="G71" s="767"/>
      <c r="H71" s="774"/>
      <c r="I71" s="775"/>
    </row>
    <row r="72" spans="1:59" ht="12.75" customHeight="1" x14ac:dyDescent="0.2">
      <c r="A72" s="790"/>
      <c r="B72" s="778" t="s">
        <v>1119</v>
      </c>
      <c r="C72" s="793">
        <v>2500000</v>
      </c>
      <c r="D72" s="794"/>
      <c r="E72" s="794"/>
      <c r="F72" s="795"/>
      <c r="G72" s="793"/>
      <c r="H72" s="774"/>
      <c r="I72" s="775"/>
    </row>
    <row r="73" spans="1:59" ht="12.75" customHeight="1" x14ac:dyDescent="0.2">
      <c r="A73" s="790"/>
      <c r="B73" s="778" t="s">
        <v>1120</v>
      </c>
      <c r="C73" s="793">
        <v>7500000</v>
      </c>
      <c r="D73" s="794"/>
      <c r="E73" s="794"/>
      <c r="F73" s="795"/>
      <c r="G73" s="793"/>
      <c r="H73" s="774"/>
      <c r="I73" s="775"/>
    </row>
    <row r="74" spans="1:59" ht="12.75" customHeight="1" x14ac:dyDescent="0.2">
      <c r="A74" s="790"/>
      <c r="B74" s="796" t="s">
        <v>1121</v>
      </c>
      <c r="C74" s="793">
        <v>150000</v>
      </c>
      <c r="D74" s="794"/>
      <c r="E74" s="794"/>
      <c r="F74" s="795"/>
      <c r="G74" s="793"/>
      <c r="H74" s="774"/>
      <c r="I74" s="775"/>
    </row>
    <row r="75" spans="1:59" s="777" customFormat="1" ht="12.75" customHeight="1" x14ac:dyDescent="0.2">
      <c r="A75" s="790"/>
      <c r="B75" s="778" t="s">
        <v>1122</v>
      </c>
      <c r="C75" s="767">
        <v>400000</v>
      </c>
      <c r="D75" s="772"/>
      <c r="E75" s="772"/>
      <c r="F75" s="773"/>
      <c r="G75" s="767"/>
      <c r="H75" s="774"/>
      <c r="I75" s="775"/>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c r="BA75" s="1"/>
      <c r="BB75" s="1"/>
      <c r="BC75" s="1"/>
      <c r="BD75" s="1"/>
      <c r="BE75" s="1"/>
      <c r="BF75" s="1"/>
      <c r="BG75" s="1"/>
    </row>
    <row r="76" spans="1:59" s="777" customFormat="1" ht="12.75" customHeight="1" x14ac:dyDescent="0.2">
      <c r="A76" s="790"/>
      <c r="B76" s="778" t="s">
        <v>1123</v>
      </c>
      <c r="C76" s="767">
        <v>50000</v>
      </c>
      <c r="D76" s="772"/>
      <c r="E76" s="773"/>
      <c r="F76" s="773"/>
      <c r="G76" s="767"/>
      <c r="H76" s="774"/>
      <c r="I76" s="775"/>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c r="BA76" s="1"/>
      <c r="BB76" s="1"/>
      <c r="BC76" s="1"/>
      <c r="BD76" s="1"/>
      <c r="BE76" s="1"/>
      <c r="BF76" s="1"/>
      <c r="BG76" s="1"/>
    </row>
    <row r="77" spans="1:59" ht="12.75" customHeight="1" x14ac:dyDescent="0.2">
      <c r="A77" s="790"/>
      <c r="B77" s="778" t="s">
        <v>126</v>
      </c>
      <c r="C77" s="767">
        <v>0</v>
      </c>
      <c r="D77" s="772"/>
      <c r="E77" s="772"/>
      <c r="F77" s="773"/>
      <c r="G77" s="767"/>
      <c r="H77" s="774"/>
      <c r="I77" s="775"/>
    </row>
    <row r="78" spans="1:59" ht="12.75" customHeight="1" x14ac:dyDescent="0.2">
      <c r="A78" s="790"/>
      <c r="B78" s="778" t="s">
        <v>1124</v>
      </c>
      <c r="C78" s="767">
        <v>650000</v>
      </c>
      <c r="D78" s="772"/>
      <c r="E78" s="772"/>
      <c r="F78" s="773"/>
      <c r="G78" s="767"/>
      <c r="H78" s="774"/>
      <c r="I78" s="775"/>
    </row>
    <row r="79" spans="1:59" ht="12.75" customHeight="1" x14ac:dyDescent="0.2">
      <c r="A79" s="790"/>
      <c r="B79" s="778" t="s">
        <v>1125</v>
      </c>
      <c r="C79" s="793">
        <v>350000</v>
      </c>
      <c r="D79" s="794"/>
      <c r="E79" s="794"/>
      <c r="F79" s="795"/>
      <c r="G79" s="793"/>
      <c r="H79" s="774"/>
      <c r="I79" s="775"/>
    </row>
    <row r="80" spans="1:59" s="126" customFormat="1" ht="12.75" customHeight="1" x14ac:dyDescent="0.2">
      <c r="A80" s="792"/>
      <c r="B80" s="778" t="s">
        <v>1126</v>
      </c>
      <c r="C80" s="767">
        <v>15000</v>
      </c>
      <c r="D80" s="797"/>
      <c r="E80" s="772"/>
      <c r="F80" s="773"/>
      <c r="G80" s="767"/>
      <c r="H80" s="774"/>
      <c r="I80" s="775"/>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c r="AW80" s="1"/>
      <c r="AX80" s="1"/>
      <c r="AY80" s="1"/>
      <c r="AZ80" s="1"/>
      <c r="BA80" s="1"/>
      <c r="BB80" s="1"/>
      <c r="BC80" s="1"/>
      <c r="BD80" s="1"/>
      <c r="BE80" s="1"/>
      <c r="BF80" s="1"/>
      <c r="BG80" s="1"/>
    </row>
    <row r="81" spans="1:59" s="126" customFormat="1" ht="12.75" customHeight="1" x14ac:dyDescent="0.2">
      <c r="A81" s="792"/>
      <c r="B81" s="778" t="s">
        <v>1127</v>
      </c>
      <c r="C81" s="767">
        <v>0</v>
      </c>
      <c r="D81" s="797"/>
      <c r="E81" s="772"/>
      <c r="F81" s="773"/>
      <c r="G81" s="773"/>
      <c r="H81" s="774"/>
      <c r="I81" s="775"/>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c r="AW81" s="1"/>
      <c r="AX81" s="1"/>
      <c r="AY81" s="1"/>
      <c r="AZ81" s="1"/>
      <c r="BA81" s="1"/>
      <c r="BB81" s="1"/>
      <c r="BC81" s="1"/>
      <c r="BD81" s="1"/>
      <c r="BE81" s="1"/>
      <c r="BF81" s="1"/>
      <c r="BG81" s="1"/>
    </row>
    <row r="82" spans="1:59" ht="12.75" customHeight="1" x14ac:dyDescent="0.2">
      <c r="A82" s="791">
        <v>2229</v>
      </c>
      <c r="B82" s="787" t="s">
        <v>1128</v>
      </c>
      <c r="C82" s="734">
        <f>SUM(C83:C93)</f>
        <v>1000000</v>
      </c>
      <c r="D82" s="734"/>
      <c r="E82" s="734"/>
      <c r="F82" s="783"/>
      <c r="G82" s="773"/>
      <c r="H82" s="774"/>
      <c r="I82" s="775"/>
      <c r="J82" s="150"/>
    </row>
    <row r="83" spans="1:59" ht="12.75" customHeight="1" x14ac:dyDescent="0.2">
      <c r="A83" s="790"/>
      <c r="B83" s="778" t="s">
        <v>1129</v>
      </c>
      <c r="C83" s="767">
        <v>0</v>
      </c>
      <c r="D83" s="798"/>
      <c r="E83" s="798"/>
      <c r="F83" s="799"/>
      <c r="G83" s="767"/>
      <c r="H83" s="774"/>
      <c r="I83" s="775"/>
      <c r="J83" s="150"/>
    </row>
    <row r="84" spans="1:59" ht="12.75" customHeight="1" x14ac:dyDescent="0.2">
      <c r="A84" s="790"/>
      <c r="B84" s="778" t="s">
        <v>1130</v>
      </c>
      <c r="C84" s="767">
        <v>0</v>
      </c>
      <c r="D84" s="767"/>
      <c r="E84" s="767"/>
      <c r="F84" s="768"/>
      <c r="G84" s="767"/>
      <c r="H84" s="774"/>
      <c r="I84" s="775"/>
      <c r="J84" s="150"/>
    </row>
    <row r="85" spans="1:59" ht="12.75" customHeight="1" x14ac:dyDescent="0.2">
      <c r="A85" s="790"/>
      <c r="B85" s="778" t="s">
        <v>1131</v>
      </c>
      <c r="C85" s="767">
        <v>0</v>
      </c>
      <c r="D85" s="798"/>
      <c r="E85" s="798"/>
      <c r="F85" s="799"/>
      <c r="G85" s="767"/>
      <c r="H85" s="774"/>
      <c r="I85" s="775"/>
      <c r="J85" s="150"/>
    </row>
    <row r="86" spans="1:59" ht="12.75" customHeight="1" x14ac:dyDescent="0.2">
      <c r="A86" s="790"/>
      <c r="B86" s="778" t="s">
        <v>1132</v>
      </c>
      <c r="C86" s="767">
        <v>0</v>
      </c>
      <c r="D86" s="798"/>
      <c r="E86" s="798"/>
      <c r="F86" s="799"/>
      <c r="G86" s="767"/>
      <c r="H86" s="774"/>
      <c r="I86" s="775"/>
      <c r="J86" s="150"/>
    </row>
    <row r="87" spans="1:59" ht="12.75" customHeight="1" x14ac:dyDescent="0.2">
      <c r="A87" s="790"/>
      <c r="B87" s="778" t="s">
        <v>1133</v>
      </c>
      <c r="C87" s="767">
        <v>1000000</v>
      </c>
      <c r="D87" s="798"/>
      <c r="E87" s="798"/>
      <c r="F87" s="799"/>
      <c r="G87" s="767"/>
      <c r="H87" s="774"/>
      <c r="I87" s="775"/>
      <c r="J87" s="150"/>
    </row>
    <row r="88" spans="1:59" ht="12.75" customHeight="1" x14ac:dyDescent="0.2">
      <c r="A88" s="790"/>
      <c r="B88" s="778" t="s">
        <v>1134</v>
      </c>
      <c r="C88" s="767">
        <v>0</v>
      </c>
      <c r="D88" s="798"/>
      <c r="E88" s="798"/>
      <c r="F88" s="799"/>
      <c r="G88" s="767"/>
      <c r="H88" s="774"/>
      <c r="I88" s="775"/>
      <c r="J88" s="150"/>
    </row>
    <row r="89" spans="1:59" ht="12.75" customHeight="1" x14ac:dyDescent="0.2">
      <c r="A89" s="790"/>
      <c r="B89" s="778" t="s">
        <v>1135</v>
      </c>
      <c r="C89" s="798">
        <v>0</v>
      </c>
      <c r="D89" s="798"/>
      <c r="E89" s="798"/>
      <c r="F89" s="800"/>
      <c r="G89" s="798"/>
      <c r="H89" s="774"/>
      <c r="I89" s="775"/>
      <c r="J89" s="150"/>
    </row>
    <row r="90" spans="1:59" ht="12.75" customHeight="1" x14ac:dyDescent="0.2">
      <c r="A90" s="790"/>
      <c r="B90" s="778" t="s">
        <v>1136</v>
      </c>
      <c r="C90" s="767">
        <v>0</v>
      </c>
      <c r="D90" s="798"/>
      <c r="E90" s="798"/>
      <c r="F90" s="799"/>
      <c r="G90" s="767"/>
      <c r="H90" s="774"/>
      <c r="I90" s="775"/>
      <c r="J90" s="150"/>
    </row>
    <row r="91" spans="1:59" ht="12.75" customHeight="1" x14ac:dyDescent="0.2">
      <c r="A91" s="790"/>
      <c r="B91" s="778" t="s">
        <v>1137</v>
      </c>
      <c r="C91" s="767">
        <v>0</v>
      </c>
      <c r="D91" s="798"/>
      <c r="E91" s="798"/>
      <c r="F91" s="799"/>
      <c r="G91" s="767"/>
      <c r="H91" s="774"/>
      <c r="I91" s="775"/>
      <c r="J91" s="150"/>
    </row>
    <row r="92" spans="1:59" ht="12.75" customHeight="1" x14ac:dyDescent="0.2">
      <c r="A92" s="790"/>
      <c r="B92" s="778" t="s">
        <v>1138</v>
      </c>
      <c r="C92" s="767">
        <v>0</v>
      </c>
      <c r="D92" s="798"/>
      <c r="E92" s="798"/>
      <c r="F92" s="799"/>
      <c r="G92" s="767"/>
      <c r="H92" s="774"/>
      <c r="I92" s="775"/>
      <c r="J92" s="150"/>
    </row>
    <row r="93" spans="1:59" ht="12.75" customHeight="1" x14ac:dyDescent="0.2">
      <c r="A93" s="790"/>
      <c r="B93" s="778" t="s">
        <v>1139</v>
      </c>
      <c r="C93" s="767">
        <v>0</v>
      </c>
      <c r="D93" s="798"/>
      <c r="E93" s="798"/>
      <c r="F93" s="799"/>
      <c r="G93" s="767"/>
      <c r="H93" s="774"/>
      <c r="I93" s="775"/>
      <c r="J93" s="150"/>
    </row>
    <row r="94" spans="1:59" ht="12.75" customHeight="1" x14ac:dyDescent="0.2">
      <c r="A94" s="791">
        <v>2310</v>
      </c>
      <c r="B94" s="796" t="s">
        <v>1140</v>
      </c>
      <c r="C94" s="746">
        <v>0</v>
      </c>
      <c r="D94" s="801"/>
      <c r="E94" s="801"/>
      <c r="F94" s="802"/>
      <c r="G94" s="746"/>
      <c r="H94" s="774"/>
      <c r="I94" s="775"/>
      <c r="J94" s="150"/>
    </row>
    <row r="95" spans="1:59" ht="12.75" customHeight="1" x14ac:dyDescent="0.2">
      <c r="A95" s="791">
        <v>2321</v>
      </c>
      <c r="B95" s="787" t="s">
        <v>1141</v>
      </c>
      <c r="C95" s="746">
        <v>100000</v>
      </c>
      <c r="D95" s="734">
        <v>0</v>
      </c>
      <c r="E95" s="734">
        <v>0</v>
      </c>
      <c r="F95" s="783">
        <v>0</v>
      </c>
      <c r="G95" s="803" t="s">
        <v>1142</v>
      </c>
      <c r="H95" s="803" t="s">
        <v>1142</v>
      </c>
      <c r="I95" s="803" t="s">
        <v>1142</v>
      </c>
    </row>
    <row r="96" spans="1:59" s="777" customFormat="1" ht="12.75" customHeight="1" x14ac:dyDescent="0.2">
      <c r="A96" s="791">
        <v>2322</v>
      </c>
      <c r="B96" s="787" t="s">
        <v>1143</v>
      </c>
      <c r="C96" s="746">
        <v>100000</v>
      </c>
      <c r="D96" s="734"/>
      <c r="E96" s="783"/>
      <c r="F96" s="783"/>
      <c r="G96" s="746"/>
      <c r="H96" s="774"/>
      <c r="I96" s="775"/>
      <c r="J96" s="1"/>
      <c r="K96" s="1"/>
      <c r="L96" s="1"/>
      <c r="M96" s="1"/>
      <c r="N96" s="1"/>
      <c r="O96" s="1"/>
      <c r="P96" s="1"/>
      <c r="Q96" s="1"/>
      <c r="R96" s="1"/>
      <c r="S96" s="1"/>
      <c r="T96" s="1"/>
      <c r="U96" s="1"/>
      <c r="V96" s="1"/>
      <c r="W96" s="1"/>
      <c r="X96" s="1"/>
      <c r="Y96" s="1"/>
      <c r="Z96" s="1"/>
      <c r="AA96" s="1"/>
      <c r="AB96" s="1"/>
      <c r="AC96" s="1"/>
      <c r="AD96" s="1"/>
      <c r="AE96" s="1"/>
      <c r="AF96" s="1"/>
      <c r="AG96" s="1"/>
      <c r="AH96" s="1"/>
      <c r="AI96" s="1"/>
      <c r="AJ96" s="1"/>
      <c r="AK96" s="1"/>
      <c r="AL96" s="1"/>
      <c r="AM96" s="1"/>
      <c r="AN96" s="1"/>
      <c r="AO96" s="1"/>
      <c r="AP96" s="1"/>
      <c r="AQ96" s="1"/>
      <c r="AR96" s="1"/>
      <c r="AS96" s="1"/>
      <c r="AT96" s="1"/>
      <c r="AU96" s="1"/>
      <c r="AV96" s="1"/>
      <c r="AW96" s="1"/>
      <c r="AX96" s="1"/>
      <c r="AY96" s="1"/>
      <c r="AZ96" s="1"/>
      <c r="BA96" s="1"/>
      <c r="BB96" s="1"/>
      <c r="BC96" s="1"/>
      <c r="BD96" s="1"/>
      <c r="BE96" s="1"/>
      <c r="BF96" s="1"/>
      <c r="BG96" s="1"/>
    </row>
    <row r="97" spans="1:47" s="98" customFormat="1" ht="12.75" customHeight="1" x14ac:dyDescent="0.2">
      <c r="A97" s="791">
        <v>2324</v>
      </c>
      <c r="B97" s="787" t="s">
        <v>147</v>
      </c>
      <c r="C97" s="734">
        <f t="shared" ref="C97:I97" si="6">SUM(C98:C115)</f>
        <v>3408000</v>
      </c>
      <c r="D97" s="734">
        <f t="shared" si="6"/>
        <v>20000</v>
      </c>
      <c r="E97" s="734">
        <f t="shared" si="6"/>
        <v>6770.75</v>
      </c>
      <c r="F97" s="734">
        <f t="shared" si="6"/>
        <v>8700</v>
      </c>
      <c r="G97" s="734">
        <f t="shared" si="6"/>
        <v>15000</v>
      </c>
      <c r="H97" s="734">
        <f t="shared" si="6"/>
        <v>15000</v>
      </c>
      <c r="I97" s="734">
        <f t="shared" si="6"/>
        <v>15000</v>
      </c>
    </row>
    <row r="98" spans="1:47" s="98" customFormat="1" ht="12.75" customHeight="1" x14ac:dyDescent="0.2">
      <c r="A98" s="791"/>
      <c r="B98" s="787" t="s">
        <v>1144</v>
      </c>
      <c r="C98" s="767">
        <v>0</v>
      </c>
      <c r="D98" s="772"/>
      <c r="E98" s="772"/>
      <c r="F98" s="773"/>
      <c r="G98" s="767"/>
      <c r="H98" s="769"/>
      <c r="I98" s="770"/>
    </row>
    <row r="99" spans="1:47" s="98" customFormat="1" ht="12.75" customHeight="1" x14ac:dyDescent="0.2">
      <c r="A99" s="804" t="s">
        <v>1145</v>
      </c>
      <c r="B99" s="796" t="s">
        <v>1146</v>
      </c>
      <c r="C99" s="767">
        <v>15000</v>
      </c>
      <c r="D99" s="773">
        <v>15000</v>
      </c>
      <c r="E99" s="773">
        <v>4020.48</v>
      </c>
      <c r="F99" s="773">
        <v>6000</v>
      </c>
      <c r="G99" s="773">
        <v>12000</v>
      </c>
      <c r="H99" s="773">
        <v>12000</v>
      </c>
      <c r="I99" s="773">
        <v>12000</v>
      </c>
    </row>
    <row r="100" spans="1:47" s="98" customFormat="1" ht="12.75" customHeight="1" x14ac:dyDescent="0.2">
      <c r="A100" s="804"/>
      <c r="B100" s="796" t="s">
        <v>1147</v>
      </c>
      <c r="C100" s="767">
        <v>0</v>
      </c>
      <c r="D100" s="772"/>
      <c r="E100" s="772"/>
      <c r="F100" s="773"/>
      <c r="G100" s="767"/>
      <c r="H100" s="773"/>
      <c r="I100" s="770"/>
    </row>
    <row r="101" spans="1:47" s="98" customFormat="1" ht="12.75" customHeight="1" x14ac:dyDescent="0.2">
      <c r="A101" s="791"/>
      <c r="B101" s="796" t="s">
        <v>1148</v>
      </c>
      <c r="C101" s="767">
        <v>30000</v>
      </c>
      <c r="D101" s="772"/>
      <c r="E101" s="772"/>
      <c r="F101" s="773"/>
      <c r="G101" s="767"/>
      <c r="H101" s="769"/>
      <c r="I101" s="770"/>
    </row>
    <row r="102" spans="1:47" s="98" customFormat="1" ht="12.75" customHeight="1" x14ac:dyDescent="0.2">
      <c r="A102" s="791"/>
      <c r="B102" s="796" t="s">
        <v>1149</v>
      </c>
      <c r="C102" s="767">
        <v>100000</v>
      </c>
      <c r="D102" s="772"/>
      <c r="E102" s="797"/>
      <c r="F102" s="805"/>
      <c r="G102" s="773"/>
      <c r="H102" s="769"/>
      <c r="I102" s="770"/>
    </row>
    <row r="103" spans="1:47" s="781" customFormat="1" ht="12.75" customHeight="1" x14ac:dyDescent="0.2">
      <c r="A103" s="791"/>
      <c r="B103" s="796" t="s">
        <v>1150</v>
      </c>
      <c r="C103" s="767">
        <v>150000</v>
      </c>
      <c r="D103" s="772"/>
      <c r="E103" s="772"/>
      <c r="F103" s="773"/>
      <c r="G103" s="767"/>
      <c r="H103" s="769"/>
      <c r="I103" s="770"/>
      <c r="J103" s="98"/>
      <c r="K103" s="98"/>
      <c r="L103" s="98"/>
      <c r="M103" s="98"/>
      <c r="N103" s="98"/>
      <c r="O103" s="98"/>
      <c r="P103" s="98"/>
      <c r="Q103" s="98"/>
      <c r="R103" s="98"/>
      <c r="S103" s="98"/>
      <c r="T103" s="98"/>
      <c r="U103" s="98"/>
      <c r="V103" s="98"/>
      <c r="W103" s="98"/>
      <c r="X103" s="98"/>
      <c r="Y103" s="98"/>
      <c r="Z103" s="98"/>
      <c r="AA103" s="98"/>
      <c r="AB103" s="98"/>
      <c r="AC103" s="98"/>
      <c r="AD103" s="98"/>
      <c r="AE103" s="98"/>
      <c r="AF103" s="98"/>
      <c r="AG103" s="98"/>
      <c r="AH103" s="98"/>
      <c r="AI103" s="98"/>
      <c r="AJ103" s="98"/>
      <c r="AK103" s="98"/>
      <c r="AL103" s="98"/>
      <c r="AM103" s="98"/>
      <c r="AN103" s="98"/>
      <c r="AO103" s="98"/>
      <c r="AP103" s="98"/>
      <c r="AQ103" s="98"/>
      <c r="AR103" s="98"/>
      <c r="AS103" s="98"/>
      <c r="AT103" s="98"/>
      <c r="AU103" s="98"/>
    </row>
    <row r="104" spans="1:47" s="781" customFormat="1" ht="12.75" customHeight="1" x14ac:dyDescent="0.2">
      <c r="A104" s="791"/>
      <c r="B104" s="796" t="s">
        <v>1151</v>
      </c>
      <c r="C104" s="767">
        <v>15000</v>
      </c>
      <c r="D104" s="772"/>
      <c r="E104" s="798"/>
      <c r="F104" s="799"/>
      <c r="G104" s="767"/>
      <c r="H104" s="769"/>
      <c r="I104" s="770"/>
      <c r="J104" s="98"/>
      <c r="K104" s="98"/>
      <c r="L104" s="98"/>
      <c r="M104" s="98"/>
      <c r="N104" s="98"/>
      <c r="O104" s="98"/>
      <c r="P104" s="98"/>
      <c r="Q104" s="98"/>
      <c r="R104" s="98"/>
      <c r="S104" s="98"/>
      <c r="T104" s="98"/>
      <c r="U104" s="98"/>
      <c r="V104" s="98"/>
      <c r="W104" s="98"/>
      <c r="X104" s="98"/>
      <c r="Y104" s="98"/>
      <c r="Z104" s="98"/>
      <c r="AA104" s="98"/>
      <c r="AB104" s="98"/>
      <c r="AC104" s="98"/>
      <c r="AD104" s="98"/>
      <c r="AE104" s="98"/>
      <c r="AF104" s="98"/>
      <c r="AG104" s="98"/>
      <c r="AH104" s="98"/>
      <c r="AI104" s="98"/>
      <c r="AJ104" s="98"/>
      <c r="AK104" s="98"/>
      <c r="AL104" s="98"/>
      <c r="AM104" s="98"/>
      <c r="AN104" s="98"/>
      <c r="AO104" s="98"/>
      <c r="AP104" s="98"/>
      <c r="AQ104" s="98"/>
      <c r="AR104" s="98"/>
      <c r="AS104" s="98"/>
      <c r="AT104" s="98"/>
      <c r="AU104" s="98"/>
    </row>
    <row r="105" spans="1:47" s="781" customFormat="1" ht="12.75" customHeight="1" x14ac:dyDescent="0.2">
      <c r="A105" s="791"/>
      <c r="B105" s="796" t="s">
        <v>1152</v>
      </c>
      <c r="C105" s="767">
        <v>0</v>
      </c>
      <c r="D105" s="772"/>
      <c r="E105" s="798"/>
      <c r="F105" s="799"/>
      <c r="G105" s="767"/>
      <c r="H105" s="769"/>
      <c r="I105" s="770"/>
      <c r="J105" s="98"/>
      <c r="K105" s="98"/>
      <c r="L105" s="98"/>
      <c r="M105" s="98"/>
      <c r="N105" s="98"/>
      <c r="O105" s="98"/>
      <c r="P105" s="98"/>
      <c r="Q105" s="98"/>
      <c r="R105" s="98"/>
      <c r="S105" s="98"/>
      <c r="T105" s="98"/>
      <c r="U105" s="98"/>
      <c r="V105" s="98"/>
      <c r="W105" s="98"/>
      <c r="X105" s="98"/>
      <c r="Y105" s="98"/>
      <c r="Z105" s="98"/>
      <c r="AA105" s="98"/>
      <c r="AB105" s="98"/>
      <c r="AC105" s="98"/>
      <c r="AD105" s="98"/>
      <c r="AE105" s="98"/>
      <c r="AF105" s="98"/>
      <c r="AG105" s="98"/>
      <c r="AH105" s="98"/>
      <c r="AI105" s="98"/>
      <c r="AJ105" s="98"/>
      <c r="AK105" s="98"/>
      <c r="AL105" s="98"/>
      <c r="AM105" s="98"/>
      <c r="AN105" s="98"/>
      <c r="AO105" s="98"/>
      <c r="AP105" s="98"/>
      <c r="AQ105" s="98"/>
      <c r="AR105" s="98"/>
      <c r="AS105" s="98"/>
      <c r="AT105" s="98"/>
      <c r="AU105" s="98"/>
    </row>
    <row r="106" spans="1:47" ht="12.75" customHeight="1" x14ac:dyDescent="0.2">
      <c r="A106" s="806" t="s">
        <v>1153</v>
      </c>
      <c r="B106" s="807" t="s">
        <v>1154</v>
      </c>
      <c r="C106" s="767">
        <v>5000</v>
      </c>
      <c r="D106" s="772">
        <v>5000</v>
      </c>
      <c r="E106" s="772">
        <v>1800.51</v>
      </c>
      <c r="F106" s="773">
        <v>2700</v>
      </c>
      <c r="G106" s="767">
        <v>3000</v>
      </c>
      <c r="H106" s="767">
        <v>3000</v>
      </c>
      <c r="I106" s="767">
        <v>3000</v>
      </c>
    </row>
    <row r="107" spans="1:47" s="158" customFormat="1" ht="12.75" customHeight="1" x14ac:dyDescent="0.2">
      <c r="A107" s="790"/>
      <c r="B107" s="778" t="s">
        <v>1155</v>
      </c>
      <c r="C107" s="767">
        <v>0</v>
      </c>
      <c r="D107" s="772"/>
      <c r="E107" s="799"/>
      <c r="F107" s="799"/>
      <c r="G107" s="767"/>
      <c r="H107" s="808"/>
      <c r="I107" s="809"/>
    </row>
    <row r="108" spans="1:47" s="158" customFormat="1" ht="12.75" customHeight="1" x14ac:dyDescent="0.2">
      <c r="A108" s="790"/>
      <c r="B108" s="778" t="s">
        <v>1156</v>
      </c>
      <c r="C108" s="767">
        <v>3000000</v>
      </c>
      <c r="D108" s="772"/>
      <c r="E108" s="798"/>
      <c r="F108" s="799"/>
      <c r="G108" s="767"/>
      <c r="H108" s="808"/>
      <c r="I108" s="809"/>
    </row>
    <row r="109" spans="1:47" s="158" customFormat="1" ht="12.75" customHeight="1" x14ac:dyDescent="0.2">
      <c r="A109" s="790"/>
      <c r="B109" s="778" t="s">
        <v>1157</v>
      </c>
      <c r="C109" s="767">
        <v>0</v>
      </c>
      <c r="D109" s="772"/>
      <c r="E109" s="798"/>
      <c r="F109" s="799"/>
      <c r="G109" s="767"/>
      <c r="H109" s="808"/>
      <c r="I109" s="809"/>
    </row>
    <row r="110" spans="1:47" s="158" customFormat="1" ht="12.75" customHeight="1" x14ac:dyDescent="0.2">
      <c r="A110" s="790"/>
      <c r="B110" s="778" t="s">
        <v>1158</v>
      </c>
      <c r="C110" s="767">
        <v>3000</v>
      </c>
      <c r="D110" s="772"/>
      <c r="E110" s="798"/>
      <c r="F110" s="799"/>
      <c r="G110" s="767"/>
      <c r="H110" s="808"/>
      <c r="I110" s="809"/>
    </row>
    <row r="111" spans="1:47" s="158" customFormat="1" ht="12.75" customHeight="1" x14ac:dyDescent="0.2">
      <c r="A111" s="790"/>
      <c r="B111" s="778" t="s">
        <v>1159</v>
      </c>
      <c r="C111" s="767">
        <v>60000</v>
      </c>
      <c r="D111" s="772"/>
      <c r="E111" s="810"/>
      <c r="F111" s="811"/>
      <c r="G111" s="767"/>
      <c r="H111" s="808"/>
      <c r="I111" s="809"/>
    </row>
    <row r="112" spans="1:47" s="158" customFormat="1" ht="12.75" customHeight="1" x14ac:dyDescent="0.2">
      <c r="A112" s="790"/>
      <c r="B112" s="778" t="s">
        <v>1160</v>
      </c>
      <c r="C112" s="767">
        <v>0</v>
      </c>
      <c r="D112" s="772"/>
      <c r="E112" s="810"/>
      <c r="F112" s="811"/>
      <c r="G112" s="767"/>
      <c r="H112" s="808"/>
      <c r="I112" s="809"/>
    </row>
    <row r="113" spans="1:47" s="158" customFormat="1" ht="12.75" customHeight="1" x14ac:dyDescent="0.2">
      <c r="A113" s="804" t="s">
        <v>1161</v>
      </c>
      <c r="B113" s="778" t="s">
        <v>1162</v>
      </c>
      <c r="C113" s="767">
        <v>30000</v>
      </c>
      <c r="D113" s="772"/>
      <c r="E113" s="798"/>
      <c r="F113" s="799"/>
      <c r="G113" s="767"/>
      <c r="H113" s="808"/>
      <c r="I113" s="809"/>
    </row>
    <row r="114" spans="1:47" s="158" customFormat="1" ht="12.75" customHeight="1" x14ac:dyDescent="0.2">
      <c r="A114" s="804"/>
      <c r="B114" s="778" t="s">
        <v>1163</v>
      </c>
      <c r="C114" s="767">
        <v>0</v>
      </c>
      <c r="D114" s="772"/>
      <c r="E114" s="798"/>
      <c r="F114" s="799"/>
      <c r="G114" s="767"/>
      <c r="H114" s="808"/>
      <c r="I114" s="809"/>
    </row>
    <row r="115" spans="1:47" s="158" customFormat="1" ht="12.75" customHeight="1" x14ac:dyDescent="0.2">
      <c r="A115" s="804" t="s">
        <v>1164</v>
      </c>
      <c r="B115" s="778" t="s">
        <v>1165</v>
      </c>
      <c r="C115" s="767">
        <v>0</v>
      </c>
      <c r="D115" s="772">
        <v>0</v>
      </c>
      <c r="E115" s="799">
        <v>949.76</v>
      </c>
      <c r="F115" s="799">
        <v>0</v>
      </c>
      <c r="G115" s="767">
        <v>0</v>
      </c>
      <c r="H115" s="767">
        <v>0</v>
      </c>
      <c r="I115" s="767">
        <v>0</v>
      </c>
    </row>
    <row r="116" spans="1:47" s="158" customFormat="1" ht="13.5" customHeight="1" x14ac:dyDescent="0.2">
      <c r="A116" s="812" t="s">
        <v>1166</v>
      </c>
      <c r="B116" s="782" t="s">
        <v>1167</v>
      </c>
      <c r="C116" s="746">
        <v>0</v>
      </c>
      <c r="D116" s="734">
        <v>0</v>
      </c>
      <c r="E116" s="813">
        <v>7506.04</v>
      </c>
      <c r="F116" s="813">
        <v>10000</v>
      </c>
      <c r="G116" s="746">
        <v>0</v>
      </c>
      <c r="H116" s="746">
        <v>0</v>
      </c>
      <c r="I116" s="746">
        <v>0</v>
      </c>
    </row>
    <row r="117" spans="1:47" s="98" customFormat="1" ht="12.75" customHeight="1" x14ac:dyDescent="0.2">
      <c r="A117" s="791">
        <v>2329</v>
      </c>
      <c r="B117" s="787" t="s">
        <v>164</v>
      </c>
      <c r="C117" s="734">
        <f>SUM(C118:C135)</f>
        <v>17694387.359999999</v>
      </c>
      <c r="D117" s="734">
        <f>SUM(D118:D135)</f>
        <v>16989653.629999999</v>
      </c>
      <c r="E117" s="734">
        <f>SUM(E118:E135)</f>
        <v>97724250.450000003</v>
      </c>
      <c r="F117" s="734">
        <f>SUM(F118:F135)</f>
        <v>0</v>
      </c>
      <c r="G117" s="734">
        <f>SUM(G118:G135)</f>
        <v>0</v>
      </c>
      <c r="H117" s="734">
        <f>SUM(H118:H134)</f>
        <v>0</v>
      </c>
      <c r="I117" s="734">
        <f>SUM(I118:I135)</f>
        <v>0</v>
      </c>
    </row>
    <row r="118" spans="1:47" s="98" customFormat="1" ht="12.75" customHeight="1" x14ac:dyDescent="0.2">
      <c r="A118" s="791"/>
      <c r="B118" s="796" t="s">
        <v>1168</v>
      </c>
      <c r="C118" s="767">
        <v>200000</v>
      </c>
      <c r="D118" s="772"/>
      <c r="E118" s="772"/>
      <c r="F118" s="773"/>
      <c r="G118" s="767"/>
      <c r="H118" s="814"/>
      <c r="I118" s="815"/>
    </row>
    <row r="119" spans="1:47" ht="12.75" customHeight="1" x14ac:dyDescent="0.2">
      <c r="A119" s="790"/>
      <c r="B119" s="778" t="s">
        <v>1169</v>
      </c>
      <c r="C119" s="767">
        <v>5000</v>
      </c>
      <c r="D119" s="772"/>
      <c r="E119" s="798"/>
      <c r="F119" s="799"/>
      <c r="G119" s="767"/>
      <c r="H119" s="774"/>
      <c r="I119" s="775"/>
    </row>
    <row r="120" spans="1:47" s="777" customFormat="1" ht="12.75" customHeight="1" x14ac:dyDescent="0.2">
      <c r="A120" s="790"/>
      <c r="B120" s="778" t="s">
        <v>1170</v>
      </c>
      <c r="C120" s="767">
        <v>500000</v>
      </c>
      <c r="D120" s="772"/>
      <c r="E120" s="798"/>
      <c r="F120" s="799"/>
      <c r="G120" s="767"/>
      <c r="H120" s="774"/>
      <c r="I120" s="775"/>
      <c r="J120" s="1"/>
      <c r="K120" s="1"/>
      <c r="L120" s="1"/>
      <c r="M120" s="1"/>
      <c r="N120" s="1"/>
      <c r="O120" s="1"/>
      <c r="P120" s="1"/>
      <c r="Q120" s="1"/>
      <c r="R120" s="1"/>
      <c r="S120" s="1"/>
      <c r="T120" s="1"/>
      <c r="U120" s="1"/>
      <c r="V120" s="1"/>
      <c r="W120" s="1"/>
      <c r="X120" s="1"/>
      <c r="Y120" s="1"/>
      <c r="Z120" s="1"/>
      <c r="AA120" s="1"/>
      <c r="AB120" s="1"/>
      <c r="AC120" s="1"/>
      <c r="AD120" s="1"/>
      <c r="AE120" s="1"/>
      <c r="AF120" s="1"/>
      <c r="AG120" s="1"/>
      <c r="AH120" s="1"/>
      <c r="AI120" s="1"/>
      <c r="AJ120" s="1"/>
      <c r="AK120" s="1"/>
      <c r="AL120" s="1"/>
      <c r="AM120" s="1"/>
      <c r="AN120" s="1"/>
      <c r="AO120" s="1"/>
      <c r="AP120" s="1"/>
      <c r="AQ120" s="1"/>
      <c r="AR120" s="1"/>
      <c r="AS120" s="1"/>
      <c r="AT120" s="1"/>
      <c r="AU120" s="1"/>
    </row>
    <row r="121" spans="1:47" s="777" customFormat="1" ht="12.75" customHeight="1" x14ac:dyDescent="0.2">
      <c r="A121" s="790"/>
      <c r="B121" s="778" t="s">
        <v>1171</v>
      </c>
      <c r="C121" s="767">
        <v>20000</v>
      </c>
      <c r="D121" s="772"/>
      <c r="E121" s="798"/>
      <c r="F121" s="799"/>
      <c r="G121" s="767"/>
      <c r="H121" s="774"/>
      <c r="I121" s="775"/>
      <c r="J121" s="1"/>
      <c r="K121" s="1"/>
      <c r="L121" s="1"/>
      <c r="M121" s="1"/>
      <c r="N121" s="1"/>
      <c r="O121" s="1"/>
      <c r="P121" s="1"/>
      <c r="Q121" s="1"/>
      <c r="R121" s="1"/>
      <c r="S121" s="1"/>
      <c r="T121" s="1"/>
      <c r="U121" s="1"/>
      <c r="V121" s="1"/>
      <c r="W121" s="1"/>
      <c r="X121" s="1"/>
      <c r="Y121" s="1"/>
      <c r="Z121" s="1"/>
      <c r="AA121" s="1"/>
      <c r="AB121" s="1"/>
      <c r="AC121" s="1"/>
      <c r="AD121" s="1"/>
      <c r="AE121" s="1"/>
      <c r="AF121" s="1"/>
      <c r="AG121" s="1"/>
      <c r="AH121" s="1"/>
      <c r="AI121" s="1"/>
      <c r="AJ121" s="1"/>
      <c r="AK121" s="1"/>
      <c r="AL121" s="1"/>
      <c r="AM121" s="1"/>
      <c r="AN121" s="1"/>
      <c r="AO121" s="1"/>
      <c r="AP121" s="1"/>
      <c r="AQ121" s="1"/>
      <c r="AR121" s="1"/>
      <c r="AS121" s="1"/>
      <c r="AT121" s="1"/>
      <c r="AU121" s="1"/>
    </row>
    <row r="122" spans="1:47" ht="12.75" customHeight="1" x14ac:dyDescent="0.2">
      <c r="A122" s="790"/>
      <c r="B122" s="778" t="s">
        <v>1172</v>
      </c>
      <c r="C122" s="767">
        <v>250000</v>
      </c>
      <c r="D122" s="772"/>
      <c r="E122" s="798"/>
      <c r="F122" s="799"/>
      <c r="G122" s="767"/>
      <c r="H122" s="774"/>
      <c r="I122" s="775"/>
    </row>
    <row r="123" spans="1:47" ht="12.75" customHeight="1" x14ac:dyDescent="0.2">
      <c r="A123" s="790"/>
      <c r="B123" s="778" t="s">
        <v>1173</v>
      </c>
      <c r="C123" s="767">
        <v>50000</v>
      </c>
      <c r="D123" s="772"/>
      <c r="E123" s="810"/>
      <c r="F123" s="811"/>
      <c r="G123" s="767"/>
      <c r="H123" s="774"/>
      <c r="I123" s="775"/>
    </row>
    <row r="124" spans="1:47" ht="12.75" customHeight="1" x14ac:dyDescent="0.2">
      <c r="A124" s="790"/>
      <c r="B124" s="778" t="s">
        <v>1174</v>
      </c>
      <c r="C124" s="793">
        <v>0</v>
      </c>
      <c r="D124" s="794"/>
      <c r="E124" s="798"/>
      <c r="F124" s="799"/>
      <c r="G124" s="793"/>
      <c r="H124" s="774"/>
      <c r="I124" s="775"/>
    </row>
    <row r="125" spans="1:47" ht="12.75" customHeight="1" x14ac:dyDescent="0.2">
      <c r="A125" s="790"/>
      <c r="B125" s="778" t="s">
        <v>1175</v>
      </c>
      <c r="C125" s="793">
        <v>40000</v>
      </c>
      <c r="D125" s="794"/>
      <c r="E125" s="798"/>
      <c r="F125" s="799"/>
      <c r="G125" s="793"/>
      <c r="H125" s="774"/>
      <c r="I125" s="775"/>
    </row>
    <row r="126" spans="1:47" ht="12.75" customHeight="1" x14ac:dyDescent="0.2">
      <c r="A126" s="790"/>
      <c r="B126" s="788" t="s">
        <v>1176</v>
      </c>
      <c r="C126" s="772">
        <v>5500000</v>
      </c>
      <c r="D126" s="772"/>
      <c r="E126" s="816"/>
      <c r="F126" s="817"/>
      <c r="G126" s="772"/>
      <c r="H126" s="774"/>
      <c r="I126" s="775"/>
    </row>
    <row r="127" spans="1:47" ht="24.75" x14ac:dyDescent="0.2">
      <c r="A127" s="790"/>
      <c r="B127" s="788" t="s">
        <v>1177</v>
      </c>
      <c r="C127" s="767">
        <v>8304000</v>
      </c>
      <c r="D127" s="772"/>
      <c r="E127" s="816"/>
      <c r="F127" s="817"/>
      <c r="G127" s="767"/>
      <c r="H127" s="774"/>
      <c r="I127" s="775"/>
    </row>
    <row r="128" spans="1:47" ht="24.75" x14ac:dyDescent="0.2">
      <c r="A128" s="790"/>
      <c r="B128" s="788" t="s">
        <v>1178</v>
      </c>
      <c r="C128" s="772">
        <v>1000000</v>
      </c>
      <c r="D128" s="772"/>
      <c r="E128" s="816"/>
      <c r="F128" s="817"/>
      <c r="G128" s="772"/>
      <c r="H128" s="774"/>
      <c r="I128" s="775"/>
    </row>
    <row r="129" spans="1:47" ht="24.75" x14ac:dyDescent="0.2">
      <c r="A129" s="818"/>
      <c r="B129" s="819" t="s">
        <v>1179</v>
      </c>
      <c r="C129" s="820">
        <v>700000</v>
      </c>
      <c r="D129" s="820"/>
      <c r="E129" s="821"/>
      <c r="F129" s="822"/>
      <c r="G129" s="820"/>
      <c r="H129" s="774"/>
      <c r="I129" s="775"/>
    </row>
    <row r="130" spans="1:47" x14ac:dyDescent="0.2">
      <c r="A130" s="804" t="s">
        <v>1180</v>
      </c>
      <c r="B130" s="778" t="s">
        <v>1181</v>
      </c>
      <c r="C130" s="793">
        <v>125387.36</v>
      </c>
      <c r="D130" s="793">
        <v>125387.36</v>
      </c>
      <c r="E130" s="798">
        <v>0</v>
      </c>
      <c r="F130" s="799">
        <v>0</v>
      </c>
      <c r="G130" s="793">
        <v>0</v>
      </c>
      <c r="H130" s="793">
        <v>0</v>
      </c>
      <c r="I130" s="793">
        <v>0</v>
      </c>
    </row>
    <row r="131" spans="1:47" ht="12.75" customHeight="1" x14ac:dyDescent="0.2">
      <c r="A131" s="790"/>
      <c r="B131" s="778" t="s">
        <v>1182</v>
      </c>
      <c r="C131" s="793">
        <v>0</v>
      </c>
      <c r="D131" s="794"/>
      <c r="E131" s="798"/>
      <c r="F131" s="799"/>
      <c r="G131" s="793"/>
      <c r="H131" s="774"/>
      <c r="I131" s="775"/>
    </row>
    <row r="132" spans="1:47" ht="12.75" customHeight="1" x14ac:dyDescent="0.2">
      <c r="A132" s="790"/>
      <c r="B132" s="778" t="s">
        <v>1183</v>
      </c>
      <c r="C132" s="793">
        <v>0</v>
      </c>
      <c r="D132" s="794"/>
      <c r="E132" s="798"/>
      <c r="F132" s="799"/>
      <c r="G132" s="793"/>
      <c r="H132" s="774"/>
      <c r="I132" s="775"/>
    </row>
    <row r="133" spans="1:47" ht="12.75" customHeight="1" x14ac:dyDescent="0.2">
      <c r="A133" s="823"/>
      <c r="B133" s="824" t="s">
        <v>1184</v>
      </c>
      <c r="C133" s="825">
        <v>0</v>
      </c>
      <c r="D133" s="826"/>
      <c r="E133" s="827"/>
      <c r="F133" s="828"/>
      <c r="G133" s="825"/>
      <c r="H133" s="774"/>
      <c r="I133" s="775"/>
    </row>
    <row r="134" spans="1:47" ht="12.75" customHeight="1" x14ac:dyDescent="0.2">
      <c r="A134" s="823"/>
      <c r="B134" s="824" t="s">
        <v>1185</v>
      </c>
      <c r="C134" s="829">
        <v>1000000</v>
      </c>
      <c r="D134" s="826"/>
      <c r="E134" s="827"/>
      <c r="F134" s="828"/>
      <c r="G134" s="829"/>
      <c r="H134" s="774"/>
      <c r="I134" s="775"/>
    </row>
    <row r="135" spans="1:47" ht="12.75" customHeight="1" x14ac:dyDescent="0.2">
      <c r="A135" s="830" t="s">
        <v>1186</v>
      </c>
      <c r="B135" s="824" t="s">
        <v>1187</v>
      </c>
      <c r="C135" s="831">
        <v>0</v>
      </c>
      <c r="D135" s="826">
        <v>16864266.27</v>
      </c>
      <c r="E135" s="827">
        <v>97724250.450000003</v>
      </c>
      <c r="F135" s="828">
        <v>0</v>
      </c>
      <c r="G135" s="831">
        <v>0</v>
      </c>
      <c r="H135" s="831">
        <v>0</v>
      </c>
      <c r="I135" s="831">
        <v>0</v>
      </c>
    </row>
    <row r="136" spans="1:47" ht="12.75" customHeight="1" x14ac:dyDescent="0.2">
      <c r="A136" s="832"/>
      <c r="B136" s="824"/>
      <c r="C136" s="833"/>
      <c r="D136" s="834"/>
      <c r="E136" s="835"/>
      <c r="F136" s="836"/>
      <c r="G136" s="833"/>
      <c r="H136" s="837"/>
      <c r="I136" s="838"/>
    </row>
    <row r="137" spans="1:47" s="98" customFormat="1" ht="18.75" customHeight="1" x14ac:dyDescent="0.25">
      <c r="A137" s="839"/>
      <c r="B137" s="840" t="s">
        <v>11</v>
      </c>
      <c r="C137" s="841">
        <f t="shared" ref="C137:I137" si="7">SUM(C138,C139,C140,C147:C148,C151,C153)</f>
        <v>72976820.010000005</v>
      </c>
      <c r="D137" s="841">
        <f t="shared" si="7"/>
        <v>2481000</v>
      </c>
      <c r="E137" s="841">
        <f t="shared" si="7"/>
        <v>0</v>
      </c>
      <c r="F137" s="841">
        <f t="shared" si="7"/>
        <v>0</v>
      </c>
      <c r="G137" s="841">
        <f t="shared" si="7"/>
        <v>0</v>
      </c>
      <c r="H137" s="637">
        <f t="shared" si="7"/>
        <v>0</v>
      </c>
      <c r="I137" s="637">
        <f t="shared" si="7"/>
        <v>0</v>
      </c>
    </row>
    <row r="138" spans="1:47" s="98" customFormat="1" ht="24.75" x14ac:dyDescent="0.2">
      <c r="A138" s="842">
        <v>3111</v>
      </c>
      <c r="B138" s="843" t="s">
        <v>1188</v>
      </c>
      <c r="C138" s="844">
        <v>49200000</v>
      </c>
      <c r="D138" s="844"/>
      <c r="E138" s="845"/>
      <c r="F138" s="844"/>
      <c r="G138" s="844"/>
      <c r="H138" s="846"/>
      <c r="I138" s="847"/>
    </row>
    <row r="139" spans="1:47" s="98" customFormat="1" x14ac:dyDescent="0.2">
      <c r="A139" s="842">
        <v>3111</v>
      </c>
      <c r="B139" s="843" t="s">
        <v>1189</v>
      </c>
      <c r="C139" s="746">
        <v>600000</v>
      </c>
      <c r="D139" s="746"/>
      <c r="E139" s="848"/>
      <c r="F139" s="746"/>
      <c r="G139" s="746"/>
      <c r="H139" s="769"/>
      <c r="I139" s="770"/>
    </row>
    <row r="140" spans="1:47" s="98" customFormat="1" x14ac:dyDescent="0.2">
      <c r="A140" s="791">
        <v>3112</v>
      </c>
      <c r="B140" s="787" t="s">
        <v>178</v>
      </c>
      <c r="C140" s="734">
        <f t="shared" ref="C140:I140" si="8">SUM(C141:C146)</f>
        <v>14648000</v>
      </c>
      <c r="D140" s="734">
        <f t="shared" si="8"/>
        <v>0</v>
      </c>
      <c r="E140" s="734">
        <f t="shared" si="8"/>
        <v>0</v>
      </c>
      <c r="F140" s="734">
        <f t="shared" si="8"/>
        <v>0</v>
      </c>
      <c r="G140" s="734">
        <f t="shared" si="8"/>
        <v>0</v>
      </c>
      <c r="H140" s="734">
        <f t="shared" si="8"/>
        <v>0</v>
      </c>
      <c r="I140" s="734">
        <f t="shared" si="8"/>
        <v>0</v>
      </c>
    </row>
    <row r="141" spans="1:47" s="781" customFormat="1" x14ac:dyDescent="0.2">
      <c r="A141" s="791"/>
      <c r="B141" s="824" t="s">
        <v>1190</v>
      </c>
      <c r="C141" s="772">
        <v>3306000</v>
      </c>
      <c r="D141" s="772"/>
      <c r="E141" s="849"/>
      <c r="F141" s="772"/>
      <c r="G141" s="772"/>
      <c r="H141" s="769"/>
      <c r="I141" s="770"/>
      <c r="J141" s="98"/>
      <c r="K141" s="98"/>
      <c r="L141" s="98"/>
      <c r="M141" s="98"/>
      <c r="N141" s="98"/>
      <c r="O141" s="98"/>
      <c r="P141" s="98"/>
      <c r="Q141" s="98"/>
      <c r="R141" s="98"/>
      <c r="S141" s="98"/>
      <c r="T141" s="98"/>
      <c r="U141" s="98"/>
      <c r="V141" s="98"/>
      <c r="W141" s="98"/>
      <c r="X141" s="98"/>
      <c r="Y141" s="98"/>
      <c r="Z141" s="98"/>
      <c r="AA141" s="98"/>
      <c r="AB141" s="98"/>
      <c r="AC141" s="98"/>
      <c r="AD141" s="98"/>
      <c r="AE141" s="98"/>
      <c r="AF141" s="98"/>
      <c r="AG141" s="98"/>
      <c r="AH141" s="98"/>
      <c r="AI141" s="98"/>
      <c r="AJ141" s="98"/>
      <c r="AK141" s="98"/>
      <c r="AL141" s="98"/>
      <c r="AM141" s="98"/>
      <c r="AN141" s="98"/>
      <c r="AO141" s="98"/>
      <c r="AP141" s="98"/>
      <c r="AQ141" s="98"/>
      <c r="AR141" s="98"/>
      <c r="AS141" s="98"/>
      <c r="AT141" s="98"/>
      <c r="AU141" s="98"/>
    </row>
    <row r="142" spans="1:47" s="781" customFormat="1" x14ac:dyDescent="0.2">
      <c r="A142" s="791"/>
      <c r="B142" s="778" t="s">
        <v>1191</v>
      </c>
      <c r="C142" s="767">
        <v>0</v>
      </c>
      <c r="D142" s="767"/>
      <c r="E142" s="849"/>
      <c r="F142" s="772"/>
      <c r="G142" s="767"/>
      <c r="H142" s="769"/>
      <c r="I142" s="770"/>
      <c r="J142" s="98"/>
      <c r="K142" s="98"/>
      <c r="L142" s="98"/>
      <c r="M142" s="98"/>
      <c r="N142" s="98"/>
      <c r="O142" s="98"/>
      <c r="P142" s="98"/>
      <c r="Q142" s="98"/>
      <c r="R142" s="98"/>
      <c r="S142" s="98"/>
      <c r="T142" s="98"/>
      <c r="U142" s="98"/>
      <c r="V142" s="98"/>
      <c r="W142" s="98"/>
      <c r="X142" s="98"/>
      <c r="Y142" s="98"/>
      <c r="Z142" s="98"/>
      <c r="AA142" s="98"/>
      <c r="AB142" s="98"/>
      <c r="AC142" s="98"/>
      <c r="AD142" s="98"/>
      <c r="AE142" s="98"/>
      <c r="AF142" s="98"/>
      <c r="AG142" s="98"/>
      <c r="AH142" s="98"/>
      <c r="AI142" s="98"/>
      <c r="AJ142" s="98"/>
      <c r="AK142" s="98"/>
      <c r="AL142" s="98"/>
      <c r="AM142" s="98"/>
      <c r="AN142" s="98"/>
      <c r="AO142" s="98"/>
      <c r="AP142" s="98"/>
      <c r="AQ142" s="98"/>
      <c r="AR142" s="98"/>
      <c r="AS142" s="98"/>
      <c r="AT142" s="98"/>
      <c r="AU142" s="98"/>
    </row>
    <row r="143" spans="1:47" s="781" customFormat="1" x14ac:dyDescent="0.2">
      <c r="A143" s="791"/>
      <c r="B143" s="824" t="s">
        <v>1192</v>
      </c>
      <c r="C143" s="767">
        <v>4200000</v>
      </c>
      <c r="D143" s="767"/>
      <c r="E143" s="849"/>
      <c r="F143" s="772"/>
      <c r="G143" s="767"/>
      <c r="H143" s="769"/>
      <c r="I143" s="770"/>
      <c r="J143" s="98"/>
      <c r="K143" s="98"/>
      <c r="L143" s="98"/>
      <c r="M143" s="98"/>
      <c r="N143" s="98"/>
      <c r="O143" s="98"/>
      <c r="P143" s="98"/>
      <c r="Q143" s="98"/>
      <c r="R143" s="98"/>
      <c r="S143" s="98"/>
      <c r="T143" s="98"/>
      <c r="U143" s="98"/>
      <c r="V143" s="98"/>
      <c r="W143" s="98"/>
      <c r="X143" s="98"/>
      <c r="Y143" s="98"/>
      <c r="Z143" s="98"/>
      <c r="AA143" s="98"/>
      <c r="AB143" s="98"/>
      <c r="AC143" s="98"/>
      <c r="AD143" s="98"/>
      <c r="AE143" s="98"/>
      <c r="AF143" s="98"/>
      <c r="AG143" s="98"/>
      <c r="AH143" s="98"/>
      <c r="AI143" s="98"/>
      <c r="AJ143" s="98"/>
      <c r="AK143" s="98"/>
      <c r="AL143" s="98"/>
      <c r="AM143" s="98"/>
      <c r="AN143" s="98"/>
      <c r="AO143" s="98"/>
      <c r="AP143" s="98"/>
      <c r="AQ143" s="98"/>
      <c r="AR143" s="98"/>
      <c r="AS143" s="98"/>
      <c r="AT143" s="98"/>
      <c r="AU143" s="98"/>
    </row>
    <row r="144" spans="1:47" s="781" customFormat="1" x14ac:dyDescent="0.2">
      <c r="A144" s="791"/>
      <c r="B144" s="824" t="s">
        <v>1193</v>
      </c>
      <c r="C144" s="767">
        <v>5690000</v>
      </c>
      <c r="D144" s="767"/>
      <c r="E144" s="849"/>
      <c r="F144" s="772"/>
      <c r="G144" s="767"/>
      <c r="H144" s="769"/>
      <c r="I144" s="770"/>
      <c r="J144" s="98"/>
      <c r="K144" s="98"/>
      <c r="L144" s="98"/>
      <c r="M144" s="98"/>
      <c r="N144" s="98"/>
      <c r="O144" s="98"/>
      <c r="P144" s="98"/>
      <c r="Q144" s="98"/>
      <c r="R144" s="98"/>
      <c r="S144" s="98"/>
      <c r="T144" s="98"/>
      <c r="U144" s="98"/>
      <c r="V144" s="98"/>
      <c r="W144" s="98"/>
      <c r="X144" s="98"/>
      <c r="Y144" s="98"/>
      <c r="Z144" s="98"/>
      <c r="AA144" s="98"/>
      <c r="AB144" s="98"/>
      <c r="AC144" s="98"/>
      <c r="AD144" s="98"/>
      <c r="AE144" s="98"/>
      <c r="AF144" s="98"/>
      <c r="AG144" s="98"/>
      <c r="AH144" s="98"/>
      <c r="AI144" s="98"/>
      <c r="AJ144" s="98"/>
      <c r="AK144" s="98"/>
      <c r="AL144" s="98"/>
      <c r="AM144" s="98"/>
      <c r="AN144" s="98"/>
      <c r="AO144" s="98"/>
      <c r="AP144" s="98"/>
      <c r="AQ144" s="98"/>
      <c r="AR144" s="98"/>
      <c r="AS144" s="98"/>
      <c r="AT144" s="98"/>
      <c r="AU144" s="98"/>
    </row>
    <row r="145" spans="1:47" s="781" customFormat="1" x14ac:dyDescent="0.2">
      <c r="A145" s="791"/>
      <c r="B145" s="824" t="s">
        <v>1194</v>
      </c>
      <c r="C145" s="767">
        <v>842000</v>
      </c>
      <c r="D145" s="767"/>
      <c r="E145" s="849"/>
      <c r="F145" s="772"/>
      <c r="G145" s="767"/>
      <c r="H145" s="769"/>
      <c r="I145" s="770"/>
      <c r="J145" s="98"/>
      <c r="K145" s="98"/>
      <c r="L145" s="98"/>
      <c r="M145" s="98"/>
      <c r="N145" s="98"/>
      <c r="O145" s="98"/>
      <c r="P145" s="98"/>
      <c r="Q145" s="98"/>
      <c r="R145" s="98"/>
      <c r="S145" s="98"/>
      <c r="T145" s="98"/>
      <c r="U145" s="98"/>
      <c r="V145" s="98"/>
      <c r="W145" s="98"/>
      <c r="X145" s="98"/>
      <c r="Y145" s="98"/>
      <c r="Z145" s="98"/>
      <c r="AA145" s="98"/>
      <c r="AB145" s="98"/>
      <c r="AC145" s="98"/>
      <c r="AD145" s="98"/>
      <c r="AE145" s="98"/>
      <c r="AF145" s="98"/>
      <c r="AG145" s="98"/>
      <c r="AH145" s="98"/>
      <c r="AI145" s="98"/>
      <c r="AJ145" s="98"/>
      <c r="AK145" s="98"/>
      <c r="AL145" s="98"/>
      <c r="AM145" s="98"/>
      <c r="AN145" s="98"/>
      <c r="AO145" s="98"/>
      <c r="AP145" s="98"/>
      <c r="AQ145" s="98"/>
      <c r="AR145" s="98"/>
      <c r="AS145" s="98"/>
      <c r="AT145" s="98"/>
      <c r="AU145" s="98"/>
    </row>
    <row r="146" spans="1:47" s="781" customFormat="1" x14ac:dyDescent="0.2">
      <c r="A146" s="791"/>
      <c r="B146" s="824" t="s">
        <v>1195</v>
      </c>
      <c r="C146" s="767">
        <v>610000</v>
      </c>
      <c r="D146" s="772"/>
      <c r="E146" s="849"/>
      <c r="F146" s="772"/>
      <c r="G146" s="767"/>
      <c r="H146" s="769"/>
      <c r="I146" s="770"/>
      <c r="J146" s="98"/>
      <c r="K146" s="98"/>
      <c r="L146" s="98"/>
      <c r="M146" s="98"/>
      <c r="N146" s="98"/>
      <c r="O146" s="98"/>
      <c r="P146" s="98"/>
      <c r="Q146" s="98"/>
      <c r="R146" s="98"/>
      <c r="S146" s="98"/>
      <c r="T146" s="98"/>
      <c r="U146" s="98"/>
      <c r="V146" s="98"/>
      <c r="W146" s="98"/>
      <c r="X146" s="98"/>
      <c r="Y146" s="98"/>
      <c r="Z146" s="98"/>
      <c r="AA146" s="98"/>
      <c r="AB146" s="98"/>
      <c r="AC146" s="98"/>
      <c r="AD146" s="98"/>
      <c r="AE146" s="98"/>
      <c r="AF146" s="98"/>
      <c r="AG146" s="98"/>
      <c r="AH146" s="98"/>
      <c r="AI146" s="98"/>
      <c r="AJ146" s="98"/>
      <c r="AK146" s="98"/>
      <c r="AL146" s="98"/>
      <c r="AM146" s="98"/>
      <c r="AN146" s="98"/>
      <c r="AO146" s="98"/>
      <c r="AP146" s="98"/>
      <c r="AQ146" s="98"/>
      <c r="AR146" s="98"/>
      <c r="AS146" s="98"/>
      <c r="AT146" s="98"/>
      <c r="AU146" s="98"/>
    </row>
    <row r="147" spans="1:47" s="98" customFormat="1" x14ac:dyDescent="0.2">
      <c r="A147" s="791">
        <v>3113</v>
      </c>
      <c r="B147" s="787" t="s">
        <v>1196</v>
      </c>
      <c r="C147" s="746">
        <v>50000</v>
      </c>
      <c r="D147" s="746"/>
      <c r="E147" s="746"/>
      <c r="F147" s="746"/>
      <c r="G147" s="746"/>
      <c r="H147" s="746"/>
      <c r="I147" s="746"/>
    </row>
    <row r="148" spans="1:47" s="98" customFormat="1" x14ac:dyDescent="0.2">
      <c r="A148" s="791">
        <v>3121</v>
      </c>
      <c r="B148" s="782" t="s">
        <v>1197</v>
      </c>
      <c r="C148" s="746">
        <f t="shared" ref="C148:I148" si="9">SUM(C149:C150)</f>
        <v>0</v>
      </c>
      <c r="D148" s="746">
        <f t="shared" si="9"/>
        <v>0</v>
      </c>
      <c r="E148" s="746">
        <f t="shared" si="9"/>
        <v>0</v>
      </c>
      <c r="F148" s="746">
        <f t="shared" si="9"/>
        <v>0</v>
      </c>
      <c r="G148" s="746">
        <f t="shared" si="9"/>
        <v>0</v>
      </c>
      <c r="H148" s="746">
        <f t="shared" si="9"/>
        <v>0</v>
      </c>
      <c r="I148" s="746">
        <f t="shared" si="9"/>
        <v>0</v>
      </c>
    </row>
    <row r="149" spans="1:47" s="98" customFormat="1" x14ac:dyDescent="0.2">
      <c r="A149" s="791"/>
      <c r="B149" s="789" t="s">
        <v>1198</v>
      </c>
      <c r="C149" s="767">
        <v>0</v>
      </c>
      <c r="D149" s="767"/>
      <c r="E149" s="850"/>
      <c r="F149" s="767"/>
      <c r="G149" s="767"/>
      <c r="H149" s="769"/>
      <c r="I149" s="770"/>
    </row>
    <row r="150" spans="1:47" s="98" customFormat="1" x14ac:dyDescent="0.2">
      <c r="A150" s="791"/>
      <c r="B150" s="782" t="s">
        <v>1199</v>
      </c>
      <c r="C150" s="767">
        <v>0</v>
      </c>
      <c r="D150" s="772"/>
      <c r="E150" s="849"/>
      <c r="F150" s="772"/>
      <c r="G150" s="767"/>
      <c r="H150" s="769"/>
      <c r="I150" s="770"/>
    </row>
    <row r="151" spans="1:47" s="98" customFormat="1" x14ac:dyDescent="0.2">
      <c r="A151" s="791">
        <v>3122</v>
      </c>
      <c r="B151" s="782" t="s">
        <v>1200</v>
      </c>
      <c r="C151" s="746">
        <f>C152</f>
        <v>2372552</v>
      </c>
      <c r="D151" s="746"/>
      <c r="E151" s="848"/>
      <c r="F151" s="746"/>
      <c r="G151" s="746"/>
      <c r="H151" s="769"/>
      <c r="I151" s="770"/>
    </row>
    <row r="152" spans="1:47" s="98" customFormat="1" x14ac:dyDescent="0.2">
      <c r="A152" s="791"/>
      <c r="B152" s="782" t="s">
        <v>1201</v>
      </c>
      <c r="C152" s="793">
        <v>2372552</v>
      </c>
      <c r="D152" s="794"/>
      <c r="E152" s="851"/>
      <c r="F152" s="794"/>
      <c r="G152" s="793"/>
      <c r="H152" s="769"/>
      <c r="I152" s="770"/>
    </row>
    <row r="153" spans="1:47" s="98" customFormat="1" ht="12.75" customHeight="1" x14ac:dyDescent="0.2">
      <c r="A153" s="791">
        <v>3129</v>
      </c>
      <c r="B153" s="787" t="s">
        <v>191</v>
      </c>
      <c r="C153" s="734">
        <f t="shared" ref="C153:I153" si="10">SUM(C154:C162)</f>
        <v>6106268.0099999998</v>
      </c>
      <c r="D153" s="734">
        <f t="shared" si="10"/>
        <v>2481000</v>
      </c>
      <c r="E153" s="734">
        <f t="shared" si="10"/>
        <v>0</v>
      </c>
      <c r="F153" s="734">
        <f t="shared" si="10"/>
        <v>0</v>
      </c>
      <c r="G153" s="734">
        <f t="shared" si="10"/>
        <v>0</v>
      </c>
      <c r="H153" s="734">
        <f t="shared" si="10"/>
        <v>0</v>
      </c>
      <c r="I153" s="734">
        <f t="shared" si="10"/>
        <v>0</v>
      </c>
    </row>
    <row r="154" spans="1:47" s="98" customFormat="1" ht="12.75" customHeight="1" x14ac:dyDescent="0.2">
      <c r="A154" s="852"/>
      <c r="B154" s="824" t="s">
        <v>1202</v>
      </c>
      <c r="C154" s="767">
        <v>0</v>
      </c>
      <c r="D154" s="853"/>
      <c r="E154" s="849"/>
      <c r="F154" s="772"/>
      <c r="G154" s="767"/>
      <c r="H154" s="769"/>
      <c r="I154" s="770"/>
      <c r="J154" s="150"/>
    </row>
    <row r="155" spans="1:47" s="98" customFormat="1" ht="12.75" customHeight="1" x14ac:dyDescent="0.2">
      <c r="A155" s="852"/>
      <c r="B155" s="778" t="s">
        <v>1203</v>
      </c>
      <c r="C155" s="854">
        <v>0</v>
      </c>
      <c r="D155" s="779"/>
      <c r="E155" s="855"/>
      <c r="F155" s="856"/>
      <c r="G155" s="854"/>
      <c r="H155" s="769"/>
      <c r="I155" s="770"/>
    </row>
    <row r="156" spans="1:47" s="98" customFormat="1" ht="12.75" customHeight="1" x14ac:dyDescent="0.2">
      <c r="A156" s="830" t="s">
        <v>1204</v>
      </c>
      <c r="B156" s="857" t="s">
        <v>1205</v>
      </c>
      <c r="C156" s="858">
        <v>1896000</v>
      </c>
      <c r="D156" s="856">
        <v>1896000</v>
      </c>
      <c r="E156" s="849">
        <v>0</v>
      </c>
      <c r="F156" s="772"/>
      <c r="G156" s="858"/>
      <c r="H156" s="769"/>
      <c r="I156" s="770"/>
    </row>
    <row r="157" spans="1:47" s="98" customFormat="1" ht="12.75" customHeight="1" x14ac:dyDescent="0.2">
      <c r="A157" s="852"/>
      <c r="B157" s="859" t="s">
        <v>1206</v>
      </c>
      <c r="C157" s="860">
        <v>0</v>
      </c>
      <c r="D157" s="856"/>
      <c r="E157" s="849"/>
      <c r="F157" s="772"/>
      <c r="G157" s="860"/>
      <c r="H157" s="769"/>
      <c r="I157" s="770"/>
    </row>
    <row r="158" spans="1:47" s="98" customFormat="1" ht="12.75" customHeight="1" x14ac:dyDescent="0.2">
      <c r="A158" s="852"/>
      <c r="B158" s="861" t="s">
        <v>1207</v>
      </c>
      <c r="C158" s="860">
        <v>522932</v>
      </c>
      <c r="D158" s="856">
        <v>0</v>
      </c>
      <c r="E158" s="849">
        <v>0</v>
      </c>
      <c r="F158" s="772">
        <v>0</v>
      </c>
      <c r="G158" s="860">
        <v>0</v>
      </c>
      <c r="H158" s="860">
        <v>0</v>
      </c>
      <c r="I158" s="860">
        <v>0</v>
      </c>
    </row>
    <row r="159" spans="1:47" s="98" customFormat="1" ht="12.75" customHeight="1" x14ac:dyDescent="0.2">
      <c r="A159" s="852"/>
      <c r="B159" s="862" t="s">
        <v>1208</v>
      </c>
      <c r="C159" s="860">
        <v>400000</v>
      </c>
      <c r="D159" s="863"/>
      <c r="E159" s="849"/>
      <c r="F159" s="772"/>
      <c r="G159" s="860"/>
      <c r="H159" s="769"/>
      <c r="I159" s="770"/>
      <c r="J159" s="150"/>
    </row>
    <row r="160" spans="1:47" s="98" customFormat="1" ht="12.75" customHeight="1" x14ac:dyDescent="0.2">
      <c r="A160" s="852"/>
      <c r="B160" s="862" t="s">
        <v>1209</v>
      </c>
      <c r="C160" s="860">
        <v>1002336.01</v>
      </c>
      <c r="D160" s="863"/>
      <c r="E160" s="849"/>
      <c r="F160" s="772"/>
      <c r="G160" s="860"/>
      <c r="H160" s="769"/>
      <c r="I160" s="770"/>
      <c r="J160" s="150"/>
    </row>
    <row r="161" spans="1:9" s="98" customFormat="1" ht="12.75" customHeight="1" x14ac:dyDescent="0.2">
      <c r="A161" s="864"/>
      <c r="B161" s="859" t="s">
        <v>1210</v>
      </c>
      <c r="C161" s="860">
        <v>1700000</v>
      </c>
      <c r="D161" s="820"/>
      <c r="E161" s="855"/>
      <c r="F161" s="856"/>
      <c r="G161" s="860"/>
      <c r="H161" s="769"/>
      <c r="I161" s="770"/>
    </row>
    <row r="162" spans="1:9" s="98" customFormat="1" x14ac:dyDescent="0.2">
      <c r="A162" s="865"/>
      <c r="B162" s="862" t="s">
        <v>1211</v>
      </c>
      <c r="C162" s="866">
        <v>585000</v>
      </c>
      <c r="D162" s="854">
        <v>585000</v>
      </c>
      <c r="E162" s="854">
        <v>0</v>
      </c>
      <c r="F162" s="854"/>
      <c r="G162" s="866"/>
      <c r="H162" s="769"/>
      <c r="I162" s="770"/>
    </row>
    <row r="163" spans="1:9" s="98" customFormat="1" x14ac:dyDescent="0.2">
      <c r="A163" s="867"/>
      <c r="B163" s="862"/>
      <c r="C163" s="868"/>
      <c r="D163" s="869"/>
      <c r="E163" s="870"/>
      <c r="F163" s="833"/>
      <c r="G163" s="868"/>
      <c r="H163" s="871"/>
      <c r="I163" s="872"/>
    </row>
    <row r="164" spans="1:9" s="98" customFormat="1" ht="18" x14ac:dyDescent="0.25">
      <c r="A164" s="839"/>
      <c r="B164" s="873" t="s">
        <v>196</v>
      </c>
      <c r="C164" s="637">
        <f t="shared" ref="C164:I164" si="11">SUM(C165,C169,C170,C187,C195,C207,C211,C218,C227)</f>
        <v>56420206.439999998</v>
      </c>
      <c r="D164" s="637">
        <f t="shared" si="11"/>
        <v>47458677.890000001</v>
      </c>
      <c r="E164" s="637">
        <f t="shared" si="11"/>
        <v>30845584.449999999</v>
      </c>
      <c r="F164" s="637">
        <f t="shared" si="11"/>
        <v>44448904.810000002</v>
      </c>
      <c r="G164" s="637">
        <f t="shared" si="11"/>
        <v>45544126.840000004</v>
      </c>
      <c r="H164" s="637">
        <f t="shared" si="11"/>
        <v>45544126.840000004</v>
      </c>
      <c r="I164" s="637">
        <f t="shared" si="11"/>
        <v>45544126.840000004</v>
      </c>
    </row>
    <row r="165" spans="1:9" s="98" customFormat="1" x14ac:dyDescent="0.2">
      <c r="A165" s="874">
        <v>4111</v>
      </c>
      <c r="B165" s="875" t="s">
        <v>197</v>
      </c>
      <c r="C165" s="876">
        <f t="shared" ref="C165:I165" si="12">SUM(C166:C166)</f>
        <v>0</v>
      </c>
      <c r="D165" s="876">
        <f t="shared" si="12"/>
        <v>124612.64</v>
      </c>
      <c r="E165" s="876">
        <f t="shared" si="12"/>
        <v>124612.64</v>
      </c>
      <c r="F165" s="876">
        <f t="shared" si="12"/>
        <v>0</v>
      </c>
      <c r="G165" s="876">
        <f t="shared" si="12"/>
        <v>0</v>
      </c>
      <c r="H165" s="876">
        <f t="shared" si="12"/>
        <v>0</v>
      </c>
      <c r="I165" s="876">
        <f t="shared" si="12"/>
        <v>0</v>
      </c>
    </row>
    <row r="166" spans="1:9" s="98" customFormat="1" x14ac:dyDescent="0.2">
      <c r="A166" s="877" t="s">
        <v>1212</v>
      </c>
      <c r="B166" s="878" t="s">
        <v>1213</v>
      </c>
      <c r="C166" s="879">
        <v>0</v>
      </c>
      <c r="D166" s="880">
        <v>124612.64</v>
      </c>
      <c r="E166" s="879">
        <v>124612.64</v>
      </c>
      <c r="F166" s="879">
        <v>0</v>
      </c>
      <c r="G166" s="879">
        <v>0</v>
      </c>
      <c r="H166" s="879">
        <v>0</v>
      </c>
      <c r="I166" s="879">
        <v>0</v>
      </c>
    </row>
    <row r="167" spans="1:9" s="98" customFormat="1" x14ac:dyDescent="0.2">
      <c r="A167" s="877" t="s">
        <v>1214</v>
      </c>
      <c r="B167" s="878" t="s">
        <v>1215</v>
      </c>
      <c r="C167" s="879">
        <v>0</v>
      </c>
      <c r="D167" s="880">
        <v>724000</v>
      </c>
      <c r="E167" s="879">
        <v>719385.57</v>
      </c>
      <c r="F167" s="879">
        <v>719385.57</v>
      </c>
      <c r="G167" s="880">
        <v>0</v>
      </c>
      <c r="H167" s="880">
        <v>0</v>
      </c>
      <c r="I167" s="879">
        <v>0</v>
      </c>
    </row>
    <row r="168" spans="1:9" s="98" customFormat="1" x14ac:dyDescent="0.2">
      <c r="A168" s="877" t="s">
        <v>1216</v>
      </c>
      <c r="B168" s="878" t="s">
        <v>1217</v>
      </c>
      <c r="C168" s="879">
        <v>0</v>
      </c>
      <c r="D168" s="880">
        <v>0</v>
      </c>
      <c r="E168" s="879">
        <v>0</v>
      </c>
      <c r="F168" s="880">
        <v>713000</v>
      </c>
      <c r="G168" s="880">
        <v>0</v>
      </c>
      <c r="H168" s="880">
        <v>0</v>
      </c>
      <c r="I168" s="879">
        <v>0</v>
      </c>
    </row>
    <row r="169" spans="1:9" ht="25.5" x14ac:dyDescent="0.2">
      <c r="A169" s="881" t="s">
        <v>1218</v>
      </c>
      <c r="B169" s="843" t="s">
        <v>1219</v>
      </c>
      <c r="C169" s="746">
        <f>(1016932+736317+467712+420864+713728+43008+4253687+8154340+23444493+795804+17710+1525000+1296966+241392+782383+86001+2624+348336+27880+12045)-22</f>
        <v>44387200</v>
      </c>
      <c r="D169" s="882">
        <v>44387200</v>
      </c>
      <c r="E169" s="746">
        <v>29591464</v>
      </c>
      <c r="F169" s="882">
        <v>44387200</v>
      </c>
      <c r="G169" s="882">
        <v>44387200</v>
      </c>
      <c r="H169" s="882">
        <v>44387200</v>
      </c>
      <c r="I169" s="746">
        <v>44387200</v>
      </c>
    </row>
    <row r="170" spans="1:9" s="98" customFormat="1" x14ac:dyDescent="0.2">
      <c r="A170" s="791">
        <v>4116</v>
      </c>
      <c r="B170" s="787" t="s">
        <v>201</v>
      </c>
      <c r="C170" s="734">
        <f t="shared" ref="C170:I170" si="13">SUM(C171:C186)</f>
        <v>100000</v>
      </c>
      <c r="D170" s="734">
        <f t="shared" si="13"/>
        <v>1129507.81</v>
      </c>
      <c r="E170" s="734">
        <f t="shared" si="13"/>
        <v>1129507.81</v>
      </c>
      <c r="F170" s="734">
        <f t="shared" si="13"/>
        <v>61704.81</v>
      </c>
      <c r="G170" s="734">
        <f t="shared" si="13"/>
        <v>0</v>
      </c>
      <c r="H170" s="734">
        <f t="shared" si="13"/>
        <v>0</v>
      </c>
      <c r="I170" s="734">
        <f t="shared" si="13"/>
        <v>0</v>
      </c>
    </row>
    <row r="171" spans="1:9" x14ac:dyDescent="0.2">
      <c r="A171" s="883" t="s">
        <v>1220</v>
      </c>
      <c r="B171" s="778" t="s">
        <v>1221</v>
      </c>
      <c r="C171" s="767">
        <v>0</v>
      </c>
      <c r="D171" s="856">
        <v>61704.81</v>
      </c>
      <c r="E171" s="856">
        <v>61704.81</v>
      </c>
      <c r="F171" s="856">
        <v>61704.81</v>
      </c>
      <c r="G171" s="767">
        <v>0</v>
      </c>
      <c r="H171" s="767">
        <v>0</v>
      </c>
      <c r="I171" s="767">
        <v>0</v>
      </c>
    </row>
    <row r="172" spans="1:9" x14ac:dyDescent="0.2">
      <c r="A172" s="883" t="s">
        <v>1222</v>
      </c>
      <c r="B172" s="778"/>
      <c r="C172" s="767">
        <v>0</v>
      </c>
      <c r="D172" s="856"/>
      <c r="E172" s="856"/>
      <c r="F172" s="856"/>
      <c r="G172" s="767"/>
      <c r="H172" s="774"/>
      <c r="I172" s="775"/>
    </row>
    <row r="173" spans="1:9" x14ac:dyDescent="0.2">
      <c r="A173" s="883" t="s">
        <v>1223</v>
      </c>
      <c r="B173" s="778"/>
      <c r="C173" s="767">
        <v>0</v>
      </c>
      <c r="D173" s="856"/>
      <c r="E173" s="856"/>
      <c r="F173" s="856"/>
      <c r="G173" s="767"/>
      <c r="H173" s="774"/>
      <c r="I173" s="775"/>
    </row>
    <row r="174" spans="1:9" x14ac:dyDescent="0.2">
      <c r="A174" s="883" t="s">
        <v>1222</v>
      </c>
      <c r="B174" s="778"/>
      <c r="C174" s="767">
        <v>0</v>
      </c>
      <c r="D174" s="856"/>
      <c r="E174" s="856"/>
      <c r="F174" s="856"/>
      <c r="G174" s="767"/>
      <c r="H174" s="774"/>
      <c r="I174" s="775"/>
    </row>
    <row r="175" spans="1:9" x14ac:dyDescent="0.2">
      <c r="A175" s="883" t="s">
        <v>1224</v>
      </c>
      <c r="B175" s="884" t="s">
        <v>1225</v>
      </c>
      <c r="C175" s="767">
        <v>0</v>
      </c>
      <c r="D175" s="856"/>
      <c r="E175" s="856"/>
      <c r="F175" s="856"/>
      <c r="G175" s="767"/>
      <c r="H175" s="774"/>
      <c r="I175" s="775"/>
    </row>
    <row r="176" spans="1:9" x14ac:dyDescent="0.2">
      <c r="A176" s="883" t="s">
        <v>1226</v>
      </c>
      <c r="B176" s="885" t="s">
        <v>1227</v>
      </c>
      <c r="C176" s="767">
        <v>0</v>
      </c>
      <c r="D176" s="856"/>
      <c r="E176" s="856"/>
      <c r="F176" s="856"/>
      <c r="G176" s="767"/>
      <c r="H176" s="774"/>
      <c r="I176" s="775"/>
    </row>
    <row r="177" spans="1:10" x14ac:dyDescent="0.2">
      <c r="A177" s="883" t="s">
        <v>1228</v>
      </c>
      <c r="B177" s="796" t="s">
        <v>1229</v>
      </c>
      <c r="C177" s="767">
        <v>0</v>
      </c>
      <c r="D177" s="772">
        <v>1067803</v>
      </c>
      <c r="E177" s="772">
        <v>1067803</v>
      </c>
      <c r="F177" s="772">
        <v>0</v>
      </c>
      <c r="G177" s="767">
        <v>0</v>
      </c>
      <c r="H177" s="767">
        <v>0</v>
      </c>
      <c r="I177" s="767">
        <v>0</v>
      </c>
    </row>
    <row r="178" spans="1:10" ht="12.75" customHeight="1" x14ac:dyDescent="0.2">
      <c r="A178" s="886" t="s">
        <v>1230</v>
      </c>
      <c r="B178" s="887" t="s">
        <v>1231</v>
      </c>
      <c r="C178" s="820">
        <v>0</v>
      </c>
      <c r="D178" s="856"/>
      <c r="E178" s="856"/>
      <c r="F178" s="820"/>
      <c r="G178" s="820"/>
      <c r="H178" s="774"/>
      <c r="I178" s="775"/>
    </row>
    <row r="179" spans="1:10" s="98" customFormat="1" ht="12.75" customHeight="1" x14ac:dyDescent="0.2">
      <c r="A179" s="888" t="s">
        <v>1232</v>
      </c>
      <c r="B179" s="889" t="s">
        <v>1233</v>
      </c>
      <c r="C179" s="767">
        <v>100000</v>
      </c>
      <c r="D179" s="890"/>
      <c r="E179" s="891"/>
      <c r="F179" s="891"/>
      <c r="G179" s="767"/>
      <c r="H179" s="769"/>
      <c r="I179" s="770"/>
      <c r="J179" s="150"/>
    </row>
    <row r="180" spans="1:10" s="98" customFormat="1" ht="12.75" customHeight="1" x14ac:dyDescent="0.2">
      <c r="A180" s="883" t="s">
        <v>1234</v>
      </c>
      <c r="B180" s="796" t="s">
        <v>1235</v>
      </c>
      <c r="C180" s="767">
        <v>0</v>
      </c>
      <c r="D180" s="892"/>
      <c r="E180" s="826"/>
      <c r="F180" s="826"/>
      <c r="G180" s="767"/>
      <c r="H180" s="769"/>
      <c r="I180" s="770"/>
      <c r="J180" s="150"/>
    </row>
    <row r="181" spans="1:10" s="98" customFormat="1" ht="12.75" customHeight="1" x14ac:dyDescent="0.2">
      <c r="A181" s="883" t="s">
        <v>1236</v>
      </c>
      <c r="B181" s="796" t="s">
        <v>1237</v>
      </c>
      <c r="C181" s="767">
        <v>0</v>
      </c>
      <c r="D181" s="893"/>
      <c r="E181" s="794"/>
      <c r="F181" s="794"/>
      <c r="G181" s="767"/>
      <c r="H181" s="769"/>
      <c r="I181" s="770"/>
      <c r="J181" s="150"/>
    </row>
    <row r="182" spans="1:10" s="98" customFormat="1" ht="12.75" customHeight="1" x14ac:dyDescent="0.2">
      <c r="A182" s="883"/>
      <c r="B182" s="887" t="s">
        <v>1238</v>
      </c>
      <c r="C182" s="767">
        <v>0</v>
      </c>
      <c r="D182" s="892"/>
      <c r="E182" s="892"/>
      <c r="F182" s="826"/>
      <c r="G182" s="767"/>
      <c r="H182" s="769"/>
      <c r="I182" s="770"/>
      <c r="J182" s="150"/>
    </row>
    <row r="183" spans="1:10" s="98" customFormat="1" ht="12.75" customHeight="1" x14ac:dyDescent="0.2">
      <c r="A183" s="883" t="s">
        <v>1239</v>
      </c>
      <c r="B183" s="796" t="s">
        <v>1240</v>
      </c>
      <c r="C183" s="767">
        <v>0</v>
      </c>
      <c r="D183" s="856"/>
      <c r="E183" s="856"/>
      <c r="F183" s="856"/>
      <c r="G183" s="767"/>
      <c r="H183" s="769"/>
      <c r="I183" s="770"/>
      <c r="J183" s="150"/>
    </row>
    <row r="184" spans="1:10" s="98" customFormat="1" ht="12.75" customHeight="1" x14ac:dyDescent="0.2">
      <c r="A184" s="883" t="s">
        <v>1241</v>
      </c>
      <c r="B184" s="796" t="s">
        <v>1242</v>
      </c>
      <c r="C184" s="767">
        <v>0</v>
      </c>
      <c r="D184" s="856"/>
      <c r="E184" s="856"/>
      <c r="F184" s="856"/>
      <c r="G184" s="767"/>
      <c r="H184" s="769"/>
      <c r="I184" s="770"/>
      <c r="J184" s="150"/>
    </row>
    <row r="185" spans="1:10" s="98" customFormat="1" ht="12.75" customHeight="1" x14ac:dyDescent="0.2">
      <c r="A185" s="883" t="s">
        <v>1243</v>
      </c>
      <c r="B185" s="789" t="s">
        <v>1244</v>
      </c>
      <c r="C185" s="767">
        <v>0</v>
      </c>
      <c r="D185" s="892"/>
      <c r="E185" s="856"/>
      <c r="F185" s="856"/>
      <c r="G185" s="767"/>
      <c r="H185" s="769"/>
      <c r="I185" s="770"/>
      <c r="J185" s="150"/>
    </row>
    <row r="186" spans="1:10" s="98" customFormat="1" ht="12.75" customHeight="1" x14ac:dyDescent="0.2">
      <c r="A186" s="886" t="s">
        <v>1245</v>
      </c>
      <c r="B186" s="796" t="s">
        <v>1246</v>
      </c>
      <c r="C186" s="767">
        <v>0</v>
      </c>
      <c r="D186" s="893"/>
      <c r="E186" s="794"/>
      <c r="F186" s="794"/>
      <c r="G186" s="767"/>
      <c r="H186" s="769"/>
      <c r="I186" s="770"/>
      <c r="J186" s="150"/>
    </row>
    <row r="187" spans="1:10" x14ac:dyDescent="0.2">
      <c r="A187" s="842">
        <v>4121</v>
      </c>
      <c r="B187" s="787" t="s">
        <v>213</v>
      </c>
      <c r="C187" s="734">
        <f t="shared" ref="C187:I187" si="14">SUM(C188:C194)</f>
        <v>3747689</v>
      </c>
      <c r="D187" s="734">
        <f t="shared" si="14"/>
        <v>0</v>
      </c>
      <c r="E187" s="734">
        <f t="shared" si="14"/>
        <v>0</v>
      </c>
      <c r="F187" s="734">
        <f t="shared" si="14"/>
        <v>0</v>
      </c>
      <c r="G187" s="734">
        <f t="shared" si="14"/>
        <v>0</v>
      </c>
      <c r="H187" s="734">
        <f t="shared" si="14"/>
        <v>0</v>
      </c>
      <c r="I187" s="734">
        <f t="shared" si="14"/>
        <v>0</v>
      </c>
    </row>
    <row r="188" spans="1:10" x14ac:dyDescent="0.2">
      <c r="A188" s="791"/>
      <c r="B188" s="796" t="s">
        <v>1247</v>
      </c>
      <c r="C188" s="767">
        <v>420000</v>
      </c>
      <c r="D188" s="893"/>
      <c r="E188" s="772"/>
      <c r="F188" s="772"/>
      <c r="G188" s="767"/>
      <c r="H188" s="774"/>
      <c r="I188" s="775"/>
    </row>
    <row r="189" spans="1:10" x14ac:dyDescent="0.2">
      <c r="A189" s="791"/>
      <c r="B189" s="796" t="s">
        <v>1248</v>
      </c>
      <c r="C189" s="767">
        <v>3000</v>
      </c>
      <c r="D189" s="893"/>
      <c r="E189" s="772"/>
      <c r="F189" s="772"/>
      <c r="G189" s="767"/>
      <c r="H189" s="774"/>
      <c r="I189" s="775"/>
    </row>
    <row r="190" spans="1:10" ht="12.75" customHeight="1" x14ac:dyDescent="0.2">
      <c r="A190" s="791"/>
      <c r="B190" s="796" t="s">
        <v>1249</v>
      </c>
      <c r="C190" s="2614">
        <v>3017049</v>
      </c>
      <c r="D190" s="894"/>
      <c r="E190" s="772"/>
      <c r="F190" s="772"/>
      <c r="G190" s="2614"/>
      <c r="H190" s="774"/>
      <c r="I190" s="775"/>
      <c r="J190" s="150"/>
    </row>
    <row r="191" spans="1:10" ht="12.75" customHeight="1" x14ac:dyDescent="0.2">
      <c r="A191" s="791"/>
      <c r="B191" s="796" t="s">
        <v>1250</v>
      </c>
      <c r="C191" s="2615"/>
      <c r="D191" s="893"/>
      <c r="E191" s="772"/>
      <c r="F191" s="772"/>
      <c r="G191" s="2615"/>
      <c r="H191" s="774"/>
      <c r="I191" s="775"/>
      <c r="J191" s="150"/>
    </row>
    <row r="192" spans="1:10" ht="12.75" customHeight="1" x14ac:dyDescent="0.2">
      <c r="A192" s="791"/>
      <c r="B192" s="796" t="s">
        <v>1251</v>
      </c>
      <c r="C192" s="2616"/>
      <c r="D192" s="894"/>
      <c r="E192" s="767"/>
      <c r="F192" s="767"/>
      <c r="G192" s="2616"/>
      <c r="H192" s="774"/>
      <c r="I192" s="775"/>
      <c r="J192" s="150"/>
    </row>
    <row r="193" spans="1:10" ht="12.75" customHeight="1" x14ac:dyDescent="0.2">
      <c r="A193" s="791"/>
      <c r="B193" s="796" t="s">
        <v>1252</v>
      </c>
      <c r="C193" s="767">
        <v>307340</v>
      </c>
      <c r="D193" s="893"/>
      <c r="E193" s="772"/>
      <c r="F193" s="772"/>
      <c r="G193" s="767"/>
      <c r="H193" s="774"/>
      <c r="I193" s="775"/>
    </row>
    <row r="194" spans="1:10" x14ac:dyDescent="0.2">
      <c r="A194" s="791"/>
      <c r="B194" s="796" t="s">
        <v>1253</v>
      </c>
      <c r="C194" s="767">
        <v>300</v>
      </c>
      <c r="D194" s="893"/>
      <c r="E194" s="772"/>
      <c r="F194" s="772"/>
      <c r="G194" s="767"/>
      <c r="H194" s="774"/>
      <c r="I194" s="775"/>
    </row>
    <row r="195" spans="1:10" ht="12.75" customHeight="1" x14ac:dyDescent="0.2">
      <c r="A195" s="791">
        <v>4122</v>
      </c>
      <c r="B195" s="782" t="s">
        <v>221</v>
      </c>
      <c r="C195" s="734">
        <f t="shared" ref="C195:I195" si="15">SUM(C196:C206)</f>
        <v>0</v>
      </c>
      <c r="D195" s="734">
        <f t="shared" si="15"/>
        <v>0</v>
      </c>
      <c r="E195" s="734">
        <f t="shared" si="15"/>
        <v>0</v>
      </c>
      <c r="F195" s="734">
        <f t="shared" si="15"/>
        <v>0</v>
      </c>
      <c r="G195" s="734">
        <f t="shared" si="15"/>
        <v>0</v>
      </c>
      <c r="H195" s="734">
        <f t="shared" si="15"/>
        <v>0</v>
      </c>
      <c r="I195" s="734">
        <f t="shared" si="15"/>
        <v>0</v>
      </c>
      <c r="J195" s="150"/>
    </row>
    <row r="196" spans="1:10" s="98" customFormat="1" ht="12.75" customHeight="1" x14ac:dyDescent="0.2">
      <c r="A196" s="852"/>
      <c r="B196" s="896" t="s">
        <v>1254</v>
      </c>
      <c r="C196" s="767">
        <v>0</v>
      </c>
      <c r="D196" s="892"/>
      <c r="E196" s="826"/>
      <c r="F196" s="826"/>
      <c r="G196" s="767"/>
      <c r="H196" s="769"/>
      <c r="I196" s="770"/>
      <c r="J196" s="150"/>
    </row>
    <row r="197" spans="1:10" s="98" customFormat="1" ht="12.75" customHeight="1" x14ac:dyDescent="0.2">
      <c r="A197" s="852"/>
      <c r="B197" s="896" t="s">
        <v>1255</v>
      </c>
      <c r="C197" s="767">
        <v>0</v>
      </c>
      <c r="D197" s="856"/>
      <c r="E197" s="826"/>
      <c r="F197" s="856"/>
      <c r="G197" s="767"/>
      <c r="H197" s="769"/>
      <c r="I197" s="770"/>
      <c r="J197" s="150"/>
    </row>
    <row r="198" spans="1:10" s="98" customFormat="1" ht="12.75" customHeight="1" x14ac:dyDescent="0.2">
      <c r="A198" s="852"/>
      <c r="B198" s="896" t="s">
        <v>1256</v>
      </c>
      <c r="C198" s="767">
        <v>0</v>
      </c>
      <c r="D198" s="856"/>
      <c r="E198" s="826"/>
      <c r="F198" s="856"/>
      <c r="G198" s="767"/>
      <c r="H198" s="769"/>
      <c r="I198" s="770"/>
      <c r="J198" s="150"/>
    </row>
    <row r="199" spans="1:10" s="98" customFormat="1" ht="12.75" customHeight="1" x14ac:dyDescent="0.2">
      <c r="A199" s="883" t="s">
        <v>1257</v>
      </c>
      <c r="B199" s="896" t="s">
        <v>1258</v>
      </c>
      <c r="C199" s="767">
        <v>0</v>
      </c>
      <c r="D199" s="856"/>
      <c r="E199" s="826"/>
      <c r="F199" s="826"/>
      <c r="G199" s="767"/>
      <c r="H199" s="769"/>
      <c r="I199" s="770"/>
      <c r="J199" s="150"/>
    </row>
    <row r="200" spans="1:10" s="98" customFormat="1" ht="12.75" customHeight="1" x14ac:dyDescent="0.2">
      <c r="A200" s="883" t="s">
        <v>1259</v>
      </c>
      <c r="B200" s="896" t="s">
        <v>1260</v>
      </c>
      <c r="C200" s="767">
        <v>0</v>
      </c>
      <c r="D200" s="856"/>
      <c r="E200" s="794"/>
      <c r="F200" s="794"/>
      <c r="G200" s="767"/>
      <c r="H200" s="769"/>
      <c r="I200" s="770"/>
      <c r="J200" s="150"/>
    </row>
    <row r="201" spans="1:10" s="98" customFormat="1" ht="12.75" customHeight="1" x14ac:dyDescent="0.2">
      <c r="A201" s="883" t="s">
        <v>1261</v>
      </c>
      <c r="B201" s="896" t="s">
        <v>1262</v>
      </c>
      <c r="C201" s="767">
        <v>0</v>
      </c>
      <c r="D201" s="892"/>
      <c r="E201" s="826"/>
      <c r="F201" s="826"/>
      <c r="G201" s="767"/>
      <c r="H201" s="769"/>
      <c r="I201" s="770"/>
      <c r="J201" s="150"/>
    </row>
    <row r="202" spans="1:10" s="98" customFormat="1" ht="12.75" customHeight="1" x14ac:dyDescent="0.2">
      <c r="A202" s="883" t="s">
        <v>1263</v>
      </c>
      <c r="B202" s="887" t="s">
        <v>1264</v>
      </c>
      <c r="C202" s="767">
        <v>0</v>
      </c>
      <c r="D202" s="856"/>
      <c r="E202" s="826"/>
      <c r="F202" s="856"/>
      <c r="G202" s="767"/>
      <c r="H202" s="769"/>
      <c r="I202" s="770"/>
      <c r="J202" s="150"/>
    </row>
    <row r="203" spans="1:10" s="98" customFormat="1" ht="12.75" customHeight="1" x14ac:dyDescent="0.2">
      <c r="A203" s="883" t="s">
        <v>1265</v>
      </c>
      <c r="B203" s="896" t="s">
        <v>1266</v>
      </c>
      <c r="C203" s="767">
        <v>0</v>
      </c>
      <c r="D203" s="856"/>
      <c r="E203" s="826"/>
      <c r="F203" s="856"/>
      <c r="G203" s="767"/>
      <c r="H203" s="769"/>
      <c r="I203" s="770"/>
      <c r="J203" s="150"/>
    </row>
    <row r="204" spans="1:10" s="98" customFormat="1" ht="12.75" customHeight="1" x14ac:dyDescent="0.2">
      <c r="A204" s="883" t="s">
        <v>1267</v>
      </c>
      <c r="B204" s="896" t="s">
        <v>1268</v>
      </c>
      <c r="C204" s="767">
        <v>0</v>
      </c>
      <c r="D204" s="856"/>
      <c r="E204" s="826"/>
      <c r="F204" s="856"/>
      <c r="G204" s="767"/>
      <c r="H204" s="769"/>
      <c r="I204" s="770"/>
      <c r="J204" s="150"/>
    </row>
    <row r="205" spans="1:10" s="98" customFormat="1" ht="12.75" customHeight="1" x14ac:dyDescent="0.2">
      <c r="A205" s="883"/>
      <c r="B205" s="896" t="s">
        <v>1269</v>
      </c>
      <c r="C205" s="767">
        <v>0</v>
      </c>
      <c r="D205" s="856"/>
      <c r="E205" s="856"/>
      <c r="F205" s="856"/>
      <c r="G205" s="767"/>
      <c r="H205" s="769"/>
      <c r="I205" s="770"/>
      <c r="J205" s="150"/>
    </row>
    <row r="206" spans="1:10" ht="12.75" customHeight="1" x14ac:dyDescent="0.2">
      <c r="A206" s="883" t="s">
        <v>1270</v>
      </c>
      <c r="B206" s="796" t="s">
        <v>1271</v>
      </c>
      <c r="C206" s="767">
        <v>0</v>
      </c>
      <c r="D206" s="772"/>
      <c r="E206" s="772"/>
      <c r="F206" s="772"/>
      <c r="G206" s="767"/>
      <c r="H206" s="774"/>
      <c r="I206" s="775"/>
      <c r="J206" s="150"/>
    </row>
    <row r="207" spans="1:10" s="98" customFormat="1" x14ac:dyDescent="0.2">
      <c r="A207" s="804" t="s">
        <v>1272</v>
      </c>
      <c r="B207" s="787" t="s">
        <v>1273</v>
      </c>
      <c r="C207" s="746">
        <f>SUM(C208:C209)</f>
        <v>6000000</v>
      </c>
      <c r="D207" s="746">
        <f>SUM(D208:D209)</f>
        <v>0</v>
      </c>
      <c r="E207" s="746">
        <v>0</v>
      </c>
      <c r="F207" s="746">
        <v>0</v>
      </c>
      <c r="G207" s="746">
        <v>0</v>
      </c>
      <c r="H207" s="746">
        <v>0</v>
      </c>
      <c r="I207" s="746">
        <v>0</v>
      </c>
    </row>
    <row r="208" spans="1:10" s="98" customFormat="1" x14ac:dyDescent="0.2">
      <c r="A208" s="812" t="s">
        <v>1274</v>
      </c>
      <c r="B208" s="796" t="s">
        <v>1275</v>
      </c>
      <c r="C208" s="767">
        <v>6000000</v>
      </c>
      <c r="D208" s="772"/>
      <c r="E208" s="772"/>
      <c r="F208" s="772"/>
      <c r="G208" s="767"/>
      <c r="H208" s="769"/>
      <c r="I208" s="770"/>
    </row>
    <row r="209" spans="1:10" s="98" customFormat="1" x14ac:dyDescent="0.2">
      <c r="A209" s="812" t="s">
        <v>1276</v>
      </c>
      <c r="B209" s="796" t="s">
        <v>1277</v>
      </c>
      <c r="C209" s="767">
        <v>0</v>
      </c>
      <c r="D209" s="772"/>
      <c r="E209" s="772"/>
      <c r="F209" s="772"/>
      <c r="G209" s="767"/>
      <c r="H209" s="769"/>
      <c r="I209" s="770"/>
    </row>
    <row r="210" spans="1:10" s="98" customFormat="1" x14ac:dyDescent="0.2">
      <c r="A210" s="897">
        <v>4140</v>
      </c>
      <c r="B210" s="787" t="s">
        <v>1278</v>
      </c>
      <c r="C210" s="746">
        <v>0</v>
      </c>
      <c r="D210" s="734">
        <v>0</v>
      </c>
      <c r="E210" s="734">
        <v>233553.38</v>
      </c>
      <c r="F210" s="734"/>
      <c r="G210" s="746"/>
      <c r="H210" s="898"/>
      <c r="I210" s="899"/>
    </row>
    <row r="211" spans="1:10" s="98" customFormat="1" x14ac:dyDescent="0.2">
      <c r="A211" s="791">
        <v>4213</v>
      </c>
      <c r="B211" s="787" t="s">
        <v>1279</v>
      </c>
      <c r="C211" s="734">
        <f t="shared" ref="C211:I211" si="16">SUM(C212:C217)</f>
        <v>1817357.44</v>
      </c>
      <c r="D211" s="734">
        <f t="shared" si="16"/>
        <v>1817357.44</v>
      </c>
      <c r="E211" s="734">
        <f t="shared" si="16"/>
        <v>0</v>
      </c>
      <c r="F211" s="734">
        <f t="shared" si="16"/>
        <v>0</v>
      </c>
      <c r="G211" s="734">
        <f t="shared" si="16"/>
        <v>1156926.8400000001</v>
      </c>
      <c r="H211" s="734">
        <f t="shared" si="16"/>
        <v>1156926.8400000001</v>
      </c>
      <c r="I211" s="734">
        <f t="shared" si="16"/>
        <v>1156926.8400000001</v>
      </c>
    </row>
    <row r="212" spans="1:10" s="98" customFormat="1" x14ac:dyDescent="0.2">
      <c r="A212" s="897" t="s">
        <v>1280</v>
      </c>
      <c r="B212" s="796" t="s">
        <v>1281</v>
      </c>
      <c r="C212" s="734">
        <v>0</v>
      </c>
      <c r="D212" s="772"/>
      <c r="E212" s="772"/>
      <c r="F212" s="772"/>
      <c r="G212" s="734"/>
      <c r="H212" s="769"/>
      <c r="I212" s="770"/>
    </row>
    <row r="213" spans="1:10" s="98" customFormat="1" x14ac:dyDescent="0.2">
      <c r="A213" s="897"/>
      <c r="B213" s="796" t="s">
        <v>1282</v>
      </c>
      <c r="C213" s="772">
        <v>0</v>
      </c>
      <c r="D213" s="772">
        <v>0</v>
      </c>
      <c r="E213" s="772">
        <v>0</v>
      </c>
      <c r="F213" s="772">
        <v>0</v>
      </c>
      <c r="G213" s="734">
        <v>1156926.8400000001</v>
      </c>
      <c r="H213" s="734">
        <v>1156926.8400000001</v>
      </c>
      <c r="I213" s="734">
        <v>1156926.8400000001</v>
      </c>
    </row>
    <row r="214" spans="1:10" s="2" customFormat="1" x14ac:dyDescent="0.2">
      <c r="A214" s="900"/>
      <c r="B214" s="901" t="s">
        <v>1283</v>
      </c>
      <c r="C214" s="772">
        <v>0</v>
      </c>
      <c r="D214" s="772"/>
      <c r="E214" s="772"/>
      <c r="F214" s="772"/>
      <c r="G214" s="772"/>
      <c r="H214" s="902"/>
      <c r="I214" s="815"/>
    </row>
    <row r="215" spans="1:10" s="2" customFormat="1" x14ac:dyDescent="0.2">
      <c r="A215" s="900"/>
      <c r="B215" s="901" t="s">
        <v>1284</v>
      </c>
      <c r="C215" s="772">
        <v>0</v>
      </c>
      <c r="D215" s="772"/>
      <c r="E215" s="772"/>
      <c r="F215" s="772"/>
      <c r="G215" s="772"/>
      <c r="H215" s="902"/>
      <c r="I215" s="815"/>
    </row>
    <row r="216" spans="1:10" s="2" customFormat="1" x14ac:dyDescent="0.2">
      <c r="A216" s="900"/>
      <c r="B216" s="887" t="s">
        <v>1238</v>
      </c>
      <c r="C216" s="772">
        <v>0</v>
      </c>
      <c r="D216" s="772"/>
      <c r="E216" s="772"/>
      <c r="F216" s="772"/>
      <c r="G216" s="772"/>
      <c r="H216" s="902"/>
      <c r="I216" s="815"/>
    </row>
    <row r="217" spans="1:10" s="2" customFormat="1" x14ac:dyDescent="0.2">
      <c r="A217" s="812" t="s">
        <v>1285</v>
      </c>
      <c r="B217" s="903" t="s">
        <v>1286</v>
      </c>
      <c r="C217" s="772">
        <v>1817357.44</v>
      </c>
      <c r="D217" s="772">
        <v>1817357.44</v>
      </c>
      <c r="E217" s="772">
        <v>0</v>
      </c>
      <c r="F217" s="772">
        <v>0</v>
      </c>
      <c r="G217" s="772">
        <v>0</v>
      </c>
      <c r="H217" s="772">
        <v>0</v>
      </c>
      <c r="I217" s="772">
        <v>0</v>
      </c>
    </row>
    <row r="218" spans="1:10" s="98" customFormat="1" ht="12.75" customHeight="1" x14ac:dyDescent="0.2">
      <c r="A218" s="791">
        <v>4216</v>
      </c>
      <c r="B218" s="843" t="s">
        <v>234</v>
      </c>
      <c r="C218" s="904">
        <f>SUM(C219:C226)</f>
        <v>0</v>
      </c>
      <c r="D218" s="905"/>
      <c r="E218" s="904"/>
      <c r="F218" s="904"/>
      <c r="G218" s="904"/>
      <c r="H218" s="769"/>
      <c r="I218" s="770"/>
      <c r="J218" s="150"/>
    </row>
    <row r="219" spans="1:10" s="2" customFormat="1" ht="12.75" customHeight="1" x14ac:dyDescent="0.2">
      <c r="A219" s="900"/>
      <c r="B219" s="796" t="s">
        <v>1287</v>
      </c>
      <c r="C219" s="767">
        <v>0</v>
      </c>
      <c r="D219" s="772"/>
      <c r="E219" s="772"/>
      <c r="F219" s="772"/>
      <c r="G219" s="767"/>
      <c r="H219" s="902"/>
      <c r="I219" s="815"/>
    </row>
    <row r="220" spans="1:10" s="98" customFormat="1" ht="12.75" customHeight="1" x14ac:dyDescent="0.2">
      <c r="A220" s="883" t="s">
        <v>1288</v>
      </c>
      <c r="B220" s="778" t="s">
        <v>1289</v>
      </c>
      <c r="C220" s="767">
        <v>0</v>
      </c>
      <c r="D220" s="863">
        <v>881497.39</v>
      </c>
      <c r="E220" s="863">
        <v>881497.39</v>
      </c>
      <c r="F220" s="863">
        <v>881497.39</v>
      </c>
      <c r="G220" s="767">
        <v>0</v>
      </c>
      <c r="H220" s="767">
        <v>0</v>
      </c>
      <c r="I220" s="767">
        <v>0</v>
      </c>
      <c r="J220" s="150"/>
    </row>
    <row r="221" spans="1:10" s="98" customFormat="1" ht="12.75" customHeight="1" x14ac:dyDescent="0.2">
      <c r="A221" s="883" t="s">
        <v>1290</v>
      </c>
      <c r="B221" s="778"/>
      <c r="C221" s="767">
        <v>0</v>
      </c>
      <c r="D221" s="772"/>
      <c r="E221" s="772"/>
      <c r="F221" s="772"/>
      <c r="G221" s="767"/>
      <c r="H221" s="769"/>
      <c r="I221" s="770"/>
      <c r="J221" s="150"/>
    </row>
    <row r="222" spans="1:10" s="98" customFormat="1" ht="12.75" customHeight="1" x14ac:dyDescent="0.2">
      <c r="A222" s="883" t="s">
        <v>1291</v>
      </c>
      <c r="B222" s="778"/>
      <c r="C222" s="767">
        <v>0</v>
      </c>
      <c r="D222" s="856"/>
      <c r="E222" s="856"/>
      <c r="F222" s="856"/>
      <c r="G222" s="767"/>
      <c r="H222" s="769"/>
      <c r="I222" s="770"/>
      <c r="J222" s="150"/>
    </row>
    <row r="223" spans="1:10" s="98" customFormat="1" ht="12.75" customHeight="1" x14ac:dyDescent="0.2">
      <c r="A223" s="883" t="s">
        <v>1292</v>
      </c>
      <c r="B223" s="778"/>
      <c r="C223" s="767">
        <v>0</v>
      </c>
      <c r="D223" s="856"/>
      <c r="E223" s="856"/>
      <c r="F223" s="856"/>
      <c r="G223" s="767"/>
      <c r="H223" s="769"/>
      <c r="I223" s="770"/>
      <c r="J223" s="150"/>
    </row>
    <row r="224" spans="1:10" s="98" customFormat="1" ht="12.75" customHeight="1" x14ac:dyDescent="0.2">
      <c r="A224" s="883"/>
      <c r="B224" s="778" t="s">
        <v>1293</v>
      </c>
      <c r="C224" s="767">
        <v>0</v>
      </c>
      <c r="D224" s="856"/>
      <c r="E224" s="856"/>
      <c r="F224" s="856"/>
      <c r="G224" s="767"/>
      <c r="H224" s="769"/>
      <c r="I224" s="770"/>
      <c r="J224" s="150"/>
    </row>
    <row r="225" spans="1:10" s="98" customFormat="1" ht="12.75" customHeight="1" x14ac:dyDescent="0.2">
      <c r="A225" s="883"/>
      <c r="B225" s="887" t="s">
        <v>1238</v>
      </c>
      <c r="C225" s="767">
        <v>0</v>
      </c>
      <c r="D225" s="772"/>
      <c r="E225" s="772"/>
      <c r="F225" s="856"/>
      <c r="G225" s="767"/>
      <c r="H225" s="769"/>
      <c r="I225" s="770"/>
      <c r="J225" s="150"/>
    </row>
    <row r="226" spans="1:10" s="98" customFormat="1" ht="12.75" customHeight="1" x14ac:dyDescent="0.2">
      <c r="A226" s="852"/>
      <c r="B226" s="901" t="s">
        <v>1294</v>
      </c>
      <c r="C226" s="772">
        <v>0</v>
      </c>
      <c r="D226" s="772"/>
      <c r="E226" s="772"/>
      <c r="F226" s="772"/>
      <c r="G226" s="772"/>
      <c r="H226" s="769"/>
      <c r="I226" s="770"/>
      <c r="J226" s="150"/>
    </row>
    <row r="227" spans="1:10" s="98" customFormat="1" ht="12.75" customHeight="1" x14ac:dyDescent="0.2">
      <c r="A227" s="791">
        <v>4222</v>
      </c>
      <c r="B227" s="782" t="s">
        <v>245</v>
      </c>
      <c r="C227" s="904">
        <f t="shared" ref="C227:I227" si="17">SUM(C228:C232)</f>
        <v>367960</v>
      </c>
      <c r="D227" s="904">
        <f t="shared" si="17"/>
        <v>0</v>
      </c>
      <c r="E227" s="904">
        <f t="shared" si="17"/>
        <v>0</v>
      </c>
      <c r="F227" s="904">
        <f t="shared" si="17"/>
        <v>0</v>
      </c>
      <c r="G227" s="904">
        <f t="shared" si="17"/>
        <v>0</v>
      </c>
      <c r="H227" s="904">
        <f t="shared" si="17"/>
        <v>0</v>
      </c>
      <c r="I227" s="904">
        <f t="shared" si="17"/>
        <v>0</v>
      </c>
    </row>
    <row r="228" spans="1:10" s="98" customFormat="1" ht="12.75" customHeight="1" x14ac:dyDescent="0.2">
      <c r="A228" s="883" t="s">
        <v>1295</v>
      </c>
      <c r="B228" s="824" t="s">
        <v>1296</v>
      </c>
      <c r="C228" s="767">
        <v>0</v>
      </c>
      <c r="D228" s="829"/>
      <c r="E228" s="794"/>
      <c r="F228" s="794"/>
      <c r="G228" s="767"/>
      <c r="H228" s="769"/>
      <c r="I228" s="770"/>
      <c r="J228" s="150"/>
    </row>
    <row r="229" spans="1:10" s="98" customFormat="1" ht="12.75" customHeight="1" x14ac:dyDescent="0.2">
      <c r="A229" s="883" t="s">
        <v>1297</v>
      </c>
      <c r="B229" s="778" t="s">
        <v>1298</v>
      </c>
      <c r="C229" s="767">
        <v>0</v>
      </c>
      <c r="D229" s="767"/>
      <c r="E229" s="826"/>
      <c r="F229" s="767"/>
      <c r="G229" s="767"/>
      <c r="H229" s="769"/>
      <c r="I229" s="770"/>
      <c r="J229" s="150"/>
    </row>
    <row r="230" spans="1:10" s="98" customFormat="1" ht="12.75" customHeight="1" x14ac:dyDescent="0.2">
      <c r="A230" s="852"/>
      <c r="B230" s="778" t="s">
        <v>1299</v>
      </c>
      <c r="C230" s="767">
        <v>0</v>
      </c>
      <c r="D230" s="906"/>
      <c r="E230" s="826"/>
      <c r="F230" s="826"/>
      <c r="G230" s="767"/>
      <c r="H230" s="769"/>
      <c r="I230" s="770"/>
      <c r="J230" s="150"/>
    </row>
    <row r="231" spans="1:10" s="98" customFormat="1" ht="12.75" customHeight="1" x14ac:dyDescent="0.2">
      <c r="A231" s="852"/>
      <c r="B231" s="907" t="s">
        <v>1300</v>
      </c>
      <c r="C231" s="908">
        <v>79980</v>
      </c>
      <c r="D231" s="909"/>
      <c r="E231" s="908"/>
      <c r="F231" s="908"/>
      <c r="G231" s="908"/>
      <c r="H231" s="769"/>
      <c r="I231" s="770"/>
    </row>
    <row r="232" spans="1:10" s="98" customFormat="1" ht="12.75" customHeight="1" x14ac:dyDescent="0.2">
      <c r="A232" s="910"/>
      <c r="B232" s="911" t="s">
        <v>1301</v>
      </c>
      <c r="C232" s="854">
        <v>287980</v>
      </c>
      <c r="D232" s="854"/>
      <c r="E232" s="854"/>
      <c r="F232" s="854"/>
      <c r="G232" s="854"/>
      <c r="H232" s="769"/>
      <c r="I232" s="770"/>
    </row>
    <row r="233" spans="1:10" s="98" customFormat="1" x14ac:dyDescent="0.2">
      <c r="A233" s="912"/>
      <c r="B233" s="913"/>
      <c r="C233" s="833"/>
      <c r="D233" s="914"/>
      <c r="E233" s="833"/>
      <c r="F233" s="833"/>
      <c r="G233" s="833"/>
      <c r="H233" s="871"/>
      <c r="I233" s="872"/>
    </row>
    <row r="234" spans="1:10" s="98" customFormat="1" ht="20.25" x14ac:dyDescent="0.3">
      <c r="A234" s="915"/>
      <c r="B234" s="916" t="s">
        <v>13</v>
      </c>
      <c r="C234" s="917">
        <f t="shared" ref="C234:I234" si="18">SUM(C4+C39+C137+C164)</f>
        <v>839036351.17000008</v>
      </c>
      <c r="D234" s="917">
        <f t="shared" si="18"/>
        <v>625701290.58000004</v>
      </c>
      <c r="E234" s="917">
        <f t="shared" si="18"/>
        <v>516499543.35999995</v>
      </c>
      <c r="F234" s="917">
        <f t="shared" si="18"/>
        <v>588699111.7099998</v>
      </c>
      <c r="G234" s="917">
        <f t="shared" si="18"/>
        <v>605844044.67999995</v>
      </c>
      <c r="H234" s="917">
        <f t="shared" si="18"/>
        <v>592772394.67999995</v>
      </c>
      <c r="I234" s="917">
        <f t="shared" si="18"/>
        <v>608481694.67999995</v>
      </c>
    </row>
    <row r="235" spans="1:10" s="98" customFormat="1" ht="15.75" x14ac:dyDescent="0.25">
      <c r="A235" s="918"/>
      <c r="B235" s="919"/>
      <c r="C235" s="920"/>
      <c r="D235" s="921"/>
      <c r="E235" s="922"/>
      <c r="F235" s="923"/>
      <c r="G235" s="920"/>
      <c r="H235" s="924"/>
      <c r="I235" s="590"/>
    </row>
    <row r="236" spans="1:10" s="98" customFormat="1" ht="18" x14ac:dyDescent="0.25">
      <c r="A236" s="839"/>
      <c r="B236" s="925" t="s">
        <v>14</v>
      </c>
      <c r="C236" s="608">
        <f t="shared" ref="C236:I236" si="19">SUM(C237:C240)</f>
        <v>173504211.83249995</v>
      </c>
      <c r="D236" s="608">
        <f t="shared" si="19"/>
        <v>173504211.83249995</v>
      </c>
      <c r="E236" s="608">
        <f t="shared" si="19"/>
        <v>-6150912.8100000005</v>
      </c>
      <c r="F236" s="608">
        <f t="shared" si="19"/>
        <v>190333328</v>
      </c>
      <c r="G236" s="608">
        <f t="shared" si="19"/>
        <v>198476709.60249999</v>
      </c>
      <c r="H236" s="608">
        <f t="shared" si="19"/>
        <v>198476709.60249999</v>
      </c>
      <c r="I236" s="608">
        <f t="shared" si="19"/>
        <v>198476709.60249999</v>
      </c>
    </row>
    <row r="237" spans="1:10" ht="25.5" x14ac:dyDescent="0.2">
      <c r="A237" s="881" t="s">
        <v>1302</v>
      </c>
      <c r="B237" s="926" t="s">
        <v>1303</v>
      </c>
      <c r="C237" s="844">
        <f>50000000+97724250.45+30000000-2140560.86-400000+24200-125387.36-55000</f>
        <v>175027502.22999996</v>
      </c>
      <c r="D237" s="844">
        <f>50000000+97724250.45+30000000-2140560.86-400000+24200-125387.36-55000</f>
        <v>175027502.22999996</v>
      </c>
      <c r="E237" s="927">
        <v>0</v>
      </c>
      <c r="F237" s="882">
        <v>200000000</v>
      </c>
      <c r="G237" s="882">
        <v>200000000</v>
      </c>
      <c r="H237" s="882">
        <v>200000000</v>
      </c>
      <c r="I237" s="844">
        <v>200000000</v>
      </c>
    </row>
    <row r="238" spans="1:10" ht="12.75" customHeight="1" x14ac:dyDescent="0.2">
      <c r="A238" s="842">
        <v>8124</v>
      </c>
      <c r="B238" s="928" t="s">
        <v>1304</v>
      </c>
      <c r="C238" s="746">
        <f>-(555556*12)</f>
        <v>-6666672</v>
      </c>
      <c r="D238" s="746">
        <f>-(555556*12)</f>
        <v>-6666672</v>
      </c>
      <c r="E238" s="746">
        <v>-4444448</v>
      </c>
      <c r="F238" s="746">
        <f>-(555556*12)</f>
        <v>-6666672</v>
      </c>
      <c r="G238" s="746">
        <f>-(555556*12)</f>
        <v>-6666672</v>
      </c>
      <c r="H238" s="746">
        <f>-(555556*12)</f>
        <v>-6666672</v>
      </c>
      <c r="I238" s="746">
        <f>-(555556*12)</f>
        <v>-6666672</v>
      </c>
    </row>
    <row r="239" spans="1:10" ht="27" customHeight="1" x14ac:dyDescent="0.2">
      <c r="A239" s="842">
        <v>8125</v>
      </c>
      <c r="B239" s="928" t="s">
        <v>1305</v>
      </c>
      <c r="C239" s="746">
        <f>(102867431.07+200.98)*0.05</f>
        <v>5143381.6025</v>
      </c>
      <c r="D239" s="746">
        <f>(102867431.07+200.98)*0.05</f>
        <v>5143381.6025</v>
      </c>
      <c r="E239" s="929">
        <v>0</v>
      </c>
      <c r="F239" s="745">
        <v>0</v>
      </c>
      <c r="G239" s="746">
        <f>(102867431.07+200.98)*0.05</f>
        <v>5143381.6025</v>
      </c>
      <c r="H239" s="746">
        <f>(102867431.07+200.98)*0.05</f>
        <v>5143381.6025</v>
      </c>
      <c r="I239" s="746">
        <f>(102867431.07+200.98)*0.05</f>
        <v>5143381.6025</v>
      </c>
    </row>
    <row r="240" spans="1:10" s="235" customFormat="1" ht="12.75" customHeight="1" x14ac:dyDescent="0.4">
      <c r="A240" s="791">
        <v>8901</v>
      </c>
      <c r="B240" s="782" t="s">
        <v>254</v>
      </c>
      <c r="C240" s="734">
        <f>SUM(C241:C241)</f>
        <v>0</v>
      </c>
      <c r="D240" s="930">
        <v>0</v>
      </c>
      <c r="E240" s="931">
        <v>-1706464.81</v>
      </c>
      <c r="F240" s="932">
        <v>-3000000</v>
      </c>
      <c r="G240" s="734">
        <v>0</v>
      </c>
      <c r="H240" s="930">
        <v>0</v>
      </c>
      <c r="I240" s="930">
        <v>0</v>
      </c>
    </row>
    <row r="241" spans="1:9" s="236" customFormat="1" ht="12.75" customHeight="1" x14ac:dyDescent="0.35">
      <c r="A241" s="887"/>
      <c r="B241" s="933" t="s">
        <v>1306</v>
      </c>
      <c r="C241" s="856"/>
      <c r="D241" s="934"/>
      <c r="E241" s="935"/>
      <c r="F241" s="932"/>
      <c r="G241" s="856"/>
      <c r="H241" s="936"/>
      <c r="I241" s="937"/>
    </row>
    <row r="242" spans="1:9" x14ac:dyDescent="0.2">
      <c r="A242" s="938"/>
      <c r="B242" s="939"/>
      <c r="C242" s="940"/>
      <c r="D242" s="941"/>
      <c r="E242" s="942"/>
      <c r="F242" s="943"/>
      <c r="G242" s="940"/>
      <c r="H242" s="944"/>
      <c r="I242" s="945"/>
    </row>
    <row r="243" spans="1:9" s="85" customFormat="1" ht="26.25" x14ac:dyDescent="0.4">
      <c r="A243" s="946"/>
      <c r="B243" s="947" t="s">
        <v>15</v>
      </c>
      <c r="C243" s="948">
        <f t="shared" ref="C243:I243" si="20">SUM(C234+C236)</f>
        <v>1012540563.0025001</v>
      </c>
      <c r="D243" s="949">
        <f t="shared" si="20"/>
        <v>799205502.41250002</v>
      </c>
      <c r="E243" s="948">
        <f t="shared" si="20"/>
        <v>510348630.54999995</v>
      </c>
      <c r="F243" s="948">
        <f t="shared" si="20"/>
        <v>779032439.7099998</v>
      </c>
      <c r="G243" s="948">
        <f t="shared" si="20"/>
        <v>804320754.28249991</v>
      </c>
      <c r="H243" s="948">
        <f t="shared" si="20"/>
        <v>791249104.28249991</v>
      </c>
      <c r="I243" s="948">
        <f t="shared" si="20"/>
        <v>806958404.28249991</v>
      </c>
    </row>
    <row r="244" spans="1:9" s="98" customFormat="1" ht="36" customHeight="1" x14ac:dyDescent="0.3">
      <c r="A244" s="950"/>
      <c r="B244" s="951" t="s">
        <v>257</v>
      </c>
      <c r="C244" s="952"/>
      <c r="D244" s="953"/>
      <c r="E244" s="954"/>
      <c r="F244" s="955"/>
      <c r="G244" s="952"/>
      <c r="H244" s="590"/>
      <c r="I244" s="590"/>
    </row>
    <row r="245" spans="1:9" ht="20.25" x14ac:dyDescent="0.3">
      <c r="A245" s="956"/>
      <c r="B245" s="951" t="s">
        <v>258</v>
      </c>
      <c r="C245" s="957">
        <f>C246+C261+C293+C303</f>
        <v>90523182</v>
      </c>
      <c r="D245" s="593"/>
      <c r="E245" s="593"/>
      <c r="F245" s="593"/>
      <c r="G245" s="957"/>
    </row>
    <row r="246" spans="1:9" ht="15.75" x14ac:dyDescent="0.2">
      <c r="A246" s="958"/>
      <c r="B246" s="959" t="s">
        <v>259</v>
      </c>
      <c r="C246" s="960">
        <f>SUM(C247+C253+C258)</f>
        <v>3825000</v>
      </c>
      <c r="D246" s="961"/>
      <c r="E246" s="961"/>
      <c r="F246" s="961"/>
      <c r="G246" s="960"/>
    </row>
    <row r="247" spans="1:9" x14ac:dyDescent="0.2">
      <c r="A247" s="962">
        <v>2310</v>
      </c>
      <c r="B247" s="963" t="s">
        <v>1307</v>
      </c>
      <c r="C247" s="964">
        <f>SUM(C248:C252)</f>
        <v>1865000</v>
      </c>
      <c r="D247" s="964"/>
      <c r="E247" s="964"/>
      <c r="F247" s="964"/>
      <c r="G247" s="964"/>
      <c r="H247" s="965"/>
      <c r="I247" s="966"/>
    </row>
    <row r="248" spans="1:9" x14ac:dyDescent="0.2">
      <c r="A248" s="967" t="s">
        <v>261</v>
      </c>
      <c r="B248" s="778" t="s">
        <v>262</v>
      </c>
      <c r="C248" s="767">
        <v>15000</v>
      </c>
      <c r="D248" s="968"/>
      <c r="E248" s="968"/>
      <c r="F248" s="739"/>
      <c r="G248" s="767"/>
      <c r="H248" s="774"/>
      <c r="I248" s="775"/>
    </row>
    <row r="249" spans="1:9" x14ac:dyDescent="0.2">
      <c r="A249" s="967" t="s">
        <v>263</v>
      </c>
      <c r="B249" s="778" t="s">
        <v>1308</v>
      </c>
      <c r="C249" s="767">
        <v>200000</v>
      </c>
      <c r="D249" s="969"/>
      <c r="E249" s="968"/>
      <c r="F249" s="739"/>
      <c r="G249" s="767"/>
      <c r="H249" s="774"/>
      <c r="I249" s="775"/>
    </row>
    <row r="250" spans="1:9" x14ac:dyDescent="0.2">
      <c r="A250" s="967" t="s">
        <v>265</v>
      </c>
      <c r="B250" s="778" t="s">
        <v>1309</v>
      </c>
      <c r="C250" s="767">
        <v>150000</v>
      </c>
      <c r="D250" s="970"/>
      <c r="E250" s="970"/>
      <c r="F250" s="971"/>
      <c r="G250" s="767"/>
      <c r="H250" s="774"/>
      <c r="I250" s="775"/>
    </row>
    <row r="251" spans="1:9" x14ac:dyDescent="0.2">
      <c r="A251" s="967" t="s">
        <v>1310</v>
      </c>
      <c r="B251" s="778" t="s">
        <v>1311</v>
      </c>
      <c r="C251" s="767">
        <v>1500000</v>
      </c>
      <c r="D251" s="970"/>
      <c r="E251" s="970"/>
      <c r="F251" s="971"/>
      <c r="G251" s="767"/>
      <c r="H251" s="774"/>
      <c r="I251" s="775"/>
    </row>
    <row r="252" spans="1:9" x14ac:dyDescent="0.2">
      <c r="A252" s="967" t="s">
        <v>1312</v>
      </c>
      <c r="B252" s="778" t="s">
        <v>1313</v>
      </c>
      <c r="C252" s="767">
        <v>0</v>
      </c>
      <c r="D252" s="970"/>
      <c r="E252" s="970"/>
      <c r="F252" s="971"/>
      <c r="G252" s="767"/>
      <c r="H252" s="774"/>
      <c r="I252" s="775"/>
    </row>
    <row r="253" spans="1:9" x14ac:dyDescent="0.2">
      <c r="A253" s="791">
        <v>2321</v>
      </c>
      <c r="B253" s="787" t="s">
        <v>1314</v>
      </c>
      <c r="C253" s="734">
        <f>SUM(C254:C257)</f>
        <v>1800000</v>
      </c>
      <c r="D253" s="972"/>
      <c r="E253" s="972"/>
      <c r="F253" s="972"/>
      <c r="G253" s="734"/>
      <c r="H253" s="774"/>
      <c r="I253" s="775"/>
    </row>
    <row r="254" spans="1:9" x14ac:dyDescent="0.2">
      <c r="A254" s="967" t="s">
        <v>268</v>
      </c>
      <c r="B254" s="778" t="s">
        <v>269</v>
      </c>
      <c r="C254" s="767">
        <v>200000</v>
      </c>
      <c r="D254" s="968"/>
      <c r="E254" s="968"/>
      <c r="F254" s="739"/>
      <c r="G254" s="767"/>
      <c r="H254" s="774"/>
      <c r="I254" s="775"/>
    </row>
    <row r="255" spans="1:9" s="2" customFormat="1" x14ac:dyDescent="0.2">
      <c r="A255" s="967" t="s">
        <v>270</v>
      </c>
      <c r="B255" s="778" t="s">
        <v>1315</v>
      </c>
      <c r="C255" s="767">
        <v>800000</v>
      </c>
      <c r="D255" s="968"/>
      <c r="E255" s="968"/>
      <c r="F255" s="739"/>
      <c r="G255" s="767"/>
      <c r="H255" s="902"/>
      <c r="I255" s="815"/>
    </row>
    <row r="256" spans="1:9" x14ac:dyDescent="0.2">
      <c r="A256" s="967" t="s">
        <v>270</v>
      </c>
      <c r="B256" s="778" t="s">
        <v>1316</v>
      </c>
      <c r="C256" s="767">
        <v>600000</v>
      </c>
      <c r="D256" s="968"/>
      <c r="E256" s="968"/>
      <c r="F256" s="739"/>
      <c r="G256" s="767"/>
      <c r="H256" s="774"/>
      <c r="I256" s="775"/>
    </row>
    <row r="257" spans="1:9" x14ac:dyDescent="0.2">
      <c r="A257" s="967" t="s">
        <v>272</v>
      </c>
      <c r="B257" s="789" t="s">
        <v>1317</v>
      </c>
      <c r="C257" s="767">
        <v>200000</v>
      </c>
      <c r="D257" s="968"/>
      <c r="E257" s="968"/>
      <c r="F257" s="739"/>
      <c r="G257" s="767"/>
      <c r="H257" s="774"/>
      <c r="I257" s="775"/>
    </row>
    <row r="258" spans="1:9" x14ac:dyDescent="0.2">
      <c r="A258" s="842">
        <v>2333</v>
      </c>
      <c r="B258" s="973" t="s">
        <v>1318</v>
      </c>
      <c r="C258" s="974">
        <f>SUM(C259:C260)</f>
        <v>160000</v>
      </c>
      <c r="D258" s="975"/>
      <c r="E258" s="975"/>
      <c r="F258" s="975"/>
      <c r="G258" s="974"/>
      <c r="H258" s="774"/>
      <c r="I258" s="775"/>
    </row>
    <row r="259" spans="1:9" x14ac:dyDescent="0.2">
      <c r="A259" s="967" t="s">
        <v>276</v>
      </c>
      <c r="B259" s="778" t="s">
        <v>1319</v>
      </c>
      <c r="C259" s="767">
        <v>80000</v>
      </c>
      <c r="D259" s="968"/>
      <c r="E259" s="968"/>
      <c r="F259" s="739"/>
      <c r="G259" s="767"/>
      <c r="H259" s="774"/>
      <c r="I259" s="775"/>
    </row>
    <row r="260" spans="1:9" x14ac:dyDescent="0.2">
      <c r="A260" s="967" t="s">
        <v>278</v>
      </c>
      <c r="B260" s="778" t="s">
        <v>1320</v>
      </c>
      <c r="C260" s="779">
        <v>80000</v>
      </c>
      <c r="D260" s="976"/>
      <c r="E260" s="935"/>
      <c r="F260" s="977"/>
      <c r="G260" s="779"/>
      <c r="H260" s="978"/>
      <c r="I260" s="979"/>
    </row>
    <row r="261" spans="1:9" s="98" customFormat="1" ht="15.75" x14ac:dyDescent="0.25">
      <c r="A261" s="980"/>
      <c r="B261" s="925" t="s">
        <v>279</v>
      </c>
      <c r="C261" s="981">
        <f>SUM(C262+C278+C288)</f>
        <v>54135000</v>
      </c>
      <c r="D261" s="982"/>
      <c r="E261" s="983"/>
      <c r="F261" s="982"/>
      <c r="G261" s="981"/>
      <c r="H261" s="590"/>
      <c r="I261" s="590"/>
    </row>
    <row r="262" spans="1:9" s="98" customFormat="1" x14ac:dyDescent="0.2">
      <c r="A262" s="867">
        <v>2212</v>
      </c>
      <c r="B262" s="963" t="s">
        <v>1321</v>
      </c>
      <c r="C262" s="984">
        <f>SUM(C264:C277)</f>
        <v>51195000</v>
      </c>
      <c r="D262" s="985"/>
      <c r="E262" s="985"/>
      <c r="F262" s="844"/>
      <c r="G262" s="984"/>
      <c r="H262" s="986"/>
      <c r="I262" s="987"/>
    </row>
    <row r="263" spans="1:9" s="2" customFormat="1" x14ac:dyDescent="0.2">
      <c r="A263" s="900"/>
      <c r="B263" s="889" t="s">
        <v>1322</v>
      </c>
      <c r="C263" s="772">
        <f>SUM(C264:C267)</f>
        <v>12550000</v>
      </c>
      <c r="D263" s="772"/>
      <c r="E263" s="893"/>
      <c r="F263" s="772"/>
      <c r="G263" s="772"/>
      <c r="H263" s="988"/>
      <c r="I263" s="815"/>
    </row>
    <row r="264" spans="1:9" s="98" customFormat="1" x14ac:dyDescent="0.2">
      <c r="A264" s="967" t="s">
        <v>282</v>
      </c>
      <c r="B264" s="989" t="s">
        <v>1323</v>
      </c>
      <c r="C264" s="767">
        <v>0</v>
      </c>
      <c r="D264" s="893"/>
      <c r="E264" s="990"/>
      <c r="F264" s="794"/>
      <c r="G264" s="767"/>
      <c r="H264" s="991"/>
      <c r="I264" s="770"/>
    </row>
    <row r="265" spans="1:9" s="98" customFormat="1" x14ac:dyDescent="0.2">
      <c r="A265" s="967" t="s">
        <v>282</v>
      </c>
      <c r="B265" s="989" t="s">
        <v>1324</v>
      </c>
      <c r="C265" s="767">
        <v>10750000</v>
      </c>
      <c r="D265" s="893"/>
      <c r="E265" s="990"/>
      <c r="F265" s="794"/>
      <c r="G265" s="767"/>
      <c r="H265" s="991"/>
      <c r="I265" s="770"/>
    </row>
    <row r="266" spans="1:9" s="98" customFormat="1" ht="25.5" x14ac:dyDescent="0.2">
      <c r="A266" s="967" t="s">
        <v>282</v>
      </c>
      <c r="B266" s="992" t="s">
        <v>1325</v>
      </c>
      <c r="C266" s="767">
        <f>2200000-400000</f>
        <v>1800000</v>
      </c>
      <c r="D266" s="893"/>
      <c r="E266" s="990"/>
      <c r="F266" s="794"/>
      <c r="G266" s="767"/>
      <c r="H266" s="991"/>
      <c r="I266" s="770"/>
    </row>
    <row r="267" spans="1:9" s="98" customFormat="1" x14ac:dyDescent="0.2">
      <c r="A267" s="967" t="s">
        <v>282</v>
      </c>
      <c r="B267" s="989" t="s">
        <v>1326</v>
      </c>
      <c r="C267" s="767">
        <v>0</v>
      </c>
      <c r="D267" s="893"/>
      <c r="E267" s="990"/>
      <c r="F267" s="794"/>
      <c r="G267" s="767"/>
      <c r="H267" s="991"/>
      <c r="I267" s="770"/>
    </row>
    <row r="268" spans="1:9" s="98" customFormat="1" x14ac:dyDescent="0.2">
      <c r="A268" s="967" t="s">
        <v>286</v>
      </c>
      <c r="B268" s="778" t="s">
        <v>1327</v>
      </c>
      <c r="C268" s="767">
        <v>4600000</v>
      </c>
      <c r="D268" s="894"/>
      <c r="E268" s="990"/>
      <c r="F268" s="794"/>
      <c r="G268" s="767"/>
      <c r="H268" s="991"/>
      <c r="I268" s="770"/>
    </row>
    <row r="269" spans="1:9" s="98" customFormat="1" x14ac:dyDescent="0.2">
      <c r="A269" s="967" t="s">
        <v>286</v>
      </c>
      <c r="B269" s="778" t="s">
        <v>1328</v>
      </c>
      <c r="C269" s="767">
        <v>24695000</v>
      </c>
      <c r="D269" s="892"/>
      <c r="E269" s="990"/>
      <c r="F269" s="794"/>
      <c r="G269" s="767"/>
      <c r="H269" s="991"/>
      <c r="I269" s="770"/>
    </row>
    <row r="270" spans="1:9" s="98" customFormat="1" x14ac:dyDescent="0.2">
      <c r="A270" s="967" t="s">
        <v>291</v>
      </c>
      <c r="B270" s="778" t="s">
        <v>1329</v>
      </c>
      <c r="C270" s="767">
        <v>2000000</v>
      </c>
      <c r="D270" s="893"/>
      <c r="E270" s="990"/>
      <c r="F270" s="794"/>
      <c r="G270" s="767"/>
      <c r="H270" s="991"/>
      <c r="I270" s="770"/>
    </row>
    <row r="271" spans="1:9" s="98" customFormat="1" x14ac:dyDescent="0.2">
      <c r="A271" s="967" t="s">
        <v>1330</v>
      </c>
      <c r="B271" s="778" t="s">
        <v>1331</v>
      </c>
      <c r="C271" s="767">
        <v>3700000</v>
      </c>
      <c r="D271" s="893"/>
      <c r="E271" s="990"/>
      <c r="F271" s="794"/>
      <c r="G271" s="767"/>
      <c r="H271" s="991"/>
      <c r="I271" s="770"/>
    </row>
    <row r="272" spans="1:9" s="98" customFormat="1" x14ac:dyDescent="0.2">
      <c r="A272" s="967" t="s">
        <v>291</v>
      </c>
      <c r="B272" s="778" t="s">
        <v>1332</v>
      </c>
      <c r="C272" s="767">
        <v>820000</v>
      </c>
      <c r="D272" s="892"/>
      <c r="E272" s="906"/>
      <c r="F272" s="826"/>
      <c r="G272" s="767"/>
      <c r="H272" s="991"/>
      <c r="I272" s="770"/>
    </row>
    <row r="273" spans="1:9" s="98" customFormat="1" x14ac:dyDescent="0.2">
      <c r="A273" s="967" t="s">
        <v>293</v>
      </c>
      <c r="B273" s="778" t="s">
        <v>1333</v>
      </c>
      <c r="C273" s="767">
        <f>1230000+800000</f>
        <v>2030000</v>
      </c>
      <c r="D273" s="892"/>
      <c r="E273" s="906"/>
      <c r="F273" s="829"/>
      <c r="G273" s="767"/>
      <c r="H273" s="991"/>
      <c r="I273" s="770"/>
    </row>
    <row r="274" spans="1:9" s="98" customFormat="1" x14ac:dyDescent="0.2">
      <c r="A274" s="967" t="s">
        <v>1334</v>
      </c>
      <c r="B274" s="778" t="s">
        <v>1335</v>
      </c>
      <c r="C274" s="767">
        <v>450000</v>
      </c>
      <c r="D274" s="993"/>
      <c r="E274" s="994"/>
      <c r="F274" s="831"/>
      <c r="G274" s="767"/>
      <c r="H274" s="991"/>
      <c r="I274" s="770"/>
    </row>
    <row r="275" spans="1:9" s="98" customFormat="1" x14ac:dyDescent="0.2">
      <c r="A275" s="967" t="s">
        <v>1336</v>
      </c>
      <c r="B275" s="778" t="s">
        <v>1337</v>
      </c>
      <c r="C275" s="767">
        <v>130000</v>
      </c>
      <c r="D275" s="993"/>
      <c r="E275" s="994"/>
      <c r="F275" s="831"/>
      <c r="G275" s="767"/>
      <c r="H275" s="991"/>
      <c r="I275" s="770"/>
    </row>
    <row r="276" spans="1:9" s="98" customFormat="1" x14ac:dyDescent="0.2">
      <c r="A276" s="967" t="s">
        <v>1338</v>
      </c>
      <c r="B276" s="778" t="s">
        <v>1339</v>
      </c>
      <c r="C276" s="767">
        <v>220000</v>
      </c>
      <c r="D276" s="993"/>
      <c r="E276" s="994"/>
      <c r="F276" s="831"/>
      <c r="G276" s="767"/>
      <c r="H276" s="991"/>
      <c r="I276" s="770"/>
    </row>
    <row r="277" spans="1:9" s="98" customFormat="1" x14ac:dyDescent="0.2">
      <c r="A277" s="967" t="s">
        <v>1340</v>
      </c>
      <c r="B277" s="778" t="s">
        <v>1341</v>
      </c>
      <c r="C277" s="767">
        <v>0</v>
      </c>
      <c r="D277" s="993"/>
      <c r="E277" s="994"/>
      <c r="F277" s="831"/>
      <c r="G277" s="767"/>
      <c r="H277" s="991"/>
      <c r="I277" s="770"/>
    </row>
    <row r="278" spans="1:9" s="98" customFormat="1" x14ac:dyDescent="0.2">
      <c r="A278" s="791">
        <v>2219</v>
      </c>
      <c r="B278" s="787" t="s">
        <v>1342</v>
      </c>
      <c r="C278" s="734">
        <f>SUM(C279+C286+C287+C285)</f>
        <v>2790000</v>
      </c>
      <c r="D278" s="734"/>
      <c r="E278" s="734"/>
      <c r="F278" s="734"/>
      <c r="G278" s="734"/>
      <c r="H278" s="991"/>
      <c r="I278" s="770"/>
    </row>
    <row r="279" spans="1:9" s="98" customFormat="1" x14ac:dyDescent="0.2">
      <c r="A279" s="900"/>
      <c r="B279" s="889" t="s">
        <v>281</v>
      </c>
      <c r="C279" s="772">
        <f>SUM(C280:C284)</f>
        <v>1880000</v>
      </c>
      <c r="D279" s="772"/>
      <c r="E279" s="772"/>
      <c r="F279" s="772"/>
      <c r="G279" s="772"/>
      <c r="H279" s="991"/>
      <c r="I279" s="770"/>
    </row>
    <row r="280" spans="1:9" s="98" customFormat="1" x14ac:dyDescent="0.2">
      <c r="A280" s="967" t="s">
        <v>1343</v>
      </c>
      <c r="B280" s="778" t="s">
        <v>1344</v>
      </c>
      <c r="C280" s="767">
        <v>30000</v>
      </c>
      <c r="D280" s="893"/>
      <c r="E280" s="990"/>
      <c r="F280" s="794"/>
      <c r="G280" s="767"/>
      <c r="H280" s="991"/>
      <c r="I280" s="770"/>
    </row>
    <row r="281" spans="1:9" s="98" customFormat="1" x14ac:dyDescent="0.2">
      <c r="A281" s="967" t="s">
        <v>1345</v>
      </c>
      <c r="B281" s="796" t="s">
        <v>1346</v>
      </c>
      <c r="C281" s="767">
        <v>1050000</v>
      </c>
      <c r="D281" s="893"/>
      <c r="E281" s="990"/>
      <c r="F281" s="794"/>
      <c r="G281" s="767"/>
      <c r="H281" s="991"/>
      <c r="I281" s="770"/>
    </row>
    <row r="282" spans="1:9" s="98" customFormat="1" x14ac:dyDescent="0.2">
      <c r="A282" s="967" t="s">
        <v>477</v>
      </c>
      <c r="B282" s="778" t="s">
        <v>1347</v>
      </c>
      <c r="C282" s="767">
        <v>700000</v>
      </c>
      <c r="D282" s="893"/>
      <c r="E282" s="990"/>
      <c r="F282" s="794"/>
      <c r="G282" s="767"/>
      <c r="H282" s="991"/>
      <c r="I282" s="770"/>
    </row>
    <row r="283" spans="1:9" s="98" customFormat="1" x14ac:dyDescent="0.2">
      <c r="A283" s="967" t="s">
        <v>1348</v>
      </c>
      <c r="B283" s="778" t="s">
        <v>1349</v>
      </c>
      <c r="C283" s="767">
        <v>0</v>
      </c>
      <c r="D283" s="893"/>
      <c r="E283" s="990"/>
      <c r="F283" s="794"/>
      <c r="G283" s="767"/>
      <c r="H283" s="991"/>
      <c r="I283" s="770"/>
    </row>
    <row r="284" spans="1:9" s="98" customFormat="1" x14ac:dyDescent="0.2">
      <c r="A284" s="967" t="s">
        <v>501</v>
      </c>
      <c r="B284" s="778" t="s">
        <v>1350</v>
      </c>
      <c r="C284" s="767">
        <v>100000</v>
      </c>
      <c r="D284" s="893"/>
      <c r="E284" s="990"/>
      <c r="F284" s="794"/>
      <c r="G284" s="767"/>
      <c r="H284" s="991"/>
      <c r="I284" s="770"/>
    </row>
    <row r="285" spans="1:9" s="98" customFormat="1" x14ac:dyDescent="0.2">
      <c r="A285" s="967" t="s">
        <v>1351</v>
      </c>
      <c r="B285" s="778" t="s">
        <v>1352</v>
      </c>
      <c r="C285" s="767">
        <v>10000</v>
      </c>
      <c r="D285" s="893"/>
      <c r="E285" s="990"/>
      <c r="F285" s="794"/>
      <c r="G285" s="767"/>
      <c r="H285" s="991"/>
      <c r="I285" s="770"/>
    </row>
    <row r="286" spans="1:9" x14ac:dyDescent="0.2">
      <c r="A286" s="995" t="s">
        <v>299</v>
      </c>
      <c r="B286" s="824" t="s">
        <v>1353</v>
      </c>
      <c r="C286" s="767">
        <v>100000</v>
      </c>
      <c r="D286" s="892"/>
      <c r="E286" s="990"/>
      <c r="F286" s="794"/>
      <c r="G286" s="767"/>
      <c r="H286" s="996"/>
      <c r="I286" s="775"/>
    </row>
    <row r="287" spans="1:9" s="2" customFormat="1" x14ac:dyDescent="0.2">
      <c r="A287" s="997" t="s">
        <v>301</v>
      </c>
      <c r="B287" s="896" t="s">
        <v>1354</v>
      </c>
      <c r="C287" s="767">
        <v>800000</v>
      </c>
      <c r="D287" s="892"/>
      <c r="E287" s="893"/>
      <c r="F287" s="772"/>
      <c r="G287" s="767"/>
      <c r="H287" s="988"/>
      <c r="I287" s="815"/>
    </row>
    <row r="288" spans="1:9" x14ac:dyDescent="0.2">
      <c r="A288" s="791">
        <v>2221</v>
      </c>
      <c r="B288" s="787" t="s">
        <v>1355</v>
      </c>
      <c r="C288" s="734">
        <f>SUM(C290:C292)</f>
        <v>150000</v>
      </c>
      <c r="D288" s="998"/>
      <c r="E288" s="998"/>
      <c r="F288" s="734"/>
      <c r="G288" s="734"/>
      <c r="H288" s="996"/>
      <c r="I288" s="775"/>
    </row>
    <row r="289" spans="1:9" x14ac:dyDescent="0.2">
      <c r="A289" s="900"/>
      <c r="B289" s="889" t="s">
        <v>281</v>
      </c>
      <c r="C289" s="772">
        <f>SUM(C290:C290)</f>
        <v>0</v>
      </c>
      <c r="D289" s="772"/>
      <c r="E289" s="893"/>
      <c r="F289" s="772"/>
      <c r="G289" s="772"/>
      <c r="H289" s="996"/>
      <c r="I289" s="775"/>
    </row>
    <row r="290" spans="1:9" x14ac:dyDescent="0.2">
      <c r="A290" s="967" t="s">
        <v>1356</v>
      </c>
      <c r="B290" s="796" t="s">
        <v>1357</v>
      </c>
      <c r="C290" s="767">
        <v>0</v>
      </c>
      <c r="D290" s="820"/>
      <c r="E290" s="892"/>
      <c r="F290" s="856"/>
      <c r="G290" s="767"/>
      <c r="H290" s="996"/>
      <c r="I290" s="775"/>
    </row>
    <row r="291" spans="1:9" x14ac:dyDescent="0.2">
      <c r="A291" s="999" t="s">
        <v>308</v>
      </c>
      <c r="B291" s="889" t="s">
        <v>1358</v>
      </c>
      <c r="C291" s="767">
        <v>60000</v>
      </c>
      <c r="D291" s="890"/>
      <c r="E291" s="893"/>
      <c r="F291" s="772"/>
      <c r="G291" s="767"/>
      <c r="H291" s="996"/>
      <c r="I291" s="775"/>
    </row>
    <row r="292" spans="1:9" x14ac:dyDescent="0.2">
      <c r="A292" s="999" t="s">
        <v>310</v>
      </c>
      <c r="B292" s="1000" t="s">
        <v>1359</v>
      </c>
      <c r="C292" s="767">
        <v>90000</v>
      </c>
      <c r="D292" s="914"/>
      <c r="E292" s="892"/>
      <c r="F292" s="856"/>
      <c r="G292" s="767"/>
      <c r="H292" s="1001"/>
      <c r="I292" s="838"/>
    </row>
    <row r="293" spans="1:9" ht="15.75" x14ac:dyDescent="0.25">
      <c r="A293" s="980"/>
      <c r="B293" s="925" t="s">
        <v>312</v>
      </c>
      <c r="C293" s="1002">
        <f>C294</f>
        <v>5110000</v>
      </c>
      <c r="D293" s="1003"/>
      <c r="E293" s="1003"/>
      <c r="F293" s="1004"/>
      <c r="G293" s="1002"/>
      <c r="H293" s="1005"/>
    </row>
    <row r="294" spans="1:9" x14ac:dyDescent="0.2">
      <c r="A294" s="962">
        <v>3639</v>
      </c>
      <c r="B294" s="963" t="s">
        <v>313</v>
      </c>
      <c r="C294" s="984">
        <f>SUM(C295:C302)</f>
        <v>5110000</v>
      </c>
      <c r="D294" s="745"/>
      <c r="E294" s="1006"/>
      <c r="F294" s="1007"/>
      <c r="G294" s="984"/>
      <c r="H294" s="1008"/>
      <c r="I294" s="966"/>
    </row>
    <row r="295" spans="1:9" x14ac:dyDescent="0.2">
      <c r="A295" s="967" t="s">
        <v>314</v>
      </c>
      <c r="B295" s="796" t="s">
        <v>1360</v>
      </c>
      <c r="C295" s="767">
        <v>4500000</v>
      </c>
      <c r="D295" s="772"/>
      <c r="E295" s="990"/>
      <c r="F295" s="794"/>
      <c r="G295" s="767"/>
      <c r="H295" s="774"/>
      <c r="I295" s="775"/>
    </row>
    <row r="296" spans="1:9" x14ac:dyDescent="0.2">
      <c r="A296" s="1009" t="s">
        <v>316</v>
      </c>
      <c r="B296" s="818" t="s">
        <v>1361</v>
      </c>
      <c r="C296" s="820">
        <v>30000</v>
      </c>
      <c r="D296" s="820"/>
      <c r="E296" s="829"/>
      <c r="F296" s="829"/>
      <c r="G296" s="820"/>
      <c r="H296" s="774"/>
      <c r="I296" s="775"/>
    </row>
    <row r="297" spans="1:9" x14ac:dyDescent="0.2">
      <c r="A297" s="1010" t="s">
        <v>316</v>
      </c>
      <c r="B297" s="939" t="s">
        <v>1362</v>
      </c>
      <c r="C297" s="890">
        <v>30000</v>
      </c>
      <c r="D297" s="767"/>
      <c r="E297" s="1011"/>
      <c r="F297" s="891"/>
      <c r="G297" s="890"/>
      <c r="H297" s="774"/>
      <c r="I297" s="775"/>
    </row>
    <row r="298" spans="1:9" x14ac:dyDescent="0.2">
      <c r="A298" s="967" t="s">
        <v>325</v>
      </c>
      <c r="B298" s="778" t="s">
        <v>326</v>
      </c>
      <c r="C298" s="767">
        <v>150000</v>
      </c>
      <c r="D298" s="772"/>
      <c r="E298" s="893"/>
      <c r="F298" s="772"/>
      <c r="G298" s="767"/>
      <c r="H298" s="774"/>
      <c r="I298" s="775"/>
    </row>
    <row r="299" spans="1:9" x14ac:dyDescent="0.2">
      <c r="A299" s="967" t="s">
        <v>321</v>
      </c>
      <c r="B299" s="778" t="s">
        <v>327</v>
      </c>
      <c r="C299" s="767">
        <v>150000</v>
      </c>
      <c r="D299" s="772"/>
      <c r="E299" s="893"/>
      <c r="F299" s="772"/>
      <c r="G299" s="767"/>
      <c r="H299" s="774"/>
      <c r="I299" s="775"/>
    </row>
    <row r="300" spans="1:9" x14ac:dyDescent="0.2">
      <c r="A300" s="967" t="s">
        <v>323</v>
      </c>
      <c r="B300" s="778" t="s">
        <v>328</v>
      </c>
      <c r="C300" s="767">
        <v>210000</v>
      </c>
      <c r="D300" s="772"/>
      <c r="E300" s="893"/>
      <c r="F300" s="772"/>
      <c r="G300" s="767"/>
      <c r="H300" s="774"/>
      <c r="I300" s="775"/>
    </row>
    <row r="301" spans="1:9" x14ac:dyDescent="0.2">
      <c r="A301" s="999" t="s">
        <v>331</v>
      </c>
      <c r="B301" s="796" t="s">
        <v>332</v>
      </c>
      <c r="C301" s="767">
        <v>10000</v>
      </c>
      <c r="D301" s="772"/>
      <c r="E301" s="893"/>
      <c r="F301" s="772"/>
      <c r="G301" s="767"/>
      <c r="H301" s="774"/>
      <c r="I301" s="775"/>
    </row>
    <row r="302" spans="1:9" x14ac:dyDescent="0.2">
      <c r="A302" s="999" t="s">
        <v>333</v>
      </c>
      <c r="B302" s="1012" t="s">
        <v>334</v>
      </c>
      <c r="C302" s="767">
        <v>30000</v>
      </c>
      <c r="D302" s="940"/>
      <c r="E302" s="893"/>
      <c r="F302" s="772"/>
      <c r="G302" s="767"/>
      <c r="H302" s="837"/>
      <c r="I302" s="979"/>
    </row>
    <row r="303" spans="1:9" ht="15.75" x14ac:dyDescent="0.25">
      <c r="A303" s="980"/>
      <c r="B303" s="925" t="s">
        <v>335</v>
      </c>
      <c r="C303" s="1013">
        <f>SUM(C304+C309+C318+C327+C343+C350+C352+C355)</f>
        <v>27453182</v>
      </c>
      <c r="D303" s="1014"/>
      <c r="E303" s="1015"/>
      <c r="F303" s="1016"/>
      <c r="G303" s="1013"/>
      <c r="H303" s="1005"/>
    </row>
    <row r="304" spans="1:9" x14ac:dyDescent="0.2">
      <c r="A304" s="962">
        <v>3341</v>
      </c>
      <c r="B304" s="963" t="s">
        <v>1363</v>
      </c>
      <c r="C304" s="844">
        <f>SUM(C305:C308)</f>
        <v>3177552</v>
      </c>
      <c r="D304" s="844"/>
      <c r="E304" s="985"/>
      <c r="F304" s="844"/>
      <c r="G304" s="844"/>
      <c r="H304" s="1008"/>
      <c r="I304" s="966"/>
    </row>
    <row r="305" spans="1:9" x14ac:dyDescent="0.2">
      <c r="A305" s="967" t="s">
        <v>337</v>
      </c>
      <c r="B305" s="796" t="s">
        <v>338</v>
      </c>
      <c r="C305" s="767">
        <v>200000</v>
      </c>
      <c r="D305" s="893"/>
      <c r="E305" s="990"/>
      <c r="F305" s="794"/>
      <c r="G305" s="767"/>
      <c r="H305" s="774"/>
      <c r="I305" s="775"/>
    </row>
    <row r="306" spans="1:9" x14ac:dyDescent="0.2">
      <c r="A306" s="967" t="s">
        <v>339</v>
      </c>
      <c r="B306" s="796" t="s">
        <v>1364</v>
      </c>
      <c r="C306" s="767">
        <v>5000</v>
      </c>
      <c r="D306" s="893"/>
      <c r="E306" s="990"/>
      <c r="F306" s="794"/>
      <c r="G306" s="767"/>
      <c r="H306" s="774"/>
      <c r="I306" s="775"/>
    </row>
    <row r="307" spans="1:9" x14ac:dyDescent="0.2">
      <c r="A307" s="967" t="s">
        <v>1365</v>
      </c>
      <c r="B307" s="796" t="s">
        <v>1366</v>
      </c>
      <c r="C307" s="767">
        <v>600000</v>
      </c>
      <c r="D307" s="893"/>
      <c r="E307" s="990"/>
      <c r="F307" s="794"/>
      <c r="G307" s="767"/>
      <c r="H307" s="774"/>
      <c r="I307" s="775"/>
    </row>
    <row r="308" spans="1:9" x14ac:dyDescent="0.2">
      <c r="A308" s="967" t="s">
        <v>1365</v>
      </c>
      <c r="B308" s="796" t="s">
        <v>1367</v>
      </c>
      <c r="C308" s="767">
        <v>2372552</v>
      </c>
      <c r="D308" s="893"/>
      <c r="E308" s="990"/>
      <c r="F308" s="794"/>
      <c r="G308" s="767"/>
      <c r="H308" s="774"/>
      <c r="I308" s="775"/>
    </row>
    <row r="309" spans="1:9" x14ac:dyDescent="0.2">
      <c r="A309" s="842">
        <v>3421</v>
      </c>
      <c r="B309" s="787" t="s">
        <v>1368</v>
      </c>
      <c r="C309" s="734">
        <f>SUM(C310:C317)</f>
        <v>2690000</v>
      </c>
      <c r="D309" s="734"/>
      <c r="E309" s="734"/>
      <c r="F309" s="734"/>
      <c r="G309" s="734"/>
      <c r="H309" s="774"/>
      <c r="I309" s="775"/>
    </row>
    <row r="310" spans="1:9" x14ac:dyDescent="0.2">
      <c r="A310" s="967" t="s">
        <v>350</v>
      </c>
      <c r="B310" s="1017" t="s">
        <v>1369</v>
      </c>
      <c r="C310" s="820">
        <v>750000</v>
      </c>
      <c r="D310" s="893"/>
      <c r="E310" s="990"/>
      <c r="F310" s="794"/>
      <c r="G310" s="820"/>
      <c r="H310" s="774"/>
      <c r="I310" s="775"/>
    </row>
    <row r="311" spans="1:9" x14ac:dyDescent="0.2">
      <c r="A311" s="967" t="s">
        <v>342</v>
      </c>
      <c r="B311" s="1018" t="s">
        <v>1370</v>
      </c>
      <c r="C311" s="767">
        <v>300000</v>
      </c>
      <c r="D311" s="893"/>
      <c r="E311" s="990"/>
      <c r="F311" s="794"/>
      <c r="G311" s="767"/>
      <c r="H311" s="774"/>
      <c r="I311" s="775"/>
    </row>
    <row r="312" spans="1:9" x14ac:dyDescent="0.2">
      <c r="A312" s="967" t="s">
        <v>344</v>
      </c>
      <c r="B312" s="1018" t="s">
        <v>1371</v>
      </c>
      <c r="C312" s="767">
        <v>60000</v>
      </c>
      <c r="D312" s="893"/>
      <c r="E312" s="990"/>
      <c r="F312" s="794"/>
      <c r="G312" s="767"/>
      <c r="H312" s="774"/>
      <c r="I312" s="775"/>
    </row>
    <row r="313" spans="1:9" x14ac:dyDescent="0.2">
      <c r="A313" s="967" t="s">
        <v>346</v>
      </c>
      <c r="B313" s="1018" t="s">
        <v>1372</v>
      </c>
      <c r="C313" s="767">
        <v>80000</v>
      </c>
      <c r="D313" s="893"/>
      <c r="E313" s="990"/>
      <c r="F313" s="794"/>
      <c r="G313" s="767"/>
      <c r="H313" s="774"/>
      <c r="I313" s="775"/>
    </row>
    <row r="314" spans="1:9" x14ac:dyDescent="0.2">
      <c r="A314" s="967" t="s">
        <v>348</v>
      </c>
      <c r="B314" s="1017" t="s">
        <v>1373</v>
      </c>
      <c r="C314" s="767">
        <v>1500000</v>
      </c>
      <c r="D314" s="893"/>
      <c r="E314" s="990"/>
      <c r="F314" s="794"/>
      <c r="G314" s="767"/>
      <c r="H314" s="774"/>
      <c r="I314" s="775"/>
    </row>
    <row r="315" spans="1:9" x14ac:dyDescent="0.2">
      <c r="A315" s="967" t="s">
        <v>1374</v>
      </c>
      <c r="B315" s="1018" t="s">
        <v>1375</v>
      </c>
      <c r="C315" s="767">
        <v>0</v>
      </c>
      <c r="D315" s="893"/>
      <c r="E315" s="990"/>
      <c r="F315" s="794"/>
      <c r="G315" s="767"/>
      <c r="H315" s="774"/>
      <c r="I315" s="775"/>
    </row>
    <row r="316" spans="1:9" x14ac:dyDescent="0.2">
      <c r="A316" s="967" t="s">
        <v>1376</v>
      </c>
      <c r="B316" s="1018" t="s">
        <v>1377</v>
      </c>
      <c r="C316" s="767">
        <v>0</v>
      </c>
      <c r="D316" s="893"/>
      <c r="E316" s="990"/>
      <c r="F316" s="794"/>
      <c r="G316" s="767"/>
      <c r="H316" s="774"/>
      <c r="I316" s="775"/>
    </row>
    <row r="317" spans="1:9" x14ac:dyDescent="0.2">
      <c r="A317" s="967" t="s">
        <v>1376</v>
      </c>
      <c r="B317" s="1018" t="s">
        <v>1378</v>
      </c>
      <c r="C317" s="767">
        <v>0</v>
      </c>
      <c r="D317" s="893"/>
      <c r="E317" s="990"/>
      <c r="F317" s="794"/>
      <c r="G317" s="767"/>
      <c r="H317" s="774"/>
      <c r="I317" s="775"/>
    </row>
    <row r="318" spans="1:9" x14ac:dyDescent="0.2">
      <c r="A318" s="791">
        <v>3613</v>
      </c>
      <c r="B318" s="787" t="s">
        <v>1379</v>
      </c>
      <c r="C318" s="734">
        <f>SUM(C319:C326)</f>
        <v>1960000</v>
      </c>
      <c r="D318" s="998"/>
      <c r="E318" s="1019"/>
      <c r="F318" s="734"/>
      <c r="G318" s="734"/>
      <c r="H318" s="774"/>
      <c r="I318" s="775"/>
    </row>
    <row r="319" spans="1:9" x14ac:dyDescent="0.2">
      <c r="A319" s="967" t="s">
        <v>1380</v>
      </c>
      <c r="B319" s="1017" t="s">
        <v>1381</v>
      </c>
      <c r="C319" s="767">
        <v>0</v>
      </c>
      <c r="D319" s="893"/>
      <c r="E319" s="1020"/>
      <c r="F319" s="1021"/>
      <c r="G319" s="767"/>
      <c r="H319" s="774"/>
      <c r="I319" s="775"/>
    </row>
    <row r="320" spans="1:9" x14ac:dyDescent="0.2">
      <c r="A320" s="999" t="s">
        <v>353</v>
      </c>
      <c r="B320" s="989" t="s">
        <v>1382</v>
      </c>
      <c r="C320" s="767">
        <v>5000</v>
      </c>
      <c r="D320" s="893"/>
      <c r="E320" s="990"/>
      <c r="F320" s="794"/>
      <c r="G320" s="767"/>
      <c r="H320" s="1022"/>
      <c r="I320" s="775"/>
    </row>
    <row r="321" spans="1:9" x14ac:dyDescent="0.2">
      <c r="A321" s="999" t="s">
        <v>355</v>
      </c>
      <c r="B321" s="989" t="s">
        <v>1383</v>
      </c>
      <c r="C321" s="767">
        <v>15000</v>
      </c>
      <c r="D321" s="893"/>
      <c r="E321" s="990"/>
      <c r="F321" s="794"/>
      <c r="G321" s="767"/>
      <c r="H321" s="774"/>
      <c r="I321" s="775"/>
    </row>
    <row r="322" spans="1:9" x14ac:dyDescent="0.2">
      <c r="A322" s="999" t="s">
        <v>357</v>
      </c>
      <c r="B322" s="778" t="s">
        <v>1384</v>
      </c>
      <c r="C322" s="767">
        <v>200000</v>
      </c>
      <c r="D322" s="893"/>
      <c r="E322" s="1023"/>
      <c r="F322" s="810"/>
      <c r="G322" s="767"/>
      <c r="H322" s="774"/>
      <c r="I322" s="775"/>
    </row>
    <row r="323" spans="1:9" x14ac:dyDescent="0.2">
      <c r="A323" s="999" t="s">
        <v>359</v>
      </c>
      <c r="B323" s="778" t="s">
        <v>1385</v>
      </c>
      <c r="C323" s="767">
        <v>640000</v>
      </c>
      <c r="D323" s="894"/>
      <c r="E323" s="894"/>
      <c r="F323" s="767"/>
      <c r="G323" s="767"/>
      <c r="H323" s="774"/>
      <c r="I323" s="775"/>
    </row>
    <row r="324" spans="1:9" x14ac:dyDescent="0.2">
      <c r="A324" s="999" t="s">
        <v>361</v>
      </c>
      <c r="B324" s="778" t="s">
        <v>1386</v>
      </c>
      <c r="C324" s="767">
        <v>100000</v>
      </c>
      <c r="D324" s="894"/>
      <c r="E324" s="894"/>
      <c r="F324" s="767"/>
      <c r="G324" s="767"/>
      <c r="H324" s="774"/>
      <c r="I324" s="775"/>
    </row>
    <row r="325" spans="1:9" x14ac:dyDescent="0.2">
      <c r="A325" s="999" t="s">
        <v>364</v>
      </c>
      <c r="B325" s="1024" t="s">
        <v>1387</v>
      </c>
      <c r="C325" s="767">
        <v>1000000</v>
      </c>
      <c r="D325" s="894"/>
      <c r="E325" s="894"/>
      <c r="F325" s="767"/>
      <c r="G325" s="767"/>
      <c r="H325" s="774"/>
      <c r="I325" s="775"/>
    </row>
    <row r="326" spans="1:9" x14ac:dyDescent="0.2">
      <c r="A326" s="967" t="s">
        <v>1388</v>
      </c>
      <c r="B326" s="1018" t="s">
        <v>1389</v>
      </c>
      <c r="C326" s="767">
        <v>0</v>
      </c>
      <c r="D326" s="893"/>
      <c r="E326" s="990"/>
      <c r="F326" s="794"/>
      <c r="G326" s="767"/>
      <c r="H326" s="774"/>
      <c r="I326" s="775"/>
    </row>
    <row r="327" spans="1:9" x14ac:dyDescent="0.2">
      <c r="A327" s="791">
        <v>3631</v>
      </c>
      <c r="B327" s="787" t="s">
        <v>1390</v>
      </c>
      <c r="C327" s="734">
        <f>SUM(C328++C329+C330+C331+C332+C333+C334)</f>
        <v>15504000</v>
      </c>
      <c r="D327" s="734"/>
      <c r="E327" s="998"/>
      <c r="F327" s="734"/>
      <c r="G327" s="734"/>
      <c r="H327" s="774"/>
      <c r="I327" s="775"/>
    </row>
    <row r="328" spans="1:9" x14ac:dyDescent="0.2">
      <c r="A328" s="967" t="s">
        <v>371</v>
      </c>
      <c r="B328" s="778" t="s">
        <v>1391</v>
      </c>
      <c r="C328" s="767">
        <v>4900000</v>
      </c>
      <c r="D328" s="893"/>
      <c r="E328" s="1023"/>
      <c r="F328" s="810"/>
      <c r="G328" s="767"/>
      <c r="H328" s="774"/>
      <c r="I328" s="775"/>
    </row>
    <row r="329" spans="1:9" ht="12.75" customHeight="1" x14ac:dyDescent="0.2">
      <c r="A329" s="1025" t="s">
        <v>1392</v>
      </c>
      <c r="B329" s="778" t="s">
        <v>1393</v>
      </c>
      <c r="C329" s="767">
        <v>84000</v>
      </c>
      <c r="D329" s="893"/>
      <c r="E329" s="1023"/>
      <c r="F329" s="810"/>
      <c r="G329" s="767"/>
      <c r="H329" s="774"/>
      <c r="I329" s="775"/>
    </row>
    <row r="330" spans="1:9" ht="12.75" customHeight="1" x14ac:dyDescent="0.2">
      <c r="A330" s="999" t="s">
        <v>367</v>
      </c>
      <c r="B330" s="778" t="s">
        <v>1394</v>
      </c>
      <c r="C330" s="767">
        <v>50000</v>
      </c>
      <c r="D330" s="893"/>
      <c r="E330" s="893"/>
      <c r="F330" s="772"/>
      <c r="G330" s="767"/>
      <c r="H330" s="774"/>
      <c r="I330" s="775"/>
    </row>
    <row r="331" spans="1:9" x14ac:dyDescent="0.2">
      <c r="A331" s="999" t="s">
        <v>369</v>
      </c>
      <c r="B331" s="778" t="s">
        <v>1395</v>
      </c>
      <c r="C331" s="767">
        <v>250000</v>
      </c>
      <c r="D331" s="893"/>
      <c r="E331" s="1023"/>
      <c r="F331" s="810"/>
      <c r="G331" s="767"/>
      <c r="H331" s="774"/>
      <c r="I331" s="775"/>
    </row>
    <row r="332" spans="1:9" ht="12.75" customHeight="1" x14ac:dyDescent="0.2">
      <c r="A332" s="999" t="s">
        <v>369</v>
      </c>
      <c r="B332" s="778" t="s">
        <v>1396</v>
      </c>
      <c r="C332" s="767">
        <v>600000</v>
      </c>
      <c r="D332" s="893"/>
      <c r="E332" s="893"/>
      <c r="F332" s="772"/>
      <c r="G332" s="767"/>
      <c r="H332" s="774"/>
      <c r="I332" s="775"/>
    </row>
    <row r="333" spans="1:9" ht="12.75" customHeight="1" x14ac:dyDescent="0.2">
      <c r="A333" s="967" t="s">
        <v>373</v>
      </c>
      <c r="B333" s="778" t="s">
        <v>374</v>
      </c>
      <c r="C333" s="767">
        <v>7200000</v>
      </c>
      <c r="D333" s="893"/>
      <c r="E333" s="1026"/>
      <c r="F333" s="1027"/>
      <c r="G333" s="767"/>
      <c r="H333" s="774"/>
      <c r="I333" s="775"/>
    </row>
    <row r="334" spans="1:9" ht="12.75" customHeight="1" x14ac:dyDescent="0.2">
      <c r="A334" s="967"/>
      <c r="B334" s="889" t="s">
        <v>281</v>
      </c>
      <c r="C334" s="772">
        <f>SUM(C335:C342)</f>
        <v>2420000</v>
      </c>
      <c r="D334" s="772"/>
      <c r="E334" s="893"/>
      <c r="F334" s="772"/>
      <c r="G334" s="772"/>
      <c r="H334" s="774"/>
      <c r="I334" s="775"/>
    </row>
    <row r="335" spans="1:9" ht="12.75" customHeight="1" x14ac:dyDescent="0.2">
      <c r="A335" s="967" t="s">
        <v>585</v>
      </c>
      <c r="B335" s="1018" t="s">
        <v>1397</v>
      </c>
      <c r="C335" s="767">
        <v>650000</v>
      </c>
      <c r="D335" s="893"/>
      <c r="E335" s="990"/>
      <c r="F335" s="794"/>
      <c r="G335" s="767"/>
      <c r="H335" s="774"/>
      <c r="I335" s="775"/>
    </row>
    <row r="336" spans="1:9" ht="12.75" customHeight="1" x14ac:dyDescent="0.2">
      <c r="A336" s="967" t="s">
        <v>1398</v>
      </c>
      <c r="B336" s="1018" t="s">
        <v>1399</v>
      </c>
      <c r="C336" s="767">
        <v>0</v>
      </c>
      <c r="D336" s="893"/>
      <c r="E336" s="990"/>
      <c r="F336" s="794"/>
      <c r="G336" s="767"/>
      <c r="H336" s="774"/>
      <c r="I336" s="775"/>
    </row>
    <row r="337" spans="1:9" x14ac:dyDescent="0.2">
      <c r="A337" s="967" t="s">
        <v>577</v>
      </c>
      <c r="B337" s="1018" t="s">
        <v>1400</v>
      </c>
      <c r="C337" s="767">
        <v>0</v>
      </c>
      <c r="D337" s="893"/>
      <c r="E337" s="1026"/>
      <c r="F337" s="1027"/>
      <c r="G337" s="767"/>
      <c r="H337" s="774"/>
      <c r="I337" s="775"/>
    </row>
    <row r="338" spans="1:9" s="2" customFormat="1" x14ac:dyDescent="0.2">
      <c r="A338" s="967" t="s">
        <v>1401</v>
      </c>
      <c r="B338" s="1018" t="s">
        <v>1402</v>
      </c>
      <c r="C338" s="767">
        <v>80000</v>
      </c>
      <c r="D338" s="893"/>
      <c r="E338" s="1026"/>
      <c r="F338" s="1027"/>
      <c r="G338" s="767"/>
      <c r="H338" s="902"/>
      <c r="I338" s="815"/>
    </row>
    <row r="339" spans="1:9" s="98" customFormat="1" x14ac:dyDescent="0.2">
      <c r="A339" s="967" t="s">
        <v>1403</v>
      </c>
      <c r="B339" s="1018" t="s">
        <v>1404</v>
      </c>
      <c r="C339" s="767">
        <v>550000</v>
      </c>
      <c r="D339" s="893"/>
      <c r="E339" s="1026"/>
      <c r="F339" s="1027"/>
      <c r="G339" s="767"/>
      <c r="H339" s="769"/>
      <c r="I339" s="770"/>
    </row>
    <row r="340" spans="1:9" s="98" customFormat="1" x14ac:dyDescent="0.2">
      <c r="A340" s="967" t="s">
        <v>1405</v>
      </c>
      <c r="B340" s="1018" t="s">
        <v>1406</v>
      </c>
      <c r="C340" s="767">
        <v>80000</v>
      </c>
      <c r="D340" s="893"/>
      <c r="E340" s="1026"/>
      <c r="F340" s="1027"/>
      <c r="G340" s="767"/>
      <c r="H340" s="769"/>
      <c r="I340" s="770"/>
    </row>
    <row r="341" spans="1:9" s="98" customFormat="1" x14ac:dyDescent="0.2">
      <c r="A341" s="967" t="s">
        <v>1407</v>
      </c>
      <c r="B341" s="1018" t="s">
        <v>1408</v>
      </c>
      <c r="C341" s="767">
        <v>60000</v>
      </c>
      <c r="D341" s="893"/>
      <c r="E341" s="1026"/>
      <c r="F341" s="1027"/>
      <c r="G341" s="767"/>
      <c r="H341" s="769"/>
      <c r="I341" s="770"/>
    </row>
    <row r="342" spans="1:9" s="98" customFormat="1" x14ac:dyDescent="0.2">
      <c r="A342" s="1028" t="s">
        <v>591</v>
      </c>
      <c r="B342" s="1029" t="s">
        <v>1409</v>
      </c>
      <c r="C342" s="738">
        <v>1000000</v>
      </c>
      <c r="D342" s="1030"/>
      <c r="E342" s="1031"/>
      <c r="F342" s="1032"/>
      <c r="G342" s="738"/>
      <c r="H342" s="769"/>
      <c r="I342" s="770"/>
    </row>
    <row r="343" spans="1:9" s="98" customFormat="1" x14ac:dyDescent="0.2">
      <c r="A343" s="771">
        <v>3632</v>
      </c>
      <c r="B343" s="717" t="s">
        <v>1410</v>
      </c>
      <c r="C343" s="726">
        <f>SUM(C345:C349)</f>
        <v>3466630</v>
      </c>
      <c r="D343" s="1033"/>
      <c r="E343" s="1033"/>
      <c r="F343" s="726"/>
      <c r="G343" s="726"/>
      <c r="H343" s="769"/>
      <c r="I343" s="770"/>
    </row>
    <row r="344" spans="1:9" s="98" customFormat="1" x14ac:dyDescent="0.2">
      <c r="A344" s="1034"/>
      <c r="B344" s="1035" t="s">
        <v>1411</v>
      </c>
      <c r="C344" s="750">
        <f>SUM(C345:C346)</f>
        <v>366630</v>
      </c>
      <c r="D344" s="750"/>
      <c r="E344" s="750"/>
      <c r="F344" s="750"/>
      <c r="G344" s="750"/>
      <c r="H344" s="769"/>
      <c r="I344" s="770"/>
    </row>
    <row r="345" spans="1:9" s="98" customFormat="1" x14ac:dyDescent="0.2">
      <c r="A345" s="1028" t="s">
        <v>377</v>
      </c>
      <c r="B345" s="737" t="s">
        <v>1412</v>
      </c>
      <c r="C345" s="738">
        <f>342430+24200</f>
        <v>366630</v>
      </c>
      <c r="D345" s="1030"/>
      <c r="E345" s="1030"/>
      <c r="F345" s="750"/>
      <c r="G345" s="738"/>
      <c r="H345" s="769"/>
      <c r="I345" s="770"/>
    </row>
    <row r="346" spans="1:9" s="98" customFormat="1" x14ac:dyDescent="0.2">
      <c r="A346" s="1028" t="s">
        <v>377</v>
      </c>
      <c r="B346" s="737" t="s">
        <v>1413</v>
      </c>
      <c r="C346" s="738">
        <v>0</v>
      </c>
      <c r="D346" s="1030"/>
      <c r="E346" s="1030"/>
      <c r="F346" s="750"/>
      <c r="G346" s="738"/>
      <c r="H346" s="769"/>
      <c r="I346" s="770"/>
    </row>
    <row r="347" spans="1:9" s="98" customFormat="1" x14ac:dyDescent="0.2">
      <c r="A347" s="1028" t="s">
        <v>383</v>
      </c>
      <c r="B347" s="737" t="s">
        <v>1414</v>
      </c>
      <c r="C347" s="738">
        <v>3000000</v>
      </c>
      <c r="D347" s="1030"/>
      <c r="E347" s="1030"/>
      <c r="F347" s="750"/>
      <c r="G347" s="738"/>
      <c r="H347" s="769"/>
      <c r="I347" s="770"/>
    </row>
    <row r="348" spans="1:9" s="98" customFormat="1" x14ac:dyDescent="0.2">
      <c r="A348" s="1028" t="s">
        <v>383</v>
      </c>
      <c r="B348" s="737" t="s">
        <v>1415</v>
      </c>
      <c r="C348" s="738">
        <v>0</v>
      </c>
      <c r="D348" s="1030"/>
      <c r="E348" s="1030"/>
      <c r="F348" s="750"/>
      <c r="G348" s="738"/>
      <c r="H348" s="769"/>
      <c r="I348" s="770"/>
    </row>
    <row r="349" spans="1:9" s="98" customFormat="1" x14ac:dyDescent="0.2">
      <c r="A349" s="1028" t="s">
        <v>387</v>
      </c>
      <c r="B349" s="737" t="s">
        <v>388</v>
      </c>
      <c r="C349" s="738">
        <v>100000</v>
      </c>
      <c r="D349" s="1030"/>
      <c r="E349" s="1030"/>
      <c r="F349" s="750"/>
      <c r="G349" s="738"/>
      <c r="H349" s="769"/>
      <c r="I349" s="770"/>
    </row>
    <row r="350" spans="1:9" s="98" customFormat="1" x14ac:dyDescent="0.2">
      <c r="A350" s="771">
        <v>3633</v>
      </c>
      <c r="B350" s="717" t="s">
        <v>1416</v>
      </c>
      <c r="C350" s="726">
        <f>SUM(C351)</f>
        <v>0</v>
      </c>
      <c r="D350" s="1033"/>
      <c r="E350" s="1033"/>
      <c r="F350" s="726"/>
      <c r="G350" s="726"/>
      <c r="H350" s="769"/>
      <c r="I350" s="770"/>
    </row>
    <row r="351" spans="1:9" s="98" customFormat="1" ht="24.75" x14ac:dyDescent="0.2">
      <c r="A351" s="1028"/>
      <c r="B351" s="749" t="s">
        <v>1417</v>
      </c>
      <c r="C351" s="738">
        <v>0</v>
      </c>
      <c r="D351" s="1030"/>
      <c r="E351" s="1030"/>
      <c r="F351" s="750"/>
      <c r="G351" s="738"/>
      <c r="H351" s="769"/>
      <c r="I351" s="770"/>
    </row>
    <row r="352" spans="1:9" s="98" customFormat="1" x14ac:dyDescent="0.2">
      <c r="A352" s="771">
        <v>3639</v>
      </c>
      <c r="B352" s="717" t="s">
        <v>1418</v>
      </c>
      <c r="C352" s="726">
        <f>SUM(C353:C354)</f>
        <v>5000</v>
      </c>
      <c r="D352" s="1033"/>
      <c r="E352" s="1033"/>
      <c r="F352" s="726"/>
      <c r="G352" s="726"/>
      <c r="H352" s="769"/>
      <c r="I352" s="770"/>
    </row>
    <row r="353" spans="1:9" s="98" customFormat="1" x14ac:dyDescent="0.2">
      <c r="A353" s="1028" t="s">
        <v>390</v>
      </c>
      <c r="B353" s="1036" t="s">
        <v>1419</v>
      </c>
      <c r="C353" s="738">
        <v>0</v>
      </c>
      <c r="D353" s="1030"/>
      <c r="E353" s="1030"/>
      <c r="F353" s="750"/>
      <c r="G353" s="738"/>
      <c r="H353" s="769"/>
      <c r="I353" s="770"/>
    </row>
    <row r="354" spans="1:9" s="98" customFormat="1" x14ac:dyDescent="0.2">
      <c r="A354" s="1037" t="s">
        <v>392</v>
      </c>
      <c r="B354" s="737" t="s">
        <v>1420</v>
      </c>
      <c r="C354" s="738">
        <v>5000</v>
      </c>
      <c r="D354" s="1030"/>
      <c r="E354" s="1030"/>
      <c r="F354" s="750"/>
      <c r="G354" s="738"/>
      <c r="H354" s="769"/>
      <c r="I354" s="770"/>
    </row>
    <row r="355" spans="1:9" s="98" customFormat="1" x14ac:dyDescent="0.2">
      <c r="A355" s="771">
        <v>3699</v>
      </c>
      <c r="B355" s="717" t="s">
        <v>1421</v>
      </c>
      <c r="C355" s="726">
        <f>SUM(C356:C357)</f>
        <v>650000</v>
      </c>
      <c r="D355" s="726"/>
      <c r="E355" s="726"/>
      <c r="F355" s="726"/>
      <c r="G355" s="726"/>
      <c r="H355" s="769"/>
      <c r="I355" s="770"/>
    </row>
    <row r="356" spans="1:9" s="98" customFormat="1" x14ac:dyDescent="0.2">
      <c r="A356" s="1038" t="s">
        <v>1422</v>
      </c>
      <c r="B356" s="1039" t="s">
        <v>1423</v>
      </c>
      <c r="C356" s="1040">
        <v>100000</v>
      </c>
      <c r="D356" s="1041"/>
      <c r="E356" s="1041"/>
      <c r="F356" s="1042"/>
      <c r="G356" s="1040"/>
      <c r="H356" s="769"/>
      <c r="I356" s="770"/>
    </row>
    <row r="357" spans="1:9" ht="12.75" customHeight="1" x14ac:dyDescent="0.2">
      <c r="A357" s="1043" t="s">
        <v>395</v>
      </c>
      <c r="B357" s="1044" t="s">
        <v>1424</v>
      </c>
      <c r="C357" s="1045">
        <v>550000</v>
      </c>
      <c r="D357" s="1045"/>
      <c r="E357" s="1045"/>
      <c r="F357" s="1045"/>
      <c r="G357" s="1045"/>
      <c r="H357" s="774"/>
      <c r="I357" s="775"/>
    </row>
    <row r="358" spans="1:9" ht="12.75" customHeight="1" x14ac:dyDescent="0.2">
      <c r="A358" s="1046"/>
      <c r="B358" s="1047"/>
      <c r="C358" s="1040"/>
      <c r="D358" s="1048"/>
      <c r="E358" s="1049"/>
      <c r="F358" s="1048"/>
      <c r="G358" s="1040"/>
      <c r="H358" s="837"/>
      <c r="I358" s="838"/>
    </row>
    <row r="359" spans="1:9" ht="20.25" x14ac:dyDescent="0.3">
      <c r="A359" s="1050"/>
      <c r="B359" s="1051" t="s">
        <v>1031</v>
      </c>
      <c r="C359" s="1052">
        <f>C360+C372+C436+C463+C476+C488+C495+C508+C554+C579</f>
        <v>268131950</v>
      </c>
      <c r="D359" s="1052"/>
      <c r="E359" s="1052"/>
      <c r="F359" s="1052"/>
      <c r="G359" s="1052"/>
      <c r="H359" s="1005"/>
    </row>
    <row r="360" spans="1:9" s="98" customFormat="1" ht="15.75" x14ac:dyDescent="0.2">
      <c r="A360" s="1053"/>
      <c r="B360" s="1054" t="s">
        <v>398</v>
      </c>
      <c r="C360" s="1055">
        <f>SUM(C361+C364)</f>
        <v>7770000</v>
      </c>
      <c r="D360" s="1055"/>
      <c r="E360" s="1055"/>
      <c r="F360" s="1055"/>
      <c r="G360" s="1055"/>
      <c r="H360" s="871"/>
      <c r="I360" s="872"/>
    </row>
    <row r="361" spans="1:9" s="98" customFormat="1" ht="13.5" customHeight="1" x14ac:dyDescent="0.2">
      <c r="A361" s="764">
        <v>2310</v>
      </c>
      <c r="B361" s="709" t="s">
        <v>1425</v>
      </c>
      <c r="C361" s="731">
        <f>SUM(C362:C363)</f>
        <v>505000</v>
      </c>
      <c r="D361" s="731"/>
      <c r="E361" s="731"/>
      <c r="F361" s="731"/>
      <c r="G361" s="731"/>
      <c r="H361" s="846"/>
      <c r="I361" s="847"/>
    </row>
    <row r="362" spans="1:9" s="98" customFormat="1" ht="13.5" customHeight="1" x14ac:dyDescent="0.2">
      <c r="A362" s="1056" t="s">
        <v>404</v>
      </c>
      <c r="B362" s="1057" t="s">
        <v>1426</v>
      </c>
      <c r="C362" s="1058">
        <v>5000</v>
      </c>
      <c r="D362" s="1058"/>
      <c r="E362" s="305"/>
      <c r="F362" s="1058"/>
      <c r="G362" s="1058"/>
      <c r="H362" s="769"/>
      <c r="I362" s="770"/>
    </row>
    <row r="363" spans="1:9" s="98" customFormat="1" x14ac:dyDescent="0.2">
      <c r="A363" s="1056" t="s">
        <v>1427</v>
      </c>
      <c r="B363" s="1057" t="s">
        <v>1428</v>
      </c>
      <c r="C363" s="1058">
        <v>500000</v>
      </c>
      <c r="D363" s="1058"/>
      <c r="E363" s="305"/>
      <c r="F363" s="1058"/>
      <c r="G363" s="1058"/>
      <c r="H363" s="769"/>
      <c r="I363" s="770"/>
    </row>
    <row r="364" spans="1:9" s="98" customFormat="1" x14ac:dyDescent="0.2">
      <c r="A364" s="771">
        <v>2321</v>
      </c>
      <c r="B364" s="717" t="s">
        <v>1429</v>
      </c>
      <c r="C364" s="731">
        <f>SUM(C365:C371)</f>
        <v>7265000</v>
      </c>
      <c r="D364" s="731"/>
      <c r="E364" s="731"/>
      <c r="F364" s="731"/>
      <c r="G364" s="731"/>
      <c r="H364" s="769"/>
      <c r="I364" s="770"/>
    </row>
    <row r="365" spans="1:9" s="98" customFormat="1" x14ac:dyDescent="0.2">
      <c r="A365" s="1056" t="s">
        <v>1430</v>
      </c>
      <c r="B365" s="1057" t="s">
        <v>1431</v>
      </c>
      <c r="C365" s="1058">
        <v>5000</v>
      </c>
      <c r="D365" s="1058"/>
      <c r="E365" s="305"/>
      <c r="F365" s="1058"/>
      <c r="G365" s="1058"/>
      <c r="H365" s="769"/>
      <c r="I365" s="770"/>
    </row>
    <row r="366" spans="1:9" s="98" customFormat="1" x14ac:dyDescent="0.2">
      <c r="A366" s="1056" t="s">
        <v>1432</v>
      </c>
      <c r="B366" s="1057" t="s">
        <v>1433</v>
      </c>
      <c r="C366" s="1058">
        <v>750000</v>
      </c>
      <c r="D366" s="1058"/>
      <c r="E366" s="305"/>
      <c r="F366" s="1058"/>
      <c r="G366" s="1058"/>
      <c r="H366" s="769"/>
      <c r="I366" s="770"/>
    </row>
    <row r="367" spans="1:9" s="98" customFormat="1" x14ac:dyDescent="0.2">
      <c r="A367" s="1056" t="s">
        <v>1434</v>
      </c>
      <c r="B367" s="1057" t="s">
        <v>1435</v>
      </c>
      <c r="C367" s="1058">
        <v>500000</v>
      </c>
      <c r="D367" s="1058"/>
      <c r="E367" s="305"/>
      <c r="F367" s="1058"/>
      <c r="G367" s="1058"/>
      <c r="H367" s="769"/>
      <c r="I367" s="770"/>
    </row>
    <row r="368" spans="1:9" s="98" customFormat="1" x14ac:dyDescent="0.2">
      <c r="A368" s="1056" t="s">
        <v>1436</v>
      </c>
      <c r="B368" s="1057" t="s">
        <v>1437</v>
      </c>
      <c r="C368" s="1058">
        <v>500000</v>
      </c>
      <c r="D368" s="1058"/>
      <c r="E368" s="305"/>
      <c r="F368" s="1058"/>
      <c r="G368" s="1058"/>
      <c r="H368" s="769"/>
      <c r="I368" s="770"/>
    </row>
    <row r="369" spans="1:9" s="98" customFormat="1" x14ac:dyDescent="0.2">
      <c r="A369" s="1056" t="s">
        <v>413</v>
      </c>
      <c r="B369" s="1057" t="s">
        <v>414</v>
      </c>
      <c r="C369" s="1058">
        <v>5000000</v>
      </c>
      <c r="D369" s="1058"/>
      <c r="E369" s="305"/>
      <c r="F369" s="1058"/>
      <c r="G369" s="1058"/>
      <c r="H369" s="769"/>
      <c r="I369" s="770"/>
    </row>
    <row r="370" spans="1:9" s="98" customFormat="1" x14ac:dyDescent="0.2">
      <c r="A370" s="1056" t="s">
        <v>415</v>
      </c>
      <c r="B370" s="1057" t="s">
        <v>1438</v>
      </c>
      <c r="C370" s="1058">
        <v>450000</v>
      </c>
      <c r="D370" s="1058"/>
      <c r="E370" s="305"/>
      <c r="F370" s="1058"/>
      <c r="G370" s="1058"/>
      <c r="H370" s="769"/>
      <c r="I370" s="770"/>
    </row>
    <row r="371" spans="1:9" x14ac:dyDescent="0.2">
      <c r="A371" s="1059" t="s">
        <v>417</v>
      </c>
      <c r="B371" s="1060" t="s">
        <v>1439</v>
      </c>
      <c r="C371" s="1061">
        <v>60000</v>
      </c>
      <c r="D371" s="1061"/>
      <c r="E371" s="311"/>
      <c r="F371" s="1061"/>
      <c r="G371" s="1061"/>
      <c r="H371" s="837"/>
      <c r="I371" s="838"/>
    </row>
    <row r="372" spans="1:9" ht="15.75" x14ac:dyDescent="0.25">
      <c r="A372" s="690"/>
      <c r="B372" s="1062" t="s">
        <v>424</v>
      </c>
      <c r="C372" s="1055">
        <f>SUM(C373+C394+C432)</f>
        <v>65784950</v>
      </c>
      <c r="D372" s="1055"/>
      <c r="E372" s="1063"/>
      <c r="F372" s="1055"/>
      <c r="G372" s="1055"/>
      <c r="H372" s="1005"/>
    </row>
    <row r="373" spans="1:9" x14ac:dyDescent="0.2">
      <c r="A373" s="764">
        <v>2212</v>
      </c>
      <c r="B373" s="709" t="s">
        <v>1440</v>
      </c>
      <c r="C373" s="726">
        <f>SUM(C374:C393)</f>
        <v>29190000</v>
      </c>
      <c r="D373" s="726"/>
      <c r="E373" s="726"/>
      <c r="F373" s="726"/>
      <c r="G373" s="726"/>
      <c r="H373" s="965"/>
      <c r="I373" s="1064"/>
    </row>
    <row r="374" spans="1:9" ht="14.25" customHeight="1" x14ac:dyDescent="0.2">
      <c r="A374" s="1056" t="s">
        <v>293</v>
      </c>
      <c r="B374" s="1057" t="s">
        <v>426</v>
      </c>
      <c r="C374" s="1058">
        <v>300000</v>
      </c>
      <c r="D374" s="1058"/>
      <c r="E374" s="305"/>
      <c r="F374" s="1058"/>
      <c r="G374" s="1058"/>
      <c r="H374" s="774"/>
      <c r="I374" s="775"/>
    </row>
    <row r="375" spans="1:9" x14ac:dyDescent="0.2">
      <c r="A375" s="1056" t="s">
        <v>291</v>
      </c>
      <c r="B375" s="1057" t="s">
        <v>427</v>
      </c>
      <c r="C375" s="1058">
        <v>4000000</v>
      </c>
      <c r="D375" s="1058"/>
      <c r="E375" s="305"/>
      <c r="F375" s="1058"/>
      <c r="G375" s="1058"/>
      <c r="H375" s="774"/>
      <c r="I375" s="775"/>
    </row>
    <row r="376" spans="1:9" x14ac:dyDescent="0.2">
      <c r="A376" s="1056" t="s">
        <v>293</v>
      </c>
      <c r="B376" s="1057" t="s">
        <v>1441</v>
      </c>
      <c r="C376" s="1058">
        <v>1500000</v>
      </c>
      <c r="D376" s="1058"/>
      <c r="E376" s="305"/>
      <c r="F376" s="1058"/>
      <c r="G376" s="1058"/>
      <c r="H376" s="774"/>
      <c r="I376" s="775"/>
    </row>
    <row r="377" spans="1:9" x14ac:dyDescent="0.2">
      <c r="A377" s="1056" t="s">
        <v>1442</v>
      </c>
      <c r="B377" s="1057" t="s">
        <v>1443</v>
      </c>
      <c r="C377" s="1058">
        <v>750000</v>
      </c>
      <c r="D377" s="1058"/>
      <c r="E377" s="305"/>
      <c r="F377" s="1058"/>
      <c r="G377" s="1058"/>
      <c r="H377" s="774"/>
      <c r="I377" s="775"/>
    </row>
    <row r="378" spans="1:9" x14ac:dyDescent="0.2">
      <c r="A378" s="1056" t="s">
        <v>440</v>
      </c>
      <c r="B378" s="1057" t="s">
        <v>1444</v>
      </c>
      <c r="C378" s="1058">
        <v>5000</v>
      </c>
      <c r="D378" s="1058"/>
      <c r="E378" s="305"/>
      <c r="F378" s="1058"/>
      <c r="G378" s="1058"/>
      <c r="H378" s="774"/>
      <c r="I378" s="775"/>
    </row>
    <row r="379" spans="1:9" x14ac:dyDescent="0.2">
      <c r="A379" s="1056" t="s">
        <v>442</v>
      </c>
      <c r="B379" s="1065" t="s">
        <v>1445</v>
      </c>
      <c r="C379" s="1058">
        <v>5000</v>
      </c>
      <c r="D379" s="1058"/>
      <c r="E379" s="305"/>
      <c r="F379" s="1058"/>
      <c r="G379" s="1058"/>
      <c r="H379" s="774"/>
      <c r="I379" s="775"/>
    </row>
    <row r="380" spans="1:9" x14ac:dyDescent="0.2">
      <c r="A380" s="1056" t="s">
        <v>444</v>
      </c>
      <c r="B380" s="1057" t="s">
        <v>1446</v>
      </c>
      <c r="C380" s="1058">
        <v>0</v>
      </c>
      <c r="D380" s="1058"/>
      <c r="E380" s="305"/>
      <c r="F380" s="1058"/>
      <c r="G380" s="1058"/>
      <c r="H380" s="774"/>
      <c r="I380" s="775"/>
    </row>
    <row r="381" spans="1:9" x14ac:dyDescent="0.2">
      <c r="A381" s="1056" t="s">
        <v>1447</v>
      </c>
      <c r="B381" s="1057" t="s">
        <v>1448</v>
      </c>
      <c r="C381" s="1058">
        <v>1150000</v>
      </c>
      <c r="D381" s="1058"/>
      <c r="E381" s="305"/>
      <c r="F381" s="1058"/>
      <c r="G381" s="1058"/>
      <c r="H381" s="774"/>
      <c r="I381" s="775"/>
    </row>
    <row r="382" spans="1:9" x14ac:dyDescent="0.2">
      <c r="A382" s="1056" t="s">
        <v>449</v>
      </c>
      <c r="B382" s="1057" t="s">
        <v>1449</v>
      </c>
      <c r="C382" s="1058">
        <v>13000000</v>
      </c>
      <c r="D382" s="1058"/>
      <c r="E382" s="305"/>
      <c r="F382" s="1058"/>
      <c r="G382" s="1058"/>
      <c r="H382" s="774"/>
      <c r="I382" s="775"/>
    </row>
    <row r="383" spans="1:9" x14ac:dyDescent="0.2">
      <c r="A383" s="1056" t="s">
        <v>1450</v>
      </c>
      <c r="B383" s="1057" t="s">
        <v>1451</v>
      </c>
      <c r="C383" s="1058">
        <v>30000</v>
      </c>
      <c r="D383" s="1058"/>
      <c r="E383" s="305"/>
      <c r="F383" s="1058"/>
      <c r="G383" s="1058"/>
      <c r="H383" s="774"/>
      <c r="I383" s="775"/>
    </row>
    <row r="384" spans="1:9" x14ac:dyDescent="0.2">
      <c r="A384" s="1056" t="s">
        <v>1452</v>
      </c>
      <c r="B384" s="1057" t="s">
        <v>1453</v>
      </c>
      <c r="C384" s="1058">
        <v>350000</v>
      </c>
      <c r="D384" s="1058"/>
      <c r="E384" s="305"/>
      <c r="F384" s="1058"/>
      <c r="G384" s="1058"/>
      <c r="H384" s="774"/>
      <c r="I384" s="775"/>
    </row>
    <row r="385" spans="1:9" x14ac:dyDescent="0.2">
      <c r="A385" s="1066" t="s">
        <v>453</v>
      </c>
      <c r="B385" s="1057" t="s">
        <v>1454</v>
      </c>
      <c r="C385" s="1058">
        <v>200000</v>
      </c>
      <c r="D385" s="1058"/>
      <c r="E385" s="305"/>
      <c r="F385" s="1058"/>
      <c r="G385" s="1058"/>
      <c r="H385" s="774"/>
      <c r="I385" s="775"/>
    </row>
    <row r="386" spans="1:9" x14ac:dyDescent="0.2">
      <c r="A386" s="1056" t="s">
        <v>1455</v>
      </c>
      <c r="B386" s="1057" t="s">
        <v>1456</v>
      </c>
      <c r="C386" s="1058">
        <v>500000</v>
      </c>
      <c r="D386" s="1058"/>
      <c r="E386" s="305"/>
      <c r="F386" s="1058"/>
      <c r="G386" s="1058"/>
      <c r="H386" s="774"/>
      <c r="I386" s="775"/>
    </row>
    <row r="387" spans="1:9" x14ac:dyDescent="0.2">
      <c r="A387" s="1056" t="s">
        <v>455</v>
      </c>
      <c r="B387" s="1057" t="s">
        <v>1457</v>
      </c>
      <c r="C387" s="1058">
        <v>0</v>
      </c>
      <c r="D387" s="1058"/>
      <c r="E387" s="305"/>
      <c r="F387" s="1058"/>
      <c r="G387" s="1058"/>
      <c r="H387" s="774"/>
      <c r="I387" s="775"/>
    </row>
    <row r="388" spans="1:9" x14ac:dyDescent="0.2">
      <c r="A388" s="1056" t="s">
        <v>1458</v>
      </c>
      <c r="B388" s="1057" t="s">
        <v>1459</v>
      </c>
      <c r="C388" s="1058">
        <v>350000</v>
      </c>
      <c r="D388" s="1058"/>
      <c r="E388" s="305"/>
      <c r="F388" s="1058"/>
      <c r="G388" s="1058"/>
      <c r="H388" s="774"/>
      <c r="I388" s="775"/>
    </row>
    <row r="389" spans="1:9" x14ac:dyDescent="0.2">
      <c r="A389" s="1056" t="s">
        <v>1460</v>
      </c>
      <c r="B389" s="1057" t="s">
        <v>1461</v>
      </c>
      <c r="C389" s="1058">
        <v>3000000</v>
      </c>
      <c r="D389" s="1058"/>
      <c r="E389" s="305"/>
      <c r="F389" s="1058"/>
      <c r="G389" s="1058"/>
      <c r="H389" s="774"/>
      <c r="I389" s="775"/>
    </row>
    <row r="390" spans="1:9" x14ac:dyDescent="0.2">
      <c r="A390" s="1056" t="s">
        <v>1462</v>
      </c>
      <c r="B390" s="1057" t="s">
        <v>1463</v>
      </c>
      <c r="C390" s="1058">
        <v>350000</v>
      </c>
      <c r="D390" s="1058"/>
      <c r="E390" s="305"/>
      <c r="F390" s="1058"/>
      <c r="G390" s="1058"/>
      <c r="H390" s="774"/>
      <c r="I390" s="775"/>
    </row>
    <row r="391" spans="1:9" x14ac:dyDescent="0.2">
      <c r="A391" s="1056" t="s">
        <v>1464</v>
      </c>
      <c r="B391" s="1057" t="s">
        <v>1465</v>
      </c>
      <c r="C391" s="1058">
        <v>3250000</v>
      </c>
      <c r="D391" s="1058"/>
      <c r="E391" s="305"/>
      <c r="F391" s="1058"/>
      <c r="G391" s="1058"/>
      <c r="H391" s="774"/>
      <c r="I391" s="775"/>
    </row>
    <row r="392" spans="1:9" x14ac:dyDescent="0.2">
      <c r="A392" s="1056" t="s">
        <v>1466</v>
      </c>
      <c r="B392" s="1039" t="s">
        <v>1467</v>
      </c>
      <c r="C392" s="1040">
        <v>250000</v>
      </c>
      <c r="D392" s="1040"/>
      <c r="E392" s="32"/>
      <c r="F392" s="1040"/>
      <c r="G392" s="1040"/>
      <c r="H392" s="774"/>
      <c r="I392" s="775"/>
    </row>
    <row r="393" spans="1:9" x14ac:dyDescent="0.2">
      <c r="A393" s="1056" t="s">
        <v>1468</v>
      </c>
      <c r="B393" s="1067" t="s">
        <v>1469</v>
      </c>
      <c r="C393" s="1068">
        <v>200000</v>
      </c>
      <c r="D393" s="1068"/>
      <c r="E393" s="1069"/>
      <c r="F393" s="1068"/>
      <c r="G393" s="1068"/>
      <c r="H393" s="774"/>
      <c r="I393" s="775"/>
    </row>
    <row r="394" spans="1:9" x14ac:dyDescent="0.2">
      <c r="A394" s="771">
        <v>2219</v>
      </c>
      <c r="B394" s="717" t="s">
        <v>1470</v>
      </c>
      <c r="C394" s="726">
        <f>SUM(C395:C431)</f>
        <v>34448950</v>
      </c>
      <c r="D394" s="726"/>
      <c r="E394" s="726"/>
      <c r="F394" s="726"/>
      <c r="G394" s="726"/>
      <c r="H394" s="774"/>
      <c r="I394" s="775"/>
    </row>
    <row r="395" spans="1:9" x14ac:dyDescent="0.2">
      <c r="A395" s="1056" t="s">
        <v>299</v>
      </c>
      <c r="B395" s="1057" t="s">
        <v>463</v>
      </c>
      <c r="C395" s="1058">
        <v>200000</v>
      </c>
      <c r="D395" s="1058"/>
      <c r="E395" s="305"/>
      <c r="F395" s="1058"/>
      <c r="G395" s="1058"/>
      <c r="H395" s="774"/>
      <c r="I395" s="775"/>
    </row>
    <row r="396" spans="1:9" x14ac:dyDescent="0.2">
      <c r="A396" s="1056" t="s">
        <v>301</v>
      </c>
      <c r="B396" s="1057" t="s">
        <v>464</v>
      </c>
      <c r="C396" s="1058">
        <v>1500000</v>
      </c>
      <c r="D396" s="1058"/>
      <c r="E396" s="305"/>
      <c r="F396" s="1058"/>
      <c r="G396" s="1058"/>
      <c r="H396" s="774"/>
      <c r="I396" s="775"/>
    </row>
    <row r="397" spans="1:9" x14ac:dyDescent="0.2">
      <c r="A397" s="1056" t="s">
        <v>467</v>
      </c>
      <c r="B397" s="1057" t="s">
        <v>1471</v>
      </c>
      <c r="C397" s="1058">
        <v>2000000</v>
      </c>
      <c r="D397" s="1058"/>
      <c r="E397" s="305"/>
      <c r="F397" s="1058"/>
      <c r="G397" s="1058"/>
      <c r="H397" s="774"/>
      <c r="I397" s="775"/>
    </row>
    <row r="398" spans="1:9" x14ac:dyDescent="0.2">
      <c r="A398" s="1056" t="s">
        <v>471</v>
      </c>
      <c r="B398" s="1057" t="s">
        <v>1472</v>
      </c>
      <c r="C398" s="1058">
        <v>500000</v>
      </c>
      <c r="D398" s="1058"/>
      <c r="E398" s="305"/>
      <c r="F398" s="1058"/>
      <c r="G398" s="1058"/>
      <c r="H398" s="774"/>
      <c r="I398" s="775"/>
    </row>
    <row r="399" spans="1:9" x14ac:dyDescent="0.2">
      <c r="A399" s="1056" t="s">
        <v>1473</v>
      </c>
      <c r="B399" s="1065" t="s">
        <v>1474</v>
      </c>
      <c r="C399" s="1058">
        <v>2200000</v>
      </c>
      <c r="D399" s="1058"/>
      <c r="E399" s="305"/>
      <c r="F399" s="1058"/>
      <c r="G399" s="1058"/>
      <c r="H399" s="774"/>
      <c r="I399" s="775"/>
    </row>
    <row r="400" spans="1:9" x14ac:dyDescent="0.2">
      <c r="A400" s="1056" t="s">
        <v>473</v>
      </c>
      <c r="B400" s="1065" t="s">
        <v>1475</v>
      </c>
      <c r="C400" s="1058">
        <v>5000</v>
      </c>
      <c r="D400" s="1058"/>
      <c r="E400" s="305"/>
      <c r="F400" s="1058"/>
      <c r="G400" s="1058"/>
      <c r="H400" s="774"/>
      <c r="I400" s="775"/>
    </row>
    <row r="401" spans="1:9" x14ac:dyDescent="0.2">
      <c r="A401" s="1056" t="s">
        <v>489</v>
      </c>
      <c r="B401" s="1057" t="s">
        <v>1476</v>
      </c>
      <c r="C401" s="1058">
        <v>0</v>
      </c>
      <c r="D401" s="1058"/>
      <c r="E401" s="305"/>
      <c r="F401" s="1058"/>
      <c r="G401" s="1058"/>
      <c r="H401" s="774"/>
      <c r="I401" s="775"/>
    </row>
    <row r="402" spans="1:9" x14ac:dyDescent="0.2">
      <c r="A402" s="1056" t="s">
        <v>495</v>
      </c>
      <c r="B402" s="1065" t="s">
        <v>1477</v>
      </c>
      <c r="C402" s="1058">
        <v>2800000</v>
      </c>
      <c r="D402" s="1058"/>
      <c r="E402" s="305"/>
      <c r="F402" s="1058"/>
      <c r="G402" s="1058"/>
      <c r="H402" s="774"/>
      <c r="I402" s="775"/>
    </row>
    <row r="403" spans="1:9" x14ac:dyDescent="0.2">
      <c r="A403" s="1056" t="s">
        <v>1478</v>
      </c>
      <c r="B403" s="1065" t="s">
        <v>1479</v>
      </c>
      <c r="C403" s="1058">
        <v>5050000</v>
      </c>
      <c r="D403" s="1058"/>
      <c r="E403" s="305"/>
      <c r="F403" s="1058"/>
      <c r="G403" s="1058"/>
      <c r="H403" s="774"/>
      <c r="I403" s="775"/>
    </row>
    <row r="404" spans="1:9" x14ac:dyDescent="0.2">
      <c r="A404" s="1056" t="s">
        <v>1480</v>
      </c>
      <c r="B404" s="1065" t="s">
        <v>1481</v>
      </c>
      <c r="C404" s="1058">
        <v>200000</v>
      </c>
      <c r="D404" s="1058"/>
      <c r="E404" s="305"/>
      <c r="F404" s="1058"/>
      <c r="G404" s="1058"/>
      <c r="H404" s="774"/>
      <c r="I404" s="775"/>
    </row>
    <row r="405" spans="1:9" x14ac:dyDescent="0.2">
      <c r="A405" s="1056" t="s">
        <v>1482</v>
      </c>
      <c r="B405" s="1065" t="s">
        <v>1483</v>
      </c>
      <c r="C405" s="1058">
        <v>0</v>
      </c>
      <c r="D405" s="1058"/>
      <c r="E405" s="305"/>
      <c r="F405" s="1058"/>
      <c r="G405" s="1058"/>
      <c r="H405" s="774"/>
      <c r="I405" s="775"/>
    </row>
    <row r="406" spans="1:9" x14ac:dyDescent="0.2">
      <c r="A406" s="1056" t="s">
        <v>1484</v>
      </c>
      <c r="B406" s="1065" t="s">
        <v>1485</v>
      </c>
      <c r="C406" s="1058">
        <v>0</v>
      </c>
      <c r="D406" s="1058"/>
      <c r="E406" s="305"/>
      <c r="F406" s="1058"/>
      <c r="G406" s="1058"/>
      <c r="H406" s="774"/>
      <c r="I406" s="775"/>
    </row>
    <row r="407" spans="1:9" x14ac:dyDescent="0.2">
      <c r="A407" s="1056" t="s">
        <v>1486</v>
      </c>
      <c r="B407" s="1065" t="s">
        <v>1487</v>
      </c>
      <c r="C407" s="1058">
        <v>0</v>
      </c>
      <c r="D407" s="1058"/>
      <c r="E407" s="305"/>
      <c r="F407" s="1058"/>
      <c r="G407" s="1058"/>
      <c r="H407" s="774"/>
      <c r="I407" s="775"/>
    </row>
    <row r="408" spans="1:9" x14ac:dyDescent="0.2">
      <c r="A408" s="1056" t="s">
        <v>1488</v>
      </c>
      <c r="B408" s="1065" t="s">
        <v>1489</v>
      </c>
      <c r="C408" s="1058">
        <v>0</v>
      </c>
      <c r="D408" s="1058"/>
      <c r="E408" s="305"/>
      <c r="F408" s="1058"/>
      <c r="G408" s="1058"/>
      <c r="H408" s="774"/>
      <c r="I408" s="775"/>
    </row>
    <row r="409" spans="1:9" x14ac:dyDescent="0.2">
      <c r="A409" s="1056" t="s">
        <v>1345</v>
      </c>
      <c r="B409" s="1065" t="s">
        <v>1490</v>
      </c>
      <c r="C409" s="1058">
        <v>0</v>
      </c>
      <c r="D409" s="1058"/>
      <c r="E409" s="305"/>
      <c r="F409" s="1058"/>
      <c r="G409" s="1058"/>
      <c r="H409" s="774"/>
      <c r="I409" s="775"/>
    </row>
    <row r="410" spans="1:9" x14ac:dyDescent="0.2">
      <c r="A410" s="1056" t="s">
        <v>1491</v>
      </c>
      <c r="B410" s="1065" t="s">
        <v>1492</v>
      </c>
      <c r="C410" s="1058">
        <v>2000000</v>
      </c>
      <c r="D410" s="1058"/>
      <c r="E410" s="305"/>
      <c r="F410" s="1058"/>
      <c r="G410" s="1058"/>
      <c r="H410" s="774"/>
      <c r="I410" s="775"/>
    </row>
    <row r="411" spans="1:9" x14ac:dyDescent="0.2">
      <c r="A411" s="1056" t="s">
        <v>1493</v>
      </c>
      <c r="B411" s="1065" t="s">
        <v>1494</v>
      </c>
      <c r="C411" s="1058">
        <v>0</v>
      </c>
      <c r="D411" s="1058"/>
      <c r="E411" s="305"/>
      <c r="F411" s="1058"/>
      <c r="G411" s="1058"/>
      <c r="H411" s="774"/>
      <c r="I411" s="775"/>
    </row>
    <row r="412" spans="1:9" x14ac:dyDescent="0.2">
      <c r="A412" s="1056" t="s">
        <v>1495</v>
      </c>
      <c r="B412" s="1065" t="s">
        <v>1496</v>
      </c>
      <c r="C412" s="1058">
        <v>50000</v>
      </c>
      <c r="D412" s="1058"/>
      <c r="E412" s="305"/>
      <c r="F412" s="1058"/>
      <c r="G412" s="1058"/>
      <c r="H412" s="774"/>
      <c r="I412" s="775"/>
    </row>
    <row r="413" spans="1:9" x14ac:dyDescent="0.2">
      <c r="A413" s="1056" t="s">
        <v>1497</v>
      </c>
      <c r="B413" s="1065" t="s">
        <v>1498</v>
      </c>
      <c r="C413" s="1058">
        <v>60000</v>
      </c>
      <c r="D413" s="1058"/>
      <c r="E413" s="305"/>
      <c r="F413" s="1058"/>
      <c r="G413" s="1058"/>
      <c r="H413" s="774"/>
      <c r="I413" s="775"/>
    </row>
    <row r="414" spans="1:9" x14ac:dyDescent="0.2">
      <c r="A414" s="1056" t="s">
        <v>1499</v>
      </c>
      <c r="B414" s="1065" t="s">
        <v>1500</v>
      </c>
      <c r="C414" s="1058">
        <v>330000</v>
      </c>
      <c r="D414" s="1058"/>
      <c r="E414" s="305"/>
      <c r="F414" s="1058"/>
      <c r="G414" s="1058"/>
      <c r="H414" s="774"/>
      <c r="I414" s="775"/>
    </row>
    <row r="415" spans="1:9" x14ac:dyDescent="0.2">
      <c r="A415" s="1056" t="s">
        <v>1501</v>
      </c>
      <c r="B415" s="1065" t="s">
        <v>1502</v>
      </c>
      <c r="C415" s="1058">
        <v>370000</v>
      </c>
      <c r="D415" s="1058"/>
      <c r="E415" s="305"/>
      <c r="F415" s="1058"/>
      <c r="G415" s="1058"/>
      <c r="H415" s="774"/>
      <c r="I415" s="775"/>
    </row>
    <row r="416" spans="1:9" x14ac:dyDescent="0.2">
      <c r="A416" s="1056" t="s">
        <v>1503</v>
      </c>
      <c r="B416" s="1065" t="s">
        <v>1504</v>
      </c>
      <c r="C416" s="1058">
        <v>26000</v>
      </c>
      <c r="D416" s="1070"/>
      <c r="E416" s="311"/>
      <c r="F416" s="1061"/>
      <c r="G416" s="1058"/>
      <c r="H416" s="774"/>
      <c r="I416" s="775"/>
    </row>
    <row r="417" spans="1:9" x14ac:dyDescent="0.2">
      <c r="A417" s="1056" t="s">
        <v>1505</v>
      </c>
      <c r="B417" s="1065" t="s">
        <v>1506</v>
      </c>
      <c r="C417" s="1058">
        <v>500000</v>
      </c>
      <c r="D417" s="1071"/>
      <c r="E417" s="1072"/>
      <c r="F417" s="1072"/>
      <c r="G417" s="1058"/>
      <c r="H417" s="774"/>
      <c r="I417" s="775"/>
    </row>
    <row r="418" spans="1:9" x14ac:dyDescent="0.2">
      <c r="A418" s="1056" t="s">
        <v>1507</v>
      </c>
      <c r="B418" s="1065" t="s">
        <v>1508</v>
      </c>
      <c r="C418" s="1058">
        <v>500000</v>
      </c>
      <c r="D418" s="1058"/>
      <c r="E418" s="305"/>
      <c r="F418" s="1058"/>
      <c r="G418" s="1058"/>
      <c r="H418" s="774"/>
      <c r="I418" s="775"/>
    </row>
    <row r="419" spans="1:9" x14ac:dyDescent="0.2">
      <c r="A419" s="1056" t="s">
        <v>1509</v>
      </c>
      <c r="B419" s="1065" t="s">
        <v>1510</v>
      </c>
      <c r="C419" s="1058">
        <v>500000</v>
      </c>
      <c r="D419" s="1061"/>
      <c r="E419" s="1073"/>
      <c r="F419" s="1061"/>
      <c r="G419" s="1058"/>
      <c r="H419" s="774"/>
      <c r="I419" s="775"/>
    </row>
    <row r="420" spans="1:9" x14ac:dyDescent="0.2">
      <c r="A420" s="1056" t="s">
        <v>1511</v>
      </c>
      <c r="B420" s="1065" t="s">
        <v>1512</v>
      </c>
      <c r="C420" s="1058">
        <v>0</v>
      </c>
      <c r="D420" s="1072"/>
      <c r="E420" s="299"/>
      <c r="F420" s="1072"/>
      <c r="G420" s="1058"/>
      <c r="H420" s="774"/>
      <c r="I420" s="775"/>
    </row>
    <row r="421" spans="1:9" x14ac:dyDescent="0.2">
      <c r="A421" s="1056" t="s">
        <v>1513</v>
      </c>
      <c r="B421" s="1065" t="s">
        <v>1514</v>
      </c>
      <c r="C421" s="1058">
        <v>660000</v>
      </c>
      <c r="D421" s="1058"/>
      <c r="E421" s="305"/>
      <c r="F421" s="1058"/>
      <c r="G421" s="1058"/>
      <c r="H421" s="774"/>
      <c r="I421" s="775"/>
    </row>
    <row r="422" spans="1:9" x14ac:dyDescent="0.2">
      <c r="A422" s="1056" t="s">
        <v>1515</v>
      </c>
      <c r="B422" s="1065" t="s">
        <v>1516</v>
      </c>
      <c r="C422" s="1058">
        <v>730000</v>
      </c>
      <c r="D422" s="1058"/>
      <c r="E422" s="305"/>
      <c r="F422" s="1058"/>
      <c r="G422" s="1058"/>
      <c r="H422" s="774"/>
      <c r="I422" s="775"/>
    </row>
    <row r="423" spans="1:9" x14ac:dyDescent="0.2">
      <c r="A423" s="1056" t="s">
        <v>1517</v>
      </c>
      <c r="B423" s="1065" t="s">
        <v>1518</v>
      </c>
      <c r="C423" s="1058">
        <v>114950</v>
      </c>
      <c r="D423" s="1058"/>
      <c r="E423" s="305"/>
      <c r="F423" s="1058"/>
      <c r="G423" s="1058"/>
      <c r="H423" s="774"/>
      <c r="I423" s="775"/>
    </row>
    <row r="424" spans="1:9" x14ac:dyDescent="0.2">
      <c r="A424" s="1056" t="s">
        <v>1519</v>
      </c>
      <c r="B424" s="1065" t="s">
        <v>1520</v>
      </c>
      <c r="C424" s="1058">
        <v>560000</v>
      </c>
      <c r="D424" s="1058"/>
      <c r="E424" s="305"/>
      <c r="F424" s="1058"/>
      <c r="G424" s="1058"/>
      <c r="H424" s="774"/>
      <c r="I424" s="775"/>
    </row>
    <row r="425" spans="1:9" x14ac:dyDescent="0.2">
      <c r="A425" s="1056" t="s">
        <v>1521</v>
      </c>
      <c r="B425" s="1065" t="s">
        <v>1522</v>
      </c>
      <c r="C425" s="1058">
        <v>800000</v>
      </c>
      <c r="D425" s="1058"/>
      <c r="E425" s="305"/>
      <c r="F425" s="1058"/>
      <c r="G425" s="1058"/>
      <c r="H425" s="774"/>
      <c r="I425" s="775"/>
    </row>
    <row r="426" spans="1:9" x14ac:dyDescent="0.2">
      <c r="A426" s="1056" t="s">
        <v>1523</v>
      </c>
      <c r="B426" s="1065" t="s">
        <v>1524</v>
      </c>
      <c r="C426" s="1058">
        <v>363000</v>
      </c>
      <c r="D426" s="1058"/>
      <c r="E426" s="305"/>
      <c r="F426" s="1058"/>
      <c r="G426" s="1058"/>
      <c r="H426" s="774"/>
      <c r="I426" s="775"/>
    </row>
    <row r="427" spans="1:9" x14ac:dyDescent="0.2">
      <c r="A427" s="1056" t="s">
        <v>1525</v>
      </c>
      <c r="B427" s="1065" t="s">
        <v>1526</v>
      </c>
      <c r="C427" s="1058">
        <v>100000</v>
      </c>
      <c r="D427" s="1058"/>
      <c r="E427" s="305"/>
      <c r="F427" s="1058"/>
      <c r="G427" s="1058"/>
      <c r="H427" s="774" t="s">
        <v>448</v>
      </c>
      <c r="I427" s="775"/>
    </row>
    <row r="428" spans="1:9" x14ac:dyDescent="0.2">
      <c r="A428" s="1056" t="s">
        <v>1527</v>
      </c>
      <c r="B428" s="1065" t="s">
        <v>1528</v>
      </c>
      <c r="C428" s="1058">
        <v>11000000</v>
      </c>
      <c r="D428" s="1058"/>
      <c r="E428" s="305"/>
      <c r="F428" s="1058"/>
      <c r="G428" s="1058"/>
      <c r="H428" s="774"/>
      <c r="I428" s="775"/>
    </row>
    <row r="429" spans="1:9" x14ac:dyDescent="0.2">
      <c r="A429" s="1056" t="s">
        <v>1529</v>
      </c>
      <c r="B429" s="1065" t="s">
        <v>1530</v>
      </c>
      <c r="C429" s="1058">
        <v>1300000</v>
      </c>
      <c r="D429" s="1058"/>
      <c r="E429" s="305"/>
      <c r="F429" s="1058"/>
      <c r="G429" s="1058"/>
      <c r="H429" s="774"/>
      <c r="I429" s="775"/>
    </row>
    <row r="430" spans="1:9" ht="12.75" customHeight="1" x14ac:dyDescent="0.2">
      <c r="A430" s="1056" t="s">
        <v>1531</v>
      </c>
      <c r="B430" s="1065" t="s">
        <v>1532</v>
      </c>
      <c r="C430" s="1058">
        <v>20000</v>
      </c>
      <c r="D430" s="1058"/>
      <c r="E430" s="305"/>
      <c r="F430" s="1058"/>
      <c r="G430" s="1058"/>
      <c r="H430" s="774"/>
      <c r="I430" s="775"/>
    </row>
    <row r="431" spans="1:9" ht="12.75" customHeight="1" x14ac:dyDescent="0.2">
      <c r="A431" s="1056" t="s">
        <v>503</v>
      </c>
      <c r="B431" s="1065" t="s">
        <v>1533</v>
      </c>
      <c r="C431" s="1058">
        <v>10000</v>
      </c>
      <c r="D431" s="1058"/>
      <c r="E431" s="305"/>
      <c r="F431" s="1058"/>
      <c r="G431" s="1058"/>
      <c r="H431" s="774"/>
      <c r="I431" s="775"/>
    </row>
    <row r="432" spans="1:9" ht="19.5" customHeight="1" x14ac:dyDescent="0.2">
      <c r="A432" s="771">
        <v>2221</v>
      </c>
      <c r="B432" s="717" t="s">
        <v>1534</v>
      </c>
      <c r="C432" s="726">
        <f>SUM(C433:C435)</f>
        <v>2146000</v>
      </c>
      <c r="D432" s="726"/>
      <c r="E432" s="726"/>
      <c r="F432" s="726"/>
      <c r="G432" s="726"/>
      <c r="H432" s="774"/>
      <c r="I432" s="775"/>
    </row>
    <row r="433" spans="1:9" ht="12.75" customHeight="1" x14ac:dyDescent="0.2">
      <c r="A433" s="1056" t="s">
        <v>521</v>
      </c>
      <c r="B433" s="1074" t="s">
        <v>1535</v>
      </c>
      <c r="C433" s="1061">
        <v>0</v>
      </c>
      <c r="D433" s="1070"/>
      <c r="E433" s="311"/>
      <c r="F433" s="1070"/>
      <c r="G433" s="1061"/>
      <c r="H433" s="774"/>
      <c r="I433" s="775"/>
    </row>
    <row r="434" spans="1:9" x14ac:dyDescent="0.2">
      <c r="A434" s="1056" t="s">
        <v>1536</v>
      </c>
      <c r="B434" s="1075" t="s">
        <v>1537</v>
      </c>
      <c r="C434" s="1076">
        <v>2000000</v>
      </c>
      <c r="D434" s="1040"/>
      <c r="E434" s="1076"/>
      <c r="F434" s="1077"/>
      <c r="G434" s="1076"/>
      <c r="H434" s="774"/>
      <c r="I434" s="775"/>
    </row>
    <row r="435" spans="1:9" x14ac:dyDescent="0.2">
      <c r="A435" s="1056" t="s">
        <v>1538</v>
      </c>
      <c r="B435" s="1078" t="s">
        <v>1539</v>
      </c>
      <c r="C435" s="1048">
        <v>146000</v>
      </c>
      <c r="D435" s="1048"/>
      <c r="E435" s="1048"/>
      <c r="F435" s="1040"/>
      <c r="G435" s="1048"/>
      <c r="H435" s="837"/>
      <c r="I435" s="838"/>
    </row>
    <row r="436" spans="1:9" ht="15.75" x14ac:dyDescent="0.25">
      <c r="A436" s="649"/>
      <c r="B436" s="1079" t="s">
        <v>1540</v>
      </c>
      <c r="C436" s="1080">
        <f>SUM(C437,C447,C458,C461)</f>
        <v>68628000</v>
      </c>
      <c r="D436" s="600"/>
      <c r="E436" s="1080"/>
      <c r="F436" s="1081"/>
      <c r="G436" s="1080"/>
      <c r="H436" s="1005"/>
    </row>
    <row r="437" spans="1:9" x14ac:dyDescent="0.2">
      <c r="A437" s="1082">
        <v>3111</v>
      </c>
      <c r="B437" s="1083" t="s">
        <v>1541</v>
      </c>
      <c r="C437" s="765">
        <f>SUM(C438:C446)</f>
        <v>6370000</v>
      </c>
      <c r="D437" s="765"/>
      <c r="E437" s="1084"/>
      <c r="F437" s="765"/>
      <c r="G437" s="765"/>
      <c r="H437" s="965"/>
      <c r="I437" s="1064"/>
    </row>
    <row r="438" spans="1:9" x14ac:dyDescent="0.2">
      <c r="A438" s="1056" t="s">
        <v>1542</v>
      </c>
      <c r="B438" s="1057" t="s">
        <v>1543</v>
      </c>
      <c r="C438" s="1058">
        <v>6000000</v>
      </c>
      <c r="D438" s="1058"/>
      <c r="E438" s="305"/>
      <c r="F438" s="1058"/>
      <c r="G438" s="1058"/>
      <c r="H438" s="774"/>
      <c r="I438" s="775"/>
    </row>
    <row r="439" spans="1:9" x14ac:dyDescent="0.2">
      <c r="A439" s="1056" t="s">
        <v>1544</v>
      </c>
      <c r="B439" s="1057" t="s">
        <v>1545</v>
      </c>
      <c r="C439" s="1058">
        <v>0</v>
      </c>
      <c r="D439" s="1058"/>
      <c r="E439" s="305"/>
      <c r="F439" s="1058"/>
      <c r="G439" s="1058"/>
      <c r="H439" s="774"/>
      <c r="I439" s="775"/>
    </row>
    <row r="440" spans="1:9" x14ac:dyDescent="0.2">
      <c r="A440" s="1059" t="s">
        <v>1546</v>
      </c>
      <c r="B440" s="1074" t="s">
        <v>1547</v>
      </c>
      <c r="C440" s="1061">
        <v>10000</v>
      </c>
      <c r="D440" s="1061"/>
      <c r="E440" s="311"/>
      <c r="F440" s="1061"/>
      <c r="G440" s="1061"/>
      <c r="H440" s="774"/>
      <c r="I440" s="775"/>
    </row>
    <row r="441" spans="1:9" x14ac:dyDescent="0.2">
      <c r="A441" s="1085" t="s">
        <v>1548</v>
      </c>
      <c r="B441" s="1086" t="s">
        <v>1549</v>
      </c>
      <c r="C441" s="1087">
        <v>5000</v>
      </c>
      <c r="D441" s="1087"/>
      <c r="E441" s="1088"/>
      <c r="F441" s="1087"/>
      <c r="G441" s="1087"/>
      <c r="H441" s="774"/>
      <c r="I441" s="775"/>
    </row>
    <row r="442" spans="1:9" x14ac:dyDescent="0.2">
      <c r="A442" s="1085" t="s">
        <v>1550</v>
      </c>
      <c r="B442" s="1089" t="s">
        <v>1551</v>
      </c>
      <c r="C442" s="1090">
        <v>45000</v>
      </c>
      <c r="D442" s="1090"/>
      <c r="E442" s="1091"/>
      <c r="F442" s="1090"/>
      <c r="G442" s="1090"/>
      <c r="H442" s="774"/>
      <c r="I442" s="775"/>
    </row>
    <row r="443" spans="1:9" x14ac:dyDescent="0.2">
      <c r="A443" s="1085" t="s">
        <v>1552</v>
      </c>
      <c r="B443" s="1089" t="s">
        <v>1553</v>
      </c>
      <c r="C443" s="1090">
        <v>100000</v>
      </c>
      <c r="D443" s="1090"/>
      <c r="E443" s="1091"/>
      <c r="F443" s="1090"/>
      <c r="G443" s="1090"/>
      <c r="H443" s="774"/>
      <c r="I443" s="775"/>
    </row>
    <row r="444" spans="1:9" x14ac:dyDescent="0.2">
      <c r="A444" s="1085" t="s">
        <v>1554</v>
      </c>
      <c r="B444" s="1089" t="s">
        <v>1555</v>
      </c>
      <c r="C444" s="1090">
        <v>10000</v>
      </c>
      <c r="D444" s="1090"/>
      <c r="E444" s="1091"/>
      <c r="F444" s="1090"/>
      <c r="G444" s="1090"/>
      <c r="H444" s="774"/>
      <c r="I444" s="775"/>
    </row>
    <row r="445" spans="1:9" x14ac:dyDescent="0.2">
      <c r="A445" s="1085" t="s">
        <v>1556</v>
      </c>
      <c r="B445" s="1089" t="s">
        <v>1557</v>
      </c>
      <c r="C445" s="1090">
        <v>100000</v>
      </c>
      <c r="D445" s="1090"/>
      <c r="E445" s="1091"/>
      <c r="F445" s="1090"/>
      <c r="G445" s="1090"/>
      <c r="H445" s="774"/>
      <c r="I445" s="775"/>
    </row>
    <row r="446" spans="1:9" x14ac:dyDescent="0.2">
      <c r="A446" s="1085" t="s">
        <v>1558</v>
      </c>
      <c r="B446" s="1089" t="s">
        <v>1559</v>
      </c>
      <c r="C446" s="1090">
        <v>100000</v>
      </c>
      <c r="D446" s="1090"/>
      <c r="E446" s="1091"/>
      <c r="F446" s="1090"/>
      <c r="G446" s="1090"/>
      <c r="H446" s="774"/>
      <c r="I446" s="775"/>
    </row>
    <row r="447" spans="1:9" x14ac:dyDescent="0.2">
      <c r="A447" s="1092">
        <v>3113</v>
      </c>
      <c r="B447" s="1089" t="s">
        <v>1560</v>
      </c>
      <c r="C447" s="1093">
        <f>SUM(C448:C457)</f>
        <v>31955000</v>
      </c>
      <c r="D447" s="1093"/>
      <c r="E447" s="1093"/>
      <c r="F447" s="1094"/>
      <c r="G447" s="1093"/>
      <c r="H447" s="774"/>
      <c r="I447" s="775"/>
    </row>
    <row r="448" spans="1:9" x14ac:dyDescent="0.2">
      <c r="A448" s="1095" t="s">
        <v>1561</v>
      </c>
      <c r="B448" s="1096" t="s">
        <v>1562</v>
      </c>
      <c r="C448" s="1090">
        <v>500000</v>
      </c>
      <c r="D448" s="1090"/>
      <c r="E448" s="1091"/>
      <c r="F448" s="1090"/>
      <c r="G448" s="1090"/>
      <c r="H448" s="774"/>
      <c r="I448" s="775"/>
    </row>
    <row r="449" spans="1:9" x14ac:dyDescent="0.2">
      <c r="A449" s="1095" t="s">
        <v>1563</v>
      </c>
      <c r="B449" s="1096" t="s">
        <v>1564</v>
      </c>
      <c r="C449" s="1090">
        <v>5000</v>
      </c>
      <c r="D449" s="1090"/>
      <c r="E449" s="1091"/>
      <c r="F449" s="1090"/>
      <c r="G449" s="1090"/>
      <c r="H449" s="774"/>
      <c r="I449" s="775"/>
    </row>
    <row r="450" spans="1:9" x14ac:dyDescent="0.2">
      <c r="A450" s="1095" t="s">
        <v>1565</v>
      </c>
      <c r="B450" s="1096" t="s">
        <v>1566</v>
      </c>
      <c r="C450" s="1090">
        <v>0</v>
      </c>
      <c r="D450" s="1090"/>
      <c r="E450" s="1091"/>
      <c r="F450" s="1090"/>
      <c r="G450" s="1090"/>
      <c r="H450" s="774"/>
      <c r="I450" s="775"/>
    </row>
    <row r="451" spans="1:9" x14ac:dyDescent="0.2">
      <c r="A451" s="1095" t="s">
        <v>1567</v>
      </c>
      <c r="B451" s="1096" t="s">
        <v>1568</v>
      </c>
      <c r="C451" s="1090">
        <v>0</v>
      </c>
      <c r="D451" s="1090"/>
      <c r="E451" s="1091"/>
      <c r="F451" s="1090"/>
      <c r="G451" s="1090"/>
      <c r="H451" s="774"/>
      <c r="I451" s="775"/>
    </row>
    <row r="452" spans="1:9" x14ac:dyDescent="0.2">
      <c r="A452" s="1095" t="s">
        <v>1569</v>
      </c>
      <c r="B452" s="1097" t="s">
        <v>1570</v>
      </c>
      <c r="C452" s="1090">
        <v>30000000</v>
      </c>
      <c r="D452" s="1098"/>
      <c r="E452" s="1099"/>
      <c r="F452" s="1098"/>
      <c r="G452" s="1090"/>
      <c r="H452" s="774"/>
      <c r="I452" s="775"/>
    </row>
    <row r="453" spans="1:9" x14ac:dyDescent="0.2">
      <c r="A453" s="1085" t="s">
        <v>1571</v>
      </c>
      <c r="B453" s="1100" t="s">
        <v>1572</v>
      </c>
      <c r="C453" s="1090">
        <v>150000</v>
      </c>
      <c r="D453" s="1101"/>
      <c r="E453" s="1101"/>
      <c r="F453" s="1101"/>
      <c r="G453" s="1090"/>
      <c r="H453" s="774"/>
      <c r="I453" s="775"/>
    </row>
    <row r="454" spans="1:9" x14ac:dyDescent="0.2">
      <c r="A454" s="1085" t="s">
        <v>1573</v>
      </c>
      <c r="B454" s="1096" t="s">
        <v>1574</v>
      </c>
      <c r="C454" s="1090">
        <v>200000</v>
      </c>
      <c r="D454" s="1101"/>
      <c r="E454" s="1101"/>
      <c r="F454" s="1101"/>
      <c r="G454" s="1090"/>
      <c r="H454" s="774"/>
      <c r="I454" s="775"/>
    </row>
    <row r="455" spans="1:9" x14ac:dyDescent="0.2">
      <c r="A455" s="1085" t="s">
        <v>1575</v>
      </c>
      <c r="B455" s="1096" t="s">
        <v>1576</v>
      </c>
      <c r="C455" s="1090">
        <v>100000</v>
      </c>
      <c r="D455" s="1101"/>
      <c r="E455" s="1101"/>
      <c r="F455" s="1101"/>
      <c r="G455" s="1090"/>
      <c r="H455" s="774"/>
      <c r="I455" s="775"/>
    </row>
    <row r="456" spans="1:9" ht="12.75" customHeight="1" x14ac:dyDescent="0.2">
      <c r="A456" s="1085" t="s">
        <v>1577</v>
      </c>
      <c r="B456" s="1096" t="s">
        <v>1578</v>
      </c>
      <c r="C456" s="1090">
        <v>850000</v>
      </c>
      <c r="D456" s="1101"/>
      <c r="E456" s="1101"/>
      <c r="F456" s="1101"/>
      <c r="G456" s="1090"/>
      <c r="H456" s="774"/>
      <c r="I456" s="775"/>
    </row>
    <row r="457" spans="1:9" ht="12.75" customHeight="1" x14ac:dyDescent="0.2">
      <c r="A457" s="1085" t="s">
        <v>1579</v>
      </c>
      <c r="B457" s="939" t="s">
        <v>1580</v>
      </c>
      <c r="C457" s="779">
        <v>150000</v>
      </c>
      <c r="D457" s="1102"/>
      <c r="E457" s="1102"/>
      <c r="F457" s="1102"/>
      <c r="G457" s="779"/>
      <c r="H457" s="774"/>
      <c r="I457" s="775"/>
    </row>
    <row r="458" spans="1:9" x14ac:dyDescent="0.2">
      <c r="A458" s="1092">
        <v>3412</v>
      </c>
      <c r="B458" s="1103" t="s">
        <v>1581</v>
      </c>
      <c r="C458" s="1093">
        <f>SUM(C459:C460)</f>
        <v>30003000</v>
      </c>
      <c r="D458" s="1093"/>
      <c r="E458" s="1093"/>
      <c r="F458" s="1094"/>
      <c r="G458" s="1093"/>
      <c r="H458" s="774"/>
      <c r="I458" s="775"/>
    </row>
    <row r="459" spans="1:9" x14ac:dyDescent="0.2">
      <c r="A459" s="1095" t="s">
        <v>1582</v>
      </c>
      <c r="B459" s="1097" t="s">
        <v>1583</v>
      </c>
      <c r="C459" s="1090">
        <v>3000</v>
      </c>
      <c r="D459" s="1098"/>
      <c r="E459" s="1099"/>
      <c r="F459" s="1098"/>
      <c r="G459" s="1090"/>
      <c r="H459" s="774"/>
      <c r="I459" s="775"/>
    </row>
    <row r="460" spans="1:9" x14ac:dyDescent="0.2">
      <c r="A460" s="1095" t="s">
        <v>1584</v>
      </c>
      <c r="B460" s="1096" t="s">
        <v>1585</v>
      </c>
      <c r="C460" s="1090">
        <v>30000000</v>
      </c>
      <c r="D460" s="1098"/>
      <c r="E460" s="1099"/>
      <c r="F460" s="1098"/>
      <c r="G460" s="1090"/>
      <c r="H460" s="774"/>
      <c r="I460" s="775"/>
    </row>
    <row r="461" spans="1:9" ht="12.75" customHeight="1" x14ac:dyDescent="0.2">
      <c r="A461" s="1092">
        <v>3233</v>
      </c>
      <c r="B461" s="1104" t="s">
        <v>1586</v>
      </c>
      <c r="C461" s="1094">
        <f>SUM(C462)</f>
        <v>300000</v>
      </c>
      <c r="D461" s="1094"/>
      <c r="E461" s="1105"/>
      <c r="F461" s="1094"/>
      <c r="G461" s="1094"/>
      <c r="H461" s="774"/>
      <c r="I461" s="775"/>
    </row>
    <row r="462" spans="1:9" x14ac:dyDescent="0.2">
      <c r="A462" s="1085" t="s">
        <v>1587</v>
      </c>
      <c r="B462" s="1096" t="s">
        <v>1588</v>
      </c>
      <c r="C462" s="1106">
        <v>300000</v>
      </c>
      <c r="D462" s="1090"/>
      <c r="E462" s="1091"/>
      <c r="F462" s="1106"/>
      <c r="G462" s="1106"/>
      <c r="H462" s="837"/>
      <c r="I462" s="838"/>
    </row>
    <row r="463" spans="1:9" ht="15.75" x14ac:dyDescent="0.25">
      <c r="A463" s="1107"/>
      <c r="B463" s="1108" t="s">
        <v>527</v>
      </c>
      <c r="C463" s="1109">
        <f>SUM(C464+C467)</f>
        <v>7530000</v>
      </c>
      <c r="D463" s="1110"/>
      <c r="E463" s="1109"/>
      <c r="F463" s="1110"/>
      <c r="G463" s="1109"/>
      <c r="H463" s="1005"/>
    </row>
    <row r="464" spans="1:9" x14ac:dyDescent="0.2">
      <c r="A464" s="962">
        <v>3613</v>
      </c>
      <c r="B464" s="963" t="s">
        <v>1589</v>
      </c>
      <c r="C464" s="731">
        <f>SUM(C465:C466)</f>
        <v>2000000</v>
      </c>
      <c r="D464" s="731"/>
      <c r="E464" s="731"/>
      <c r="F464" s="731"/>
      <c r="G464" s="731"/>
      <c r="H464" s="965" t="s">
        <v>448</v>
      </c>
      <c r="I464" s="1064"/>
    </row>
    <row r="465" spans="1:9" x14ac:dyDescent="0.2">
      <c r="A465" s="1056" t="s">
        <v>1590</v>
      </c>
      <c r="B465" s="1111" t="s">
        <v>1591</v>
      </c>
      <c r="C465" s="1058">
        <v>0</v>
      </c>
      <c r="D465" s="1058"/>
      <c r="E465" s="305"/>
      <c r="F465" s="1058"/>
      <c r="G465" s="1058"/>
      <c r="H465" s="774"/>
      <c r="I465" s="775"/>
    </row>
    <row r="466" spans="1:9" ht="25.5" x14ac:dyDescent="0.2">
      <c r="A466" s="1056" t="s">
        <v>529</v>
      </c>
      <c r="B466" s="1111" t="s">
        <v>1592</v>
      </c>
      <c r="C466" s="1058">
        <v>2000000</v>
      </c>
      <c r="D466" s="1058"/>
      <c r="E466" s="305"/>
      <c r="F466" s="1058"/>
      <c r="G466" s="1058"/>
      <c r="H466" s="774"/>
      <c r="I466" s="775"/>
    </row>
    <row r="467" spans="1:9" x14ac:dyDescent="0.2">
      <c r="A467" s="771">
        <v>3639</v>
      </c>
      <c r="B467" s="717" t="s">
        <v>1593</v>
      </c>
      <c r="C467" s="726">
        <f>SUM(C468:C475)</f>
        <v>5530000</v>
      </c>
      <c r="D467" s="726"/>
      <c r="E467" s="726"/>
      <c r="F467" s="726"/>
      <c r="G467" s="726"/>
      <c r="H467" s="774"/>
      <c r="I467" s="775"/>
    </row>
    <row r="468" spans="1:9" x14ac:dyDescent="0.2">
      <c r="A468" s="1056" t="s">
        <v>532</v>
      </c>
      <c r="B468" s="1065" t="s">
        <v>1594</v>
      </c>
      <c r="C468" s="1058">
        <v>0</v>
      </c>
      <c r="D468" s="1058"/>
      <c r="E468" s="305"/>
      <c r="F468" s="1058"/>
      <c r="G468" s="1058"/>
      <c r="H468" s="774"/>
      <c r="I468" s="775"/>
    </row>
    <row r="469" spans="1:9" x14ac:dyDescent="0.2">
      <c r="A469" s="1056" t="s">
        <v>534</v>
      </c>
      <c r="B469" s="1065" t="s">
        <v>1595</v>
      </c>
      <c r="C469" s="1058">
        <v>40000</v>
      </c>
      <c r="D469" s="1058"/>
      <c r="E469" s="305"/>
      <c r="F469" s="1058"/>
      <c r="G469" s="1058"/>
      <c r="H469" s="774"/>
      <c r="I469" s="775"/>
    </row>
    <row r="470" spans="1:9" x14ac:dyDescent="0.2">
      <c r="A470" s="1056" t="s">
        <v>538</v>
      </c>
      <c r="B470" s="1065" t="s">
        <v>1596</v>
      </c>
      <c r="C470" s="1058">
        <v>515000</v>
      </c>
      <c r="D470" s="1058"/>
      <c r="E470" s="305"/>
      <c r="F470" s="1058"/>
      <c r="G470" s="1058"/>
      <c r="H470" s="774"/>
      <c r="I470" s="775"/>
    </row>
    <row r="471" spans="1:9" ht="25.5" x14ac:dyDescent="0.2">
      <c r="A471" s="1056" t="s">
        <v>540</v>
      </c>
      <c r="B471" s="1111" t="s">
        <v>1597</v>
      </c>
      <c r="C471" s="1058">
        <v>4950000</v>
      </c>
      <c r="D471" s="1058"/>
      <c r="E471" s="305"/>
      <c r="F471" s="1058"/>
      <c r="G471" s="1058"/>
      <c r="H471" s="774"/>
      <c r="I471" s="775"/>
    </row>
    <row r="472" spans="1:9" x14ac:dyDescent="0.2">
      <c r="A472" s="1056" t="s">
        <v>542</v>
      </c>
      <c r="B472" s="1074" t="s">
        <v>1598</v>
      </c>
      <c r="C472" s="1061">
        <v>25000</v>
      </c>
      <c r="D472" s="1058"/>
      <c r="E472" s="305"/>
      <c r="F472" s="1058"/>
      <c r="G472" s="1061"/>
      <c r="H472" s="774"/>
      <c r="I472" s="775"/>
    </row>
    <row r="473" spans="1:9" x14ac:dyDescent="0.2">
      <c r="A473" s="1056" t="s">
        <v>1599</v>
      </c>
      <c r="B473" s="1112" t="s">
        <v>1600</v>
      </c>
      <c r="C473" s="1061">
        <v>0</v>
      </c>
      <c r="D473" s="1058"/>
      <c r="E473" s="305"/>
      <c r="F473" s="1058"/>
      <c r="G473" s="1061"/>
      <c r="H473" s="774"/>
      <c r="I473" s="775"/>
    </row>
    <row r="474" spans="1:9" x14ac:dyDescent="0.2">
      <c r="A474" s="1056" t="s">
        <v>1601</v>
      </c>
      <c r="B474" s="1112" t="s">
        <v>1600</v>
      </c>
      <c r="C474" s="1061">
        <v>0</v>
      </c>
      <c r="D474" s="1058"/>
      <c r="E474" s="305"/>
      <c r="F474" s="1058"/>
      <c r="G474" s="1061"/>
      <c r="H474" s="774"/>
      <c r="I474" s="775"/>
    </row>
    <row r="475" spans="1:9" x14ac:dyDescent="0.2">
      <c r="A475" s="1056" t="s">
        <v>1602</v>
      </c>
      <c r="B475" s="1113" t="s">
        <v>1600</v>
      </c>
      <c r="C475" s="1061">
        <v>0</v>
      </c>
      <c r="D475" s="1058"/>
      <c r="E475" s="305"/>
      <c r="F475" s="1058"/>
      <c r="G475" s="1061"/>
      <c r="H475" s="837"/>
      <c r="I475" s="838"/>
    </row>
    <row r="476" spans="1:9" ht="15.75" x14ac:dyDescent="0.2">
      <c r="A476" s="1114"/>
      <c r="B476" s="1115" t="s">
        <v>1603</v>
      </c>
      <c r="C476" s="1055">
        <f>SUM(C477,C481)</f>
        <v>3805000</v>
      </c>
      <c r="D476" s="1055"/>
      <c r="E476" s="1055"/>
      <c r="F476" s="1055"/>
      <c r="G476" s="1055"/>
      <c r="H476" s="1005"/>
    </row>
    <row r="477" spans="1:9" x14ac:dyDescent="0.2">
      <c r="A477" s="764">
        <v>3311</v>
      </c>
      <c r="B477" s="709" t="s">
        <v>1604</v>
      </c>
      <c r="C477" s="731">
        <f>SUM(C478:C480)</f>
        <v>800000</v>
      </c>
      <c r="D477" s="1116"/>
      <c r="E477" s="765"/>
      <c r="F477" s="765"/>
      <c r="G477" s="731"/>
      <c r="H477" s="965"/>
      <c r="I477" s="1064"/>
    </row>
    <row r="478" spans="1:9" x14ac:dyDescent="0.2">
      <c r="A478" s="1117" t="s">
        <v>1605</v>
      </c>
      <c r="B478" s="1118" t="s">
        <v>1606</v>
      </c>
      <c r="C478" s="1119">
        <v>250000</v>
      </c>
      <c r="D478" s="1120"/>
      <c r="E478" s="1119"/>
      <c r="F478" s="1119"/>
      <c r="G478" s="1119"/>
      <c r="H478" s="774"/>
      <c r="I478" s="775"/>
    </row>
    <row r="479" spans="1:9" x14ac:dyDescent="0.2">
      <c r="A479" s="1121" t="s">
        <v>1607</v>
      </c>
      <c r="B479" s="1096" t="s">
        <v>1608</v>
      </c>
      <c r="C479" s="779">
        <v>250000</v>
      </c>
      <c r="D479" s="1102"/>
      <c r="E479" s="779"/>
      <c r="F479" s="779"/>
      <c r="G479" s="779"/>
      <c r="H479" s="774"/>
      <c r="I479" s="775"/>
    </row>
    <row r="480" spans="1:9" x14ac:dyDescent="0.2">
      <c r="A480" s="1085" t="s">
        <v>1609</v>
      </c>
      <c r="B480" s="1096" t="s">
        <v>1610</v>
      </c>
      <c r="C480" s="1090">
        <v>300000</v>
      </c>
      <c r="D480" s="1101"/>
      <c r="E480" s="1090"/>
      <c r="F480" s="1090"/>
      <c r="G480" s="1090"/>
      <c r="H480" s="774"/>
      <c r="I480" s="775"/>
    </row>
    <row r="481" spans="1:250" x14ac:dyDescent="0.2">
      <c r="A481" s="842">
        <v>3392</v>
      </c>
      <c r="B481" s="973" t="s">
        <v>1611</v>
      </c>
      <c r="C481" s="746">
        <f>SUM(C482:C487)</f>
        <v>3005000</v>
      </c>
      <c r="D481" s="882"/>
      <c r="E481" s="746"/>
      <c r="F481" s="746"/>
      <c r="G481" s="746"/>
      <c r="H481" s="774"/>
      <c r="I481" s="775"/>
    </row>
    <row r="482" spans="1:250" x14ac:dyDescent="0.2">
      <c r="A482" s="1117" t="s">
        <v>1612</v>
      </c>
      <c r="B482" s="1118" t="s">
        <v>1613</v>
      </c>
      <c r="C482" s="1119">
        <v>750000</v>
      </c>
      <c r="D482" s="1120"/>
      <c r="E482" s="1119"/>
      <c r="F482" s="1119"/>
      <c r="G482" s="1119"/>
      <c r="H482" s="774"/>
      <c r="I482" s="775"/>
    </row>
    <row r="483" spans="1:250" x14ac:dyDescent="0.2">
      <c r="A483" s="1095" t="s">
        <v>1614</v>
      </c>
      <c r="B483" s="1096" t="s">
        <v>1615</v>
      </c>
      <c r="C483" s="1090">
        <v>0</v>
      </c>
      <c r="D483" s="1101"/>
      <c r="E483" s="1090"/>
      <c r="F483" s="1090"/>
      <c r="G483" s="1090"/>
      <c r="H483" s="774"/>
      <c r="I483" s="775"/>
    </row>
    <row r="484" spans="1:250" x14ac:dyDescent="0.2">
      <c r="A484" s="1095" t="s">
        <v>1616</v>
      </c>
      <c r="B484" s="1096" t="s">
        <v>1617</v>
      </c>
      <c r="C484" s="1090">
        <v>5000</v>
      </c>
      <c r="D484" s="1101"/>
      <c r="E484" s="1090"/>
      <c r="F484" s="1090"/>
      <c r="G484" s="1090"/>
      <c r="H484" s="774"/>
      <c r="I484" s="775"/>
    </row>
    <row r="485" spans="1:250" x14ac:dyDescent="0.2">
      <c r="A485" s="1095" t="s">
        <v>1618</v>
      </c>
      <c r="B485" s="1096" t="s">
        <v>1619</v>
      </c>
      <c r="C485" s="1090">
        <v>500000</v>
      </c>
      <c r="D485" s="1101"/>
      <c r="E485" s="1090"/>
      <c r="F485" s="1090"/>
      <c r="G485" s="1090"/>
      <c r="H485" s="774"/>
      <c r="I485" s="775"/>
    </row>
    <row r="486" spans="1:250" x14ac:dyDescent="0.2">
      <c r="A486" s="1085" t="s">
        <v>1620</v>
      </c>
      <c r="B486" s="1096" t="s">
        <v>1621</v>
      </c>
      <c r="C486" s="1090">
        <v>150000</v>
      </c>
      <c r="D486" s="1101"/>
      <c r="E486" s="1090"/>
      <c r="F486" s="1090"/>
      <c r="G486" s="1090"/>
      <c r="H486" s="774"/>
      <c r="I486" s="775"/>
    </row>
    <row r="487" spans="1:250" x14ac:dyDescent="0.2">
      <c r="A487" s="1085" t="s">
        <v>1622</v>
      </c>
      <c r="B487" s="1096" t="s">
        <v>1623</v>
      </c>
      <c r="C487" s="1090">
        <v>1600000</v>
      </c>
      <c r="D487" s="1101"/>
      <c r="E487" s="1106"/>
      <c r="F487" s="1106"/>
      <c r="G487" s="1090"/>
      <c r="H487" s="837"/>
      <c r="I487" s="838"/>
    </row>
    <row r="488" spans="1:250" ht="15.75" x14ac:dyDescent="0.2">
      <c r="A488" s="1122"/>
      <c r="B488" s="1123" t="s">
        <v>1624</v>
      </c>
      <c r="C488" s="1109">
        <f>SUM(C489)</f>
        <v>8650000</v>
      </c>
      <c r="D488" s="1109"/>
      <c r="E488" s="1124"/>
      <c r="F488" s="1109"/>
      <c r="G488" s="1109"/>
      <c r="H488" s="1005"/>
    </row>
    <row r="489" spans="1:250" x14ac:dyDescent="0.2">
      <c r="A489" s="842">
        <v>6171</v>
      </c>
      <c r="B489" s="973" t="s">
        <v>1625</v>
      </c>
      <c r="C489" s="746">
        <f>SUM(C490:C494)</f>
        <v>8650000</v>
      </c>
      <c r="D489" s="848"/>
      <c r="E489" s="844"/>
      <c r="F489" s="848"/>
      <c r="G489" s="746"/>
      <c r="H489" s="965"/>
      <c r="I489" s="1064"/>
    </row>
    <row r="490" spans="1:250" x14ac:dyDescent="0.2">
      <c r="A490" s="1117" t="s">
        <v>1626</v>
      </c>
      <c r="B490" s="1118" t="s">
        <v>1627</v>
      </c>
      <c r="C490" s="1119">
        <v>0</v>
      </c>
      <c r="D490" s="1120"/>
      <c r="E490" s="1119"/>
      <c r="F490" s="1125"/>
      <c r="G490" s="1119"/>
      <c r="H490" s="774"/>
      <c r="I490" s="775"/>
    </row>
    <row r="491" spans="1:250" x14ac:dyDescent="0.2">
      <c r="A491" s="1056" t="s">
        <v>1628</v>
      </c>
      <c r="B491" s="1057" t="s">
        <v>1629</v>
      </c>
      <c r="C491" s="1126">
        <v>0</v>
      </c>
      <c r="D491" s="1127"/>
      <c r="E491" s="1126"/>
      <c r="F491" s="1128"/>
      <c r="G491" s="1126"/>
      <c r="H491" s="774"/>
      <c r="I491" s="775"/>
    </row>
    <row r="492" spans="1:250" x14ac:dyDescent="0.2">
      <c r="A492" s="1056" t="s">
        <v>1630</v>
      </c>
      <c r="B492" s="1057" t="s">
        <v>1631</v>
      </c>
      <c r="C492" s="1058">
        <v>0</v>
      </c>
      <c r="D492" s="1129"/>
      <c r="E492" s="1058"/>
      <c r="F492" s="1130"/>
      <c r="G492" s="1058"/>
      <c r="H492" s="774"/>
      <c r="I492" s="775"/>
    </row>
    <row r="493" spans="1:250" x14ac:dyDescent="0.2">
      <c r="A493" s="1056" t="s">
        <v>1632</v>
      </c>
      <c r="B493" s="1060" t="s">
        <v>1633</v>
      </c>
      <c r="C493" s="1061">
        <v>8300000</v>
      </c>
      <c r="D493" s="1131"/>
      <c r="E493" s="1061"/>
      <c r="F493" s="1132"/>
      <c r="G493" s="1061"/>
      <c r="H493" s="774"/>
      <c r="I493" s="775"/>
    </row>
    <row r="494" spans="1:250" x14ac:dyDescent="0.2">
      <c r="A494" s="1056" t="s">
        <v>1634</v>
      </c>
      <c r="B494" s="1060" t="s">
        <v>1635</v>
      </c>
      <c r="C494" s="1061">
        <v>350000</v>
      </c>
      <c r="D494" s="1131"/>
      <c r="E494" s="1061"/>
      <c r="F494" s="1132"/>
      <c r="G494" s="1061"/>
      <c r="H494" s="837"/>
      <c r="I494" s="838"/>
    </row>
    <row r="495" spans="1:250" s="1133" customFormat="1" ht="15.75" x14ac:dyDescent="0.2">
      <c r="A495" s="1114"/>
      <c r="B495" s="1134" t="s">
        <v>1636</v>
      </c>
      <c r="C495" s="1055">
        <f>SUM(C496,C499,C501,C503,C506)</f>
        <v>5955000</v>
      </c>
      <c r="D495" s="1135"/>
      <c r="E495" s="1055"/>
      <c r="F495" s="1063"/>
      <c r="G495" s="1055"/>
      <c r="H495" s="1005"/>
      <c r="I495" s="582"/>
      <c r="J495" s="1"/>
      <c r="K495" s="1"/>
      <c r="L495" s="1"/>
      <c r="M495" s="1"/>
      <c r="N495" s="1"/>
      <c r="O495" s="1"/>
      <c r="P495" s="1"/>
      <c r="Q495" s="1"/>
      <c r="R495" s="1"/>
      <c r="S495" s="1"/>
      <c r="T495" s="1"/>
      <c r="U495" s="1"/>
      <c r="V495" s="1"/>
      <c r="W495" s="1"/>
      <c r="X495" s="1"/>
      <c r="Y495" s="1"/>
      <c r="Z495" s="1"/>
      <c r="AA495" s="1"/>
      <c r="AB495" s="1"/>
      <c r="AC495" s="1"/>
      <c r="AD495" s="1"/>
      <c r="AE495" s="1"/>
      <c r="AF495" s="1"/>
      <c r="AG495" s="1"/>
      <c r="AH495" s="1"/>
      <c r="AI495" s="1"/>
      <c r="FJ495" s="1"/>
      <c r="FK495" s="1"/>
      <c r="FL495" s="1"/>
      <c r="FM495" s="1"/>
      <c r="FN495" s="1"/>
      <c r="FO495" s="1"/>
      <c r="FP495" s="1"/>
      <c r="FQ495" s="1"/>
      <c r="FR495" s="1"/>
      <c r="FS495" s="1"/>
      <c r="FT495" s="1"/>
      <c r="FU495" s="1"/>
      <c r="FV495" s="1"/>
      <c r="FW495" s="1"/>
      <c r="FX495" s="1"/>
      <c r="FY495" s="1"/>
      <c r="FZ495" s="1"/>
      <c r="GA495" s="1"/>
      <c r="GB495" s="1"/>
      <c r="GC495" s="1"/>
      <c r="GD495" s="1"/>
      <c r="GE495" s="1"/>
      <c r="GF495" s="1"/>
      <c r="GG495" s="1"/>
      <c r="GH495" s="1"/>
      <c r="GI495" s="1"/>
      <c r="GJ495" s="1"/>
      <c r="GK495" s="1"/>
      <c r="GL495" s="1"/>
      <c r="GM495" s="1"/>
      <c r="GN495" s="1"/>
      <c r="GO495" s="1"/>
      <c r="GP495" s="1"/>
      <c r="GQ495" s="1"/>
      <c r="GR495" s="1"/>
      <c r="GS495" s="1"/>
      <c r="GT495" s="1"/>
      <c r="GU495" s="1"/>
      <c r="GV495" s="1"/>
      <c r="GW495" s="1"/>
      <c r="GX495" s="1"/>
      <c r="GY495" s="1"/>
      <c r="GZ495" s="1"/>
      <c r="HA495" s="1"/>
      <c r="HB495" s="1"/>
      <c r="HC495" s="1"/>
      <c r="HD495" s="1"/>
      <c r="HE495" s="1"/>
      <c r="HF495" s="1"/>
      <c r="HG495" s="1"/>
      <c r="HH495" s="1"/>
      <c r="HI495" s="1"/>
      <c r="HJ495" s="1"/>
      <c r="HK495" s="1"/>
      <c r="HL495" s="1"/>
      <c r="HM495" s="1"/>
      <c r="HN495" s="1"/>
      <c r="HO495" s="1"/>
      <c r="HP495" s="1"/>
      <c r="HQ495" s="1"/>
      <c r="HR495" s="1"/>
      <c r="HS495" s="1"/>
      <c r="HT495" s="1"/>
      <c r="HU495" s="1"/>
      <c r="HV495" s="1"/>
      <c r="HW495" s="1"/>
      <c r="HX495" s="1"/>
      <c r="HY495" s="1"/>
      <c r="HZ495" s="1"/>
      <c r="IA495" s="1"/>
      <c r="IB495" s="1"/>
      <c r="IC495" s="1"/>
      <c r="ID495" s="1"/>
      <c r="IE495" s="1"/>
      <c r="IF495" s="1"/>
      <c r="IG495" s="1"/>
      <c r="IH495" s="1"/>
      <c r="II495" s="1"/>
      <c r="IJ495" s="1"/>
      <c r="IK495" s="1"/>
      <c r="IL495" s="1"/>
      <c r="IM495" s="1"/>
      <c r="IN495" s="1"/>
      <c r="IO495" s="1"/>
      <c r="IP495" s="1"/>
    </row>
    <row r="496" spans="1:250" s="1136" customFormat="1" x14ac:dyDescent="0.2">
      <c r="A496" s="764">
        <v>3745</v>
      </c>
      <c r="B496" s="1137" t="s">
        <v>1637</v>
      </c>
      <c r="C496" s="1138">
        <f>SUM(C497:C498)</f>
        <v>5000</v>
      </c>
      <c r="D496" s="1139"/>
      <c r="E496" s="1140"/>
      <c r="F496" s="1140"/>
      <c r="G496" s="1138"/>
      <c r="H496" s="965"/>
      <c r="I496" s="1064"/>
      <c r="J496" s="1"/>
      <c r="K496" s="1"/>
      <c r="L496" s="1"/>
      <c r="M496" s="1"/>
      <c r="N496" s="1"/>
      <c r="O496" s="1"/>
      <c r="P496" s="1"/>
      <c r="Q496" s="1"/>
      <c r="R496" s="1"/>
      <c r="S496" s="1"/>
      <c r="T496" s="1"/>
      <c r="U496" s="1"/>
      <c r="V496" s="1"/>
      <c r="W496" s="1"/>
      <c r="X496" s="1"/>
      <c r="Y496" s="1"/>
      <c r="Z496" s="1"/>
      <c r="AA496" s="1"/>
      <c r="AB496" s="1"/>
      <c r="AC496" s="1"/>
      <c r="AD496" s="1"/>
      <c r="AE496" s="1"/>
      <c r="AF496" s="1"/>
      <c r="AG496" s="1"/>
      <c r="AH496" s="1"/>
      <c r="AI496" s="1"/>
      <c r="AJ496" s="1"/>
      <c r="AK496" s="1"/>
      <c r="AL496" s="1"/>
      <c r="AM496" s="1"/>
      <c r="AN496" s="1"/>
      <c r="AO496" s="1"/>
      <c r="AP496" s="1"/>
      <c r="AQ496" s="1"/>
      <c r="AR496" s="1"/>
      <c r="AS496" s="1"/>
      <c r="AT496" s="1"/>
      <c r="AU496" s="1"/>
      <c r="AV496" s="1"/>
      <c r="AW496" s="1"/>
      <c r="AX496" s="1"/>
      <c r="AY496" s="1"/>
      <c r="AZ496" s="1"/>
      <c r="BA496" s="1"/>
      <c r="BB496" s="1"/>
      <c r="BC496" s="1"/>
      <c r="BD496" s="1"/>
      <c r="BE496" s="1"/>
      <c r="BF496" s="1"/>
      <c r="BG496" s="1"/>
      <c r="BH496" s="1"/>
      <c r="BI496" s="1"/>
      <c r="BJ496" s="1"/>
      <c r="BK496" s="1"/>
      <c r="BL496" s="1"/>
      <c r="BM496" s="1"/>
      <c r="BN496" s="1"/>
      <c r="BO496" s="1"/>
      <c r="BP496" s="1"/>
      <c r="BQ496" s="1"/>
      <c r="BR496" s="1"/>
      <c r="BS496" s="1"/>
      <c r="BT496" s="1"/>
      <c r="BU496" s="1"/>
      <c r="BV496" s="1"/>
      <c r="BW496" s="1"/>
      <c r="BX496" s="1"/>
      <c r="BY496" s="1"/>
      <c r="BZ496" s="1"/>
      <c r="CA496" s="1"/>
      <c r="CB496" s="1"/>
      <c r="CC496" s="1"/>
      <c r="CD496" s="1"/>
      <c r="CE496" s="1"/>
      <c r="CF496" s="1"/>
      <c r="CG496" s="1"/>
      <c r="CH496" s="1"/>
      <c r="CI496" s="1"/>
      <c r="CJ496" s="1"/>
      <c r="CK496" s="1"/>
      <c r="CL496" s="1"/>
      <c r="CM496" s="1"/>
      <c r="CN496" s="1"/>
      <c r="CO496" s="1"/>
      <c r="CP496" s="1"/>
      <c r="CQ496" s="1"/>
      <c r="CR496" s="1"/>
      <c r="CS496" s="1"/>
      <c r="CT496" s="1"/>
      <c r="CU496" s="1"/>
      <c r="CV496" s="1"/>
      <c r="CW496" s="1"/>
      <c r="CX496" s="1"/>
      <c r="CY496" s="1"/>
      <c r="CZ496" s="1"/>
      <c r="DA496" s="1"/>
      <c r="DB496" s="1"/>
      <c r="DC496" s="1"/>
      <c r="DD496" s="1"/>
      <c r="DE496" s="1"/>
      <c r="DF496" s="1"/>
      <c r="DG496" s="1"/>
      <c r="DH496" s="1"/>
      <c r="DI496" s="1"/>
      <c r="DJ496" s="1"/>
      <c r="DK496" s="1"/>
      <c r="DL496" s="1"/>
      <c r="DM496" s="1"/>
      <c r="DN496" s="1"/>
      <c r="DO496" s="1"/>
      <c r="DP496" s="1"/>
      <c r="DQ496" s="1"/>
      <c r="DR496" s="1"/>
      <c r="DS496" s="1"/>
      <c r="DT496" s="1"/>
      <c r="DU496" s="1"/>
      <c r="DV496" s="1"/>
      <c r="DW496" s="1"/>
      <c r="DX496" s="1"/>
      <c r="DY496" s="1"/>
      <c r="DZ496" s="1"/>
      <c r="EA496" s="1"/>
      <c r="EB496" s="1"/>
      <c r="EC496" s="1"/>
      <c r="ED496" s="1"/>
      <c r="EE496" s="1"/>
      <c r="EF496" s="1"/>
      <c r="EG496" s="1"/>
      <c r="EH496" s="1"/>
      <c r="EI496" s="1"/>
      <c r="EJ496" s="1"/>
      <c r="EK496" s="1"/>
      <c r="EL496" s="1"/>
      <c r="EM496" s="1"/>
      <c r="EN496" s="1"/>
      <c r="EO496" s="1"/>
      <c r="EP496" s="1"/>
      <c r="EQ496" s="1"/>
      <c r="ER496" s="1"/>
      <c r="ES496" s="1"/>
      <c r="ET496" s="1"/>
      <c r="EU496" s="1"/>
      <c r="EV496" s="1"/>
      <c r="EW496" s="1"/>
      <c r="EX496" s="1"/>
      <c r="EY496" s="1"/>
      <c r="EZ496" s="1"/>
      <c r="FA496" s="1"/>
      <c r="FB496" s="1"/>
      <c r="FC496" s="1"/>
      <c r="FD496" s="1"/>
      <c r="FE496" s="1"/>
      <c r="FF496" s="1"/>
      <c r="FG496" s="1"/>
      <c r="FH496" s="1"/>
      <c r="FI496" s="1"/>
      <c r="FJ496" s="1"/>
      <c r="FK496" s="1"/>
      <c r="FL496" s="1"/>
      <c r="FM496" s="1"/>
      <c r="FN496" s="1"/>
      <c r="FO496" s="1"/>
      <c r="FP496" s="1"/>
      <c r="FQ496" s="1"/>
      <c r="FR496" s="1"/>
      <c r="FS496" s="1"/>
      <c r="FT496" s="1"/>
      <c r="FU496" s="1"/>
      <c r="FV496" s="1"/>
      <c r="FW496" s="1"/>
      <c r="FX496" s="1"/>
      <c r="FY496" s="1"/>
      <c r="FZ496" s="1"/>
      <c r="GA496" s="1"/>
      <c r="GB496" s="1"/>
      <c r="GC496" s="1"/>
      <c r="GD496" s="1"/>
      <c r="GE496" s="1"/>
      <c r="GF496" s="1"/>
      <c r="GG496" s="1"/>
      <c r="GH496" s="1"/>
      <c r="GI496" s="1"/>
      <c r="GJ496" s="1"/>
      <c r="GK496" s="1"/>
      <c r="GL496" s="1"/>
      <c r="GM496" s="1"/>
      <c r="GN496" s="1"/>
      <c r="GO496" s="1"/>
      <c r="GP496" s="1"/>
      <c r="GQ496" s="1"/>
      <c r="GR496" s="1"/>
      <c r="GS496" s="1"/>
      <c r="GT496" s="1"/>
      <c r="GU496" s="1"/>
      <c r="GV496" s="1"/>
      <c r="GW496" s="1"/>
      <c r="GX496" s="1"/>
      <c r="GY496" s="1"/>
      <c r="GZ496" s="1"/>
      <c r="HA496" s="1"/>
      <c r="HB496" s="1"/>
      <c r="HC496" s="1"/>
      <c r="HD496" s="1"/>
      <c r="HE496" s="1"/>
      <c r="HF496" s="1"/>
      <c r="HG496" s="1"/>
      <c r="HH496" s="1"/>
      <c r="HI496" s="1"/>
      <c r="HJ496" s="1"/>
      <c r="HK496" s="1"/>
      <c r="HL496" s="1"/>
      <c r="HM496" s="1"/>
      <c r="HN496" s="1"/>
      <c r="HO496" s="1"/>
      <c r="HP496" s="1"/>
      <c r="HQ496" s="1"/>
      <c r="HR496" s="1"/>
      <c r="HS496" s="1"/>
      <c r="HT496" s="1"/>
      <c r="HU496" s="1"/>
      <c r="HV496" s="1"/>
      <c r="HW496" s="1"/>
      <c r="HX496" s="1"/>
      <c r="HY496" s="1"/>
      <c r="HZ496" s="1"/>
      <c r="IA496" s="1"/>
      <c r="IB496" s="1"/>
      <c r="IC496" s="1"/>
      <c r="ID496" s="1"/>
      <c r="IE496" s="1"/>
      <c r="IF496" s="1"/>
      <c r="IG496" s="1"/>
      <c r="IH496" s="1"/>
      <c r="II496" s="1"/>
      <c r="IJ496" s="1"/>
      <c r="IK496" s="1"/>
      <c r="IL496" s="1"/>
      <c r="IM496" s="1"/>
      <c r="IN496" s="1"/>
      <c r="IO496" s="1"/>
      <c r="IP496" s="1"/>
    </row>
    <row r="497" spans="1:250" s="1133" customFormat="1" x14ac:dyDescent="0.2">
      <c r="A497" s="1059" t="s">
        <v>1638</v>
      </c>
      <c r="B497" s="1141" t="s">
        <v>1639</v>
      </c>
      <c r="C497" s="1040">
        <v>5000</v>
      </c>
      <c r="D497" s="1049"/>
      <c r="E497" s="1076"/>
      <c r="F497" s="1076"/>
      <c r="G497" s="1040"/>
      <c r="H497" s="774"/>
      <c r="I497" s="775"/>
      <c r="J497" s="1"/>
      <c r="K497" s="1"/>
      <c r="L497" s="1"/>
      <c r="M497" s="1"/>
      <c r="N497" s="1"/>
      <c r="O497" s="1"/>
      <c r="P497" s="1"/>
      <c r="Q497" s="1"/>
      <c r="R497" s="1"/>
      <c r="S497" s="1"/>
      <c r="T497" s="1"/>
      <c r="U497" s="1"/>
      <c r="V497" s="1"/>
      <c r="W497" s="1"/>
      <c r="X497" s="1"/>
      <c r="Y497" s="1"/>
      <c r="Z497" s="1"/>
      <c r="AA497" s="1"/>
      <c r="AB497" s="1"/>
      <c r="AC497" s="1"/>
      <c r="AD497" s="1"/>
      <c r="AE497" s="1"/>
      <c r="AF497" s="1"/>
      <c r="AG497" s="1"/>
      <c r="AH497" s="1"/>
      <c r="AI497" s="1"/>
      <c r="AJ497" s="1"/>
      <c r="AK497" s="1"/>
      <c r="AL497" s="1"/>
      <c r="AM497" s="1"/>
      <c r="AN497" s="1"/>
      <c r="AO497" s="1"/>
      <c r="AP497" s="1"/>
      <c r="AQ497" s="1"/>
      <c r="AR497" s="1"/>
      <c r="AS497" s="1"/>
      <c r="AT497" s="1"/>
      <c r="AU497" s="1"/>
      <c r="AV497" s="1"/>
      <c r="AW497" s="1"/>
      <c r="AX497" s="1"/>
      <c r="AY497" s="1"/>
      <c r="AZ497" s="1"/>
      <c r="BA497" s="1"/>
      <c r="BB497" s="1"/>
      <c r="BC497" s="1"/>
      <c r="BD497" s="1"/>
      <c r="BE497" s="1"/>
      <c r="BF497" s="1"/>
      <c r="BG497" s="1"/>
      <c r="BH497" s="1"/>
      <c r="BI497" s="1"/>
      <c r="BJ497" s="1"/>
      <c r="BK497" s="1"/>
      <c r="BL497" s="1"/>
      <c r="BM497" s="1"/>
      <c r="BN497" s="1"/>
      <c r="BO497" s="1"/>
      <c r="BP497" s="1"/>
      <c r="BQ497" s="1"/>
      <c r="BR497" s="1"/>
      <c r="BS497" s="1"/>
      <c r="BT497" s="1"/>
      <c r="BU497" s="1"/>
      <c r="BV497" s="1"/>
      <c r="BW497" s="1"/>
      <c r="BX497" s="1"/>
      <c r="BY497" s="1"/>
      <c r="BZ497" s="1"/>
      <c r="CA497" s="1"/>
      <c r="CB497" s="1"/>
      <c r="CC497" s="1"/>
      <c r="CD497" s="1"/>
      <c r="CE497" s="1"/>
      <c r="CF497" s="1"/>
      <c r="CG497" s="1"/>
      <c r="CH497" s="1"/>
      <c r="CI497" s="1"/>
      <c r="CJ497" s="1"/>
      <c r="CK497" s="1"/>
      <c r="CL497" s="1"/>
      <c r="CM497" s="1"/>
      <c r="CN497" s="1"/>
      <c r="CO497" s="1"/>
      <c r="CP497" s="1"/>
      <c r="CQ497" s="1"/>
      <c r="CR497" s="1"/>
      <c r="CS497" s="1"/>
      <c r="CT497" s="1"/>
      <c r="CU497" s="1"/>
      <c r="CV497" s="1"/>
      <c r="CW497" s="1"/>
      <c r="CX497" s="1"/>
      <c r="CY497" s="1"/>
      <c r="CZ497" s="1"/>
      <c r="DA497" s="1"/>
      <c r="DB497" s="1"/>
      <c r="DC497" s="1"/>
      <c r="DD497" s="1"/>
      <c r="DE497" s="1"/>
      <c r="DF497" s="1"/>
      <c r="DG497" s="1"/>
      <c r="DH497" s="1"/>
      <c r="DI497" s="1"/>
      <c r="DJ497" s="1"/>
      <c r="DK497" s="1"/>
      <c r="DL497" s="1"/>
      <c r="DM497" s="1"/>
      <c r="DN497" s="1"/>
      <c r="DO497" s="1"/>
      <c r="DP497" s="1"/>
      <c r="DQ497" s="1"/>
      <c r="DR497" s="1"/>
      <c r="DS497" s="1"/>
      <c r="DT497" s="1"/>
      <c r="DU497" s="1"/>
      <c r="DV497" s="1"/>
      <c r="DW497" s="1"/>
      <c r="DX497" s="1"/>
      <c r="DY497" s="1"/>
      <c r="DZ497" s="1"/>
      <c r="EA497" s="1"/>
      <c r="EB497" s="1"/>
      <c r="EC497" s="1"/>
      <c r="ED497" s="1"/>
      <c r="EE497" s="1"/>
      <c r="EF497" s="1"/>
      <c r="EG497" s="1"/>
      <c r="EH497" s="1"/>
      <c r="EI497" s="1"/>
      <c r="EJ497" s="1"/>
      <c r="EK497" s="1"/>
      <c r="EL497" s="1"/>
      <c r="EM497" s="1"/>
      <c r="EN497" s="1"/>
      <c r="EO497" s="1"/>
      <c r="EP497" s="1"/>
      <c r="EQ497" s="1"/>
      <c r="ER497" s="1"/>
      <c r="ES497" s="1"/>
      <c r="ET497" s="1"/>
      <c r="EU497" s="1"/>
      <c r="EV497" s="1"/>
      <c r="EW497" s="1"/>
      <c r="EX497" s="1"/>
      <c r="EY497" s="1"/>
      <c r="EZ497" s="1"/>
      <c r="FA497" s="1"/>
      <c r="FB497" s="1"/>
      <c r="FC497" s="1"/>
      <c r="FD497" s="1"/>
      <c r="FE497" s="1"/>
      <c r="FF497" s="1"/>
      <c r="FG497" s="1"/>
      <c r="FH497" s="1"/>
      <c r="FI497" s="1"/>
      <c r="FJ497" s="1"/>
      <c r="FK497" s="1"/>
      <c r="FL497" s="1"/>
      <c r="FM497" s="1"/>
      <c r="FN497" s="1"/>
      <c r="FO497" s="1"/>
      <c r="FP497" s="1"/>
      <c r="FQ497" s="1"/>
      <c r="FR497" s="1"/>
      <c r="FS497" s="1"/>
      <c r="FT497" s="1"/>
      <c r="FU497" s="1"/>
      <c r="FV497" s="1"/>
      <c r="FW497" s="1"/>
      <c r="FX497" s="1"/>
      <c r="FY497" s="1"/>
      <c r="FZ497" s="1"/>
      <c r="GA497" s="1"/>
      <c r="GB497" s="1"/>
      <c r="GC497" s="1"/>
      <c r="GD497" s="1"/>
      <c r="GE497" s="1"/>
      <c r="GF497" s="1"/>
      <c r="GG497" s="1"/>
      <c r="GH497" s="1"/>
      <c r="GI497" s="1"/>
      <c r="GJ497" s="1"/>
      <c r="GK497" s="1"/>
      <c r="GL497" s="1"/>
      <c r="GM497" s="1"/>
      <c r="GN497" s="1"/>
      <c r="GO497" s="1"/>
      <c r="GP497" s="1"/>
      <c r="GQ497" s="1"/>
      <c r="GR497" s="1"/>
      <c r="GS497" s="1"/>
      <c r="GT497" s="1"/>
      <c r="GU497" s="1"/>
      <c r="GV497" s="1"/>
      <c r="GW497" s="1"/>
      <c r="GX497" s="1"/>
      <c r="GY497" s="1"/>
      <c r="GZ497" s="1"/>
      <c r="HA497" s="1"/>
      <c r="HB497" s="1"/>
      <c r="HC497" s="1"/>
      <c r="HD497" s="1"/>
      <c r="HE497" s="1"/>
      <c r="HF497" s="1"/>
      <c r="HG497" s="1"/>
      <c r="HH497" s="1"/>
      <c r="HI497" s="1"/>
      <c r="HJ497" s="1"/>
      <c r="HK497" s="1"/>
      <c r="HL497" s="1"/>
      <c r="HM497" s="1"/>
      <c r="HN497" s="1"/>
      <c r="HO497" s="1"/>
      <c r="HP497" s="1"/>
      <c r="HQ497" s="1"/>
      <c r="HR497" s="1"/>
      <c r="HS497" s="1"/>
      <c r="HT497" s="1"/>
      <c r="HU497" s="1"/>
      <c r="HV497" s="1"/>
      <c r="HW497" s="1"/>
      <c r="HX497" s="1"/>
      <c r="HY497" s="1"/>
      <c r="HZ497" s="1"/>
      <c r="IA497" s="1"/>
      <c r="IB497" s="1"/>
      <c r="IC497" s="1"/>
      <c r="ID497" s="1"/>
      <c r="IE497" s="1"/>
      <c r="IF497" s="1"/>
      <c r="IG497" s="1"/>
      <c r="IH497" s="1"/>
      <c r="II497" s="1"/>
      <c r="IJ497" s="1"/>
      <c r="IK497" s="1"/>
      <c r="IL497" s="1"/>
      <c r="IM497" s="1"/>
      <c r="IN497" s="1"/>
      <c r="IO497" s="1"/>
      <c r="IP497" s="1"/>
    </row>
    <row r="498" spans="1:250" x14ac:dyDescent="0.2">
      <c r="A498" s="1142" t="s">
        <v>1640</v>
      </c>
      <c r="B498" s="1039" t="s">
        <v>1641</v>
      </c>
      <c r="C498" s="1077">
        <v>0</v>
      </c>
      <c r="D498" s="1143"/>
      <c r="E498" s="1076"/>
      <c r="F498" s="1076"/>
      <c r="G498" s="1077"/>
      <c r="H498" s="774"/>
      <c r="I498" s="775"/>
    </row>
    <row r="499" spans="1:250" s="98" customFormat="1" x14ac:dyDescent="0.2">
      <c r="A499" s="771">
        <v>2321</v>
      </c>
      <c r="B499" s="1144" t="s">
        <v>1429</v>
      </c>
      <c r="C499" s="1145">
        <f>SUM(C500:C500)</f>
        <v>250000</v>
      </c>
      <c r="D499" s="728"/>
      <c r="E499" s="727"/>
      <c r="F499" s="727"/>
      <c r="G499" s="1145"/>
      <c r="H499" s="769"/>
      <c r="I499" s="770"/>
    </row>
    <row r="500" spans="1:250" s="1146" customFormat="1" x14ac:dyDescent="0.2">
      <c r="A500" s="1043" t="s">
        <v>1642</v>
      </c>
      <c r="B500" s="1039" t="s">
        <v>1643</v>
      </c>
      <c r="C500" s="1076">
        <v>250000</v>
      </c>
      <c r="D500" s="1049"/>
      <c r="E500" s="1040"/>
      <c r="F500" s="1040"/>
      <c r="G500" s="1076"/>
      <c r="H500" s="774"/>
      <c r="I500" s="775"/>
      <c r="J500" s="1"/>
      <c r="K500" s="1"/>
      <c r="L500" s="1"/>
      <c r="M500" s="1"/>
      <c r="N500" s="1"/>
      <c r="O500" s="1"/>
      <c r="P500" s="1"/>
      <c r="Q500" s="1"/>
      <c r="R500" s="1"/>
      <c r="S500" s="1"/>
      <c r="T500" s="1"/>
      <c r="U500" s="1"/>
      <c r="V500" s="1"/>
      <c r="W500" s="1"/>
      <c r="X500" s="1"/>
      <c r="Y500" s="1"/>
      <c r="Z500" s="1"/>
      <c r="AA500" s="1"/>
      <c r="AB500" s="1"/>
      <c r="AC500" s="1"/>
      <c r="AD500" s="1"/>
      <c r="AE500" s="1"/>
      <c r="AF500" s="1"/>
      <c r="AG500" s="1"/>
      <c r="AH500" s="1"/>
      <c r="AI500" s="1"/>
      <c r="AJ500" s="1"/>
      <c r="AK500" s="1"/>
      <c r="AL500" s="1"/>
      <c r="AM500" s="1"/>
      <c r="AN500" s="1"/>
      <c r="AO500" s="1"/>
      <c r="AP500" s="1"/>
      <c r="AQ500" s="1"/>
      <c r="AR500" s="1"/>
      <c r="AS500" s="1"/>
      <c r="AT500" s="1"/>
      <c r="AU500" s="1"/>
      <c r="AV500" s="1"/>
      <c r="AW500" s="1"/>
      <c r="AX500" s="1"/>
      <c r="AY500" s="1"/>
      <c r="AZ500" s="1"/>
      <c r="BA500" s="1"/>
      <c r="BB500" s="1"/>
      <c r="BC500" s="1"/>
      <c r="BD500" s="1"/>
      <c r="BE500" s="1"/>
      <c r="BF500" s="1"/>
      <c r="BG500" s="1"/>
      <c r="BH500" s="1"/>
      <c r="BI500" s="1"/>
      <c r="BJ500" s="1"/>
      <c r="BK500" s="1"/>
      <c r="BL500" s="1"/>
      <c r="BM500" s="1"/>
      <c r="BN500" s="1"/>
      <c r="BO500" s="1"/>
      <c r="BP500" s="1"/>
      <c r="BQ500" s="1"/>
      <c r="BR500" s="1"/>
      <c r="BS500" s="1"/>
      <c r="BT500" s="1"/>
      <c r="BU500" s="1"/>
      <c r="BV500" s="1"/>
      <c r="BW500" s="1"/>
      <c r="BX500" s="1"/>
      <c r="BY500" s="1"/>
      <c r="BZ500" s="1"/>
      <c r="CA500" s="1"/>
      <c r="CB500" s="1"/>
      <c r="CC500" s="1"/>
      <c r="CD500" s="1"/>
      <c r="CE500" s="1"/>
      <c r="CF500" s="1"/>
      <c r="CG500" s="1"/>
      <c r="CH500" s="1"/>
      <c r="CI500" s="1"/>
      <c r="CJ500" s="1"/>
      <c r="CK500" s="1"/>
      <c r="CL500" s="1"/>
      <c r="CM500" s="1"/>
      <c r="CN500" s="1"/>
      <c r="CO500" s="1"/>
      <c r="CP500" s="1"/>
      <c r="CQ500" s="1"/>
      <c r="CR500" s="1"/>
      <c r="CS500" s="1"/>
      <c r="CT500" s="1"/>
      <c r="CU500" s="1"/>
      <c r="CV500" s="1"/>
      <c r="CW500" s="1"/>
      <c r="CX500" s="1"/>
      <c r="CY500" s="1"/>
      <c r="CZ500" s="1"/>
      <c r="DA500" s="1"/>
      <c r="DB500" s="1"/>
      <c r="DC500" s="1"/>
      <c r="DD500" s="1"/>
      <c r="DE500" s="1"/>
      <c r="DF500" s="1"/>
      <c r="DG500" s="1"/>
      <c r="DH500" s="1"/>
      <c r="DI500" s="1"/>
      <c r="DJ500" s="1"/>
      <c r="DK500" s="1"/>
      <c r="DL500" s="1"/>
      <c r="DM500" s="1"/>
      <c r="DN500" s="1"/>
      <c r="DO500" s="1"/>
      <c r="DP500" s="1"/>
      <c r="DQ500" s="1"/>
      <c r="DR500" s="1"/>
      <c r="DS500" s="1"/>
      <c r="DT500" s="1"/>
      <c r="DU500" s="1"/>
      <c r="DV500" s="1"/>
      <c r="DW500" s="1"/>
      <c r="DX500" s="1"/>
      <c r="DY500" s="1"/>
      <c r="DZ500" s="1"/>
      <c r="EA500" s="1"/>
      <c r="EB500" s="1"/>
      <c r="EC500" s="1"/>
      <c r="ED500" s="1"/>
      <c r="EE500" s="1"/>
      <c r="EF500" s="1"/>
      <c r="EG500" s="1"/>
      <c r="EH500" s="1"/>
      <c r="EI500" s="1"/>
      <c r="EJ500" s="1"/>
      <c r="EK500" s="1"/>
      <c r="EL500" s="1"/>
      <c r="EM500" s="1"/>
      <c r="EN500" s="1"/>
      <c r="EO500" s="1"/>
      <c r="EP500" s="1"/>
      <c r="EQ500" s="1"/>
      <c r="ER500" s="1"/>
      <c r="ES500" s="1"/>
      <c r="ET500" s="1"/>
      <c r="EU500" s="1"/>
      <c r="EV500" s="1"/>
      <c r="EW500" s="1"/>
      <c r="EX500" s="1"/>
      <c r="EY500" s="1"/>
      <c r="EZ500" s="1"/>
      <c r="FA500" s="1"/>
      <c r="FB500" s="1"/>
      <c r="FC500" s="1"/>
      <c r="FD500" s="1"/>
      <c r="FE500" s="1"/>
      <c r="FF500" s="1"/>
      <c r="FG500" s="1"/>
      <c r="FH500" s="1"/>
      <c r="FI500" s="1"/>
      <c r="FJ500" s="1"/>
      <c r="FK500" s="1"/>
      <c r="FL500" s="1"/>
      <c r="FM500" s="1"/>
      <c r="FN500" s="1"/>
      <c r="FO500" s="1"/>
      <c r="FP500" s="1"/>
      <c r="FQ500" s="1"/>
      <c r="FR500" s="1"/>
      <c r="FS500" s="1"/>
      <c r="FT500" s="1"/>
      <c r="FU500" s="1"/>
      <c r="FV500" s="1"/>
      <c r="FW500" s="1"/>
      <c r="FX500" s="1"/>
      <c r="FY500" s="1"/>
      <c r="FZ500" s="1"/>
      <c r="GA500" s="1"/>
      <c r="GB500" s="1"/>
      <c r="GC500" s="1"/>
      <c r="GD500" s="1"/>
      <c r="GE500" s="1"/>
      <c r="GF500" s="1"/>
      <c r="GG500" s="1"/>
      <c r="GH500" s="1"/>
      <c r="GI500" s="1"/>
      <c r="GJ500" s="1"/>
      <c r="GK500" s="1"/>
      <c r="GL500" s="1"/>
      <c r="GM500" s="1"/>
      <c r="GN500" s="1"/>
      <c r="GO500" s="1"/>
      <c r="GP500" s="1"/>
      <c r="GQ500" s="1"/>
      <c r="GR500" s="1"/>
      <c r="GS500" s="1"/>
      <c r="GT500" s="1"/>
      <c r="GU500" s="1"/>
      <c r="GV500" s="1"/>
      <c r="GW500" s="1"/>
      <c r="GX500" s="1"/>
      <c r="GY500" s="1"/>
      <c r="GZ500" s="1"/>
      <c r="HA500" s="1"/>
      <c r="HB500" s="1"/>
      <c r="HC500" s="1"/>
      <c r="HD500" s="1"/>
      <c r="HE500" s="1"/>
      <c r="HF500" s="1"/>
      <c r="HG500" s="1"/>
      <c r="HH500" s="1"/>
      <c r="HI500" s="1"/>
      <c r="HJ500" s="1"/>
      <c r="HK500" s="1"/>
      <c r="HL500" s="1"/>
      <c r="HM500" s="1"/>
      <c r="HN500" s="1"/>
      <c r="HO500" s="1"/>
      <c r="HP500" s="1"/>
      <c r="HQ500" s="1"/>
      <c r="HR500" s="1"/>
      <c r="HS500" s="1"/>
      <c r="HT500" s="1"/>
      <c r="HU500" s="1"/>
      <c r="HV500" s="1"/>
      <c r="HW500" s="1"/>
      <c r="HX500" s="1"/>
      <c r="HY500" s="1"/>
      <c r="HZ500" s="1"/>
      <c r="IA500" s="1"/>
      <c r="IB500" s="1"/>
      <c r="IC500" s="1"/>
      <c r="ID500" s="1"/>
      <c r="IE500" s="1"/>
      <c r="IF500" s="1"/>
      <c r="IG500" s="1"/>
      <c r="IH500" s="1"/>
      <c r="II500" s="1"/>
      <c r="IJ500" s="1"/>
      <c r="IK500" s="1"/>
      <c r="IL500" s="1"/>
      <c r="IM500" s="1"/>
      <c r="IN500" s="1"/>
      <c r="IO500" s="1"/>
      <c r="IP500" s="1"/>
    </row>
    <row r="501" spans="1:250" ht="13.5" customHeight="1" x14ac:dyDescent="0.2">
      <c r="A501" s="1147">
        <v>3612</v>
      </c>
      <c r="B501" s="1148" t="s">
        <v>1644</v>
      </c>
      <c r="C501" s="1149">
        <f>SUM(C502:C502)</f>
        <v>400000</v>
      </c>
      <c r="D501" s="728"/>
      <c r="E501" s="727"/>
      <c r="F501" s="727"/>
      <c r="G501" s="1149"/>
      <c r="H501" s="728"/>
      <c r="I501" s="775"/>
    </row>
    <row r="502" spans="1:250" x14ac:dyDescent="0.2">
      <c r="A502" s="1150"/>
      <c r="B502" s="1039" t="s">
        <v>1645</v>
      </c>
      <c r="C502" s="1040">
        <v>400000</v>
      </c>
      <c r="D502" s="1049"/>
      <c r="E502" s="1040"/>
      <c r="F502" s="1040"/>
      <c r="G502" s="1040"/>
      <c r="H502" s="774"/>
      <c r="I502" s="775"/>
    </row>
    <row r="503" spans="1:250" x14ac:dyDescent="0.2">
      <c r="A503" s="1151">
        <v>3613</v>
      </c>
      <c r="B503" s="1152" t="s">
        <v>1646</v>
      </c>
      <c r="C503" s="1153">
        <f>SUM(C504:C505)</f>
        <v>700000</v>
      </c>
      <c r="D503" s="728"/>
      <c r="E503" s="727"/>
      <c r="F503" s="727"/>
      <c r="G503" s="1153"/>
      <c r="H503" s="774"/>
      <c r="I503" s="775"/>
    </row>
    <row r="504" spans="1:250" x14ac:dyDescent="0.2">
      <c r="A504" s="1154" t="s">
        <v>1647</v>
      </c>
      <c r="B504" s="809" t="s">
        <v>1648</v>
      </c>
      <c r="C504" s="1077">
        <v>400000</v>
      </c>
      <c r="D504" s="1049"/>
      <c r="E504" s="1040"/>
      <c r="F504" s="1040"/>
      <c r="G504" s="1077"/>
      <c r="H504" s="774"/>
      <c r="I504" s="775"/>
    </row>
    <row r="505" spans="1:250" s="1146" customFormat="1" x14ac:dyDescent="0.2">
      <c r="A505" s="1154" t="s">
        <v>1649</v>
      </c>
      <c r="B505" s="809" t="s">
        <v>1650</v>
      </c>
      <c r="C505" s="1077">
        <v>300000</v>
      </c>
      <c r="D505" s="1049"/>
      <c r="E505" s="1076"/>
      <c r="F505" s="1076"/>
      <c r="G505" s="1077"/>
      <c r="H505" s="774"/>
      <c r="I505" s="775"/>
      <c r="J505" s="1"/>
      <c r="K505" s="1"/>
      <c r="L505" s="1"/>
      <c r="M505" s="1"/>
      <c r="N505" s="1"/>
      <c r="O505" s="1"/>
      <c r="P505" s="1"/>
      <c r="Q505" s="1"/>
      <c r="R505" s="1"/>
      <c r="S505" s="1"/>
      <c r="T505" s="1"/>
      <c r="U505" s="1"/>
      <c r="V505" s="1"/>
      <c r="W505" s="1"/>
      <c r="X505" s="1"/>
      <c r="Y505" s="1"/>
      <c r="Z505" s="1"/>
      <c r="AA505" s="1"/>
      <c r="AB505" s="1"/>
      <c r="AC505" s="1"/>
      <c r="AD505" s="1"/>
      <c r="AE505" s="1"/>
      <c r="AF505" s="1"/>
      <c r="AG505" s="1"/>
      <c r="AH505" s="1"/>
      <c r="AI505" s="1"/>
      <c r="AJ505" s="1"/>
      <c r="AK505" s="1"/>
      <c r="AL505" s="1"/>
      <c r="AM505" s="1"/>
      <c r="AN505" s="1"/>
      <c r="AO505" s="1"/>
      <c r="AP505" s="1"/>
      <c r="AQ505" s="1"/>
      <c r="AR505" s="1"/>
      <c r="AS505" s="1"/>
      <c r="AT505" s="1"/>
      <c r="AU505" s="1"/>
      <c r="AV505" s="1"/>
      <c r="AW505" s="1"/>
      <c r="AX505" s="1"/>
      <c r="AY505" s="1"/>
      <c r="AZ505" s="1"/>
      <c r="BA505" s="1"/>
      <c r="BB505" s="1"/>
      <c r="BC505" s="1"/>
      <c r="BD505" s="1"/>
      <c r="BE505" s="1"/>
      <c r="BF505" s="1"/>
      <c r="BG505" s="1"/>
      <c r="BH505" s="1"/>
      <c r="BI505" s="1"/>
      <c r="BJ505" s="1"/>
      <c r="BK505" s="1"/>
      <c r="BL505" s="1"/>
      <c r="BM505" s="1"/>
      <c r="BN505" s="1"/>
      <c r="BO505" s="1"/>
      <c r="BP505" s="1"/>
      <c r="BQ505" s="1"/>
      <c r="BR505" s="1"/>
      <c r="BS505" s="1"/>
      <c r="BT505" s="1"/>
      <c r="BU505" s="1"/>
      <c r="BV505" s="1"/>
      <c r="BW505" s="1"/>
      <c r="BX505" s="1"/>
      <c r="BY505" s="1"/>
      <c r="BZ505" s="1"/>
      <c r="CA505" s="1"/>
      <c r="CB505" s="1"/>
      <c r="CC505" s="1"/>
      <c r="CD505" s="1"/>
      <c r="CE505" s="1"/>
      <c r="CF505" s="1"/>
      <c r="CG505" s="1"/>
      <c r="CH505" s="1"/>
      <c r="CI505" s="1"/>
      <c r="CJ505" s="1"/>
      <c r="CK505" s="1"/>
      <c r="CL505" s="1"/>
      <c r="CM505" s="1"/>
      <c r="CN505" s="1"/>
      <c r="CO505" s="1"/>
      <c r="CP505" s="1"/>
      <c r="CQ505" s="1"/>
      <c r="CR505" s="1"/>
      <c r="CS505" s="1"/>
      <c r="CT505" s="1"/>
      <c r="CU505" s="1"/>
      <c r="CV505" s="1"/>
      <c r="CW505" s="1"/>
      <c r="CX505" s="1"/>
      <c r="CY505" s="1"/>
      <c r="CZ505" s="1"/>
      <c r="DA505" s="1"/>
      <c r="DB505" s="1"/>
      <c r="DC505" s="1"/>
      <c r="DD505" s="1"/>
      <c r="DE505" s="1"/>
      <c r="DF505" s="1"/>
      <c r="DG505" s="1"/>
      <c r="DH505" s="1"/>
      <c r="DI505" s="1"/>
      <c r="DJ505" s="1"/>
      <c r="DK505" s="1"/>
      <c r="DL505" s="1"/>
      <c r="DM505" s="1"/>
      <c r="DN505" s="1"/>
      <c r="DO505" s="1"/>
      <c r="DP505" s="1"/>
      <c r="DQ505" s="1"/>
      <c r="DR505" s="1"/>
      <c r="DS505" s="1"/>
      <c r="DT505" s="1"/>
      <c r="DU505" s="1"/>
      <c r="DV505" s="1"/>
      <c r="DW505" s="1"/>
      <c r="DX505" s="1"/>
      <c r="DY505" s="1"/>
      <c r="DZ505" s="1"/>
      <c r="EA505" s="1"/>
      <c r="EB505" s="1"/>
      <c r="EC505" s="1"/>
      <c r="ED505" s="1"/>
      <c r="EE505" s="1"/>
      <c r="EF505" s="1"/>
      <c r="EG505" s="1"/>
      <c r="EH505" s="1"/>
      <c r="EI505" s="1"/>
      <c r="EJ505" s="1"/>
      <c r="EK505" s="1"/>
      <c r="EL505" s="1"/>
      <c r="EM505" s="1"/>
      <c r="EN505" s="1"/>
      <c r="EO505" s="1"/>
      <c r="EP505" s="1"/>
      <c r="EQ505" s="1"/>
      <c r="ER505" s="1"/>
      <c r="ES505" s="1"/>
      <c r="ET505" s="1"/>
      <c r="EU505" s="1"/>
      <c r="EV505" s="1"/>
      <c r="EW505" s="1"/>
      <c r="EX505" s="1"/>
      <c r="EY505" s="1"/>
      <c r="EZ505" s="1"/>
      <c r="FA505" s="1"/>
      <c r="FB505" s="1"/>
      <c r="FC505" s="1"/>
      <c r="FD505" s="1"/>
      <c r="FE505" s="1"/>
      <c r="FF505" s="1"/>
      <c r="FG505" s="1"/>
      <c r="FH505" s="1"/>
      <c r="FI505" s="1"/>
      <c r="FJ505" s="1"/>
      <c r="FK505" s="1"/>
      <c r="FL505" s="1"/>
      <c r="FM505" s="1"/>
      <c r="FN505" s="1"/>
      <c r="FO505" s="1"/>
      <c r="FP505" s="1"/>
      <c r="FQ505" s="1"/>
      <c r="FR505" s="1"/>
      <c r="FS505" s="1"/>
      <c r="FT505" s="1"/>
      <c r="FU505" s="1"/>
      <c r="FV505" s="1"/>
      <c r="FW505" s="1"/>
      <c r="FX505" s="1"/>
      <c r="FY505" s="1"/>
      <c r="FZ505" s="1"/>
      <c r="GA505" s="1"/>
      <c r="GB505" s="1"/>
      <c r="GC505" s="1"/>
      <c r="GD505" s="1"/>
      <c r="GE505" s="1"/>
      <c r="GF505" s="1"/>
      <c r="GG505" s="1"/>
      <c r="GH505" s="1"/>
      <c r="GI505" s="1"/>
      <c r="GJ505" s="1"/>
      <c r="GK505" s="1"/>
      <c r="GL505" s="1"/>
      <c r="GM505" s="1"/>
      <c r="GN505" s="1"/>
      <c r="GO505" s="1"/>
      <c r="GP505" s="1"/>
      <c r="GQ505" s="1"/>
      <c r="GR505" s="1"/>
      <c r="GS505" s="1"/>
      <c r="GT505" s="1"/>
      <c r="GU505" s="1"/>
      <c r="GV505" s="1"/>
      <c r="GW505" s="1"/>
      <c r="GX505" s="1"/>
      <c r="GY505" s="1"/>
      <c r="GZ505" s="1"/>
      <c r="HA505" s="1"/>
      <c r="HB505" s="1"/>
      <c r="HC505" s="1"/>
      <c r="HD505" s="1"/>
      <c r="HE505" s="1"/>
      <c r="HF505" s="1"/>
      <c r="HG505" s="1"/>
      <c r="HH505" s="1"/>
      <c r="HI505" s="1"/>
      <c r="HJ505" s="1"/>
      <c r="HK505" s="1"/>
      <c r="HL505" s="1"/>
      <c r="HM505" s="1"/>
      <c r="HN505" s="1"/>
      <c r="HO505" s="1"/>
      <c r="HP505" s="1"/>
      <c r="HQ505" s="1"/>
      <c r="HR505" s="1"/>
      <c r="HS505" s="1"/>
      <c r="HT505" s="1"/>
      <c r="HU505" s="1"/>
      <c r="HV505" s="1"/>
      <c r="HW505" s="1"/>
      <c r="HX505" s="1"/>
      <c r="HY505" s="1"/>
      <c r="HZ505" s="1"/>
      <c r="IA505" s="1"/>
      <c r="IB505" s="1"/>
      <c r="IC505" s="1"/>
      <c r="ID505" s="1"/>
      <c r="IE505" s="1"/>
      <c r="IF505" s="1"/>
      <c r="IG505" s="1"/>
      <c r="IH505" s="1"/>
      <c r="II505" s="1"/>
      <c r="IJ505" s="1"/>
      <c r="IK505" s="1"/>
      <c r="IL505" s="1"/>
      <c r="IM505" s="1"/>
      <c r="IN505" s="1"/>
      <c r="IO505" s="1"/>
      <c r="IP505" s="1"/>
    </row>
    <row r="506" spans="1:250" x14ac:dyDescent="0.2">
      <c r="A506" s="1155">
        <v>3722</v>
      </c>
      <c r="B506" s="1156" t="s">
        <v>1651</v>
      </c>
      <c r="C506" s="727">
        <f>SUM(C507:C507)</f>
        <v>4600000</v>
      </c>
      <c r="D506" s="1157"/>
      <c r="E506" s="1153"/>
      <c r="F506" s="1153"/>
      <c r="G506" s="727"/>
      <c r="H506" s="774"/>
      <c r="I506" s="775"/>
    </row>
    <row r="507" spans="1:250" x14ac:dyDescent="0.2">
      <c r="A507" s="1066" t="s">
        <v>1652</v>
      </c>
      <c r="B507" s="1047" t="s">
        <v>1653</v>
      </c>
      <c r="C507" s="1040">
        <v>4600000</v>
      </c>
      <c r="D507" s="1049"/>
      <c r="E507" s="1048"/>
      <c r="F507" s="1158"/>
      <c r="G507" s="1040"/>
      <c r="H507" s="837"/>
      <c r="I507" s="838"/>
    </row>
    <row r="508" spans="1:250" ht="15.75" x14ac:dyDescent="0.25">
      <c r="A508" s="690"/>
      <c r="B508" s="1062" t="s">
        <v>1654</v>
      </c>
      <c r="C508" s="1080">
        <f>SUM(C515,C509,C530,C542)</f>
        <v>76802000</v>
      </c>
      <c r="D508" s="600"/>
      <c r="E508" s="1080"/>
      <c r="F508" s="1080"/>
      <c r="G508" s="1080"/>
      <c r="H508" s="1005"/>
    </row>
    <row r="509" spans="1:250" x14ac:dyDescent="0.2">
      <c r="A509" s="1159">
        <v>3412</v>
      </c>
      <c r="B509" s="1160" t="s">
        <v>1655</v>
      </c>
      <c r="C509" s="1161">
        <f>SUM(C510:C514)</f>
        <v>22500000</v>
      </c>
      <c r="D509" s="1162"/>
      <c r="E509" s="1163"/>
      <c r="F509" s="1162"/>
      <c r="G509" s="1161"/>
      <c r="H509" s="965"/>
      <c r="I509" s="1064"/>
    </row>
    <row r="510" spans="1:250" x14ac:dyDescent="0.2">
      <c r="A510" s="1059" t="s">
        <v>1656</v>
      </c>
      <c r="B510" s="1164" t="s">
        <v>1657</v>
      </c>
      <c r="C510" s="1165">
        <v>20000000</v>
      </c>
      <c r="D510" s="1166"/>
      <c r="E510" s="1165"/>
      <c r="F510" s="1167"/>
      <c r="G510" s="1165"/>
      <c r="H510" s="774"/>
      <c r="I510" s="775"/>
    </row>
    <row r="511" spans="1:250" x14ac:dyDescent="0.2">
      <c r="A511" s="1059" t="s">
        <v>1658</v>
      </c>
      <c r="B511" s="1164" t="s">
        <v>1659</v>
      </c>
      <c r="C511" s="1165">
        <v>700000</v>
      </c>
      <c r="D511" s="1166"/>
      <c r="E511" s="1165"/>
      <c r="F511" s="1167"/>
      <c r="G511" s="1165"/>
      <c r="H511" s="774"/>
      <c r="I511" s="775"/>
    </row>
    <row r="512" spans="1:250" x14ac:dyDescent="0.2">
      <c r="A512" s="1059" t="s">
        <v>1660</v>
      </c>
      <c r="B512" s="1164" t="s">
        <v>1661</v>
      </c>
      <c r="C512" s="1165">
        <v>500000</v>
      </c>
      <c r="D512" s="1166"/>
      <c r="E512" s="1165"/>
      <c r="F512" s="1167"/>
      <c r="G512" s="1165"/>
      <c r="H512" s="774"/>
      <c r="I512" s="775"/>
    </row>
    <row r="513" spans="1:9" x14ac:dyDescent="0.2">
      <c r="A513" s="1059" t="s">
        <v>1662</v>
      </c>
      <c r="B513" s="1164" t="s">
        <v>1663</v>
      </c>
      <c r="C513" s="1165">
        <v>1300000</v>
      </c>
      <c r="D513" s="1166"/>
      <c r="E513" s="1165"/>
      <c r="F513" s="1167"/>
      <c r="G513" s="1165"/>
      <c r="H513" s="774"/>
      <c r="I513" s="775"/>
    </row>
    <row r="514" spans="1:9" x14ac:dyDescent="0.2">
      <c r="A514" s="1085" t="s">
        <v>1664</v>
      </c>
      <c r="B514" s="1168" t="s">
        <v>1665</v>
      </c>
      <c r="C514" s="1165">
        <v>0</v>
      </c>
      <c r="D514" s="1166"/>
      <c r="E514" s="1165"/>
      <c r="F514" s="1167"/>
      <c r="G514" s="1165"/>
      <c r="H514" s="774"/>
      <c r="I514" s="775"/>
    </row>
    <row r="515" spans="1:9" x14ac:dyDescent="0.2">
      <c r="A515" s="1169">
        <v>3612</v>
      </c>
      <c r="B515" s="709" t="s">
        <v>1644</v>
      </c>
      <c r="C515" s="1161">
        <f>SUM(C516:C529)</f>
        <v>22660000</v>
      </c>
      <c r="D515" s="1170"/>
      <c r="E515" s="1161"/>
      <c r="F515" s="1162"/>
      <c r="G515" s="1161"/>
      <c r="H515" s="728"/>
      <c r="I515" s="775"/>
    </row>
    <row r="516" spans="1:9" x14ac:dyDescent="0.2">
      <c r="A516" s="1085" t="s">
        <v>1666</v>
      </c>
      <c r="B516" s="1086" t="s">
        <v>1667</v>
      </c>
      <c r="C516" s="1087">
        <v>10000</v>
      </c>
      <c r="D516" s="1171"/>
      <c r="E516" s="1068"/>
      <c r="F516" s="1172"/>
      <c r="G516" s="1087"/>
      <c r="H516" s="774"/>
      <c r="I516" s="775"/>
    </row>
    <row r="517" spans="1:9" x14ac:dyDescent="0.2">
      <c r="A517" s="1085" t="s">
        <v>1668</v>
      </c>
      <c r="B517" s="1086" t="s">
        <v>1669</v>
      </c>
      <c r="C517" s="1087">
        <v>8800000</v>
      </c>
      <c r="D517" s="1173"/>
      <c r="E517" s="1087"/>
      <c r="F517" s="1174"/>
      <c r="G517" s="1087"/>
      <c r="H517" s="774"/>
      <c r="I517" s="775"/>
    </row>
    <row r="518" spans="1:9" x14ac:dyDescent="0.2">
      <c r="A518" s="1066" t="s">
        <v>1670</v>
      </c>
      <c r="B518" s="1039" t="s">
        <v>1671</v>
      </c>
      <c r="C518" s="1040">
        <v>400000</v>
      </c>
      <c r="D518" s="1049"/>
      <c r="E518" s="1040"/>
      <c r="F518" s="1175"/>
      <c r="G518" s="1040"/>
      <c r="H518" s="774"/>
      <c r="I518" s="775"/>
    </row>
    <row r="519" spans="1:9" x14ac:dyDescent="0.2">
      <c r="A519" s="1176" t="s">
        <v>1672</v>
      </c>
      <c r="B519" s="1067" t="s">
        <v>1673</v>
      </c>
      <c r="C519" s="1068">
        <v>0</v>
      </c>
      <c r="D519" s="1171"/>
      <c r="E519" s="1068"/>
      <c r="F519" s="1172"/>
      <c r="G519" s="1068"/>
      <c r="H519" s="774"/>
      <c r="I519" s="775"/>
    </row>
    <row r="520" spans="1:9" x14ac:dyDescent="0.2">
      <c r="A520" s="1066" t="s">
        <v>1674</v>
      </c>
      <c r="B520" s="1177" t="s">
        <v>1675</v>
      </c>
      <c r="C520" s="1087">
        <v>0</v>
      </c>
      <c r="D520" s="1173"/>
      <c r="E520" s="1087"/>
      <c r="F520" s="1174"/>
      <c r="G520" s="1087"/>
      <c r="H520" s="774"/>
      <c r="I520" s="775"/>
    </row>
    <row r="521" spans="1:9" x14ac:dyDescent="0.2">
      <c r="A521" s="1085" t="s">
        <v>1676</v>
      </c>
      <c r="B521" s="1067" t="s">
        <v>1677</v>
      </c>
      <c r="C521" s="1068">
        <v>500000</v>
      </c>
      <c r="D521" s="1068"/>
      <c r="E521" s="1068"/>
      <c r="F521" s="1068"/>
      <c r="G521" s="1068"/>
      <c r="H521" s="774"/>
      <c r="I521" s="775"/>
    </row>
    <row r="522" spans="1:9" x14ac:dyDescent="0.2">
      <c r="A522" s="1085" t="s">
        <v>1678</v>
      </c>
      <c r="B522" s="1067" t="s">
        <v>1679</v>
      </c>
      <c r="C522" s="1068">
        <v>550000</v>
      </c>
      <c r="D522" s="1068"/>
      <c r="E522" s="1068"/>
      <c r="F522" s="1068"/>
      <c r="G522" s="1068"/>
      <c r="H522" s="774"/>
      <c r="I522" s="775"/>
    </row>
    <row r="523" spans="1:9" x14ac:dyDescent="0.2">
      <c r="A523" s="1085" t="s">
        <v>1680</v>
      </c>
      <c r="B523" s="1067" t="s">
        <v>1681</v>
      </c>
      <c r="C523" s="1068">
        <v>450000</v>
      </c>
      <c r="D523" s="1068"/>
      <c r="E523" s="1068"/>
      <c r="F523" s="1068"/>
      <c r="G523" s="1068"/>
      <c r="H523" s="774"/>
      <c r="I523" s="775"/>
    </row>
    <row r="524" spans="1:9" x14ac:dyDescent="0.2">
      <c r="A524" s="1085" t="s">
        <v>1682</v>
      </c>
      <c r="B524" s="1067" t="s">
        <v>1683</v>
      </c>
      <c r="C524" s="1068">
        <v>450000</v>
      </c>
      <c r="D524" s="1068"/>
      <c r="E524" s="1068"/>
      <c r="F524" s="1068"/>
      <c r="G524" s="1068"/>
      <c r="H524" s="774"/>
      <c r="I524" s="775"/>
    </row>
    <row r="525" spans="1:9" x14ac:dyDescent="0.2">
      <c r="A525" s="1085" t="s">
        <v>1684</v>
      </c>
      <c r="B525" s="1178" t="s">
        <v>1685</v>
      </c>
      <c r="C525" s="1068">
        <v>400000</v>
      </c>
      <c r="D525" s="1068"/>
      <c r="E525" s="1068"/>
      <c r="F525" s="1068"/>
      <c r="G525" s="1068"/>
      <c r="H525" s="774"/>
      <c r="I525" s="775"/>
    </row>
    <row r="526" spans="1:9" x14ac:dyDescent="0.2">
      <c r="A526" s="1085" t="s">
        <v>1686</v>
      </c>
      <c r="B526" s="1178" t="s">
        <v>1687</v>
      </c>
      <c r="C526" s="1068">
        <v>300000</v>
      </c>
      <c r="D526" s="1068"/>
      <c r="E526" s="1068"/>
      <c r="F526" s="1068"/>
      <c r="G526" s="1068"/>
      <c r="H526" s="774"/>
      <c r="I526" s="775"/>
    </row>
    <row r="527" spans="1:9" x14ac:dyDescent="0.2">
      <c r="A527" s="1085" t="s">
        <v>1688</v>
      </c>
      <c r="B527" s="1178" t="s">
        <v>1689</v>
      </c>
      <c r="C527" s="1068">
        <v>300000</v>
      </c>
      <c r="D527" s="1068"/>
      <c r="E527" s="1068"/>
      <c r="F527" s="1068"/>
      <c r="G527" s="1068"/>
      <c r="H527" s="774"/>
      <c r="I527" s="775"/>
    </row>
    <row r="528" spans="1:9" x14ac:dyDescent="0.2">
      <c r="A528" s="1085" t="s">
        <v>1690</v>
      </c>
      <c r="B528" s="1178" t="s">
        <v>1691</v>
      </c>
      <c r="C528" s="1068">
        <v>6000000</v>
      </c>
      <c r="D528" s="1068"/>
      <c r="E528" s="1068"/>
      <c r="F528" s="1068"/>
      <c r="G528" s="1068"/>
      <c r="H528" s="774"/>
      <c r="I528" s="775"/>
    </row>
    <row r="529" spans="1:9" x14ac:dyDescent="0.2">
      <c r="A529" s="1085" t="s">
        <v>1692</v>
      </c>
      <c r="B529" s="1100" t="s">
        <v>1693</v>
      </c>
      <c r="C529" s="1087">
        <v>4500000</v>
      </c>
      <c r="D529" s="1173"/>
      <c r="E529" s="1087"/>
      <c r="F529" s="1174"/>
      <c r="G529" s="1087"/>
      <c r="H529" s="774"/>
      <c r="I529" s="775"/>
    </row>
    <row r="530" spans="1:9" x14ac:dyDescent="0.2">
      <c r="A530" s="1179">
        <v>3613</v>
      </c>
      <c r="B530" s="1180" t="s">
        <v>1646</v>
      </c>
      <c r="C530" s="1181">
        <f>SUM(C531:C541)</f>
        <v>15837000</v>
      </c>
      <c r="D530" s="1182"/>
      <c r="E530" s="1181"/>
      <c r="F530" s="1183"/>
      <c r="G530" s="1181"/>
      <c r="H530" s="774"/>
      <c r="I530" s="775"/>
    </row>
    <row r="531" spans="1:9" x14ac:dyDescent="0.2">
      <c r="A531" s="1059" t="s">
        <v>1694</v>
      </c>
      <c r="B531" s="1060" t="s">
        <v>1695</v>
      </c>
      <c r="C531" s="1061">
        <v>1000000</v>
      </c>
      <c r="D531" s="1131"/>
      <c r="E531" s="1061"/>
      <c r="F531" s="1132"/>
      <c r="G531" s="1061"/>
      <c r="H531" s="774"/>
      <c r="I531" s="775"/>
    </row>
    <row r="532" spans="1:9" x14ac:dyDescent="0.2">
      <c r="A532" s="1059" t="s">
        <v>1696</v>
      </c>
      <c r="B532" s="1100" t="s">
        <v>1697</v>
      </c>
      <c r="C532" s="1087">
        <v>3500000</v>
      </c>
      <c r="D532" s="1173"/>
      <c r="E532" s="1087"/>
      <c r="F532" s="1174"/>
      <c r="G532" s="1087"/>
      <c r="H532" s="774"/>
      <c r="I532" s="775"/>
    </row>
    <row r="533" spans="1:9" x14ac:dyDescent="0.2">
      <c r="A533" s="1059" t="s">
        <v>1698</v>
      </c>
      <c r="B533" s="1100" t="s">
        <v>1699</v>
      </c>
      <c r="C533" s="1087">
        <v>6687000</v>
      </c>
      <c r="D533" s="1173"/>
      <c r="E533" s="1087"/>
      <c r="F533" s="1174"/>
      <c r="G533" s="1087"/>
      <c r="H533" s="774"/>
      <c r="I533" s="775"/>
    </row>
    <row r="534" spans="1:9" x14ac:dyDescent="0.2">
      <c r="A534" s="1059" t="s">
        <v>1700</v>
      </c>
      <c r="B534" s="1100" t="s">
        <v>1701</v>
      </c>
      <c r="C534" s="1087">
        <v>0</v>
      </c>
      <c r="D534" s="1173"/>
      <c r="E534" s="1087"/>
      <c r="F534" s="1174"/>
      <c r="G534" s="1087"/>
      <c r="H534" s="774"/>
      <c r="I534" s="775"/>
    </row>
    <row r="535" spans="1:9" x14ac:dyDescent="0.2">
      <c r="A535" s="1059" t="s">
        <v>1702</v>
      </c>
      <c r="B535" s="1067" t="s">
        <v>1703</v>
      </c>
      <c r="C535" s="1068">
        <v>0</v>
      </c>
      <c r="D535" s="1171"/>
      <c r="E535" s="1068"/>
      <c r="F535" s="1172"/>
      <c r="G535" s="1068"/>
      <c r="H535" s="774"/>
      <c r="I535" s="775"/>
    </row>
    <row r="536" spans="1:9" x14ac:dyDescent="0.2">
      <c r="A536" s="1085" t="s">
        <v>1704</v>
      </c>
      <c r="B536" s="1100" t="s">
        <v>1705</v>
      </c>
      <c r="C536" s="1087">
        <v>500000</v>
      </c>
      <c r="D536" s="1173"/>
      <c r="E536" s="1087"/>
      <c r="F536" s="1174"/>
      <c r="G536" s="1087"/>
      <c r="H536" s="774"/>
      <c r="I536" s="775"/>
    </row>
    <row r="537" spans="1:9" x14ac:dyDescent="0.2">
      <c r="A537" s="1066" t="s">
        <v>1706</v>
      </c>
      <c r="B537" s="1177" t="s">
        <v>1707</v>
      </c>
      <c r="C537" s="1040">
        <v>0</v>
      </c>
      <c r="D537" s="1049"/>
      <c r="E537" s="1040"/>
      <c r="F537" s="1175"/>
      <c r="G537" s="1040"/>
      <c r="H537" s="774"/>
      <c r="I537" s="775"/>
    </row>
    <row r="538" spans="1:9" x14ac:dyDescent="0.2">
      <c r="A538" s="1184" t="s">
        <v>1708</v>
      </c>
      <c r="B538" s="1185" t="s">
        <v>1709</v>
      </c>
      <c r="C538" s="1068">
        <v>0</v>
      </c>
      <c r="D538" s="1186"/>
      <c r="E538" s="1068"/>
      <c r="F538" s="1186"/>
      <c r="G538" s="1068"/>
      <c r="H538" s="774"/>
      <c r="I538" s="775"/>
    </row>
    <row r="539" spans="1:9" x14ac:dyDescent="0.2">
      <c r="A539" s="1187" t="s">
        <v>1710</v>
      </c>
      <c r="B539" s="1188" t="s">
        <v>1711</v>
      </c>
      <c r="C539" s="1189">
        <v>3500000</v>
      </c>
      <c r="D539" s="1190"/>
      <c r="E539" s="1189"/>
      <c r="F539" s="1190"/>
      <c r="G539" s="1189"/>
      <c r="H539" s="774"/>
      <c r="I539" s="775"/>
    </row>
    <row r="540" spans="1:9" x14ac:dyDescent="0.2">
      <c r="A540" s="1085" t="s">
        <v>1712</v>
      </c>
      <c r="B540" s="1100" t="s">
        <v>1713</v>
      </c>
      <c r="C540" s="1087">
        <v>250000</v>
      </c>
      <c r="D540" s="1087"/>
      <c r="E540" s="1087"/>
      <c r="F540" s="1087"/>
      <c r="G540" s="1087"/>
      <c r="H540" s="774"/>
      <c r="I540" s="775"/>
    </row>
    <row r="541" spans="1:9" x14ac:dyDescent="0.2">
      <c r="A541" s="1085" t="s">
        <v>1714</v>
      </c>
      <c r="B541" s="1100" t="s">
        <v>1715</v>
      </c>
      <c r="C541" s="1087">
        <v>400000</v>
      </c>
      <c r="D541" s="1087"/>
      <c r="E541" s="1087"/>
      <c r="F541" s="1087"/>
      <c r="G541" s="1087"/>
      <c r="H541" s="774"/>
      <c r="I541" s="775"/>
    </row>
    <row r="542" spans="1:9" x14ac:dyDescent="0.2">
      <c r="A542" s="1191">
        <v>3634</v>
      </c>
      <c r="B542" s="709" t="s">
        <v>1716</v>
      </c>
      <c r="C542" s="731">
        <f>SUM(C543:C553)</f>
        <v>15805000</v>
      </c>
      <c r="D542" s="1084"/>
      <c r="E542" s="731"/>
      <c r="F542" s="1084"/>
      <c r="G542" s="731"/>
      <c r="H542" s="774"/>
      <c r="I542" s="775"/>
    </row>
    <row r="543" spans="1:9" ht="13.5" customHeight="1" x14ac:dyDescent="0.2">
      <c r="A543" s="1059" t="s">
        <v>1717</v>
      </c>
      <c r="B543" s="1060" t="s">
        <v>1718</v>
      </c>
      <c r="C543" s="1061">
        <v>0</v>
      </c>
      <c r="D543" s="1131"/>
      <c r="E543" s="1061"/>
      <c r="F543" s="1132"/>
      <c r="G543" s="1061"/>
      <c r="H543" s="774"/>
      <c r="I543" s="775"/>
    </row>
    <row r="544" spans="1:9" x14ac:dyDescent="0.2">
      <c r="A544" s="1176" t="s">
        <v>1719</v>
      </c>
      <c r="B544" s="1100" t="s">
        <v>1720</v>
      </c>
      <c r="C544" s="1087">
        <v>200000</v>
      </c>
      <c r="D544" s="1173"/>
      <c r="E544" s="1087"/>
      <c r="F544" s="1174"/>
      <c r="G544" s="1087"/>
      <c r="H544" s="774"/>
      <c r="I544" s="775"/>
    </row>
    <row r="545" spans="1:9" x14ac:dyDescent="0.2">
      <c r="A545" s="1176" t="s">
        <v>1721</v>
      </c>
      <c r="B545" s="1100" t="s">
        <v>1722</v>
      </c>
      <c r="C545" s="1087">
        <v>800000</v>
      </c>
      <c r="D545" s="1173"/>
      <c r="E545" s="1087"/>
      <c r="F545" s="1174"/>
      <c r="G545" s="1087"/>
      <c r="H545" s="774"/>
      <c r="I545" s="775"/>
    </row>
    <row r="546" spans="1:9" x14ac:dyDescent="0.2">
      <c r="A546" s="1176" t="s">
        <v>1723</v>
      </c>
      <c r="B546" s="1100" t="s">
        <v>1724</v>
      </c>
      <c r="C546" s="1087">
        <v>3300000</v>
      </c>
      <c r="D546" s="1171"/>
      <c r="E546" s="1068"/>
      <c r="F546" s="1172"/>
      <c r="G546" s="1087"/>
      <c r="H546" s="774"/>
      <c r="I546" s="775"/>
    </row>
    <row r="547" spans="1:9" x14ac:dyDescent="0.2">
      <c r="A547" s="1176" t="s">
        <v>1725</v>
      </c>
      <c r="B547" s="1100" t="s">
        <v>1726</v>
      </c>
      <c r="C547" s="1087">
        <v>5000</v>
      </c>
      <c r="D547" s="1173"/>
      <c r="E547" s="1087"/>
      <c r="F547" s="1174"/>
      <c r="G547" s="1087"/>
      <c r="H547" s="774"/>
      <c r="I547" s="775"/>
    </row>
    <row r="548" spans="1:9" x14ac:dyDescent="0.2">
      <c r="A548" s="1176" t="s">
        <v>1727</v>
      </c>
      <c r="B548" s="1100" t="s">
        <v>1728</v>
      </c>
      <c r="C548" s="1087">
        <v>0</v>
      </c>
      <c r="D548" s="1173"/>
      <c r="E548" s="1087"/>
      <c r="F548" s="1174"/>
      <c r="G548" s="1087"/>
      <c r="H548" s="774"/>
      <c r="I548" s="775"/>
    </row>
    <row r="549" spans="1:9" x14ac:dyDescent="0.2">
      <c r="A549" s="1176" t="s">
        <v>1729</v>
      </c>
      <c r="B549" s="1100" t="s">
        <v>1730</v>
      </c>
      <c r="C549" s="1087">
        <v>0</v>
      </c>
      <c r="D549" s="1173"/>
      <c r="E549" s="1087"/>
      <c r="F549" s="1174"/>
      <c r="G549" s="1087"/>
      <c r="H549" s="774"/>
      <c r="I549" s="775"/>
    </row>
    <row r="550" spans="1:9" x14ac:dyDescent="0.2">
      <c r="A550" s="1176" t="s">
        <v>1731</v>
      </c>
      <c r="B550" s="1100" t="s">
        <v>1732</v>
      </c>
      <c r="C550" s="1087">
        <v>0</v>
      </c>
      <c r="D550" s="1173"/>
      <c r="E550" s="1087"/>
      <c r="F550" s="1174"/>
      <c r="G550" s="1087"/>
      <c r="H550" s="774"/>
      <c r="I550" s="775"/>
    </row>
    <row r="551" spans="1:9" x14ac:dyDescent="0.2">
      <c r="A551" s="1085" t="s">
        <v>1733</v>
      </c>
      <c r="B551" s="1100" t="s">
        <v>1734</v>
      </c>
      <c r="C551" s="1087">
        <v>0</v>
      </c>
      <c r="D551" s="1192"/>
      <c r="E551" s="1190"/>
      <c r="F551" s="1193"/>
      <c r="G551" s="1087"/>
      <c r="H551" s="774"/>
      <c r="I551" s="775"/>
    </row>
    <row r="552" spans="1:9" x14ac:dyDescent="0.2">
      <c r="A552" s="1085" t="s">
        <v>1735</v>
      </c>
      <c r="B552" s="1100" t="s">
        <v>1736</v>
      </c>
      <c r="C552" s="1087">
        <v>0</v>
      </c>
      <c r="D552" s="1173"/>
      <c r="E552" s="1087"/>
      <c r="F552" s="1174"/>
      <c r="G552" s="1087"/>
      <c r="H552" s="774"/>
      <c r="I552" s="775"/>
    </row>
    <row r="553" spans="1:9" x14ac:dyDescent="0.2">
      <c r="A553" s="1176" t="s">
        <v>1737</v>
      </c>
      <c r="B553" s="1067" t="s">
        <v>1738</v>
      </c>
      <c r="C553" s="1068">
        <v>11500000</v>
      </c>
      <c r="D553" s="1171"/>
      <c r="E553" s="1194"/>
      <c r="F553" s="1172"/>
      <c r="G553" s="1068"/>
      <c r="H553" s="837"/>
      <c r="I553" s="838"/>
    </row>
    <row r="554" spans="1:9" ht="15.75" x14ac:dyDescent="0.25">
      <c r="A554" s="1195"/>
      <c r="B554" s="690" t="s">
        <v>550</v>
      </c>
      <c r="C554" s="1080">
        <f>SUM(C555,C563,C565,C571,C576)</f>
        <v>22807000</v>
      </c>
      <c r="D554" s="600"/>
      <c r="E554" s="1080"/>
      <c r="F554" s="1080"/>
      <c r="G554" s="1080"/>
      <c r="H554" s="1005"/>
    </row>
    <row r="555" spans="1:9" x14ac:dyDescent="0.2">
      <c r="A555" s="1082">
        <v>3412</v>
      </c>
      <c r="B555" s="1196" t="s">
        <v>1739</v>
      </c>
      <c r="C555" s="731">
        <f>SUM(C556:C562)</f>
        <v>13037000</v>
      </c>
      <c r="D555" s="731"/>
      <c r="E555" s="731"/>
      <c r="F555" s="731"/>
      <c r="G555" s="731"/>
      <c r="H555" s="965"/>
      <c r="I555" s="1064"/>
    </row>
    <row r="556" spans="1:9" x14ac:dyDescent="0.2">
      <c r="A556" s="1056" t="s">
        <v>1740</v>
      </c>
      <c r="B556" s="1057" t="s">
        <v>1741</v>
      </c>
      <c r="C556" s="1058">
        <v>0</v>
      </c>
      <c r="D556" s="1058"/>
      <c r="E556" s="305"/>
      <c r="F556" s="1058"/>
      <c r="G556" s="1058"/>
      <c r="H556" s="774"/>
      <c r="I556" s="775"/>
    </row>
    <row r="557" spans="1:9" x14ac:dyDescent="0.2">
      <c r="A557" s="1056" t="s">
        <v>1742</v>
      </c>
      <c r="B557" s="1057" t="s">
        <v>1743</v>
      </c>
      <c r="C557" s="1058">
        <v>0</v>
      </c>
      <c r="D557" s="1058"/>
      <c r="E557" s="305"/>
      <c r="F557" s="1058"/>
      <c r="G557" s="1058"/>
      <c r="H557" s="774"/>
      <c r="I557" s="775"/>
    </row>
    <row r="558" spans="1:9" x14ac:dyDescent="0.2">
      <c r="A558" s="1056" t="s">
        <v>1744</v>
      </c>
      <c r="B558" s="1057" t="s">
        <v>1745</v>
      </c>
      <c r="C558" s="1058">
        <v>650000</v>
      </c>
      <c r="D558" s="1058"/>
      <c r="E558" s="305"/>
      <c r="F558" s="1058"/>
      <c r="G558" s="1058"/>
      <c r="H558" s="774"/>
      <c r="I558" s="775"/>
    </row>
    <row r="559" spans="1:9" x14ac:dyDescent="0.2">
      <c r="A559" s="1056" t="s">
        <v>1746</v>
      </c>
      <c r="B559" s="1057" t="s">
        <v>1747</v>
      </c>
      <c r="C559" s="1058">
        <v>250000</v>
      </c>
      <c r="D559" s="1058"/>
      <c r="E559" s="305"/>
      <c r="F559" s="1058"/>
      <c r="G559" s="1058"/>
      <c r="H559" s="774"/>
      <c r="I559" s="775"/>
    </row>
    <row r="560" spans="1:9" x14ac:dyDescent="0.2">
      <c r="A560" s="1056" t="s">
        <v>1748</v>
      </c>
      <c r="B560" s="1065" t="s">
        <v>1749</v>
      </c>
      <c r="C560" s="1058">
        <v>137000</v>
      </c>
      <c r="D560" s="1058"/>
      <c r="E560" s="305"/>
      <c r="F560" s="1058"/>
      <c r="G560" s="1058"/>
      <c r="H560" s="774"/>
      <c r="I560" s="775"/>
    </row>
    <row r="561" spans="1:9" x14ac:dyDescent="0.2">
      <c r="A561" s="1056" t="s">
        <v>1750</v>
      </c>
      <c r="B561" s="1057" t="s">
        <v>1751</v>
      </c>
      <c r="C561" s="1058">
        <v>4000000</v>
      </c>
      <c r="D561" s="1058"/>
      <c r="E561" s="305"/>
      <c r="F561" s="1058"/>
      <c r="G561" s="1058"/>
      <c r="H561" s="774"/>
      <c r="I561" s="775"/>
    </row>
    <row r="562" spans="1:9" ht="12.75" customHeight="1" x14ac:dyDescent="0.2">
      <c r="A562" s="1056" t="s">
        <v>1752</v>
      </c>
      <c r="B562" s="1039" t="s">
        <v>1753</v>
      </c>
      <c r="C562" s="1040">
        <v>8000000</v>
      </c>
      <c r="D562" s="1040"/>
      <c r="E562" s="32"/>
      <c r="F562" s="1040"/>
      <c r="G562" s="1040"/>
      <c r="H562" s="774"/>
      <c r="I562" s="775"/>
    </row>
    <row r="563" spans="1:9" x14ac:dyDescent="0.2">
      <c r="A563" s="771">
        <v>3613</v>
      </c>
      <c r="B563" s="717" t="s">
        <v>1646</v>
      </c>
      <c r="C563" s="726">
        <f>SUM(C564:C564)</f>
        <v>300000</v>
      </c>
      <c r="D563" s="726"/>
      <c r="E563" s="726"/>
      <c r="F563" s="726"/>
      <c r="G563" s="726"/>
      <c r="H563" s="774"/>
      <c r="I563" s="775"/>
    </row>
    <row r="564" spans="1:9" ht="12.75" customHeight="1" x14ac:dyDescent="0.2">
      <c r="A564" s="1056" t="s">
        <v>558</v>
      </c>
      <c r="B564" s="1057" t="s">
        <v>1754</v>
      </c>
      <c r="C564" s="1058">
        <v>300000</v>
      </c>
      <c r="D564" s="1058"/>
      <c r="E564" s="305"/>
      <c r="F564" s="1058"/>
      <c r="G564" s="1058"/>
      <c r="H564" s="774"/>
      <c r="I564" s="775"/>
    </row>
    <row r="565" spans="1:9" ht="12.75" customHeight="1" x14ac:dyDescent="0.2">
      <c r="A565" s="771">
        <v>3631</v>
      </c>
      <c r="B565" s="717" t="s">
        <v>1755</v>
      </c>
      <c r="C565" s="726">
        <f>SUM(C566:C570)</f>
        <v>7850000</v>
      </c>
      <c r="D565" s="726"/>
      <c r="E565" s="726"/>
      <c r="F565" s="726"/>
      <c r="G565" s="726"/>
      <c r="H565" s="774"/>
      <c r="I565" s="775"/>
    </row>
    <row r="566" spans="1:9" ht="12.75" customHeight="1" x14ac:dyDescent="0.2">
      <c r="A566" s="1056" t="s">
        <v>573</v>
      </c>
      <c r="B566" s="1057" t="s">
        <v>1756</v>
      </c>
      <c r="C566" s="1058">
        <v>7600000</v>
      </c>
      <c r="D566" s="1058"/>
      <c r="E566" s="305"/>
      <c r="F566" s="1058"/>
      <c r="G566" s="1058"/>
      <c r="H566" s="774"/>
      <c r="I566" s="775"/>
    </row>
    <row r="567" spans="1:9" ht="12.75" customHeight="1" x14ac:dyDescent="0.2">
      <c r="A567" s="1056" t="s">
        <v>583</v>
      </c>
      <c r="B567" s="1057" t="s">
        <v>1757</v>
      </c>
      <c r="C567" s="1058">
        <v>0</v>
      </c>
      <c r="D567" s="1058"/>
      <c r="E567" s="305"/>
      <c r="F567" s="1058"/>
      <c r="G567" s="1058"/>
      <c r="H567" s="774"/>
      <c r="I567" s="775"/>
    </row>
    <row r="568" spans="1:9" ht="12.75" customHeight="1" x14ac:dyDescent="0.2">
      <c r="A568" s="1056" t="s">
        <v>587</v>
      </c>
      <c r="B568" s="1057" t="s">
        <v>1758</v>
      </c>
      <c r="C568" s="1058">
        <v>0</v>
      </c>
      <c r="D568" s="1058"/>
      <c r="E568" s="305"/>
      <c r="F568" s="1058"/>
      <c r="G568" s="1058"/>
      <c r="H568" s="774"/>
      <c r="I568" s="775"/>
    </row>
    <row r="569" spans="1:9" ht="12.75" customHeight="1" x14ac:dyDescent="0.2">
      <c r="A569" s="1056" t="s">
        <v>1759</v>
      </c>
      <c r="B569" s="1057" t="s">
        <v>1760</v>
      </c>
      <c r="C569" s="1058">
        <v>250000</v>
      </c>
      <c r="D569" s="1058"/>
      <c r="E569" s="305"/>
      <c r="F569" s="1058"/>
      <c r="G569" s="1058"/>
      <c r="H569" s="774"/>
      <c r="I569" s="775"/>
    </row>
    <row r="570" spans="1:9" x14ac:dyDescent="0.2">
      <c r="A570" s="1056" t="s">
        <v>591</v>
      </c>
      <c r="B570" s="1057" t="s">
        <v>1761</v>
      </c>
      <c r="C570" s="1058">
        <v>0</v>
      </c>
      <c r="D570" s="1058"/>
      <c r="E570" s="305"/>
      <c r="F570" s="1058"/>
      <c r="G570" s="1058"/>
      <c r="H570" s="774"/>
      <c r="I570" s="775"/>
    </row>
    <row r="571" spans="1:9" ht="15.75" customHeight="1" x14ac:dyDescent="0.2">
      <c r="A571" s="771">
        <v>3632</v>
      </c>
      <c r="B571" s="717" t="s">
        <v>1410</v>
      </c>
      <c r="C571" s="726">
        <f>SUM(C572:C575)</f>
        <v>1220000</v>
      </c>
      <c r="D571" s="726"/>
      <c r="E571" s="726"/>
      <c r="F571" s="726"/>
      <c r="G571" s="726"/>
      <c r="H571" s="774"/>
      <c r="I571" s="775"/>
    </row>
    <row r="572" spans="1:9" x14ac:dyDescent="0.2">
      <c r="A572" s="1056" t="s">
        <v>1762</v>
      </c>
      <c r="B572" s="1057" t="s">
        <v>1763</v>
      </c>
      <c r="C572" s="1058">
        <v>10000</v>
      </c>
      <c r="D572" s="1058"/>
      <c r="E572" s="305"/>
      <c r="F572" s="1058"/>
      <c r="G572" s="1058"/>
      <c r="H572" s="774"/>
      <c r="I572" s="775"/>
    </row>
    <row r="573" spans="1:9" x14ac:dyDescent="0.2">
      <c r="A573" s="1056" t="s">
        <v>1762</v>
      </c>
      <c r="B573" s="1065" t="s">
        <v>1764</v>
      </c>
      <c r="C573" s="1058">
        <v>5000</v>
      </c>
      <c r="D573" s="1058"/>
      <c r="E573" s="305"/>
      <c r="F573" s="1058"/>
      <c r="G573" s="1058"/>
      <c r="H573" s="774"/>
      <c r="I573" s="775"/>
    </row>
    <row r="574" spans="1:9" ht="12.75" customHeight="1" x14ac:dyDescent="0.2">
      <c r="A574" s="1056" t="s">
        <v>594</v>
      </c>
      <c r="B574" s="1065" t="s">
        <v>1765</v>
      </c>
      <c r="C574" s="1058">
        <v>1200000</v>
      </c>
      <c r="D574" s="1058"/>
      <c r="E574" s="305"/>
      <c r="F574" s="1058"/>
      <c r="G574" s="1058"/>
      <c r="H574" s="774"/>
      <c r="I574" s="775"/>
    </row>
    <row r="575" spans="1:9" x14ac:dyDescent="0.2">
      <c r="A575" s="1056" t="s">
        <v>1766</v>
      </c>
      <c r="B575" s="1065" t="s">
        <v>1767</v>
      </c>
      <c r="C575" s="1058">
        <v>5000</v>
      </c>
      <c r="D575" s="1070"/>
      <c r="E575" s="305"/>
      <c r="F575" s="1058"/>
      <c r="G575" s="1058"/>
      <c r="H575" s="774"/>
      <c r="I575" s="775"/>
    </row>
    <row r="576" spans="1:9" ht="13.5" customHeight="1" x14ac:dyDescent="0.2">
      <c r="A576" s="771">
        <v>3633</v>
      </c>
      <c r="B576" s="717" t="s">
        <v>1416</v>
      </c>
      <c r="C576" s="726">
        <f>SUM(C577:C578)</f>
        <v>400000</v>
      </c>
      <c r="D576" s="726"/>
      <c r="E576" s="726"/>
      <c r="F576" s="726"/>
      <c r="G576" s="726"/>
      <c r="H576" s="774"/>
      <c r="I576" s="775"/>
    </row>
    <row r="577" spans="1:116" ht="12.75" customHeight="1" x14ac:dyDescent="0.2">
      <c r="A577" s="1056" t="s">
        <v>598</v>
      </c>
      <c r="B577" s="1057" t="s">
        <v>599</v>
      </c>
      <c r="C577" s="1070">
        <v>0</v>
      </c>
      <c r="D577" s="1040"/>
      <c r="E577" s="1070"/>
      <c r="F577" s="1061"/>
      <c r="G577" s="1070"/>
      <c r="H577" s="774"/>
      <c r="I577" s="775"/>
    </row>
    <row r="578" spans="1:116" s="1146" customFormat="1" ht="12.75" customHeight="1" x14ac:dyDescent="0.2">
      <c r="A578" s="1066" t="s">
        <v>1768</v>
      </c>
      <c r="B578" s="1067" t="s">
        <v>1769</v>
      </c>
      <c r="C578" s="1190">
        <v>400000</v>
      </c>
      <c r="D578" s="1048"/>
      <c r="E578" s="32"/>
      <c r="F578" s="1048"/>
      <c r="G578" s="1190"/>
      <c r="H578" s="837"/>
      <c r="I578" s="838"/>
      <c r="J578" s="1"/>
      <c r="K578" s="1"/>
      <c r="L578" s="1"/>
      <c r="M578" s="1"/>
      <c r="N578" s="1"/>
      <c r="O578" s="1"/>
      <c r="P578" s="1"/>
      <c r="Q578" s="1"/>
      <c r="R578" s="1"/>
      <c r="S578" s="1"/>
      <c r="T578" s="1"/>
      <c r="U578" s="1"/>
      <c r="V578" s="1"/>
      <c r="W578" s="1"/>
      <c r="X578" s="1"/>
      <c r="Y578" s="1"/>
      <c r="Z578" s="1"/>
      <c r="AA578" s="1"/>
      <c r="AB578" s="1"/>
      <c r="AC578" s="1"/>
      <c r="AD578" s="1"/>
      <c r="AE578" s="1"/>
      <c r="AF578" s="1"/>
      <c r="AG578" s="1"/>
      <c r="AH578" s="1"/>
      <c r="AI578" s="1"/>
      <c r="AJ578" s="1"/>
      <c r="AK578" s="1"/>
      <c r="AL578" s="1"/>
      <c r="AM578" s="1"/>
      <c r="AN578" s="1"/>
      <c r="AO578" s="1"/>
      <c r="AP578" s="1"/>
      <c r="AQ578" s="1"/>
      <c r="AR578" s="1"/>
      <c r="AS578" s="1"/>
      <c r="AT578" s="1"/>
      <c r="AU578" s="1"/>
      <c r="AV578" s="1"/>
      <c r="AW578" s="1"/>
      <c r="AX578" s="1"/>
      <c r="AY578" s="1"/>
      <c r="AZ578" s="1"/>
      <c r="BA578" s="1"/>
      <c r="BB578" s="1"/>
      <c r="BC578" s="1"/>
      <c r="BD578" s="1"/>
      <c r="BE578" s="1"/>
      <c r="BF578" s="1"/>
      <c r="BG578" s="1"/>
      <c r="BH578" s="1"/>
      <c r="BI578" s="1"/>
      <c r="BJ578" s="1"/>
      <c r="BK578" s="1"/>
      <c r="BL578" s="1"/>
      <c r="BM578" s="1"/>
      <c r="BN578" s="1"/>
      <c r="BO578" s="1"/>
      <c r="BP578" s="1"/>
      <c r="BQ578" s="1"/>
      <c r="BR578" s="1"/>
      <c r="BS578" s="1"/>
      <c r="BT578" s="1"/>
      <c r="BU578" s="1"/>
      <c r="BV578" s="1"/>
      <c r="BW578" s="1"/>
      <c r="BX578" s="1"/>
      <c r="BY578" s="1"/>
      <c r="BZ578" s="1"/>
      <c r="CA578" s="1"/>
      <c r="CB578" s="1"/>
      <c r="CC578" s="1"/>
      <c r="CD578" s="1"/>
      <c r="CE578" s="1"/>
      <c r="CF578" s="1"/>
      <c r="CG578" s="1"/>
      <c r="CH578" s="1"/>
      <c r="CI578" s="1"/>
      <c r="CJ578" s="1"/>
      <c r="CK578" s="1"/>
      <c r="CL578" s="1"/>
      <c r="CM578" s="1"/>
      <c r="CN578" s="1"/>
      <c r="CO578" s="1"/>
      <c r="CP578" s="1"/>
      <c r="CQ578" s="1"/>
      <c r="CR578" s="1"/>
      <c r="CS578" s="1"/>
      <c r="CT578" s="1"/>
      <c r="CU578" s="1"/>
      <c r="CV578" s="1"/>
      <c r="CW578" s="1"/>
      <c r="CX578" s="1"/>
      <c r="CY578" s="1"/>
      <c r="CZ578" s="1"/>
      <c r="DA578" s="1"/>
      <c r="DB578" s="1"/>
      <c r="DC578" s="1"/>
      <c r="DD578" s="1"/>
      <c r="DE578" s="1"/>
      <c r="DF578" s="1"/>
      <c r="DG578" s="1"/>
      <c r="DH578" s="1"/>
      <c r="DI578" s="1"/>
      <c r="DJ578" s="1"/>
      <c r="DK578" s="1"/>
      <c r="DL578" s="1"/>
    </row>
    <row r="579" spans="1:116" ht="15" customHeight="1" x14ac:dyDescent="0.25">
      <c r="A579" s="649"/>
      <c r="B579" s="690" t="s">
        <v>1770</v>
      </c>
      <c r="C579" s="1197">
        <f>SUM(C580:C580)</f>
        <v>400000</v>
      </c>
      <c r="D579" s="288"/>
      <c r="E579" s="1198"/>
      <c r="F579" s="1198"/>
      <c r="G579" s="1197"/>
      <c r="H579" s="1005"/>
    </row>
    <row r="580" spans="1:116" ht="15" customHeight="1" x14ac:dyDescent="0.2">
      <c r="A580" s="1199" t="s">
        <v>609</v>
      </c>
      <c r="B580" s="1200" t="s">
        <v>1771</v>
      </c>
      <c r="C580" s="1201">
        <v>400000</v>
      </c>
      <c r="D580" s="1201"/>
      <c r="E580" s="1131"/>
      <c r="F580" s="1201"/>
      <c r="G580" s="1201"/>
      <c r="H580" s="965"/>
      <c r="I580" s="1064"/>
    </row>
    <row r="581" spans="1:116" x14ac:dyDescent="0.2">
      <c r="A581" s="1202"/>
      <c r="B581" s="1203"/>
      <c r="C581" s="1071"/>
      <c r="D581" s="1071"/>
      <c r="E581" s="1048"/>
      <c r="F581" s="1071"/>
      <c r="G581" s="1071"/>
      <c r="H581" s="837"/>
      <c r="I581" s="838"/>
    </row>
    <row r="582" spans="1:116" ht="20.25" x14ac:dyDescent="0.2">
      <c r="A582" s="659"/>
      <c r="B582" s="1204" t="s">
        <v>31</v>
      </c>
      <c r="C582" s="1205">
        <f>SUM(C583:C583)</f>
        <v>15000</v>
      </c>
      <c r="D582" s="1205"/>
      <c r="E582" s="1206"/>
      <c r="F582" s="1205"/>
      <c r="G582" s="1205"/>
      <c r="H582" s="1005"/>
    </row>
    <row r="583" spans="1:116" x14ac:dyDescent="0.2">
      <c r="A583" s="1207" t="s">
        <v>1772</v>
      </c>
      <c r="B583" s="1208" t="s">
        <v>1773</v>
      </c>
      <c r="C583" s="731">
        <v>15000</v>
      </c>
      <c r="D583" s="1209"/>
      <c r="E583" s="1210"/>
      <c r="F583" s="1211"/>
      <c r="G583" s="731"/>
      <c r="H583" s="965"/>
      <c r="I583" s="1064"/>
    </row>
    <row r="584" spans="1:116" s="244" customFormat="1" ht="12.75" customHeight="1" x14ac:dyDescent="0.25">
      <c r="A584" s="1212"/>
      <c r="B584" s="1213"/>
      <c r="C584" s="1042"/>
      <c r="D584" s="1214"/>
      <c r="E584" s="1041"/>
      <c r="F584" s="1042"/>
      <c r="G584" s="1042"/>
      <c r="H584" s="1215"/>
      <c r="I584" s="1216"/>
    </row>
    <row r="585" spans="1:116" s="98" customFormat="1" ht="20.25" x14ac:dyDescent="0.3">
      <c r="A585" s="649"/>
      <c r="B585" s="701" t="s">
        <v>614</v>
      </c>
      <c r="C585" s="1217">
        <f>SUM(C586:C589)</f>
        <v>15625044</v>
      </c>
      <c r="D585" s="1218"/>
      <c r="E585" s="1219"/>
      <c r="F585" s="1218"/>
      <c r="G585" s="1217"/>
      <c r="H585" s="924"/>
      <c r="I585" s="590"/>
    </row>
    <row r="586" spans="1:116" s="98" customFormat="1" ht="29.25" customHeight="1" x14ac:dyDescent="0.2">
      <c r="A586" s="764">
        <v>2141</v>
      </c>
      <c r="B586" s="1208" t="s">
        <v>1774</v>
      </c>
      <c r="C586" s="731">
        <v>871332</v>
      </c>
      <c r="D586" s="172"/>
      <c r="E586" s="181"/>
      <c r="F586" s="731"/>
      <c r="G586" s="731"/>
      <c r="H586" s="846"/>
      <c r="I586" s="847"/>
    </row>
    <row r="587" spans="1:116" s="98" customFormat="1" ht="84.75" x14ac:dyDescent="0.2">
      <c r="A587" s="771">
        <v>2143</v>
      </c>
      <c r="B587" s="725" t="s">
        <v>1775</v>
      </c>
      <c r="C587" s="731">
        <v>13609712</v>
      </c>
      <c r="D587" s="181"/>
      <c r="E587" s="181"/>
      <c r="F587" s="726"/>
      <c r="G587" s="731"/>
      <c r="H587" s="769"/>
      <c r="I587" s="770"/>
    </row>
    <row r="588" spans="1:116" s="98" customFormat="1" ht="27.75" customHeight="1" x14ac:dyDescent="0.2">
      <c r="A588" s="771">
        <v>3399</v>
      </c>
      <c r="B588" s="725" t="s">
        <v>1776</v>
      </c>
      <c r="C588" s="731">
        <v>70000</v>
      </c>
      <c r="D588" s="181"/>
      <c r="E588" s="181"/>
      <c r="F588" s="726"/>
      <c r="G588" s="731"/>
      <c r="H588" s="769"/>
      <c r="I588" s="770"/>
    </row>
    <row r="589" spans="1:116" s="98" customFormat="1" ht="29.25" customHeight="1" x14ac:dyDescent="0.2">
      <c r="A589" s="771">
        <v>6223</v>
      </c>
      <c r="B589" s="725" t="s">
        <v>1777</v>
      </c>
      <c r="C589" s="731">
        <v>1074000</v>
      </c>
      <c r="D589" s="181"/>
      <c r="E589" s="181"/>
      <c r="F589" s="731"/>
      <c r="G589" s="731"/>
      <c r="H589" s="769"/>
      <c r="I589" s="770"/>
    </row>
    <row r="590" spans="1:116" s="98" customFormat="1" x14ac:dyDescent="0.2">
      <c r="A590" s="1220"/>
      <c r="B590" s="1221"/>
      <c r="C590" s="1042"/>
      <c r="D590" s="1222"/>
      <c r="E590" s="185"/>
      <c r="F590" s="1042"/>
      <c r="G590" s="1042"/>
      <c r="H590" s="1223"/>
      <c r="I590" s="1224"/>
    </row>
    <row r="591" spans="1:116" s="98" customFormat="1" ht="20.25" x14ac:dyDescent="0.2">
      <c r="A591" s="1225"/>
      <c r="B591" s="1226" t="s">
        <v>33</v>
      </c>
      <c r="C591" s="1227">
        <f>SUM(C592,C593)</f>
        <v>11266280</v>
      </c>
      <c r="D591" s="684"/>
      <c r="E591" s="684"/>
      <c r="F591" s="1217"/>
      <c r="G591" s="1227"/>
      <c r="H591" s="924"/>
      <c r="I591" s="590"/>
    </row>
    <row r="592" spans="1:116" s="98" customFormat="1" ht="24.75" x14ac:dyDescent="0.2">
      <c r="A592" s="771">
        <v>2223</v>
      </c>
      <c r="B592" s="725" t="s">
        <v>1778</v>
      </c>
      <c r="C592" s="765">
        <v>87000</v>
      </c>
      <c r="D592" s="765"/>
      <c r="E592" s="1084"/>
      <c r="F592" s="731"/>
      <c r="G592" s="765"/>
      <c r="H592" s="846"/>
      <c r="I592" s="847"/>
    </row>
    <row r="593" spans="1:9" s="98" customFormat="1" x14ac:dyDescent="0.2">
      <c r="A593" s="771">
        <v>2292</v>
      </c>
      <c r="B593" s="717" t="s">
        <v>1779</v>
      </c>
      <c r="C593" s="731">
        <f>SUM(C594:C598)</f>
        <v>11179280</v>
      </c>
      <c r="D593" s="731"/>
      <c r="E593" s="1084"/>
      <c r="F593" s="731"/>
      <c r="G593" s="731"/>
      <c r="H593" s="769"/>
      <c r="I593" s="770"/>
    </row>
    <row r="594" spans="1:9" s="98" customFormat="1" x14ac:dyDescent="0.2">
      <c r="A594" s="771"/>
      <c r="B594" s="737" t="s">
        <v>623</v>
      </c>
      <c r="C594" s="738">
        <v>1917280</v>
      </c>
      <c r="D594" s="750"/>
      <c r="E594" s="297"/>
      <c r="F594" s="750"/>
      <c r="G594" s="738"/>
      <c r="H594" s="769"/>
      <c r="I594" s="770"/>
    </row>
    <row r="595" spans="1:9" s="98" customFormat="1" x14ac:dyDescent="0.2">
      <c r="A595" s="771"/>
      <c r="B595" s="737" t="s">
        <v>1780</v>
      </c>
      <c r="C595" s="738">
        <v>8500000</v>
      </c>
      <c r="D595" s="750"/>
      <c r="E595" s="297"/>
      <c r="F595" s="750"/>
      <c r="G595" s="738"/>
      <c r="H595" s="769"/>
      <c r="I595" s="770"/>
    </row>
    <row r="596" spans="1:9" s="98" customFormat="1" x14ac:dyDescent="0.2">
      <c r="A596" s="771"/>
      <c r="B596" s="749" t="s">
        <v>1781</v>
      </c>
      <c r="C596" s="738">
        <v>350000</v>
      </c>
      <c r="D596" s="750"/>
      <c r="E596" s="297"/>
      <c r="F596" s="750"/>
      <c r="G596" s="738"/>
      <c r="H596" s="769"/>
      <c r="I596" s="770"/>
    </row>
    <row r="597" spans="1:9" s="98" customFormat="1" x14ac:dyDescent="0.2">
      <c r="A597" s="1228"/>
      <c r="B597" s="1229" t="s">
        <v>1782</v>
      </c>
      <c r="C597" s="750">
        <v>400000</v>
      </c>
      <c r="D597" s="1230"/>
      <c r="E597" s="297"/>
      <c r="F597" s="750"/>
      <c r="G597" s="750"/>
      <c r="H597" s="769"/>
      <c r="I597" s="770"/>
    </row>
    <row r="598" spans="1:9" s="98" customFormat="1" x14ac:dyDescent="0.2">
      <c r="A598" s="899"/>
      <c r="B598" s="1231" t="s">
        <v>1783</v>
      </c>
      <c r="C598" s="1045">
        <v>12000</v>
      </c>
      <c r="D598" s="1232"/>
      <c r="E598" s="1233"/>
      <c r="F598" s="1045"/>
      <c r="G598" s="1045"/>
      <c r="H598" s="769"/>
      <c r="I598" s="770"/>
    </row>
    <row r="599" spans="1:9" s="98" customFormat="1" x14ac:dyDescent="0.2">
      <c r="A599" s="899"/>
      <c r="B599" s="1231"/>
      <c r="C599" s="1158"/>
      <c r="D599" s="1234"/>
      <c r="E599" s="32"/>
      <c r="F599" s="1040"/>
      <c r="G599" s="1158"/>
      <c r="H599" s="1223"/>
      <c r="I599" s="1224"/>
    </row>
    <row r="600" spans="1:9" s="98" customFormat="1" ht="20.25" x14ac:dyDescent="0.3">
      <c r="A600" s="649"/>
      <c r="B600" s="701" t="s">
        <v>34</v>
      </c>
      <c r="C600" s="652">
        <f>SUM(C601:C602)</f>
        <v>162000</v>
      </c>
      <c r="D600" s="652"/>
      <c r="E600" s="652"/>
      <c r="F600" s="1235"/>
      <c r="G600" s="652"/>
      <c r="H600" s="924"/>
      <c r="I600" s="590"/>
    </row>
    <row r="601" spans="1:9" s="98" customFormat="1" ht="12.75" customHeight="1" x14ac:dyDescent="0.2">
      <c r="A601" s="771">
        <v>2223</v>
      </c>
      <c r="B601" s="717" t="s">
        <v>1784</v>
      </c>
      <c r="C601" s="731">
        <v>150000</v>
      </c>
      <c r="D601" s="731"/>
      <c r="E601" s="1084"/>
      <c r="F601" s="731"/>
      <c r="G601" s="731"/>
      <c r="H601" s="846"/>
      <c r="I601" s="847"/>
    </row>
    <row r="602" spans="1:9" s="98" customFormat="1" x14ac:dyDescent="0.2">
      <c r="A602" s="771">
        <v>6171</v>
      </c>
      <c r="B602" s="717" t="s">
        <v>1785</v>
      </c>
      <c r="C602" s="731">
        <v>12000</v>
      </c>
      <c r="D602" s="726"/>
      <c r="E602" s="153"/>
      <c r="F602" s="726"/>
      <c r="G602" s="731"/>
      <c r="H602" s="769"/>
      <c r="I602" s="770"/>
    </row>
    <row r="603" spans="1:9" s="98" customFormat="1" x14ac:dyDescent="0.2">
      <c r="A603" s="1147"/>
      <c r="B603" s="1236"/>
      <c r="C603" s="1042"/>
      <c r="D603" s="1145"/>
      <c r="E603" s="325"/>
      <c r="F603" s="1042"/>
      <c r="G603" s="1042"/>
      <c r="H603" s="1223"/>
      <c r="I603" s="1224"/>
    </row>
    <row r="604" spans="1:9" s="98" customFormat="1" ht="20.25" x14ac:dyDescent="0.3">
      <c r="A604" s="1237"/>
      <c r="B604" s="1238" t="s">
        <v>630</v>
      </c>
      <c r="C604" s="1239">
        <f>SUM(C605:C607)</f>
        <v>1000000</v>
      </c>
      <c r="D604" s="1235"/>
      <c r="E604" s="652"/>
      <c r="F604" s="1235"/>
      <c r="G604" s="1239"/>
      <c r="H604" s="924"/>
      <c r="I604" s="590"/>
    </row>
    <row r="605" spans="1:9" s="98" customFormat="1" x14ac:dyDescent="0.2">
      <c r="A605" s="1144">
        <v>6118</v>
      </c>
      <c r="B605" s="764" t="s">
        <v>1786</v>
      </c>
      <c r="C605" s="1033">
        <v>0</v>
      </c>
      <c r="D605" s="726"/>
      <c r="E605" s="153"/>
      <c r="F605" s="726"/>
      <c r="G605" s="1033"/>
      <c r="H605" s="846"/>
      <c r="I605" s="847"/>
    </row>
    <row r="606" spans="1:9" s="98" customFormat="1" x14ac:dyDescent="0.2">
      <c r="A606" s="1147">
        <v>6117</v>
      </c>
      <c r="B606" s="771" t="s">
        <v>1787</v>
      </c>
      <c r="C606" s="1033">
        <v>500000</v>
      </c>
      <c r="D606" s="726"/>
      <c r="E606" s="153"/>
      <c r="F606" s="726"/>
      <c r="G606" s="1033"/>
      <c r="H606" s="769"/>
      <c r="I606" s="770"/>
    </row>
    <row r="607" spans="1:9" s="98" customFormat="1" x14ac:dyDescent="0.2">
      <c r="A607" s="1240">
        <v>6115</v>
      </c>
      <c r="B607" s="1147" t="s">
        <v>631</v>
      </c>
      <c r="C607" s="1033">
        <v>500000</v>
      </c>
      <c r="D607" s="726"/>
      <c r="E607" s="153"/>
      <c r="F607" s="1241"/>
      <c r="G607" s="1033"/>
      <c r="H607" s="769"/>
      <c r="I607" s="770"/>
    </row>
    <row r="608" spans="1:9" s="98" customFormat="1" x14ac:dyDescent="0.2">
      <c r="A608" s="1242"/>
      <c r="B608" s="1243"/>
      <c r="C608" s="1244"/>
      <c r="D608" s="758"/>
      <c r="E608" s="1245"/>
      <c r="F608" s="1145"/>
      <c r="G608" s="1244"/>
      <c r="H608" s="1223"/>
      <c r="I608" s="1224"/>
    </row>
    <row r="609" spans="1:9" customFormat="1" ht="20.25" x14ac:dyDescent="0.3">
      <c r="A609" s="659"/>
      <c r="B609" s="1246" t="s">
        <v>36</v>
      </c>
      <c r="C609" s="1247">
        <f>C610+C654+C681</f>
        <v>112714300</v>
      </c>
      <c r="D609" s="652"/>
      <c r="E609" s="662"/>
      <c r="F609" s="652"/>
      <c r="G609" s="1247"/>
      <c r="H609" s="1248"/>
      <c r="I609" s="687"/>
    </row>
    <row r="610" spans="1:9" customFormat="1" ht="15.75" x14ac:dyDescent="0.25">
      <c r="A610" s="690"/>
      <c r="B610" s="1249" t="s">
        <v>633</v>
      </c>
      <c r="C610" s="1080">
        <f>SUM(C611,C627,C652,C647)</f>
        <v>44001000</v>
      </c>
      <c r="D610" s="1080"/>
      <c r="E610" s="600"/>
      <c r="F610" s="1080"/>
      <c r="G610" s="1080"/>
      <c r="H610" s="1248"/>
      <c r="I610" s="687"/>
    </row>
    <row r="611" spans="1:9" customFormat="1" x14ac:dyDescent="0.2">
      <c r="A611" s="1250">
        <v>3111</v>
      </c>
      <c r="B611" s="1251" t="s">
        <v>634</v>
      </c>
      <c r="C611" s="1138">
        <f>SUM(C612:C614)</f>
        <v>9931000</v>
      </c>
      <c r="D611" s="1138"/>
      <c r="E611" s="1252"/>
      <c r="F611" s="1138"/>
      <c r="G611" s="1138"/>
      <c r="H611" s="1253"/>
      <c r="I611" s="1254"/>
    </row>
    <row r="612" spans="1:9" customFormat="1" x14ac:dyDescent="0.2">
      <c r="A612" s="809"/>
      <c r="B612" s="1255" t="s">
        <v>635</v>
      </c>
      <c r="C612" s="1256">
        <f t="shared" ref="C612:C614" si="21">+C616+C620+C624</f>
        <v>8544000</v>
      </c>
      <c r="D612" s="1256"/>
      <c r="E612" s="1257"/>
      <c r="F612" s="1256"/>
      <c r="G612" s="1256"/>
      <c r="H612" s="902"/>
      <c r="I612" s="815"/>
    </row>
    <row r="613" spans="1:9" customFormat="1" x14ac:dyDescent="0.2">
      <c r="A613" s="809"/>
      <c r="B613" s="1255" t="s">
        <v>1788</v>
      </c>
      <c r="C613" s="1256">
        <f t="shared" si="21"/>
        <v>937000</v>
      </c>
      <c r="D613" s="1256"/>
      <c r="E613" s="1257"/>
      <c r="F613" s="1256"/>
      <c r="G613" s="1256"/>
      <c r="H613" s="902"/>
      <c r="I613" s="815"/>
    </row>
    <row r="614" spans="1:9" customFormat="1" x14ac:dyDescent="0.2">
      <c r="A614" s="809"/>
      <c r="B614" s="1255" t="s">
        <v>1789</v>
      </c>
      <c r="C614" s="1256">
        <f t="shared" si="21"/>
        <v>450000</v>
      </c>
      <c r="D614" s="1256"/>
      <c r="E614" s="1257"/>
      <c r="F614" s="1256"/>
      <c r="G614" s="1256"/>
      <c r="H614" s="902"/>
      <c r="I614" s="815"/>
    </row>
    <row r="615" spans="1:9" customFormat="1" x14ac:dyDescent="0.2">
      <c r="A615" s="809"/>
      <c r="B615" s="1258" t="s">
        <v>1790</v>
      </c>
      <c r="C615" s="727">
        <f>C616+C617+C618</f>
        <v>2687000</v>
      </c>
      <c r="D615" s="727"/>
      <c r="E615" s="1259"/>
      <c r="F615" s="727"/>
      <c r="G615" s="727"/>
      <c r="H615" s="902"/>
      <c r="I615" s="815"/>
    </row>
    <row r="616" spans="1:9" customFormat="1" x14ac:dyDescent="0.2">
      <c r="A616" s="809"/>
      <c r="B616" s="1258" t="s">
        <v>1791</v>
      </c>
      <c r="C616" s="1260">
        <v>2673000</v>
      </c>
      <c r="D616" s="1256"/>
      <c r="E616" s="1257"/>
      <c r="F616" s="1260"/>
      <c r="G616" s="1260"/>
      <c r="H616" s="902"/>
      <c r="I616" s="815"/>
    </row>
    <row r="617" spans="1:9" customFormat="1" ht="24.75" x14ac:dyDescent="0.2">
      <c r="A617" s="809" t="s">
        <v>640</v>
      </c>
      <c r="B617" s="1258" t="s">
        <v>1792</v>
      </c>
      <c r="C617" s="1260">
        <v>14000</v>
      </c>
      <c r="D617" s="1256"/>
      <c r="E617" s="1257"/>
      <c r="F617" s="1260"/>
      <c r="G617" s="1260"/>
      <c r="H617" s="902"/>
      <c r="I617" s="815"/>
    </row>
    <row r="618" spans="1:9" customFormat="1" x14ac:dyDescent="0.2">
      <c r="A618" s="809"/>
      <c r="B618" s="1258" t="s">
        <v>1793</v>
      </c>
      <c r="C618" s="1260">
        <v>0</v>
      </c>
      <c r="D618" s="1256"/>
      <c r="E618" s="1257"/>
      <c r="F618" s="1260"/>
      <c r="G618" s="1260"/>
      <c r="H618" s="902"/>
      <c r="I618" s="815"/>
    </row>
    <row r="619" spans="1:9" customFormat="1" ht="15" x14ac:dyDescent="0.2">
      <c r="A619" s="809"/>
      <c r="B619" s="1261" t="s">
        <v>1794</v>
      </c>
      <c r="C619" s="1262">
        <f>SUM(C620:C622)</f>
        <v>4000000</v>
      </c>
      <c r="D619" s="1262"/>
      <c r="E619" s="1263"/>
      <c r="F619" s="1262"/>
      <c r="G619" s="1262"/>
      <c r="H619" s="902"/>
      <c r="I619" s="815"/>
    </row>
    <row r="620" spans="1:9" customFormat="1" x14ac:dyDescent="0.2">
      <c r="A620" s="809"/>
      <c r="B620" s="1258" t="s">
        <v>1795</v>
      </c>
      <c r="C620" s="1260">
        <f>70000+3075000</f>
        <v>3145000</v>
      </c>
      <c r="D620" s="1256"/>
      <c r="E620" s="1257"/>
      <c r="F620" s="1260"/>
      <c r="G620" s="1260"/>
      <c r="H620" s="902"/>
      <c r="I620" s="815"/>
    </row>
    <row r="621" spans="1:9" customFormat="1" ht="36.75" x14ac:dyDescent="0.2">
      <c r="A621" s="809"/>
      <c r="B621" s="1258" t="s">
        <v>1796</v>
      </c>
      <c r="C621" s="1260">
        <v>455000</v>
      </c>
      <c r="D621" s="1256"/>
      <c r="E621" s="1257"/>
      <c r="F621" s="1260"/>
      <c r="G621" s="1260"/>
      <c r="H621" s="902"/>
      <c r="I621" s="815"/>
    </row>
    <row r="622" spans="1:9" customFormat="1" x14ac:dyDescent="0.2">
      <c r="A622" s="809"/>
      <c r="B622" s="1258" t="s">
        <v>1797</v>
      </c>
      <c r="C622" s="1260">
        <v>400000</v>
      </c>
      <c r="D622" s="1256"/>
      <c r="E622" s="1257"/>
      <c r="F622" s="1260"/>
      <c r="G622" s="1260"/>
      <c r="H622" s="902"/>
      <c r="I622" s="815"/>
    </row>
    <row r="623" spans="1:9" customFormat="1" x14ac:dyDescent="0.2">
      <c r="A623" s="809"/>
      <c r="B623" s="1258" t="s">
        <v>1798</v>
      </c>
      <c r="C623" s="1262">
        <f>SUM(C624:C626)</f>
        <v>3244000</v>
      </c>
      <c r="D623" s="1264"/>
      <c r="E623" s="1265"/>
      <c r="F623" s="1262"/>
      <c r="G623" s="1262"/>
      <c r="H623" s="902"/>
      <c r="I623" s="815"/>
    </row>
    <row r="624" spans="1:9" customFormat="1" x14ac:dyDescent="0.2">
      <c r="A624" s="809"/>
      <c r="B624" s="1258" t="s">
        <v>1799</v>
      </c>
      <c r="C624" s="1260">
        <v>2726000</v>
      </c>
      <c r="D624" s="1256"/>
      <c r="E624" s="1257"/>
      <c r="F624" s="1260"/>
      <c r="G624" s="1260"/>
      <c r="H624" s="902"/>
      <c r="I624" s="815"/>
    </row>
    <row r="625" spans="1:9" customFormat="1" ht="24.75" x14ac:dyDescent="0.2">
      <c r="A625" s="809"/>
      <c r="B625" s="1258" t="s">
        <v>1800</v>
      </c>
      <c r="C625" s="1260">
        <v>468000</v>
      </c>
      <c r="D625" s="1256"/>
      <c r="E625" s="1257"/>
      <c r="F625" s="1260"/>
      <c r="G625" s="1260"/>
      <c r="H625" s="902"/>
      <c r="I625" s="815"/>
    </row>
    <row r="626" spans="1:9" customFormat="1" x14ac:dyDescent="0.2">
      <c r="A626" s="809"/>
      <c r="B626" s="1258" t="s">
        <v>1801</v>
      </c>
      <c r="C626" s="1260">
        <v>50000</v>
      </c>
      <c r="D626" s="1256"/>
      <c r="E626" s="1257"/>
      <c r="F626" s="1260"/>
      <c r="G626" s="1260"/>
      <c r="H626" s="902"/>
      <c r="I626" s="815"/>
    </row>
    <row r="627" spans="1:9" customFormat="1" x14ac:dyDescent="0.2">
      <c r="A627" s="1240">
        <v>3113</v>
      </c>
      <c r="B627" s="1266" t="s">
        <v>650</v>
      </c>
      <c r="C627" s="1262">
        <f>SUM(C628:C631)</f>
        <v>31532000</v>
      </c>
      <c r="D627" s="1262"/>
      <c r="E627" s="1263"/>
      <c r="F627" s="1262"/>
      <c r="G627" s="1262"/>
      <c r="H627" s="902"/>
      <c r="I627" s="815"/>
    </row>
    <row r="628" spans="1:9" customFormat="1" x14ac:dyDescent="0.2">
      <c r="A628" s="1240"/>
      <c r="B628" s="1258" t="s">
        <v>651</v>
      </c>
      <c r="C628" s="1260">
        <v>548000</v>
      </c>
      <c r="D628" s="1256"/>
      <c r="E628" s="1257"/>
      <c r="F628" s="1260"/>
      <c r="G628" s="1260"/>
      <c r="H628" s="902"/>
      <c r="I628" s="815"/>
    </row>
    <row r="629" spans="1:9" customFormat="1" x14ac:dyDescent="0.2">
      <c r="A629" s="809"/>
      <c r="B629" s="1258" t="s">
        <v>652</v>
      </c>
      <c r="C629" s="1256">
        <f t="shared" ref="C629:C630" si="22">+C633+C637+C640+C644</f>
        <v>26899000</v>
      </c>
      <c r="D629" s="1256"/>
      <c r="E629" s="1257"/>
      <c r="F629" s="1256"/>
      <c r="G629" s="1256"/>
      <c r="H629" s="902"/>
      <c r="I629" s="815"/>
    </row>
    <row r="630" spans="1:9" customFormat="1" x14ac:dyDescent="0.2">
      <c r="A630" s="809"/>
      <c r="B630" s="1258" t="s">
        <v>1802</v>
      </c>
      <c r="C630" s="1256">
        <f t="shared" si="22"/>
        <v>2123000</v>
      </c>
      <c r="D630" s="1256"/>
      <c r="E630" s="1257"/>
      <c r="F630" s="1256"/>
      <c r="G630" s="1256"/>
      <c r="H630" s="902"/>
      <c r="I630" s="815"/>
    </row>
    <row r="631" spans="1:9" customFormat="1" x14ac:dyDescent="0.2">
      <c r="A631" s="809"/>
      <c r="B631" s="1258" t="s">
        <v>1803</v>
      </c>
      <c r="C631" s="1256">
        <f>+C635+C642+C646</f>
        <v>1962000</v>
      </c>
      <c r="D631" s="1256"/>
      <c r="E631" s="1257"/>
      <c r="F631" s="1256"/>
      <c r="G631" s="1256"/>
      <c r="H631" s="902"/>
      <c r="I631" s="815"/>
    </row>
    <row r="632" spans="1:9" customFormat="1" x14ac:dyDescent="0.2">
      <c r="A632" s="809"/>
      <c r="B632" s="1258" t="s">
        <v>1804</v>
      </c>
      <c r="C632" s="1262">
        <f>SUM(C633:C635)</f>
        <v>10921000</v>
      </c>
      <c r="D632" s="1262"/>
      <c r="E632" s="1263"/>
      <c r="F632" s="1262"/>
      <c r="G632" s="1262"/>
      <c r="H632" s="902"/>
      <c r="I632" s="815"/>
    </row>
    <row r="633" spans="1:9" customFormat="1" x14ac:dyDescent="0.2">
      <c r="A633" s="809"/>
      <c r="B633" s="1258" t="s">
        <v>1805</v>
      </c>
      <c r="C633" s="1260">
        <v>9498000</v>
      </c>
      <c r="D633" s="1267"/>
      <c r="E633" s="1257"/>
      <c r="F633" s="1260"/>
      <c r="G633" s="1260"/>
      <c r="H633" s="902"/>
      <c r="I633" s="815"/>
    </row>
    <row r="634" spans="1:9" customFormat="1" ht="36.75" x14ac:dyDescent="0.2">
      <c r="A634" s="809"/>
      <c r="B634" s="1258" t="s">
        <v>1806</v>
      </c>
      <c r="C634" s="1260">
        <v>1131000</v>
      </c>
      <c r="D634" s="1256"/>
      <c r="E634" s="1257"/>
      <c r="F634" s="1260"/>
      <c r="G634" s="1260"/>
      <c r="H634" s="902"/>
      <c r="I634" s="815"/>
    </row>
    <row r="635" spans="1:9" customFormat="1" x14ac:dyDescent="0.2">
      <c r="A635" s="809"/>
      <c r="B635" s="1258" t="s">
        <v>1807</v>
      </c>
      <c r="C635" s="1260">
        <v>292000</v>
      </c>
      <c r="D635" s="1256"/>
      <c r="E635" s="1257"/>
      <c r="F635" s="1260"/>
      <c r="G635" s="1260"/>
      <c r="H635" s="902"/>
      <c r="I635" s="815"/>
    </row>
    <row r="636" spans="1:9" customFormat="1" x14ac:dyDescent="0.2">
      <c r="A636" s="809"/>
      <c r="B636" s="1258" t="s">
        <v>1808</v>
      </c>
      <c r="C636" s="1262">
        <f>SUM(C637:C638)</f>
        <v>5733000</v>
      </c>
      <c r="D636" s="1262"/>
      <c r="E636" s="1263"/>
      <c r="F636" s="1262"/>
      <c r="G636" s="1262"/>
      <c r="H636" s="902"/>
      <c r="I636" s="815"/>
    </row>
    <row r="637" spans="1:9" customFormat="1" x14ac:dyDescent="0.2">
      <c r="A637" s="809"/>
      <c r="B637" s="1258" t="s">
        <v>1809</v>
      </c>
      <c r="C637" s="1260">
        <v>5433000</v>
      </c>
      <c r="D637" s="1256"/>
      <c r="E637" s="1257"/>
      <c r="F637" s="1260"/>
      <c r="G637" s="1260"/>
      <c r="H637" s="902"/>
      <c r="I637" s="815"/>
    </row>
    <row r="638" spans="1:9" customFormat="1" ht="24.75" x14ac:dyDescent="0.2">
      <c r="A638" s="809"/>
      <c r="B638" s="1258" t="s">
        <v>1810</v>
      </c>
      <c r="C638" s="1260">
        <v>300000</v>
      </c>
      <c r="D638" s="1256"/>
      <c r="E638" s="1257"/>
      <c r="F638" s="1260"/>
      <c r="G638" s="1260"/>
      <c r="H638" s="902"/>
      <c r="I638" s="815"/>
    </row>
    <row r="639" spans="1:9" customFormat="1" x14ac:dyDescent="0.2">
      <c r="A639" s="809"/>
      <c r="B639" s="1258" t="s">
        <v>1811</v>
      </c>
      <c r="C639" s="1262">
        <f>SUM(C640:C642)</f>
        <v>5192000</v>
      </c>
      <c r="D639" s="1262"/>
      <c r="E639" s="1263"/>
      <c r="F639" s="1262"/>
      <c r="G639" s="1262"/>
      <c r="H639" s="902"/>
      <c r="I639" s="815"/>
    </row>
    <row r="640" spans="1:9" customFormat="1" x14ac:dyDescent="0.2">
      <c r="A640" s="809"/>
      <c r="B640" s="1258" t="s">
        <v>1812</v>
      </c>
      <c r="C640" s="1260">
        <v>4927000</v>
      </c>
      <c r="D640" s="1256"/>
      <c r="E640" s="1257"/>
      <c r="F640" s="1260"/>
      <c r="G640" s="1260"/>
      <c r="H640" s="902"/>
      <c r="I640" s="815"/>
    </row>
    <row r="641" spans="1:9" customFormat="1" ht="24.75" x14ac:dyDescent="0.2">
      <c r="A641" s="809"/>
      <c r="B641" s="1258" t="s">
        <v>1813</v>
      </c>
      <c r="C641" s="1260">
        <v>265000</v>
      </c>
      <c r="D641" s="1256"/>
      <c r="E641" s="1257"/>
      <c r="F641" s="1260"/>
      <c r="G641" s="1260"/>
      <c r="H641" s="902"/>
      <c r="I641" s="815"/>
    </row>
    <row r="642" spans="1:9" customFormat="1" ht="24.75" x14ac:dyDescent="0.2">
      <c r="A642" s="809"/>
      <c r="B642" s="1258" t="s">
        <v>1814</v>
      </c>
      <c r="C642" s="1260">
        <v>0</v>
      </c>
      <c r="D642" s="1256"/>
      <c r="E642" s="1257"/>
      <c r="F642" s="1260"/>
      <c r="G642" s="1260"/>
      <c r="H642" s="902"/>
      <c r="I642" s="815"/>
    </row>
    <row r="643" spans="1:9" customFormat="1" x14ac:dyDescent="0.2">
      <c r="A643" s="809"/>
      <c r="B643" s="1258" t="s">
        <v>1815</v>
      </c>
      <c r="C643" s="1262">
        <f>SUM(C644:C646)</f>
        <v>9138000</v>
      </c>
      <c r="D643" s="1262"/>
      <c r="E643" s="1263"/>
      <c r="F643" s="1262"/>
      <c r="G643" s="1262"/>
      <c r="H643" s="902"/>
      <c r="I643" s="815"/>
    </row>
    <row r="644" spans="1:9" customFormat="1" x14ac:dyDescent="0.2">
      <c r="A644" s="809"/>
      <c r="B644" s="1258" t="s">
        <v>1816</v>
      </c>
      <c r="C644" s="1260">
        <v>7041000</v>
      </c>
      <c r="D644" s="1256"/>
      <c r="E644" s="1268"/>
      <c r="F644" s="1260"/>
      <c r="G644" s="1260"/>
      <c r="H644" s="902"/>
      <c r="I644" s="815"/>
    </row>
    <row r="645" spans="1:9" customFormat="1" ht="24.75" x14ac:dyDescent="0.2">
      <c r="A645" s="809"/>
      <c r="B645" s="1258" t="s">
        <v>1817</v>
      </c>
      <c r="C645" s="1260">
        <v>427000</v>
      </c>
      <c r="D645" s="1269"/>
      <c r="E645" s="1270"/>
      <c r="F645" s="1260"/>
      <c r="G645" s="1260"/>
      <c r="H645" s="902"/>
      <c r="I645" s="815"/>
    </row>
    <row r="646" spans="1:9" customFormat="1" ht="25.5" x14ac:dyDescent="0.2">
      <c r="A646" s="809"/>
      <c r="B646" s="1258" t="s">
        <v>1818</v>
      </c>
      <c r="C646" s="1260">
        <v>1670000</v>
      </c>
      <c r="D646" s="1256"/>
      <c r="E646" s="1257"/>
      <c r="F646" s="1260"/>
      <c r="G646" s="1260"/>
      <c r="H646" s="902"/>
      <c r="I646" s="815"/>
    </row>
    <row r="647" spans="1:9" customFormat="1" x14ac:dyDescent="0.2">
      <c r="A647" s="1240">
        <v>3233</v>
      </c>
      <c r="B647" s="1266" t="s">
        <v>671</v>
      </c>
      <c r="C647" s="1262">
        <f>C648</f>
        <v>2458000</v>
      </c>
      <c r="D647" s="1262"/>
      <c r="E647" s="1263"/>
      <c r="F647" s="1262"/>
      <c r="G647" s="1262"/>
      <c r="H647" s="902"/>
      <c r="I647" s="815"/>
    </row>
    <row r="648" spans="1:9" customFormat="1" x14ac:dyDescent="0.2">
      <c r="A648" s="1240"/>
      <c r="B648" s="1258" t="s">
        <v>1819</v>
      </c>
      <c r="C648" s="1256">
        <f>SUM(C649:C651)</f>
        <v>2458000</v>
      </c>
      <c r="D648" s="1256"/>
      <c r="E648" s="1256"/>
      <c r="F648" s="1256"/>
      <c r="G648" s="1256"/>
      <c r="H648" s="902"/>
      <c r="I648" s="815"/>
    </row>
    <row r="649" spans="1:9" customFormat="1" x14ac:dyDescent="0.2">
      <c r="A649" s="1240"/>
      <c r="B649" s="1258" t="s">
        <v>1820</v>
      </c>
      <c r="C649" s="1260">
        <v>2458000</v>
      </c>
      <c r="D649" s="1256"/>
      <c r="E649" s="1257"/>
      <c r="F649" s="1260"/>
      <c r="G649" s="1260"/>
      <c r="H649" s="902"/>
      <c r="I649" s="815"/>
    </row>
    <row r="650" spans="1:9" customFormat="1" ht="25.5" x14ac:dyDescent="0.2">
      <c r="A650" s="1240"/>
      <c r="B650" s="1258" t="s">
        <v>1821</v>
      </c>
      <c r="C650" s="1260">
        <v>0</v>
      </c>
      <c r="D650" s="1256"/>
      <c r="E650" s="1257"/>
      <c r="F650" s="1260"/>
      <c r="G650" s="1260"/>
      <c r="H650" s="902"/>
      <c r="I650" s="815"/>
    </row>
    <row r="651" spans="1:9" customFormat="1" x14ac:dyDescent="0.2">
      <c r="A651" s="1240"/>
      <c r="B651" s="1258" t="s">
        <v>1822</v>
      </c>
      <c r="C651" s="1260">
        <v>0</v>
      </c>
      <c r="D651" s="1271"/>
      <c r="E651" s="1272"/>
      <c r="F651" s="1260"/>
      <c r="G651" s="1260"/>
      <c r="H651" s="902"/>
      <c r="I651" s="815"/>
    </row>
    <row r="652" spans="1:9" customFormat="1" x14ac:dyDescent="0.2">
      <c r="A652" s="1240">
        <v>3419</v>
      </c>
      <c r="B652" s="1266" t="s">
        <v>1823</v>
      </c>
      <c r="C652" s="1273">
        <v>80000</v>
      </c>
      <c r="D652" s="1273"/>
      <c r="E652" s="1274"/>
      <c r="F652" s="1273"/>
      <c r="G652" s="1273"/>
      <c r="H652" s="902"/>
      <c r="I652" s="815"/>
    </row>
    <row r="653" spans="1:9" customFormat="1" x14ac:dyDescent="0.2">
      <c r="A653" s="1147"/>
      <c r="B653" s="1275"/>
      <c r="C653" s="1276"/>
      <c r="D653" s="1276"/>
      <c r="E653" s="1277"/>
      <c r="F653" s="1276"/>
      <c r="G653" s="1276"/>
      <c r="H653" s="1278"/>
      <c r="I653" s="1279"/>
    </row>
    <row r="654" spans="1:9" customFormat="1" ht="15.75" x14ac:dyDescent="0.25">
      <c r="A654" s="690"/>
      <c r="B654" s="1249" t="s">
        <v>677</v>
      </c>
      <c r="C654" s="1280">
        <f>SUM(C655,C659,C662,C668,C671,C678)</f>
        <v>43723000</v>
      </c>
      <c r="D654" s="1281"/>
      <c r="E654" s="1282"/>
      <c r="F654" s="1280"/>
      <c r="G654" s="1280"/>
      <c r="H654" s="1248"/>
      <c r="I654" s="687"/>
    </row>
    <row r="655" spans="1:9" customFormat="1" x14ac:dyDescent="0.2">
      <c r="A655" s="1283">
        <v>3311</v>
      </c>
      <c r="B655" s="1284" t="s">
        <v>1824</v>
      </c>
      <c r="C655" s="1273">
        <f>SUM(C656:C658)</f>
        <v>14219000</v>
      </c>
      <c r="D655" s="1273"/>
      <c r="E655" s="1285"/>
      <c r="F655" s="1273"/>
      <c r="G655" s="1273"/>
      <c r="H655" s="1253"/>
      <c r="I655" s="1254"/>
    </row>
    <row r="656" spans="1:9" customFormat="1" x14ac:dyDescent="0.2">
      <c r="A656" s="1286"/>
      <c r="B656" s="1287" t="s">
        <v>1825</v>
      </c>
      <c r="C656" s="1260">
        <v>14219000</v>
      </c>
      <c r="D656" s="1288"/>
      <c r="E656" s="1288"/>
      <c r="F656" s="1260"/>
      <c r="G656" s="1260"/>
      <c r="H656" s="902"/>
      <c r="I656" s="815"/>
    </row>
    <row r="657" spans="1:9" customFormat="1" x14ac:dyDescent="0.2">
      <c r="A657" s="1286"/>
      <c r="B657" s="1287" t="s">
        <v>1826</v>
      </c>
      <c r="C657" s="1260">
        <v>0</v>
      </c>
      <c r="D657" s="1288"/>
      <c r="E657" s="1288"/>
      <c r="F657" s="1260"/>
      <c r="G657" s="1260"/>
      <c r="H657" s="902"/>
      <c r="I657" s="815"/>
    </row>
    <row r="658" spans="1:9" customFormat="1" x14ac:dyDescent="0.2">
      <c r="A658" s="1286"/>
      <c r="B658" s="1258" t="s">
        <v>1827</v>
      </c>
      <c r="C658" s="1260">
        <v>0</v>
      </c>
      <c r="D658" s="1288"/>
      <c r="E658" s="1288"/>
      <c r="F658" s="1260"/>
      <c r="G658" s="1260"/>
      <c r="H658" s="902"/>
      <c r="I658" s="815"/>
    </row>
    <row r="659" spans="1:9" customFormat="1" x14ac:dyDescent="0.2">
      <c r="A659" s="1289">
        <v>3319</v>
      </c>
      <c r="B659" s="1290" t="s">
        <v>682</v>
      </c>
      <c r="C659" s="1262">
        <f>SUM(C660:C661)</f>
        <v>1120000</v>
      </c>
      <c r="D659" s="1262"/>
      <c r="E659" s="1291"/>
      <c r="F659" s="1262"/>
      <c r="G659" s="1262"/>
      <c r="H659" s="902"/>
      <c r="I659" s="815"/>
    </row>
    <row r="660" spans="1:9" customFormat="1" x14ac:dyDescent="0.2">
      <c r="A660" s="1289"/>
      <c r="B660" s="1287" t="s">
        <v>1828</v>
      </c>
      <c r="C660" s="1260">
        <v>470000</v>
      </c>
      <c r="D660" s="1292"/>
      <c r="E660" s="1288"/>
      <c r="F660" s="1260"/>
      <c r="G660" s="1260"/>
      <c r="H660" s="902"/>
      <c r="I660" s="815"/>
    </row>
    <row r="661" spans="1:9" customFormat="1" x14ac:dyDescent="0.2">
      <c r="A661" s="1289"/>
      <c r="B661" s="1293" t="s">
        <v>684</v>
      </c>
      <c r="C661" s="1260">
        <v>650000</v>
      </c>
      <c r="D661" s="1288"/>
      <c r="E661" s="1288"/>
      <c r="F661" s="1260"/>
      <c r="G661" s="1260"/>
      <c r="H661" s="902"/>
      <c r="I661" s="815"/>
    </row>
    <row r="662" spans="1:9" customFormat="1" x14ac:dyDescent="0.2">
      <c r="A662" s="1289" t="s">
        <v>1829</v>
      </c>
      <c r="B662" s="1290" t="s">
        <v>685</v>
      </c>
      <c r="C662" s="1262">
        <f>C663+C665+C666+C667+C664</f>
        <v>593000</v>
      </c>
      <c r="D662" s="1262"/>
      <c r="E662" s="1291"/>
      <c r="F662" s="1262"/>
      <c r="G662" s="1262"/>
      <c r="H662" s="902"/>
      <c r="I662" s="815"/>
    </row>
    <row r="663" spans="1:9" customFormat="1" x14ac:dyDescent="0.2">
      <c r="A663" s="1286"/>
      <c r="B663" s="1287" t="s">
        <v>1830</v>
      </c>
      <c r="C663" s="1260">
        <v>120000</v>
      </c>
      <c r="D663" s="1288"/>
      <c r="E663" s="1288"/>
      <c r="F663" s="1260"/>
      <c r="G663" s="1260"/>
      <c r="H663" s="902"/>
      <c r="I663" s="815"/>
    </row>
    <row r="664" spans="1:9" customFormat="1" x14ac:dyDescent="0.2">
      <c r="A664" s="1286"/>
      <c r="B664" s="1287" t="s">
        <v>1831</v>
      </c>
      <c r="C664" s="1260">
        <v>5000</v>
      </c>
      <c r="D664" s="1288"/>
      <c r="E664" s="1288"/>
      <c r="F664" s="1260"/>
      <c r="G664" s="1260"/>
      <c r="H664" s="902"/>
      <c r="I664" s="815"/>
    </row>
    <row r="665" spans="1:9" customFormat="1" x14ac:dyDescent="0.2">
      <c r="A665" s="1286"/>
      <c r="B665" s="1287" t="s">
        <v>1832</v>
      </c>
      <c r="C665" s="1260">
        <v>100000</v>
      </c>
      <c r="D665" s="1288"/>
      <c r="E665" s="1288"/>
      <c r="F665" s="1260"/>
      <c r="G665" s="1260"/>
      <c r="H665" s="902"/>
      <c r="I665" s="815"/>
    </row>
    <row r="666" spans="1:9" customFormat="1" ht="25.5" x14ac:dyDescent="0.2">
      <c r="A666" s="1286"/>
      <c r="B666" s="1287" t="s">
        <v>1833</v>
      </c>
      <c r="C666" s="1260">
        <v>168000</v>
      </c>
      <c r="D666" s="1288"/>
      <c r="E666" s="1288"/>
      <c r="F666" s="1260"/>
      <c r="G666" s="1260"/>
      <c r="H666" s="902"/>
      <c r="I666" s="815"/>
    </row>
    <row r="667" spans="1:9" customFormat="1" x14ac:dyDescent="0.2">
      <c r="A667" s="1286"/>
      <c r="B667" s="1287" t="s">
        <v>1834</v>
      </c>
      <c r="C667" s="1260">
        <v>200000</v>
      </c>
      <c r="D667" s="1288"/>
      <c r="E667" s="1288"/>
      <c r="F667" s="1260"/>
      <c r="G667" s="1260"/>
      <c r="H667" s="902"/>
      <c r="I667" s="815"/>
    </row>
    <row r="668" spans="1:9" customFormat="1" x14ac:dyDescent="0.2">
      <c r="A668" s="1289" t="s">
        <v>1835</v>
      </c>
      <c r="B668" s="1290" t="s">
        <v>690</v>
      </c>
      <c r="C668" s="1262">
        <f>C669+C670</f>
        <v>555000</v>
      </c>
      <c r="D668" s="1262"/>
      <c r="E668" s="1291"/>
      <c r="F668" s="1262"/>
      <c r="G668" s="1262"/>
      <c r="H668" s="902"/>
      <c r="I668" s="815"/>
    </row>
    <row r="669" spans="1:9" customFormat="1" ht="25.5" x14ac:dyDescent="0.2">
      <c r="A669" s="1286"/>
      <c r="B669" s="1287" t="s">
        <v>1836</v>
      </c>
      <c r="C669" s="1260">
        <v>540000</v>
      </c>
      <c r="D669" s="1288"/>
      <c r="E669" s="1288"/>
      <c r="F669" s="1260"/>
      <c r="G669" s="1260"/>
      <c r="H669" s="902"/>
      <c r="I669" s="815"/>
    </row>
    <row r="670" spans="1:9" customFormat="1" x14ac:dyDescent="0.2">
      <c r="A670" s="1286"/>
      <c r="B670" s="1287" t="s">
        <v>1837</v>
      </c>
      <c r="C670" s="1260">
        <v>15000</v>
      </c>
      <c r="D670" s="1288"/>
      <c r="E670" s="1288"/>
      <c r="F670" s="1260"/>
      <c r="G670" s="1260"/>
      <c r="H670" s="902"/>
      <c r="I670" s="815"/>
    </row>
    <row r="671" spans="1:9" customFormat="1" x14ac:dyDescent="0.2">
      <c r="A671" s="1289">
        <v>3392</v>
      </c>
      <c r="B671" s="1290" t="s">
        <v>693</v>
      </c>
      <c r="C671" s="1262">
        <f>C673+C672</f>
        <v>26946000</v>
      </c>
      <c r="D671" s="1262"/>
      <c r="E671" s="1291"/>
      <c r="F671" s="1262"/>
      <c r="G671" s="1262"/>
      <c r="H671" s="902"/>
      <c r="I671" s="815"/>
    </row>
    <row r="672" spans="1:9" customFormat="1" x14ac:dyDescent="0.2">
      <c r="A672" s="1289"/>
      <c r="B672" s="1287" t="s">
        <v>694</v>
      </c>
      <c r="C672" s="1260">
        <v>26000</v>
      </c>
      <c r="D672" s="1288"/>
      <c r="E672" s="1288"/>
      <c r="F672" s="1260"/>
      <c r="G672" s="1260"/>
      <c r="H672" s="902"/>
      <c r="I672" s="815"/>
    </row>
    <row r="673" spans="1:9" customFormat="1" x14ac:dyDescent="0.2">
      <c r="A673" s="1286"/>
      <c r="B673" s="1287" t="s">
        <v>1838</v>
      </c>
      <c r="C673" s="1262">
        <f>SUM(C674+C677+C676)</f>
        <v>26920000</v>
      </c>
      <c r="D673" s="1262"/>
      <c r="E673" s="1291"/>
      <c r="F673" s="1262"/>
      <c r="G673" s="1262"/>
      <c r="H673" s="902"/>
      <c r="I673" s="815"/>
    </row>
    <row r="674" spans="1:9" customFormat="1" x14ac:dyDescent="0.2">
      <c r="A674" s="1286"/>
      <c r="B674" s="1287" t="s">
        <v>1839</v>
      </c>
      <c r="C674" s="1260">
        <v>26920000</v>
      </c>
      <c r="D674" s="1288"/>
      <c r="E674" s="1288"/>
      <c r="F674" s="1260"/>
      <c r="G674" s="1260"/>
      <c r="H674" s="902"/>
      <c r="I674" s="815"/>
    </row>
    <row r="675" spans="1:9" customFormat="1" x14ac:dyDescent="0.2">
      <c r="A675" s="1286"/>
      <c r="B675" s="1287" t="s">
        <v>697</v>
      </c>
      <c r="C675" s="1260"/>
      <c r="D675" s="1288"/>
      <c r="E675" s="1288"/>
      <c r="F675" s="1260"/>
      <c r="G675" s="1260"/>
      <c r="H675" s="902"/>
      <c r="I675" s="815"/>
    </row>
    <row r="676" spans="1:9" customFormat="1" ht="25.5" x14ac:dyDescent="0.2">
      <c r="A676" s="1286"/>
      <c r="B676" s="1287" t="s">
        <v>1840</v>
      </c>
      <c r="C676" s="1260">
        <v>0</v>
      </c>
      <c r="D676" s="1288"/>
      <c r="E676" s="1288"/>
      <c r="F676" s="1260"/>
      <c r="G676" s="1260"/>
      <c r="H676" s="902"/>
      <c r="I676" s="815"/>
    </row>
    <row r="677" spans="1:9" customFormat="1" ht="36.75" x14ac:dyDescent="0.2">
      <c r="A677" s="1286"/>
      <c r="B677" s="1287" t="s">
        <v>1841</v>
      </c>
      <c r="C677" s="1260">
        <v>0</v>
      </c>
      <c r="D677" s="1288"/>
      <c r="E677" s="1288"/>
      <c r="F677" s="1260"/>
      <c r="G677" s="1260"/>
      <c r="H677" s="902"/>
      <c r="I677" s="815"/>
    </row>
    <row r="678" spans="1:9" customFormat="1" x14ac:dyDescent="0.2">
      <c r="A678" s="1289">
        <v>3399</v>
      </c>
      <c r="B678" s="1290" t="s">
        <v>700</v>
      </c>
      <c r="C678" s="1262">
        <f>C679</f>
        <v>290000</v>
      </c>
      <c r="D678" s="1262"/>
      <c r="E678" s="1291"/>
      <c r="F678" s="1262"/>
      <c r="G678" s="1262"/>
      <c r="H678" s="902"/>
      <c r="I678" s="815"/>
    </row>
    <row r="679" spans="1:9" customFormat="1" x14ac:dyDescent="0.2">
      <c r="A679" s="1286"/>
      <c r="B679" s="1287" t="s">
        <v>701</v>
      </c>
      <c r="C679" s="1260">
        <v>290000</v>
      </c>
      <c r="D679" s="1294"/>
      <c r="E679" s="1294"/>
      <c r="F679" s="1294"/>
      <c r="G679" s="1260"/>
      <c r="H679" s="902"/>
      <c r="I679" s="815"/>
    </row>
    <row r="680" spans="1:9" customFormat="1" x14ac:dyDescent="0.2">
      <c r="A680" s="1295"/>
      <c r="B680" s="1296"/>
      <c r="C680" s="1271"/>
      <c r="D680" s="1297"/>
      <c r="E680" s="1298"/>
      <c r="F680" s="1271"/>
      <c r="G680" s="1271"/>
      <c r="H680" s="1278"/>
      <c r="I680" s="1279"/>
    </row>
    <row r="681" spans="1:9" customFormat="1" ht="15.75" x14ac:dyDescent="0.25">
      <c r="A681" s="690"/>
      <c r="B681" s="1062" t="s">
        <v>702</v>
      </c>
      <c r="C681" s="1299">
        <f>C682</f>
        <v>24990300</v>
      </c>
      <c r="D681" s="1299"/>
      <c r="E681" s="1300"/>
      <c r="F681" s="1299"/>
      <c r="G681" s="1299"/>
      <c r="H681" s="1248"/>
      <c r="I681" s="687"/>
    </row>
    <row r="682" spans="1:9" customFormat="1" x14ac:dyDescent="0.2">
      <c r="A682" s="1240"/>
      <c r="B682" s="1251" t="s">
        <v>703</v>
      </c>
      <c r="C682" s="1301">
        <f>SUM(C683:C692)</f>
        <v>24990300</v>
      </c>
      <c r="D682" s="1301"/>
      <c r="E682" s="1302"/>
      <c r="F682" s="1301"/>
      <c r="G682" s="1301"/>
      <c r="H682" s="1253"/>
      <c r="I682" s="1254"/>
    </row>
    <row r="683" spans="1:9" customFormat="1" x14ac:dyDescent="0.2">
      <c r="A683" s="809"/>
      <c r="B683" s="1258" t="s">
        <v>704</v>
      </c>
      <c r="C683" s="1260">
        <v>1070000</v>
      </c>
      <c r="D683" s="1288"/>
      <c r="E683" s="1260"/>
      <c r="F683" s="1260"/>
      <c r="G683" s="1260"/>
      <c r="H683" s="902"/>
      <c r="I683" s="815"/>
    </row>
    <row r="684" spans="1:9" customFormat="1" x14ac:dyDescent="0.2">
      <c r="A684" s="809"/>
      <c r="B684" s="1258" t="s">
        <v>705</v>
      </c>
      <c r="C684" s="1260">
        <v>193100</v>
      </c>
      <c r="D684" s="1288"/>
      <c r="E684" s="1260"/>
      <c r="F684" s="1260"/>
      <c r="G684" s="1260"/>
      <c r="H684" s="902"/>
      <c r="I684" s="815"/>
    </row>
    <row r="685" spans="1:9" customFormat="1" x14ac:dyDescent="0.2">
      <c r="A685" s="809"/>
      <c r="B685" s="1258" t="s">
        <v>706</v>
      </c>
      <c r="C685" s="1260">
        <f>5000000-10000</f>
        <v>4990000</v>
      </c>
      <c r="D685" s="1288"/>
      <c r="E685" s="1260"/>
      <c r="F685" s="1260"/>
      <c r="G685" s="1260"/>
      <c r="H685" s="902"/>
      <c r="I685" s="815"/>
    </row>
    <row r="686" spans="1:9" customFormat="1" x14ac:dyDescent="0.2">
      <c r="A686" s="809"/>
      <c r="B686" s="1258" t="s">
        <v>707</v>
      </c>
      <c r="C686" s="1260">
        <v>7250000</v>
      </c>
      <c r="D686" s="1288"/>
      <c r="E686" s="1260"/>
      <c r="F686" s="1260"/>
      <c r="G686" s="1260"/>
      <c r="H686" s="902"/>
      <c r="I686" s="815"/>
    </row>
    <row r="687" spans="1:9" customFormat="1" x14ac:dyDescent="0.2">
      <c r="A687" s="809"/>
      <c r="B687" s="1258" t="s">
        <v>708</v>
      </c>
      <c r="C687" s="1260">
        <v>50000</v>
      </c>
      <c r="D687" s="1288"/>
      <c r="E687" s="1260"/>
      <c r="F687" s="1260"/>
      <c r="G687" s="1260"/>
      <c r="H687" s="902"/>
      <c r="I687" s="815"/>
    </row>
    <row r="688" spans="1:9" customFormat="1" x14ac:dyDescent="0.2">
      <c r="A688" s="809"/>
      <c r="B688" s="1258" t="s">
        <v>709</v>
      </c>
      <c r="C688" s="1260">
        <f>8500000-15000</f>
        <v>8485000</v>
      </c>
      <c r="D688" s="1292"/>
      <c r="E688" s="1260"/>
      <c r="F688" s="1260"/>
      <c r="G688" s="1260"/>
      <c r="H688" s="902"/>
      <c r="I688" s="815"/>
    </row>
    <row r="689" spans="1:9" customFormat="1" x14ac:dyDescent="0.2">
      <c r="A689" s="809"/>
      <c r="B689" s="1258" t="s">
        <v>712</v>
      </c>
      <c r="C689" s="1260">
        <v>963000</v>
      </c>
      <c r="D689" s="1288"/>
      <c r="E689" s="1260"/>
      <c r="F689" s="1260"/>
      <c r="G689" s="1260"/>
      <c r="H689" s="902"/>
      <c r="I689" s="815"/>
    </row>
    <row r="690" spans="1:9" customFormat="1" x14ac:dyDescent="0.2">
      <c r="A690" s="809"/>
      <c r="B690" s="1258" t="s">
        <v>713</v>
      </c>
      <c r="C690" s="1260">
        <v>143000</v>
      </c>
      <c r="D690" s="1288"/>
      <c r="E690" s="1260"/>
      <c r="F690" s="1260"/>
      <c r="G690" s="1260"/>
      <c r="H690" s="902"/>
      <c r="I690" s="815"/>
    </row>
    <row r="691" spans="1:9" customFormat="1" x14ac:dyDescent="0.2">
      <c r="A691" s="809"/>
      <c r="B691" s="1258" t="s">
        <v>714</v>
      </c>
      <c r="C691" s="1260">
        <v>966500</v>
      </c>
      <c r="D691" s="1292"/>
      <c r="E691" s="1260"/>
      <c r="F691" s="1260"/>
      <c r="G691" s="1260"/>
      <c r="H691" s="902"/>
      <c r="I691" s="815"/>
    </row>
    <row r="692" spans="1:9" customFormat="1" ht="36.75" x14ac:dyDescent="0.2">
      <c r="A692" s="1240"/>
      <c r="B692" s="1258" t="s">
        <v>1842</v>
      </c>
      <c r="C692" s="1260">
        <f>909700-30000</f>
        <v>879700</v>
      </c>
      <c r="D692" s="1288"/>
      <c r="E692" s="1260"/>
      <c r="F692" s="1260"/>
      <c r="G692" s="1260"/>
      <c r="H692" s="902"/>
      <c r="I692" s="815"/>
    </row>
    <row r="693" spans="1:9" ht="14.25" x14ac:dyDescent="0.2">
      <c r="A693" s="771"/>
      <c r="B693" s="1303"/>
      <c r="C693" s="1271"/>
      <c r="D693" s="1304"/>
      <c r="E693" s="1305"/>
      <c r="F693" s="1306"/>
      <c r="G693" s="1271"/>
      <c r="H693" s="837"/>
      <c r="I693" s="838"/>
    </row>
    <row r="694" spans="1:9" ht="21" customHeight="1" x14ac:dyDescent="0.3">
      <c r="A694" s="649"/>
      <c r="B694" s="701" t="s">
        <v>716</v>
      </c>
      <c r="C694" s="1307">
        <f>C695</f>
        <v>27924400</v>
      </c>
      <c r="D694" s="1308"/>
      <c r="E694" s="1309"/>
      <c r="F694" s="1310"/>
      <c r="G694" s="1307"/>
      <c r="H694" s="1005"/>
    </row>
    <row r="695" spans="1:9" x14ac:dyDescent="0.2">
      <c r="A695" s="771">
        <v>5311</v>
      </c>
      <c r="B695" s="717" t="s">
        <v>717</v>
      </c>
      <c r="C695" s="1311">
        <f>SUM(C696)</f>
        <v>27924400</v>
      </c>
      <c r="D695" s="1312"/>
      <c r="E695" s="1312"/>
      <c r="F695" s="1312"/>
      <c r="G695" s="1311"/>
      <c r="H695" s="966"/>
      <c r="I695" s="1064"/>
    </row>
    <row r="696" spans="1:9" ht="76.5" x14ac:dyDescent="0.2">
      <c r="A696" s="771"/>
      <c r="B696" s="749" t="s">
        <v>1843</v>
      </c>
      <c r="C696" s="1313">
        <f>(18400+4538.4+1647+0+5+350+2+163+143+35+264+1+245+30+3+77+3+1490-750+275+200+17+50+10+150+6+170+150+250)*1000</f>
        <v>27924400</v>
      </c>
      <c r="D696" s="1314"/>
      <c r="E696" s="1315"/>
      <c r="F696" s="1316"/>
      <c r="G696" s="1313"/>
      <c r="H696" s="1317"/>
      <c r="I696" s="775"/>
    </row>
    <row r="697" spans="1:9" x14ac:dyDescent="0.2">
      <c r="A697" s="682"/>
      <c r="B697" s="1318"/>
      <c r="C697" s="1319"/>
      <c r="D697" s="1320"/>
      <c r="E697" s="1321"/>
      <c r="F697" s="1322"/>
      <c r="G697" s="1319"/>
      <c r="H697" s="979"/>
      <c r="I697" s="838"/>
    </row>
    <row r="698" spans="1:9" ht="20.25" x14ac:dyDescent="0.3">
      <c r="A698" s="649"/>
      <c r="B698" s="701" t="s">
        <v>41</v>
      </c>
      <c r="C698" s="1323">
        <f>SUM(C699:C706)+C714+C715</f>
        <v>35630624</v>
      </c>
      <c r="D698" s="1324"/>
      <c r="E698" s="1325"/>
      <c r="F698" s="1323"/>
      <c r="G698" s="1323"/>
      <c r="H698" s="1326"/>
    </row>
    <row r="699" spans="1:9" ht="36.75" x14ac:dyDescent="0.2">
      <c r="A699" s="1151">
        <v>3429</v>
      </c>
      <c r="B699" s="749" t="s">
        <v>1844</v>
      </c>
      <c r="C699" s="1327">
        <v>982000</v>
      </c>
      <c r="D699" s="1312"/>
      <c r="E699" s="1312"/>
      <c r="F699" s="1328"/>
      <c r="G699" s="1327"/>
      <c r="H699" s="1329"/>
      <c r="I699" s="1064"/>
    </row>
    <row r="700" spans="1:9" s="98" customFormat="1" ht="36.75" x14ac:dyDescent="0.2">
      <c r="A700" s="764">
        <v>5212</v>
      </c>
      <c r="B700" s="1208" t="s">
        <v>1845</v>
      </c>
      <c r="C700" s="1311">
        <v>110000</v>
      </c>
      <c r="D700" s="1312"/>
      <c r="E700" s="1312"/>
      <c r="F700" s="1328"/>
      <c r="G700" s="1311"/>
      <c r="H700" s="1330"/>
      <c r="I700" s="770"/>
    </row>
    <row r="701" spans="1:9" s="244" customFormat="1" ht="36.75" x14ac:dyDescent="0.25">
      <c r="A701" s="771">
        <v>5213</v>
      </c>
      <c r="B701" s="725" t="s">
        <v>1846</v>
      </c>
      <c r="C701" s="1311">
        <v>200000</v>
      </c>
      <c r="D701" s="1331"/>
      <c r="E701" s="1331"/>
      <c r="F701" s="1332"/>
      <c r="G701" s="1311"/>
      <c r="H701" s="1330"/>
      <c r="I701" s="1333"/>
    </row>
    <row r="702" spans="1:9" s="98" customFormat="1" ht="24.75" x14ac:dyDescent="0.2">
      <c r="A702" s="771">
        <v>5273</v>
      </c>
      <c r="B702" s="725" t="s">
        <v>1847</v>
      </c>
      <c r="C702" s="1311">
        <v>5000</v>
      </c>
      <c r="D702" s="1331"/>
      <c r="E702" s="1331"/>
      <c r="F702" s="1332"/>
      <c r="G702" s="1311"/>
      <c r="H702" s="1330"/>
      <c r="I702" s="770"/>
    </row>
    <row r="703" spans="1:9" s="244" customFormat="1" ht="22.5" customHeight="1" x14ac:dyDescent="0.25">
      <c r="A703" s="771">
        <v>5511</v>
      </c>
      <c r="B703" s="725" t="s">
        <v>1848</v>
      </c>
      <c r="C703" s="1311">
        <v>2300000</v>
      </c>
      <c r="D703" s="1331"/>
      <c r="E703" s="1331"/>
      <c r="F703" s="1332"/>
      <c r="G703" s="1311"/>
      <c r="H703" s="1330"/>
      <c r="I703" s="1333"/>
    </row>
    <row r="704" spans="1:9" s="244" customFormat="1" ht="36.75" x14ac:dyDescent="0.25">
      <c r="A704" s="771">
        <v>5512</v>
      </c>
      <c r="B704" s="725" t="s">
        <v>1849</v>
      </c>
      <c r="C704" s="1311">
        <v>125000</v>
      </c>
      <c r="D704" s="1331"/>
      <c r="E704" s="1331"/>
      <c r="F704" s="1332"/>
      <c r="G704" s="1311"/>
      <c r="H704" s="1330"/>
      <c r="I704" s="1333"/>
    </row>
    <row r="705" spans="1:9" s="244" customFormat="1" ht="15.75" x14ac:dyDescent="0.25">
      <c r="A705" s="771">
        <v>6112</v>
      </c>
      <c r="B705" s="725" t="s">
        <v>1850</v>
      </c>
      <c r="C705" s="1311">
        <v>0</v>
      </c>
      <c r="D705" s="1331"/>
      <c r="E705" s="1331"/>
      <c r="F705" s="1332"/>
      <c r="G705" s="1311"/>
      <c r="H705" s="1330"/>
      <c r="I705" s="1333"/>
    </row>
    <row r="706" spans="1:9" s="244" customFormat="1" ht="12.75" customHeight="1" x14ac:dyDescent="0.25">
      <c r="A706" s="771">
        <v>6171</v>
      </c>
      <c r="B706" s="717" t="s">
        <v>725</v>
      </c>
      <c r="C706" s="1334">
        <f>SUM(C707+C708+C709+C710+C711+C712+C713)</f>
        <v>30358624</v>
      </c>
      <c r="D706" s="447"/>
      <c r="E706" s="1331"/>
      <c r="F706" s="1331"/>
      <c r="G706" s="1334"/>
      <c r="H706" s="1330"/>
      <c r="I706" s="1333"/>
    </row>
    <row r="707" spans="1:9" s="244" customFormat="1" ht="132" x14ac:dyDescent="0.25">
      <c r="A707" s="771"/>
      <c r="B707" s="1335" t="s">
        <v>1851</v>
      </c>
      <c r="C707" s="1336">
        <v>21262500</v>
      </c>
      <c r="D707" s="1315"/>
      <c r="E707" s="1315"/>
      <c r="F707" s="1316"/>
      <c r="G707" s="1336"/>
      <c r="H707" s="1330"/>
      <c r="I707" s="1333"/>
    </row>
    <row r="708" spans="1:9" s="244" customFormat="1" ht="15.75" x14ac:dyDescent="0.25">
      <c r="A708" s="771"/>
      <c r="B708" s="1335" t="s">
        <v>1852</v>
      </c>
      <c r="C708" s="1336">
        <v>1600000</v>
      </c>
      <c r="D708" s="1315"/>
      <c r="E708" s="1315"/>
      <c r="F708" s="1316"/>
      <c r="G708" s="1336"/>
      <c r="H708" s="1330"/>
      <c r="I708" s="1333"/>
    </row>
    <row r="709" spans="1:9" s="98" customFormat="1" ht="48" x14ac:dyDescent="0.2">
      <c r="A709" s="776"/>
      <c r="B709" s="1337" t="s">
        <v>1853</v>
      </c>
      <c r="C709" s="1336">
        <v>4682300</v>
      </c>
      <c r="D709" s="1315"/>
      <c r="E709" s="1315"/>
      <c r="F709" s="1316"/>
      <c r="G709" s="1336"/>
      <c r="H709" s="1330"/>
      <c r="I709" s="770"/>
    </row>
    <row r="710" spans="1:9" ht="24" x14ac:dyDescent="0.2">
      <c r="A710" s="776"/>
      <c r="B710" s="1337" t="s">
        <v>1854</v>
      </c>
      <c r="C710" s="1338">
        <v>2192810</v>
      </c>
      <c r="D710" s="178"/>
      <c r="E710" s="178"/>
      <c r="F710" s="750"/>
      <c r="G710" s="1338"/>
      <c r="H710" s="1330"/>
      <c r="I710" s="775"/>
    </row>
    <row r="711" spans="1:9" x14ac:dyDescent="0.2">
      <c r="A711" s="776"/>
      <c r="B711" s="737" t="s">
        <v>1855</v>
      </c>
      <c r="C711" s="1338">
        <v>210000</v>
      </c>
      <c r="D711" s="178"/>
      <c r="E711" s="178"/>
      <c r="F711" s="750"/>
      <c r="G711" s="1338"/>
      <c r="H711" s="1330"/>
      <c r="I711" s="775"/>
    </row>
    <row r="712" spans="1:9" x14ac:dyDescent="0.2">
      <c r="A712" s="776"/>
      <c r="B712" s="737" t="s">
        <v>1856</v>
      </c>
      <c r="C712" s="1338">
        <v>50000</v>
      </c>
      <c r="D712" s="178"/>
      <c r="E712" s="178"/>
      <c r="F712" s="750"/>
      <c r="G712" s="1338"/>
      <c r="H712" s="1330"/>
      <c r="I712" s="775"/>
    </row>
    <row r="713" spans="1:9" ht="24.75" x14ac:dyDescent="0.2">
      <c r="A713" s="776"/>
      <c r="B713" s="749" t="s">
        <v>1857</v>
      </c>
      <c r="C713" s="1338">
        <v>361014</v>
      </c>
      <c r="D713" s="178"/>
      <c r="E713" s="178"/>
      <c r="F713" s="750"/>
      <c r="G713" s="1338"/>
      <c r="H713" s="1330"/>
      <c r="I713" s="775"/>
    </row>
    <row r="714" spans="1:9" x14ac:dyDescent="0.2">
      <c r="A714" s="771">
        <v>6221</v>
      </c>
      <c r="B714" s="725" t="s">
        <v>1858</v>
      </c>
      <c r="C714" s="1116">
        <v>0</v>
      </c>
      <c r="D714" s="181"/>
      <c r="E714" s="181"/>
      <c r="F714" s="726"/>
      <c r="G714" s="1116"/>
      <c r="H714" s="1330"/>
      <c r="I714" s="775"/>
    </row>
    <row r="715" spans="1:9" ht="12.75" customHeight="1" x14ac:dyDescent="0.2">
      <c r="A715" s="771">
        <v>6320</v>
      </c>
      <c r="B715" s="717" t="s">
        <v>1859</v>
      </c>
      <c r="C715" s="1116">
        <v>1550000</v>
      </c>
      <c r="D715" s="181"/>
      <c r="E715" s="1339"/>
      <c r="F715" s="735"/>
      <c r="G715" s="1116"/>
      <c r="H715" s="1330"/>
      <c r="I715" s="775"/>
    </row>
    <row r="716" spans="1:9" ht="12.75" customHeight="1" x14ac:dyDescent="0.2">
      <c r="A716" s="1214"/>
      <c r="B716" s="1340"/>
      <c r="C716" s="1341"/>
      <c r="D716" s="1342"/>
      <c r="E716" s="185"/>
      <c r="F716" s="1042"/>
      <c r="G716" s="1341"/>
      <c r="H716" s="1343"/>
      <c r="I716" s="838"/>
    </row>
    <row r="717" spans="1:9" ht="20.25" x14ac:dyDescent="0.3">
      <c r="A717" s="690"/>
      <c r="B717" s="1344" t="s">
        <v>735</v>
      </c>
      <c r="C717" s="1345">
        <f>C718+C719+C720+C724</f>
        <v>171743160</v>
      </c>
      <c r="D717" s="707"/>
      <c r="E717" s="1346"/>
      <c r="F717" s="707"/>
      <c r="G717" s="1345"/>
      <c r="H717" s="1005"/>
    </row>
    <row r="718" spans="1:9" s="98" customFormat="1" x14ac:dyDescent="0.2">
      <c r="A718" s="1347">
        <v>3341</v>
      </c>
      <c r="B718" s="1348" t="s">
        <v>1860</v>
      </c>
      <c r="C718" s="964">
        <v>3109200</v>
      </c>
      <c r="D718" s="1349"/>
      <c r="E718" s="1350"/>
      <c r="F718" s="1351"/>
      <c r="G718" s="964"/>
      <c r="H718" s="846"/>
      <c r="I718" s="847"/>
    </row>
    <row r="719" spans="1:9" s="98" customFormat="1" ht="36.75" x14ac:dyDescent="0.2">
      <c r="A719" s="764">
        <v>6112</v>
      </c>
      <c r="B719" s="1208" t="s">
        <v>1861</v>
      </c>
      <c r="C719" s="746">
        <f>30000+8520000+1046560+766800+12000+10000+500+20000+200000+7000+90000+30000</f>
        <v>10732860</v>
      </c>
      <c r="D719" s="745"/>
      <c r="E719" s="746"/>
      <c r="F719" s="1352"/>
      <c r="G719" s="746"/>
      <c r="H719" s="769"/>
      <c r="I719" s="770"/>
    </row>
    <row r="720" spans="1:9" x14ac:dyDescent="0.2">
      <c r="A720" s="771">
        <v>6171</v>
      </c>
      <c r="B720" s="717" t="s">
        <v>725</v>
      </c>
      <c r="C720" s="746">
        <f>SUM(C721:C723)</f>
        <v>151901100</v>
      </c>
      <c r="D720" s="745"/>
      <c r="E720" s="746"/>
      <c r="F720" s="1352"/>
      <c r="G720" s="746"/>
      <c r="H720" s="774"/>
      <c r="I720" s="775"/>
    </row>
    <row r="721" spans="1:9" ht="48" x14ac:dyDescent="0.2">
      <c r="A721" s="764"/>
      <c r="B721" s="1353" t="s">
        <v>1862</v>
      </c>
      <c r="C721" s="767">
        <f>93200000+10000+1400000+10000+23460800+8514000+520000+1000+900000+50000+20000+50000+2600000+350000+15000+204000+40000+2000000</f>
        <v>133344800</v>
      </c>
      <c r="D721" s="1354"/>
      <c r="E721" s="1355"/>
      <c r="F721" s="1356"/>
      <c r="G721" s="767"/>
      <c r="H721" s="774"/>
      <c r="I721" s="775"/>
    </row>
    <row r="722" spans="1:9" ht="23.25" customHeight="1" x14ac:dyDescent="0.25">
      <c r="A722" s="1357"/>
      <c r="B722" s="749" t="s">
        <v>1863</v>
      </c>
      <c r="C722" s="767">
        <f>6900000+30000+1718600+623700+180000+10000</f>
        <v>9462300</v>
      </c>
      <c r="D722" s="1354"/>
      <c r="E722" s="1355"/>
      <c r="F722" s="1356"/>
      <c r="G722" s="767"/>
      <c r="H722" s="774"/>
      <c r="I722" s="775"/>
    </row>
    <row r="723" spans="1:9" ht="36.75" x14ac:dyDescent="0.25">
      <c r="A723" s="1357"/>
      <c r="B723" s="725" t="s">
        <v>1864</v>
      </c>
      <c r="C723" s="767">
        <f>4067000+60000+21000+3140000+206000+100000+285000+1150000+30000+26000+9000</f>
        <v>9094000</v>
      </c>
      <c r="D723" s="971"/>
      <c r="E723" s="767"/>
      <c r="F723" s="768"/>
      <c r="G723" s="767"/>
      <c r="H723" s="774"/>
      <c r="I723" s="775"/>
    </row>
    <row r="724" spans="1:9" x14ac:dyDescent="0.2">
      <c r="A724" s="771">
        <v>6330</v>
      </c>
      <c r="B724" s="717" t="s">
        <v>740</v>
      </c>
      <c r="C724" s="974">
        <v>6000000</v>
      </c>
      <c r="D724" s="745"/>
      <c r="E724" s="746"/>
      <c r="F724" s="1358"/>
      <c r="G724" s="974"/>
      <c r="H724" s="774"/>
      <c r="I724" s="775"/>
    </row>
    <row r="725" spans="1:9" x14ac:dyDescent="0.2">
      <c r="A725" s="1147"/>
      <c r="B725" s="1156"/>
      <c r="C725" s="1359"/>
      <c r="D725" s="1360"/>
      <c r="E725" s="869"/>
      <c r="F725" s="1361"/>
      <c r="G725" s="1359"/>
      <c r="H725" s="837"/>
      <c r="I725" s="838"/>
    </row>
    <row r="726" spans="1:9" ht="20.25" x14ac:dyDescent="0.3">
      <c r="A726" s="649"/>
      <c r="B726" s="701" t="s">
        <v>43</v>
      </c>
      <c r="C726" s="1362">
        <f>C727+C743</f>
        <v>17006123</v>
      </c>
      <c r="D726" s="680"/>
      <c r="E726" s="678"/>
      <c r="F726" s="680"/>
      <c r="G726" s="1362"/>
      <c r="H726" s="1005"/>
    </row>
    <row r="727" spans="1:9" ht="15.75" x14ac:dyDescent="0.25">
      <c r="A727" s="649"/>
      <c r="B727" s="763" t="s">
        <v>741</v>
      </c>
      <c r="C727" s="1363">
        <f>C728+C729+C730+C733+C735+C741+C742</f>
        <v>1297000</v>
      </c>
      <c r="D727" s="1363"/>
      <c r="E727" s="1364"/>
      <c r="F727" s="1363"/>
      <c r="G727" s="1363"/>
      <c r="H727" s="944"/>
      <c r="I727" s="945"/>
    </row>
    <row r="728" spans="1:9" x14ac:dyDescent="0.2">
      <c r="A728" s="771">
        <v>3613</v>
      </c>
      <c r="B728" s="717" t="s">
        <v>1865</v>
      </c>
      <c r="C728" s="731">
        <v>7000</v>
      </c>
      <c r="D728" s="181"/>
      <c r="E728" s="181"/>
      <c r="F728" s="1365"/>
      <c r="G728" s="731"/>
      <c r="H728" s="965"/>
      <c r="I728" s="1064"/>
    </row>
    <row r="729" spans="1:9" s="244" customFormat="1" ht="15.75" x14ac:dyDescent="0.25">
      <c r="A729" s="771">
        <v>3632</v>
      </c>
      <c r="B729" s="717" t="s">
        <v>1866</v>
      </c>
      <c r="C729" s="731">
        <v>270000</v>
      </c>
      <c r="D729" s="181"/>
      <c r="E729" s="181"/>
      <c r="F729" s="1366"/>
      <c r="G729" s="731"/>
      <c r="H729" s="1367"/>
      <c r="I729" s="1333"/>
    </row>
    <row r="730" spans="1:9" s="244" customFormat="1" ht="12.75" customHeight="1" x14ac:dyDescent="0.25">
      <c r="A730" s="771">
        <v>4329</v>
      </c>
      <c r="B730" s="717" t="s">
        <v>745</v>
      </c>
      <c r="C730" s="726">
        <f>SUM(C731:C732)</f>
        <v>258000</v>
      </c>
      <c r="D730" s="109"/>
      <c r="E730" s="181"/>
      <c r="F730" s="109"/>
      <c r="G730" s="726"/>
      <c r="H730" s="1367"/>
      <c r="I730" s="1333"/>
    </row>
    <row r="731" spans="1:9" s="98" customFormat="1" x14ac:dyDescent="0.2">
      <c r="A731" s="771"/>
      <c r="B731" s="1035" t="s">
        <v>1867</v>
      </c>
      <c r="C731" s="738">
        <v>8000</v>
      </c>
      <c r="D731" s="178"/>
      <c r="E731" s="178"/>
      <c r="F731" s="1368"/>
      <c r="G731" s="738"/>
      <c r="H731" s="769"/>
      <c r="I731" s="770"/>
    </row>
    <row r="732" spans="1:9" s="98" customFormat="1" x14ac:dyDescent="0.2">
      <c r="A732" s="771"/>
      <c r="B732" s="1035" t="s">
        <v>1868</v>
      </c>
      <c r="C732" s="738">
        <v>250000</v>
      </c>
      <c r="D732" s="178"/>
      <c r="E732" s="178"/>
      <c r="F732" s="1368"/>
      <c r="G732" s="738"/>
      <c r="H732" s="769"/>
      <c r="I732" s="770"/>
    </row>
    <row r="733" spans="1:9" x14ac:dyDescent="0.2">
      <c r="A733" s="771">
        <v>4349</v>
      </c>
      <c r="B733" s="717" t="s">
        <v>753</v>
      </c>
      <c r="C733" s="726">
        <f>SUM(C734:C734)</f>
        <v>300000</v>
      </c>
      <c r="D733" s="109"/>
      <c r="E733" s="181"/>
      <c r="F733" s="109"/>
      <c r="G733" s="726"/>
      <c r="H733" s="774"/>
      <c r="I733" s="775"/>
    </row>
    <row r="734" spans="1:9" x14ac:dyDescent="0.2">
      <c r="A734" s="776"/>
      <c r="B734" s="737" t="s">
        <v>1869</v>
      </c>
      <c r="C734" s="738">
        <v>300000</v>
      </c>
      <c r="D734" s="178"/>
      <c r="E734" s="178"/>
      <c r="F734" s="1368"/>
      <c r="G734" s="738"/>
      <c r="H734" s="774"/>
      <c r="I734" s="775"/>
    </row>
    <row r="735" spans="1:9" s="98" customFormat="1" x14ac:dyDescent="0.2">
      <c r="A735" s="771">
        <v>4379</v>
      </c>
      <c r="B735" s="717" t="s">
        <v>760</v>
      </c>
      <c r="C735" s="726">
        <f>SUM(C736:C740)</f>
        <v>359000</v>
      </c>
      <c r="D735" s="109"/>
      <c r="E735" s="181"/>
      <c r="F735" s="109"/>
      <c r="G735" s="726"/>
      <c r="H735" s="769"/>
      <c r="I735" s="770"/>
    </row>
    <row r="736" spans="1:9" x14ac:dyDescent="0.2">
      <c r="A736" s="776"/>
      <c r="B736" s="737" t="s">
        <v>1870</v>
      </c>
      <c r="C736" s="738">
        <v>229000</v>
      </c>
      <c r="D736" s="178"/>
      <c r="E736" s="178"/>
      <c r="F736" s="1368"/>
      <c r="G736" s="738"/>
      <c r="H736" s="774"/>
      <c r="I736" s="775"/>
    </row>
    <row r="737" spans="1:9" s="419" customFormat="1" x14ac:dyDescent="0.2">
      <c r="A737" s="776"/>
      <c r="B737" s="737" t="s">
        <v>1871</v>
      </c>
      <c r="C737" s="738">
        <v>65000</v>
      </c>
      <c r="D737" s="178"/>
      <c r="E737" s="178"/>
      <c r="F737" s="1368"/>
      <c r="G737" s="738"/>
      <c r="H737" s="1369"/>
      <c r="I737" s="1370"/>
    </row>
    <row r="738" spans="1:9" x14ac:dyDescent="0.2">
      <c r="A738" s="776"/>
      <c r="B738" s="737" t="s">
        <v>1872</v>
      </c>
      <c r="C738" s="738">
        <v>55000</v>
      </c>
      <c r="D738" s="178"/>
      <c r="E738" s="178"/>
      <c r="F738" s="1368"/>
      <c r="G738" s="738"/>
      <c r="H738" s="774"/>
      <c r="I738" s="775"/>
    </row>
    <row r="739" spans="1:9" s="98" customFormat="1" x14ac:dyDescent="0.2">
      <c r="A739" s="776"/>
      <c r="B739" s="737" t="s">
        <v>1873</v>
      </c>
      <c r="C739" s="738">
        <v>10000</v>
      </c>
      <c r="D739" s="178"/>
      <c r="E739" s="178"/>
      <c r="F739" s="1368"/>
      <c r="G739" s="738"/>
      <c r="H739" s="769"/>
      <c r="I739" s="770"/>
    </row>
    <row r="740" spans="1:9" s="98" customFormat="1" x14ac:dyDescent="0.2">
      <c r="A740" s="776"/>
      <c r="B740" s="737" t="s">
        <v>1874</v>
      </c>
      <c r="C740" s="738">
        <v>0</v>
      </c>
      <c r="D740" s="178"/>
      <c r="E740" s="178"/>
      <c r="F740" s="1368"/>
      <c r="G740" s="738"/>
      <c r="H740" s="769"/>
      <c r="I740" s="770"/>
    </row>
    <row r="741" spans="1:9" x14ac:dyDescent="0.2">
      <c r="A741" s="771">
        <v>4399</v>
      </c>
      <c r="B741" s="717" t="s">
        <v>1875</v>
      </c>
      <c r="C741" s="731">
        <v>3000</v>
      </c>
      <c r="D741" s="181"/>
      <c r="E741" s="181"/>
      <c r="F741" s="1366"/>
      <c r="G741" s="731"/>
      <c r="H741" s="774"/>
      <c r="I741" s="775"/>
    </row>
    <row r="742" spans="1:9" x14ac:dyDescent="0.2">
      <c r="A742" s="1147">
        <v>6409</v>
      </c>
      <c r="B742" s="1156" t="s">
        <v>1876</v>
      </c>
      <c r="C742" s="1145">
        <v>100000</v>
      </c>
      <c r="D742" s="367"/>
      <c r="E742" s="367"/>
      <c r="F742" s="1371"/>
      <c r="G742" s="1145"/>
      <c r="H742" s="837"/>
      <c r="I742" s="838"/>
    </row>
    <row r="743" spans="1:9" ht="15.75" x14ac:dyDescent="0.25">
      <c r="A743" s="649"/>
      <c r="B743" s="763" t="s">
        <v>767</v>
      </c>
      <c r="C743" s="1372">
        <f>C744</f>
        <v>15709123</v>
      </c>
      <c r="D743" s="598"/>
      <c r="E743" s="598"/>
      <c r="F743" s="137"/>
      <c r="G743" s="1372"/>
      <c r="H743" s="1005"/>
    </row>
    <row r="744" spans="1:9" x14ac:dyDescent="0.2">
      <c r="A744" s="1373"/>
      <c r="B744" s="709" t="s">
        <v>768</v>
      </c>
      <c r="C744" s="1366">
        <f>SUM(C745:C756)</f>
        <v>15709123</v>
      </c>
      <c r="D744" s="181"/>
      <c r="E744" s="181"/>
      <c r="F744" s="109"/>
      <c r="G744" s="1366"/>
      <c r="H744" s="1329"/>
      <c r="I744" s="1064"/>
    </row>
    <row r="745" spans="1:9" s="98" customFormat="1" x14ac:dyDescent="0.2">
      <c r="A745" s="1373"/>
      <c r="B745" s="737" t="s">
        <v>769</v>
      </c>
      <c r="C745" s="738">
        <v>129000</v>
      </c>
      <c r="D745" s="384"/>
      <c r="E745" s="384"/>
      <c r="F745" s="738"/>
      <c r="G745" s="738"/>
      <c r="H745" s="769"/>
      <c r="I745" s="770"/>
    </row>
    <row r="746" spans="1:9" x14ac:dyDescent="0.2">
      <c r="A746" s="1373"/>
      <c r="B746" s="737" t="s">
        <v>770</v>
      </c>
      <c r="C746" s="738">
        <v>200000</v>
      </c>
      <c r="D746" s="178"/>
      <c r="E746" s="178"/>
      <c r="F746" s="750"/>
      <c r="G746" s="738"/>
      <c r="H746" s="774"/>
      <c r="I746" s="775"/>
    </row>
    <row r="747" spans="1:9" x14ac:dyDescent="0.2">
      <c r="A747" s="1373"/>
      <c r="B747" s="737" t="s">
        <v>1877</v>
      </c>
      <c r="C747" s="738">
        <v>9749028</v>
      </c>
      <c r="D747" s="178"/>
      <c r="E747" s="178"/>
      <c r="F747" s="750"/>
      <c r="G747" s="738"/>
      <c r="H747" s="774"/>
      <c r="I747" s="775"/>
    </row>
    <row r="748" spans="1:9" x14ac:dyDescent="0.2">
      <c r="A748" s="1373"/>
      <c r="B748" s="737" t="s">
        <v>1878</v>
      </c>
      <c r="C748" s="738">
        <v>1853095</v>
      </c>
      <c r="D748" s="178"/>
      <c r="E748" s="178"/>
      <c r="F748" s="750"/>
      <c r="G748" s="738"/>
      <c r="H748" s="774"/>
      <c r="I748" s="775"/>
    </row>
    <row r="749" spans="1:9" x14ac:dyDescent="0.2">
      <c r="A749" s="1373"/>
      <c r="B749" s="737" t="s">
        <v>773</v>
      </c>
      <c r="C749" s="738">
        <v>135000</v>
      </c>
      <c r="D749" s="178"/>
      <c r="E749" s="178"/>
      <c r="F749" s="750"/>
      <c r="G749" s="738"/>
      <c r="H749" s="774"/>
      <c r="I749" s="775"/>
    </row>
    <row r="750" spans="1:9" x14ac:dyDescent="0.2">
      <c r="A750" s="1373"/>
      <c r="B750" s="737" t="s">
        <v>774</v>
      </c>
      <c r="C750" s="738">
        <v>235000</v>
      </c>
      <c r="D750" s="178"/>
      <c r="E750" s="178"/>
      <c r="F750" s="750"/>
      <c r="G750" s="738"/>
      <c r="H750" s="774"/>
      <c r="I750" s="775"/>
    </row>
    <row r="751" spans="1:9" x14ac:dyDescent="0.2">
      <c r="A751" s="1373"/>
      <c r="B751" s="737" t="s">
        <v>1879</v>
      </c>
      <c r="C751" s="738">
        <v>1000000</v>
      </c>
      <c r="D751" s="178"/>
      <c r="E751" s="178"/>
      <c r="F751" s="750"/>
      <c r="G751" s="738"/>
      <c r="H751" s="774"/>
      <c r="I751" s="775"/>
    </row>
    <row r="752" spans="1:9" x14ac:dyDescent="0.2">
      <c r="A752" s="771"/>
      <c r="B752" s="737" t="s">
        <v>775</v>
      </c>
      <c r="C752" s="738">
        <v>50000</v>
      </c>
      <c r="D752" s="178"/>
      <c r="E752" s="178"/>
      <c r="F752" s="750"/>
      <c r="G752" s="738"/>
      <c r="H752" s="774"/>
      <c r="I752" s="775"/>
    </row>
    <row r="753" spans="1:9" ht="24.75" customHeight="1" x14ac:dyDescent="0.2">
      <c r="A753" s="771"/>
      <c r="B753" s="1374" t="s">
        <v>1880</v>
      </c>
      <c r="C753" s="738">
        <v>0</v>
      </c>
      <c r="D753" s="185"/>
      <c r="E753" s="178"/>
      <c r="F753" s="750"/>
      <c r="G753" s="738"/>
      <c r="H753" s="774"/>
      <c r="I753" s="775"/>
    </row>
    <row r="754" spans="1:9" ht="24.75" customHeight="1" x14ac:dyDescent="0.2">
      <c r="A754" s="771"/>
      <c r="B754" s="1374" t="s">
        <v>1881</v>
      </c>
      <c r="C754" s="738">
        <v>2310000</v>
      </c>
      <c r="D754" s="185"/>
      <c r="E754" s="178"/>
      <c r="F754" s="750"/>
      <c r="G754" s="738"/>
      <c r="H754" s="774"/>
      <c r="I754" s="775"/>
    </row>
    <row r="755" spans="1:9" x14ac:dyDescent="0.2">
      <c r="A755" s="771"/>
      <c r="B755" s="737" t="s">
        <v>776</v>
      </c>
      <c r="C755" s="738">
        <v>0</v>
      </c>
      <c r="D755" s="178"/>
      <c r="E755" s="750"/>
      <c r="F755" s="750"/>
      <c r="G755" s="738"/>
      <c r="H755" s="774"/>
      <c r="I755" s="775"/>
    </row>
    <row r="756" spans="1:9" x14ac:dyDescent="0.2">
      <c r="A756" s="771"/>
      <c r="B756" s="737" t="s">
        <v>1882</v>
      </c>
      <c r="C756" s="738">
        <v>48000</v>
      </c>
      <c r="D756" s="178"/>
      <c r="E756" s="178"/>
      <c r="F756" s="750"/>
      <c r="G756" s="738"/>
      <c r="H756" s="774"/>
      <c r="I756" s="775"/>
    </row>
    <row r="757" spans="1:9" x14ac:dyDescent="0.2">
      <c r="A757" s="1147"/>
      <c r="B757" s="1039"/>
      <c r="C757" s="1040"/>
      <c r="D757" s="387"/>
      <c r="E757" s="387"/>
      <c r="F757" s="1040"/>
      <c r="G757" s="1040"/>
      <c r="H757" s="837"/>
      <c r="I757" s="838"/>
    </row>
    <row r="758" spans="1:9" ht="20.25" x14ac:dyDescent="0.2">
      <c r="A758" s="659"/>
      <c r="B758" s="1204" t="s">
        <v>777</v>
      </c>
      <c r="C758" s="1205">
        <f>C759</f>
        <v>19471500</v>
      </c>
      <c r="D758" s="1205"/>
      <c r="E758" s="1375"/>
      <c r="F758" s="1205"/>
      <c r="G758" s="1205"/>
      <c r="H758" s="1005"/>
    </row>
    <row r="759" spans="1:9" x14ac:dyDescent="0.2">
      <c r="A759" s="1147">
        <v>4351</v>
      </c>
      <c r="B759" s="709" t="s">
        <v>778</v>
      </c>
      <c r="C759" s="1376">
        <f>SUM(C760:C763)</f>
        <v>19471500</v>
      </c>
      <c r="D759" s="1377"/>
      <c r="E759" s="1378"/>
      <c r="F759" s="1379"/>
      <c r="G759" s="1376"/>
      <c r="H759" s="965"/>
      <c r="I759" s="1064"/>
    </row>
    <row r="760" spans="1:9" ht="60.75" x14ac:dyDescent="0.2">
      <c r="A760" s="776"/>
      <c r="B760" s="1353" t="s">
        <v>1883</v>
      </c>
      <c r="C760" s="1368">
        <v>8205000</v>
      </c>
      <c r="D760" s="738"/>
      <c r="E760" s="328"/>
      <c r="F760" s="738"/>
      <c r="G760" s="1368"/>
      <c r="H760" s="1330"/>
      <c r="I760" s="775"/>
    </row>
    <row r="761" spans="1:9" ht="48.75" x14ac:dyDescent="0.2">
      <c r="A761" s="776"/>
      <c r="B761" s="1353" t="s">
        <v>1884</v>
      </c>
      <c r="C761" s="1368">
        <v>2224000</v>
      </c>
      <c r="D761" s="738"/>
      <c r="E761" s="297"/>
      <c r="F761" s="750"/>
      <c r="G761" s="1368"/>
      <c r="H761" s="1330"/>
      <c r="I761" s="775"/>
    </row>
    <row r="762" spans="1:9" ht="36.75" x14ac:dyDescent="0.2">
      <c r="A762" s="771"/>
      <c r="B762" s="1353" t="s">
        <v>1885</v>
      </c>
      <c r="C762" s="1368">
        <v>6642500</v>
      </c>
      <c r="D762" s="738"/>
      <c r="E762" s="297"/>
      <c r="F762" s="750"/>
      <c r="G762" s="1368"/>
      <c r="H762" s="1330"/>
      <c r="I762" s="775"/>
    </row>
    <row r="763" spans="1:9" x14ac:dyDescent="0.2">
      <c r="A763" s="1147"/>
      <c r="B763" s="1380" t="s">
        <v>1886</v>
      </c>
      <c r="C763" s="1381">
        <v>2400000</v>
      </c>
      <c r="D763" s="1042"/>
      <c r="E763" s="1382"/>
      <c r="F763" s="1230"/>
      <c r="G763" s="1381"/>
      <c r="H763" s="1330"/>
      <c r="I763" s="775"/>
    </row>
    <row r="764" spans="1:9" x14ac:dyDescent="0.2">
      <c r="A764" s="682"/>
      <c r="B764" s="1383"/>
      <c r="C764" s="1384"/>
      <c r="D764" s="1243"/>
      <c r="E764" s="1385"/>
      <c r="F764" s="1152"/>
      <c r="G764" s="1384"/>
      <c r="H764" s="837"/>
      <c r="I764" s="838"/>
    </row>
    <row r="765" spans="1:9" ht="20.25" x14ac:dyDescent="0.3">
      <c r="A765" s="649"/>
      <c r="B765" s="701" t="s">
        <v>50</v>
      </c>
      <c r="C765" s="1217">
        <f>SUM(C766,C767,C768,C769,C770,C771,C772,C773,C777,C778,C779,C780,C785,C786)</f>
        <v>67229000</v>
      </c>
      <c r="D765" s="1386"/>
      <c r="E765" s="1217"/>
      <c r="F765" s="1217"/>
      <c r="G765" s="1217"/>
      <c r="H765" s="1005"/>
    </row>
    <row r="766" spans="1:9" x14ac:dyDescent="0.2">
      <c r="A766" s="764">
        <v>1014</v>
      </c>
      <c r="B766" s="709" t="s">
        <v>782</v>
      </c>
      <c r="C766" s="731">
        <v>500000</v>
      </c>
      <c r="D766" s="172"/>
      <c r="E766" s="172"/>
      <c r="F766" s="731"/>
      <c r="G766" s="731"/>
      <c r="H766" s="965"/>
      <c r="I766" s="1064"/>
    </row>
    <row r="767" spans="1:9" x14ac:dyDescent="0.2">
      <c r="A767" s="771">
        <v>1031</v>
      </c>
      <c r="B767" s="717" t="s">
        <v>1887</v>
      </c>
      <c r="C767" s="731">
        <v>650000</v>
      </c>
      <c r="D767" s="181"/>
      <c r="E767" s="181"/>
      <c r="F767" s="726"/>
      <c r="G767" s="731"/>
      <c r="H767" s="774"/>
      <c r="I767" s="775"/>
    </row>
    <row r="768" spans="1:9" x14ac:dyDescent="0.2">
      <c r="A768" s="771">
        <v>1036</v>
      </c>
      <c r="B768" s="717" t="s">
        <v>784</v>
      </c>
      <c r="C768" s="731">
        <v>155000</v>
      </c>
      <c r="D768" s="181"/>
      <c r="E768" s="181"/>
      <c r="F768" s="726"/>
      <c r="G768" s="731"/>
      <c r="H768" s="774"/>
      <c r="I768" s="775"/>
    </row>
    <row r="769" spans="1:9" s="244" customFormat="1" ht="12.75" customHeight="1" x14ac:dyDescent="0.25">
      <c r="A769" s="771">
        <v>1037</v>
      </c>
      <c r="B769" s="717" t="s">
        <v>1888</v>
      </c>
      <c r="C769" s="731">
        <v>25000</v>
      </c>
      <c r="D769" s="181"/>
      <c r="E769" s="181"/>
      <c r="F769" s="1241"/>
      <c r="G769" s="731"/>
      <c r="H769" s="1367"/>
      <c r="I769" s="1333"/>
    </row>
    <row r="770" spans="1:9" s="98" customFormat="1" x14ac:dyDescent="0.2">
      <c r="A770" s="771">
        <v>1039</v>
      </c>
      <c r="B770" s="717" t="s">
        <v>786</v>
      </c>
      <c r="C770" s="731">
        <v>260000</v>
      </c>
      <c r="D770" s="181"/>
      <c r="E770" s="181"/>
      <c r="F770" s="726"/>
      <c r="G770" s="731"/>
      <c r="H770" s="769"/>
      <c r="I770" s="770"/>
    </row>
    <row r="771" spans="1:9" s="98" customFormat="1" x14ac:dyDescent="0.2">
      <c r="A771" s="771">
        <v>2369</v>
      </c>
      <c r="B771" s="717" t="s">
        <v>1889</v>
      </c>
      <c r="C771" s="731">
        <v>370000</v>
      </c>
      <c r="D771" s="181"/>
      <c r="E771" s="181"/>
      <c r="F771" s="731"/>
      <c r="G771" s="731"/>
      <c r="H771" s="769"/>
      <c r="I771" s="770"/>
    </row>
    <row r="772" spans="1:9" s="98" customFormat="1" x14ac:dyDescent="0.2">
      <c r="A772" s="771">
        <v>3721</v>
      </c>
      <c r="B772" s="717" t="s">
        <v>1890</v>
      </c>
      <c r="C772" s="731">
        <v>50000</v>
      </c>
      <c r="D772" s="181"/>
      <c r="E772" s="181"/>
      <c r="F772" s="726"/>
      <c r="G772" s="731"/>
      <c r="H772" s="769"/>
      <c r="I772" s="770"/>
    </row>
    <row r="773" spans="1:9" s="98" customFormat="1" x14ac:dyDescent="0.2">
      <c r="A773" s="771">
        <v>3722</v>
      </c>
      <c r="B773" s="717" t="s">
        <v>789</v>
      </c>
      <c r="C773" s="726">
        <f>SUM(C774:C776)</f>
        <v>37945000</v>
      </c>
      <c r="D773" s="181"/>
      <c r="E773" s="181"/>
      <c r="F773" s="726"/>
      <c r="G773" s="726"/>
      <c r="H773" s="769"/>
      <c r="I773" s="770"/>
    </row>
    <row r="774" spans="1:9" s="98" customFormat="1" x14ac:dyDescent="0.2">
      <c r="A774" s="771"/>
      <c r="B774" s="1035" t="s">
        <v>790</v>
      </c>
      <c r="C774" s="738">
        <v>31150000</v>
      </c>
      <c r="D774" s="178"/>
      <c r="E774" s="178"/>
      <c r="F774" s="750"/>
      <c r="G774" s="738"/>
      <c r="H774" s="769"/>
      <c r="I774" s="770"/>
    </row>
    <row r="775" spans="1:9" s="98" customFormat="1" x14ac:dyDescent="0.2">
      <c r="A775" s="771"/>
      <c r="B775" s="1035" t="s">
        <v>791</v>
      </c>
      <c r="C775" s="738">
        <v>2545000</v>
      </c>
      <c r="D775" s="178"/>
      <c r="E775" s="178"/>
      <c r="F775" s="750"/>
      <c r="G775" s="738"/>
      <c r="H775" s="769"/>
      <c r="I775" s="770"/>
    </row>
    <row r="776" spans="1:9" s="98" customFormat="1" x14ac:dyDescent="0.2">
      <c r="A776" s="771"/>
      <c r="B776" s="749" t="s">
        <v>1891</v>
      </c>
      <c r="C776" s="738">
        <v>4250000</v>
      </c>
      <c r="D776" s="178"/>
      <c r="E776" s="178"/>
      <c r="F776" s="750"/>
      <c r="G776" s="738"/>
      <c r="H776" s="769"/>
      <c r="I776" s="770"/>
    </row>
    <row r="777" spans="1:9" s="98" customFormat="1" x14ac:dyDescent="0.2">
      <c r="A777" s="771">
        <v>3726</v>
      </c>
      <c r="B777" s="782" t="s">
        <v>1892</v>
      </c>
      <c r="C777" s="746">
        <v>1650000</v>
      </c>
      <c r="D777" s="732"/>
      <c r="E777" s="732"/>
      <c r="F777" s="734"/>
      <c r="G777" s="746"/>
      <c r="H777" s="769"/>
      <c r="I777" s="770"/>
    </row>
    <row r="778" spans="1:9" s="98" customFormat="1" x14ac:dyDescent="0.2">
      <c r="A778" s="771">
        <v>3733</v>
      </c>
      <c r="B778" s="717" t="s">
        <v>1893</v>
      </c>
      <c r="C778" s="731">
        <v>65000</v>
      </c>
      <c r="D778" s="181"/>
      <c r="E778" s="181"/>
      <c r="F778" s="726"/>
      <c r="G778" s="731"/>
      <c r="H778" s="769"/>
      <c r="I778" s="770"/>
    </row>
    <row r="779" spans="1:9" s="98" customFormat="1" x14ac:dyDescent="0.2">
      <c r="A779" s="771">
        <v>3742</v>
      </c>
      <c r="B779" s="725" t="s">
        <v>1894</v>
      </c>
      <c r="C779" s="731">
        <v>100000</v>
      </c>
      <c r="D779" s="1387"/>
      <c r="E779" s="1387"/>
      <c r="F779" s="1241"/>
      <c r="G779" s="731"/>
      <c r="H779" s="769"/>
      <c r="I779" s="770"/>
    </row>
    <row r="780" spans="1:9" s="98" customFormat="1" x14ac:dyDescent="0.2">
      <c r="A780" s="771">
        <v>3745</v>
      </c>
      <c r="B780" s="717" t="s">
        <v>796</v>
      </c>
      <c r="C780" s="726">
        <f>SUM(C781:C784)</f>
        <v>25144000</v>
      </c>
      <c r="D780" s="181"/>
      <c r="E780" s="181"/>
      <c r="F780" s="726"/>
      <c r="G780" s="726"/>
      <c r="H780" s="769"/>
      <c r="I780" s="770"/>
    </row>
    <row r="781" spans="1:9" s="98" customFormat="1" x14ac:dyDescent="0.2">
      <c r="A781" s="771"/>
      <c r="B781" s="1035" t="s">
        <v>1895</v>
      </c>
      <c r="C781" s="738">
        <v>260000</v>
      </c>
      <c r="D781" s="384"/>
      <c r="E781" s="384"/>
      <c r="F781" s="738"/>
      <c r="G781" s="738"/>
      <c r="H781" s="769"/>
      <c r="I781" s="770"/>
    </row>
    <row r="782" spans="1:9" s="98" customFormat="1" x14ac:dyDescent="0.2">
      <c r="A782" s="776"/>
      <c r="B782" s="1035" t="s">
        <v>798</v>
      </c>
      <c r="C782" s="738">
        <v>19300000</v>
      </c>
      <c r="D782" s="384"/>
      <c r="E782" s="384"/>
      <c r="F782" s="738"/>
      <c r="G782" s="738"/>
      <c r="H782" s="769"/>
      <c r="I782" s="770"/>
    </row>
    <row r="783" spans="1:9" s="98" customFormat="1" x14ac:dyDescent="0.2">
      <c r="A783" s="776"/>
      <c r="B783" s="1035" t="s">
        <v>799</v>
      </c>
      <c r="C783" s="738">
        <v>2834000</v>
      </c>
      <c r="D783" s="178"/>
      <c r="E783" s="178"/>
      <c r="F783" s="750"/>
      <c r="G783" s="738"/>
      <c r="H783" s="769"/>
      <c r="I783" s="770"/>
    </row>
    <row r="784" spans="1:9" s="98" customFormat="1" x14ac:dyDescent="0.2">
      <c r="A784" s="771"/>
      <c r="B784" s="749" t="s">
        <v>1896</v>
      </c>
      <c r="C784" s="738">
        <v>2750000</v>
      </c>
      <c r="D784" s="384"/>
      <c r="E784" s="384"/>
      <c r="F784" s="738"/>
      <c r="G784" s="738"/>
      <c r="H784" s="769"/>
      <c r="I784" s="770"/>
    </row>
    <row r="785" spans="1:253" x14ac:dyDescent="0.2">
      <c r="A785" s="771">
        <v>3792</v>
      </c>
      <c r="B785" s="717" t="s">
        <v>801</v>
      </c>
      <c r="C785" s="731">
        <v>215000</v>
      </c>
      <c r="D785" s="181"/>
      <c r="E785" s="181"/>
      <c r="F785" s="1241"/>
      <c r="G785" s="731"/>
      <c r="H785" s="837"/>
      <c r="I785" s="838"/>
    </row>
    <row r="786" spans="1:253" ht="15.75" x14ac:dyDescent="0.25">
      <c r="A786" s="1388"/>
      <c r="B786" s="1389" t="s">
        <v>1897</v>
      </c>
      <c r="C786" s="1390">
        <f>SUM(C787:C788)</f>
        <v>100000</v>
      </c>
      <c r="D786" s="1390"/>
      <c r="E786" s="1391"/>
      <c r="F786" s="1392"/>
      <c r="G786" s="1390"/>
      <c r="H786" s="1393"/>
    </row>
    <row r="787" spans="1:253" ht="15" x14ac:dyDescent="0.2">
      <c r="A787" s="1394" t="s">
        <v>1898</v>
      </c>
      <c r="B787" s="1395" t="s">
        <v>1899</v>
      </c>
      <c r="C787" s="765">
        <v>100000</v>
      </c>
      <c r="D787" s="1138"/>
      <c r="E787" s="1139"/>
      <c r="F787" s="1138"/>
      <c r="G787" s="765"/>
      <c r="H787" s="1396"/>
      <c r="I787" s="1064"/>
    </row>
    <row r="788" spans="1:253" ht="15" x14ac:dyDescent="0.2">
      <c r="A788" s="1397" t="s">
        <v>1900</v>
      </c>
      <c r="B788" s="1398" t="s">
        <v>1901</v>
      </c>
      <c r="C788" s="758">
        <v>0</v>
      </c>
      <c r="D788" s="758"/>
      <c r="E788" s="1399"/>
      <c r="F788" s="758"/>
      <c r="G788" s="758"/>
      <c r="H788" s="1400"/>
      <c r="I788" s="838"/>
    </row>
    <row r="789" spans="1:253" ht="15" x14ac:dyDescent="0.2">
      <c r="A789" s="682"/>
      <c r="B789" s="1401"/>
      <c r="C789" s="1040"/>
      <c r="D789" s="367"/>
      <c r="E789" s="387"/>
      <c r="F789" s="1040"/>
      <c r="G789" s="1040"/>
      <c r="H789" s="1393"/>
    </row>
    <row r="790" spans="1:253" ht="20.25" x14ac:dyDescent="0.2">
      <c r="A790" s="1402"/>
      <c r="B790" s="1226" t="s">
        <v>803</v>
      </c>
      <c r="C790" s="1403">
        <f>SUM(C791,C792,C822,C858,C911,C919,C920,C924)</f>
        <v>136758000</v>
      </c>
      <c r="D790" s="1403"/>
      <c r="E790" s="1403"/>
      <c r="F790" s="1403"/>
      <c r="G790" s="1403"/>
      <c r="H790" s="1404"/>
      <c r="I790" s="1405"/>
      <c r="J790"/>
      <c r="K790"/>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c r="EX790"/>
      <c r="EY790"/>
      <c r="EZ790"/>
      <c r="FA790"/>
      <c r="FB790"/>
      <c r="FC790"/>
      <c r="FD790"/>
      <c r="FE790"/>
      <c r="FF790"/>
      <c r="FG790"/>
      <c r="FH790"/>
      <c r="FI790"/>
      <c r="FJ790"/>
      <c r="FK790"/>
      <c r="FL790"/>
      <c r="FM790"/>
      <c r="FN790"/>
      <c r="FO790"/>
      <c r="FP790"/>
      <c r="FQ790"/>
      <c r="FR790"/>
      <c r="FS790"/>
      <c r="FT790"/>
      <c r="FU790"/>
      <c r="FV790"/>
      <c r="FW790"/>
      <c r="FX790"/>
      <c r="FY790"/>
      <c r="FZ790"/>
      <c r="GA790"/>
      <c r="GB790"/>
      <c r="GC790"/>
      <c r="GD790"/>
      <c r="GE790"/>
      <c r="GF790"/>
      <c r="GG790"/>
      <c r="GH790"/>
      <c r="GI790"/>
      <c r="GJ790"/>
      <c r="GK790"/>
      <c r="GL790"/>
      <c r="GM790"/>
      <c r="GN790"/>
      <c r="GO790"/>
      <c r="GP790"/>
      <c r="GQ790"/>
      <c r="GR790"/>
      <c r="GS790"/>
      <c r="GT790"/>
      <c r="GU790"/>
      <c r="GV790"/>
      <c r="GW790"/>
      <c r="GX790"/>
      <c r="GY790"/>
      <c r="GZ790"/>
      <c r="HA790"/>
      <c r="HB790"/>
      <c r="HC790"/>
      <c r="HD790"/>
      <c r="HE790"/>
      <c r="HF790"/>
      <c r="HG790"/>
      <c r="HH790"/>
      <c r="HI790"/>
      <c r="HJ790"/>
      <c r="HK790"/>
      <c r="HL790"/>
      <c r="HM790"/>
      <c r="HN790"/>
      <c r="HO790"/>
      <c r="HP790"/>
      <c r="HQ790"/>
      <c r="HR790"/>
      <c r="HS790"/>
      <c r="HT790"/>
      <c r="HU790"/>
      <c r="HV790"/>
      <c r="HW790"/>
      <c r="HX790"/>
      <c r="HY790"/>
      <c r="HZ790"/>
      <c r="IA790"/>
      <c r="IB790"/>
      <c r="IC790"/>
      <c r="ID790"/>
      <c r="IE790"/>
      <c r="IF790"/>
      <c r="IG790"/>
      <c r="IH790"/>
      <c r="II790"/>
      <c r="IJ790"/>
      <c r="IK790"/>
      <c r="IL790"/>
      <c r="IM790"/>
      <c r="IN790"/>
      <c r="IO790"/>
      <c r="IP790"/>
      <c r="IQ790"/>
      <c r="IR790"/>
      <c r="IS790"/>
    </row>
    <row r="791" spans="1:253" ht="12.75" customHeight="1" x14ac:dyDescent="0.2">
      <c r="A791" s="1406">
        <v>3122</v>
      </c>
      <c r="B791" s="1407" t="s">
        <v>1902</v>
      </c>
      <c r="C791" s="731">
        <v>403000</v>
      </c>
      <c r="D791" s="1116"/>
      <c r="E791" s="765"/>
      <c r="F791" s="765"/>
      <c r="G791" s="731"/>
      <c r="H791" s="1396"/>
      <c r="I791" s="1408"/>
      <c r="J791"/>
      <c r="K791"/>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c r="EX791"/>
      <c r="EY791"/>
      <c r="EZ791"/>
      <c r="FA791"/>
      <c r="FB791"/>
      <c r="FC791"/>
      <c r="FD791"/>
      <c r="FE791"/>
      <c r="FF791"/>
      <c r="FG791"/>
      <c r="FH791"/>
      <c r="FI791"/>
      <c r="FJ791"/>
      <c r="FK791"/>
      <c r="FL791"/>
      <c r="FM791"/>
      <c r="FN791"/>
      <c r="FO791"/>
      <c r="FP791"/>
      <c r="FQ791"/>
      <c r="FR791"/>
      <c r="FS791"/>
      <c r="FT791"/>
      <c r="FU791"/>
      <c r="FV791"/>
      <c r="FW791"/>
      <c r="FX791"/>
      <c r="FY791"/>
      <c r="FZ791"/>
      <c r="GA791"/>
      <c r="GB791"/>
      <c r="GC791"/>
      <c r="GD791"/>
      <c r="GE791"/>
      <c r="GF791"/>
      <c r="GG791"/>
      <c r="GH791"/>
      <c r="GI791"/>
      <c r="GJ791"/>
      <c r="GK791"/>
      <c r="GL791"/>
      <c r="GM791"/>
      <c r="GN791"/>
      <c r="GO791"/>
      <c r="GP791"/>
      <c r="GQ791"/>
      <c r="GR791"/>
      <c r="GS791"/>
      <c r="GT791"/>
      <c r="GU791"/>
      <c r="GV791"/>
      <c r="GW791"/>
      <c r="GX791"/>
      <c r="GY791"/>
      <c r="GZ791"/>
      <c r="HA791"/>
      <c r="HB791"/>
      <c r="HC791"/>
      <c r="HD791"/>
      <c r="HE791"/>
      <c r="HF791"/>
      <c r="HG791"/>
      <c r="HH791"/>
      <c r="HI791"/>
      <c r="HJ791"/>
      <c r="HK791"/>
      <c r="HL791"/>
      <c r="HM791"/>
      <c r="HN791"/>
      <c r="HO791"/>
      <c r="HP791"/>
      <c r="HQ791"/>
      <c r="HR791"/>
      <c r="HS791"/>
      <c r="HT791"/>
      <c r="HU791"/>
      <c r="HV791"/>
      <c r="HW791"/>
      <c r="HX791"/>
      <c r="HY791"/>
      <c r="HZ791"/>
      <c r="IA791"/>
      <c r="IB791"/>
      <c r="IC791"/>
      <c r="ID791"/>
      <c r="IE791"/>
      <c r="IF791"/>
      <c r="IG791"/>
      <c r="IH791"/>
      <c r="II791"/>
      <c r="IJ791"/>
      <c r="IK791"/>
      <c r="IL791"/>
      <c r="IM791"/>
      <c r="IN791"/>
      <c r="IO791"/>
      <c r="IP791"/>
      <c r="IQ791"/>
      <c r="IR791"/>
      <c r="IS791"/>
    </row>
    <row r="792" spans="1:253" ht="12.75" customHeight="1" x14ac:dyDescent="0.2">
      <c r="A792" s="716">
        <v>3412</v>
      </c>
      <c r="B792" s="717" t="s">
        <v>805</v>
      </c>
      <c r="C792" s="726">
        <f>C793+C810</f>
        <v>50505000</v>
      </c>
      <c r="D792" s="1033"/>
      <c r="E792" s="726"/>
      <c r="F792" s="726"/>
      <c r="G792" s="726"/>
      <c r="H792" s="1409"/>
      <c r="I792" s="1410"/>
      <c r="J792"/>
      <c r="K79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c r="EX792"/>
      <c r="EY792"/>
      <c r="EZ792"/>
      <c r="FA792"/>
      <c r="FB792"/>
      <c r="FC792"/>
      <c r="FD792"/>
      <c r="FE792"/>
      <c r="FF792"/>
      <c r="FG792"/>
      <c r="FH792"/>
      <c r="FI792"/>
      <c r="FJ792"/>
      <c r="FK792"/>
      <c r="FL792"/>
      <c r="FM792"/>
      <c r="FN792"/>
      <c r="FO792"/>
      <c r="FP792"/>
      <c r="FQ792"/>
      <c r="FR792"/>
      <c r="FS792"/>
      <c r="FT792"/>
      <c r="FU792"/>
      <c r="FV792"/>
      <c r="FW792"/>
      <c r="FX792"/>
      <c r="FY792"/>
      <c r="FZ792"/>
      <c r="GA792"/>
      <c r="GB792"/>
      <c r="GC792"/>
      <c r="GD792"/>
      <c r="GE792"/>
      <c r="GF792"/>
      <c r="GG792"/>
      <c r="GH792"/>
      <c r="GI792"/>
      <c r="GJ792"/>
      <c r="GK792"/>
      <c r="GL792"/>
      <c r="GM792"/>
      <c r="GN792"/>
      <c r="GO792"/>
      <c r="GP792"/>
      <c r="GQ792"/>
      <c r="GR792"/>
      <c r="GS792"/>
      <c r="GT792"/>
      <c r="GU792"/>
      <c r="GV792"/>
      <c r="GW792"/>
      <c r="GX792"/>
      <c r="GY792"/>
      <c r="GZ792"/>
      <c r="HA792"/>
      <c r="HB792"/>
      <c r="HC792"/>
      <c r="HD792"/>
      <c r="HE792"/>
      <c r="HF792"/>
      <c r="HG792"/>
      <c r="HH792"/>
      <c r="HI792"/>
      <c r="HJ792"/>
      <c r="HK792"/>
      <c r="HL792"/>
      <c r="HM792"/>
      <c r="HN792"/>
      <c r="HO792"/>
      <c r="HP792"/>
      <c r="HQ792"/>
      <c r="HR792"/>
      <c r="HS792"/>
      <c r="HT792"/>
      <c r="HU792"/>
      <c r="HV792"/>
      <c r="HW792"/>
      <c r="HX792"/>
      <c r="HY792"/>
      <c r="HZ792"/>
      <c r="IA792"/>
      <c r="IB792"/>
      <c r="IC792"/>
      <c r="ID792"/>
      <c r="IE792"/>
      <c r="IF792"/>
      <c r="IG792"/>
      <c r="IH792"/>
      <c r="II792"/>
      <c r="IJ792"/>
      <c r="IK792"/>
      <c r="IL792"/>
      <c r="IM792"/>
      <c r="IN792"/>
      <c r="IO792"/>
      <c r="IP792"/>
      <c r="IQ792"/>
      <c r="IR792"/>
      <c r="IS792"/>
    </row>
    <row r="793" spans="1:253" ht="12.75" customHeight="1" x14ac:dyDescent="0.2">
      <c r="A793" s="716"/>
      <c r="B793" s="1411" t="s">
        <v>1903</v>
      </c>
      <c r="C793" s="726">
        <f>C794+C798+C806</f>
        <v>35690000</v>
      </c>
      <c r="D793" s="1033"/>
      <c r="E793" s="726"/>
      <c r="F793" s="726"/>
      <c r="G793" s="726"/>
      <c r="H793" s="1409"/>
      <c r="I793" s="1410"/>
      <c r="J793"/>
      <c r="K793"/>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c r="EX793"/>
      <c r="EY793"/>
      <c r="EZ793"/>
      <c r="FA793"/>
      <c r="FB793"/>
      <c r="FC793"/>
      <c r="FD793"/>
      <c r="FE793"/>
      <c r="FF793"/>
      <c r="FG793"/>
      <c r="FH793"/>
      <c r="FI793"/>
      <c r="FJ793"/>
      <c r="FK793"/>
      <c r="FL793"/>
      <c r="FM793"/>
      <c r="FN793"/>
      <c r="FO793"/>
      <c r="FP793"/>
      <c r="FQ793"/>
      <c r="FR793"/>
      <c r="FS793"/>
      <c r="FT793"/>
      <c r="FU793"/>
      <c r="FV793"/>
      <c r="FW793"/>
      <c r="FX793"/>
      <c r="FY793"/>
      <c r="FZ793"/>
      <c r="GA793"/>
      <c r="GB793"/>
      <c r="GC793"/>
      <c r="GD793"/>
      <c r="GE793"/>
      <c r="GF793"/>
      <c r="GG793"/>
      <c r="GH793"/>
      <c r="GI793"/>
      <c r="GJ793"/>
      <c r="GK793"/>
      <c r="GL793"/>
      <c r="GM793"/>
      <c r="GN793"/>
      <c r="GO793"/>
      <c r="GP793"/>
      <c r="GQ793"/>
      <c r="GR793"/>
      <c r="GS793"/>
      <c r="GT793"/>
      <c r="GU793"/>
      <c r="GV793"/>
      <c r="GW793"/>
      <c r="GX793"/>
      <c r="GY793"/>
      <c r="GZ793"/>
      <c r="HA793"/>
      <c r="HB793"/>
      <c r="HC793"/>
      <c r="HD793"/>
      <c r="HE793"/>
      <c r="HF793"/>
      <c r="HG793"/>
      <c r="HH793"/>
      <c r="HI793"/>
      <c r="HJ793"/>
      <c r="HK793"/>
      <c r="HL793"/>
      <c r="HM793"/>
      <c r="HN793"/>
      <c r="HO793"/>
      <c r="HP793"/>
      <c r="HQ793"/>
      <c r="HR793"/>
      <c r="HS793"/>
      <c r="HT793"/>
      <c r="HU793"/>
      <c r="HV793"/>
      <c r="HW793"/>
      <c r="HX793"/>
      <c r="HY793"/>
      <c r="HZ793"/>
      <c r="IA793"/>
      <c r="IB793"/>
      <c r="IC793"/>
      <c r="ID793"/>
      <c r="IE793"/>
      <c r="IF793"/>
      <c r="IG793"/>
      <c r="IH793"/>
      <c r="II793"/>
      <c r="IJ793"/>
      <c r="IK793"/>
      <c r="IL793"/>
      <c r="IM793"/>
      <c r="IN793"/>
      <c r="IO793"/>
      <c r="IP793"/>
      <c r="IQ793"/>
      <c r="IR793"/>
      <c r="IS793"/>
    </row>
    <row r="794" spans="1:253" ht="12.75" customHeight="1" x14ac:dyDescent="0.2">
      <c r="A794" s="716"/>
      <c r="B794" s="1412" t="s">
        <v>807</v>
      </c>
      <c r="C794" s="1413">
        <f>SUM(C795:C797)</f>
        <v>790000</v>
      </c>
      <c r="D794" s="1414"/>
      <c r="E794" s="1413"/>
      <c r="F794" s="1413"/>
      <c r="G794" s="1413"/>
      <c r="H794" s="1409"/>
      <c r="I794" s="1410"/>
      <c r="J794"/>
      <c r="K794"/>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c r="EX794"/>
      <c r="EY794"/>
      <c r="EZ794"/>
      <c r="FA794"/>
      <c r="FB794"/>
      <c r="FC794"/>
      <c r="FD794"/>
      <c r="FE794"/>
      <c r="FF794"/>
      <c r="FG794"/>
      <c r="FH794"/>
      <c r="FI794"/>
      <c r="FJ794"/>
      <c r="FK794"/>
      <c r="FL794"/>
      <c r="FM794"/>
      <c r="FN794"/>
      <c r="FO794"/>
      <c r="FP794"/>
      <c r="FQ794"/>
      <c r="FR794"/>
      <c r="FS794"/>
      <c r="FT794"/>
      <c r="FU794"/>
      <c r="FV794"/>
      <c r="FW794"/>
      <c r="FX794"/>
      <c r="FY794"/>
      <c r="FZ794"/>
      <c r="GA794"/>
      <c r="GB794"/>
      <c r="GC794"/>
      <c r="GD794"/>
      <c r="GE794"/>
      <c r="GF794"/>
      <c r="GG794"/>
      <c r="GH794"/>
      <c r="GI794"/>
      <c r="GJ794"/>
      <c r="GK794"/>
      <c r="GL794"/>
      <c r="GM794"/>
      <c r="GN794"/>
      <c r="GO794"/>
      <c r="GP794"/>
      <c r="GQ794"/>
      <c r="GR794"/>
      <c r="GS794"/>
      <c r="GT794"/>
      <c r="GU794"/>
      <c r="GV794"/>
      <c r="GW794"/>
      <c r="GX794"/>
      <c r="GY794"/>
      <c r="GZ794"/>
      <c r="HA794"/>
      <c r="HB794"/>
      <c r="HC794"/>
      <c r="HD794"/>
      <c r="HE794"/>
      <c r="HF794"/>
      <c r="HG794"/>
      <c r="HH794"/>
      <c r="HI794"/>
      <c r="HJ794"/>
      <c r="HK794"/>
      <c r="HL794"/>
      <c r="HM794"/>
      <c r="HN794"/>
      <c r="HO794"/>
      <c r="HP794"/>
      <c r="HQ794"/>
      <c r="HR794"/>
      <c r="HS794"/>
      <c r="HT794"/>
      <c r="HU794"/>
      <c r="HV794"/>
      <c r="HW794"/>
      <c r="HX794"/>
      <c r="HY794"/>
      <c r="HZ794"/>
      <c r="IA794"/>
      <c r="IB794"/>
      <c r="IC794"/>
      <c r="ID794"/>
      <c r="IE794"/>
      <c r="IF794"/>
      <c r="IG794"/>
      <c r="IH794"/>
      <c r="II794"/>
      <c r="IJ794"/>
      <c r="IK794"/>
      <c r="IL794"/>
      <c r="IM794"/>
      <c r="IN794"/>
      <c r="IO794"/>
      <c r="IP794"/>
      <c r="IQ794"/>
      <c r="IR794"/>
      <c r="IS794"/>
    </row>
    <row r="795" spans="1:253" ht="12.75" customHeight="1" x14ac:dyDescent="0.2">
      <c r="A795" s="716"/>
      <c r="B795" s="1415" t="s">
        <v>1904</v>
      </c>
      <c r="C795" s="750">
        <v>0</v>
      </c>
      <c r="D795" s="1030"/>
      <c r="E795" s="750"/>
      <c r="F795" s="750"/>
      <c r="G795" s="750"/>
      <c r="H795" s="1409"/>
      <c r="I795" s="1410"/>
      <c r="J795"/>
      <c r="K795"/>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c r="EX795"/>
      <c r="EY795"/>
      <c r="EZ795"/>
      <c r="FA795"/>
      <c r="FB795"/>
      <c r="FC795"/>
      <c r="FD795"/>
      <c r="FE795"/>
      <c r="FF795"/>
      <c r="FG795"/>
      <c r="FH795"/>
      <c r="FI795"/>
      <c r="FJ795"/>
      <c r="FK795"/>
      <c r="FL795"/>
      <c r="FM795"/>
      <c r="FN795"/>
      <c r="FO795"/>
      <c r="FP795"/>
      <c r="FQ795"/>
      <c r="FR795"/>
      <c r="FS795"/>
      <c r="FT795"/>
      <c r="FU795"/>
      <c r="FV795"/>
      <c r="FW795"/>
      <c r="FX795"/>
      <c r="FY795"/>
      <c r="FZ795"/>
      <c r="GA795"/>
      <c r="GB795"/>
      <c r="GC795"/>
      <c r="GD795"/>
      <c r="GE795"/>
      <c r="GF795"/>
      <c r="GG795"/>
      <c r="GH795"/>
      <c r="GI795"/>
      <c r="GJ795"/>
      <c r="GK795"/>
      <c r="GL795"/>
      <c r="GM795"/>
      <c r="GN795"/>
      <c r="GO795"/>
      <c r="GP795"/>
      <c r="GQ795"/>
      <c r="GR795"/>
      <c r="GS795"/>
      <c r="GT795"/>
      <c r="GU795"/>
      <c r="GV795"/>
      <c r="GW795"/>
      <c r="GX795"/>
      <c r="GY795"/>
      <c r="GZ795"/>
      <c r="HA795"/>
      <c r="HB795"/>
      <c r="HC795"/>
      <c r="HD795"/>
      <c r="HE795"/>
      <c r="HF795"/>
      <c r="HG795"/>
      <c r="HH795"/>
      <c r="HI795"/>
      <c r="HJ795"/>
      <c r="HK795"/>
      <c r="HL795"/>
      <c r="HM795"/>
      <c r="HN795"/>
      <c r="HO795"/>
      <c r="HP795"/>
      <c r="HQ795"/>
      <c r="HR795"/>
      <c r="HS795"/>
      <c r="HT795"/>
      <c r="HU795"/>
      <c r="HV795"/>
      <c r="HW795"/>
      <c r="HX795"/>
      <c r="HY795"/>
      <c r="HZ795"/>
      <c r="IA795"/>
      <c r="IB795"/>
      <c r="IC795"/>
      <c r="ID795"/>
      <c r="IE795"/>
      <c r="IF795"/>
      <c r="IG795"/>
      <c r="IH795"/>
      <c r="II795"/>
      <c r="IJ795"/>
      <c r="IK795"/>
      <c r="IL795"/>
      <c r="IM795"/>
      <c r="IN795"/>
      <c r="IO795"/>
      <c r="IP795"/>
      <c r="IQ795"/>
      <c r="IR795"/>
      <c r="IS795"/>
    </row>
    <row r="796" spans="1:253" ht="12.75" customHeight="1" x14ac:dyDescent="0.2">
      <c r="A796" s="716"/>
      <c r="B796" s="1416" t="s">
        <v>1905</v>
      </c>
      <c r="C796" s="772">
        <v>790000</v>
      </c>
      <c r="D796" s="1030"/>
      <c r="E796" s="750"/>
      <c r="F796" s="750"/>
      <c r="G796" s="772"/>
      <c r="H796" s="1409"/>
      <c r="I796" s="1410"/>
      <c r="J796"/>
      <c r="K796"/>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c r="EX796"/>
      <c r="EY796"/>
      <c r="EZ796"/>
      <c r="FA796"/>
      <c r="FB796"/>
      <c r="FC796"/>
      <c r="FD796"/>
      <c r="FE796"/>
      <c r="FF796"/>
      <c r="FG796"/>
      <c r="FH796"/>
      <c r="FI796"/>
      <c r="FJ796"/>
      <c r="FK796"/>
      <c r="FL796"/>
      <c r="FM796"/>
      <c r="FN796"/>
      <c r="FO796"/>
      <c r="FP796"/>
      <c r="FQ796"/>
      <c r="FR796"/>
      <c r="FS796"/>
      <c r="FT796"/>
      <c r="FU796"/>
      <c r="FV796"/>
      <c r="FW796"/>
      <c r="FX796"/>
      <c r="FY796"/>
      <c r="FZ796"/>
      <c r="GA796"/>
      <c r="GB796"/>
      <c r="GC796"/>
      <c r="GD796"/>
      <c r="GE796"/>
      <c r="GF796"/>
      <c r="GG796"/>
      <c r="GH796"/>
      <c r="GI796"/>
      <c r="GJ796"/>
      <c r="GK796"/>
      <c r="GL796"/>
      <c r="GM796"/>
      <c r="GN796"/>
      <c r="GO796"/>
      <c r="GP796"/>
      <c r="GQ796"/>
      <c r="GR796"/>
      <c r="GS796"/>
      <c r="GT796"/>
      <c r="GU796"/>
      <c r="GV796"/>
      <c r="GW796"/>
      <c r="GX796"/>
      <c r="GY796"/>
      <c r="GZ796"/>
      <c r="HA796"/>
      <c r="HB796"/>
      <c r="HC796"/>
      <c r="HD796"/>
      <c r="HE796"/>
      <c r="HF796"/>
      <c r="HG796"/>
      <c r="HH796"/>
      <c r="HI796"/>
      <c r="HJ796"/>
      <c r="HK796"/>
      <c r="HL796"/>
      <c r="HM796"/>
      <c r="HN796"/>
      <c r="HO796"/>
      <c r="HP796"/>
      <c r="HQ796"/>
      <c r="HR796"/>
      <c r="HS796"/>
      <c r="HT796"/>
      <c r="HU796"/>
      <c r="HV796"/>
      <c r="HW796"/>
      <c r="HX796"/>
      <c r="HY796"/>
      <c r="HZ796"/>
      <c r="IA796"/>
      <c r="IB796"/>
      <c r="IC796"/>
      <c r="ID796"/>
      <c r="IE796"/>
      <c r="IF796"/>
      <c r="IG796"/>
      <c r="IH796"/>
      <c r="II796"/>
      <c r="IJ796"/>
      <c r="IK796"/>
      <c r="IL796"/>
      <c r="IM796"/>
      <c r="IN796"/>
      <c r="IO796"/>
      <c r="IP796"/>
      <c r="IQ796"/>
      <c r="IR796"/>
      <c r="IS796"/>
    </row>
    <row r="797" spans="1:253" ht="25.5" x14ac:dyDescent="0.2">
      <c r="A797" s="716"/>
      <c r="B797" s="1416" t="s">
        <v>1906</v>
      </c>
      <c r="C797" s="772">
        <v>0</v>
      </c>
      <c r="D797" s="1030"/>
      <c r="E797" s="750"/>
      <c r="F797" s="750"/>
      <c r="G797" s="772"/>
      <c r="H797" s="902"/>
      <c r="I797" s="1410"/>
      <c r="J797"/>
      <c r="K797"/>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c r="EX797"/>
      <c r="EY797"/>
      <c r="EZ797"/>
      <c r="FA797"/>
      <c r="FB797"/>
      <c r="FC797"/>
      <c r="FD797"/>
      <c r="FE797"/>
      <c r="FF797"/>
      <c r="FG797"/>
      <c r="FH797"/>
      <c r="FI797"/>
      <c r="FJ797"/>
      <c r="FK797"/>
      <c r="FL797"/>
      <c r="FM797"/>
      <c r="FN797"/>
      <c r="FO797"/>
      <c r="FP797"/>
      <c r="FQ797"/>
      <c r="FR797"/>
      <c r="FS797"/>
      <c r="FT797"/>
      <c r="FU797"/>
      <c r="FV797"/>
      <c r="FW797"/>
      <c r="FX797"/>
      <c r="FY797"/>
      <c r="FZ797"/>
      <c r="GA797"/>
      <c r="GB797"/>
      <c r="GC797"/>
      <c r="GD797"/>
      <c r="GE797"/>
      <c r="GF797"/>
      <c r="GG797"/>
      <c r="GH797"/>
      <c r="GI797"/>
      <c r="GJ797"/>
      <c r="GK797"/>
      <c r="GL797"/>
      <c r="GM797"/>
      <c r="GN797"/>
      <c r="GO797"/>
      <c r="GP797"/>
      <c r="GQ797"/>
      <c r="GR797"/>
      <c r="GS797"/>
      <c r="GT797"/>
      <c r="GU797"/>
      <c r="GV797"/>
      <c r="GW797"/>
      <c r="GX797"/>
      <c r="GY797"/>
      <c r="GZ797"/>
      <c r="HA797"/>
      <c r="HB797"/>
      <c r="HC797"/>
      <c r="HD797"/>
      <c r="HE797"/>
      <c r="HF797"/>
      <c r="HG797"/>
      <c r="HH797"/>
      <c r="HI797"/>
      <c r="HJ797"/>
      <c r="HK797"/>
      <c r="HL797"/>
      <c r="HM797"/>
      <c r="HN797"/>
      <c r="HO797"/>
      <c r="HP797"/>
      <c r="HQ797"/>
      <c r="HR797"/>
      <c r="HS797"/>
      <c r="HT797"/>
      <c r="HU797"/>
      <c r="HV797"/>
      <c r="HW797"/>
      <c r="HX797"/>
      <c r="HY797"/>
      <c r="HZ797"/>
      <c r="IA797"/>
      <c r="IB797"/>
      <c r="IC797"/>
      <c r="ID797"/>
      <c r="IE797"/>
      <c r="IF797"/>
      <c r="IG797"/>
      <c r="IH797"/>
      <c r="II797"/>
      <c r="IJ797"/>
      <c r="IK797"/>
      <c r="IL797"/>
      <c r="IM797"/>
      <c r="IN797"/>
      <c r="IO797"/>
      <c r="IP797"/>
      <c r="IQ797"/>
      <c r="IR797"/>
      <c r="IS797"/>
    </row>
    <row r="798" spans="1:253" s="1417" customFormat="1" ht="12.75" customHeight="1" x14ac:dyDescent="0.25">
      <c r="A798" s="716"/>
      <c r="B798" s="1418" t="s">
        <v>829</v>
      </c>
      <c r="C798" s="1419">
        <f>SUM(C799:C805)</f>
        <v>150000</v>
      </c>
      <c r="D798" s="1420"/>
      <c r="E798" s="1421"/>
      <c r="F798" s="1421"/>
      <c r="G798" s="1419"/>
      <c r="H798" s="1422"/>
      <c r="I798" s="1410"/>
    </row>
    <row r="799" spans="1:253" ht="12.75" customHeight="1" x14ac:dyDescent="0.2">
      <c r="A799" s="716"/>
      <c r="B799" s="789" t="s">
        <v>1907</v>
      </c>
      <c r="C799" s="772">
        <v>150000</v>
      </c>
      <c r="D799" s="1030"/>
      <c r="E799" s="750"/>
      <c r="F799" s="750"/>
      <c r="G799" s="772"/>
      <c r="H799" s="1409"/>
      <c r="I799" s="1410"/>
      <c r="J799"/>
      <c r="K799"/>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c r="EX799"/>
      <c r="EY799"/>
      <c r="EZ799"/>
      <c r="FA799"/>
      <c r="FB799"/>
      <c r="FC799"/>
      <c r="FD799"/>
      <c r="FE799"/>
      <c r="FF799"/>
      <c r="FG799"/>
      <c r="FH799"/>
      <c r="FI799"/>
      <c r="FJ799"/>
      <c r="FK799"/>
      <c r="FL799"/>
      <c r="FM799"/>
      <c r="FN799"/>
      <c r="FO799"/>
      <c r="FP799"/>
      <c r="FQ799"/>
      <c r="FR799"/>
      <c r="FS799"/>
      <c r="FT799"/>
      <c r="FU799"/>
      <c r="FV799"/>
      <c r="FW799"/>
      <c r="FX799"/>
      <c r="FY799"/>
      <c r="FZ799"/>
      <c r="GA799"/>
      <c r="GB799"/>
      <c r="GC799"/>
      <c r="GD799"/>
      <c r="GE799"/>
      <c r="GF799"/>
      <c r="GG799"/>
      <c r="GH799"/>
      <c r="GI799"/>
      <c r="GJ799"/>
      <c r="GK799"/>
      <c r="GL799"/>
      <c r="GM799"/>
      <c r="GN799"/>
      <c r="GO799"/>
      <c r="GP799"/>
      <c r="GQ799"/>
      <c r="GR799"/>
      <c r="GS799"/>
      <c r="GT799"/>
      <c r="GU799"/>
      <c r="GV799"/>
      <c r="GW799"/>
      <c r="GX799"/>
      <c r="GY799"/>
      <c r="GZ799"/>
      <c r="HA799"/>
      <c r="HB799"/>
      <c r="HC799"/>
      <c r="HD799"/>
      <c r="HE799"/>
      <c r="HF799"/>
      <c r="HG799"/>
      <c r="HH799"/>
      <c r="HI799"/>
      <c r="HJ799"/>
      <c r="HK799"/>
      <c r="HL799"/>
      <c r="HM799"/>
      <c r="HN799"/>
      <c r="HO799"/>
      <c r="HP799"/>
      <c r="HQ799"/>
      <c r="HR799"/>
      <c r="HS799"/>
      <c r="HT799"/>
      <c r="HU799"/>
      <c r="HV799"/>
      <c r="HW799"/>
      <c r="HX799"/>
      <c r="HY799"/>
      <c r="HZ799"/>
      <c r="IA799"/>
      <c r="IB799"/>
      <c r="IC799"/>
      <c r="ID799"/>
      <c r="IE799"/>
      <c r="IF799"/>
      <c r="IG799"/>
      <c r="IH799"/>
      <c r="II799"/>
      <c r="IJ799"/>
      <c r="IK799"/>
      <c r="IL799"/>
      <c r="IM799"/>
      <c r="IN799"/>
      <c r="IO799"/>
      <c r="IP799"/>
      <c r="IQ799"/>
      <c r="IR799"/>
      <c r="IS799"/>
    </row>
    <row r="800" spans="1:253" ht="12.75" customHeight="1" x14ac:dyDescent="0.2">
      <c r="A800" s="716"/>
      <c r="B800" s="1423" t="s">
        <v>1908</v>
      </c>
      <c r="C800" s="772">
        <v>0</v>
      </c>
      <c r="D800" s="1030"/>
      <c r="E800" s="750"/>
      <c r="F800" s="750"/>
      <c r="G800" s="772"/>
      <c r="H800" s="1409"/>
      <c r="I800" s="1410"/>
      <c r="J800"/>
      <c r="K800"/>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c r="EX800"/>
      <c r="EY800"/>
      <c r="EZ800"/>
      <c r="FA800"/>
      <c r="FB800"/>
      <c r="FC800"/>
      <c r="FD800"/>
      <c r="FE800"/>
      <c r="FF800"/>
      <c r="FG800"/>
      <c r="FH800"/>
      <c r="FI800"/>
      <c r="FJ800"/>
      <c r="FK800"/>
      <c r="FL800"/>
      <c r="FM800"/>
      <c r="FN800"/>
      <c r="FO800"/>
      <c r="FP800"/>
      <c r="FQ800"/>
      <c r="FR800"/>
      <c r="FS800"/>
      <c r="FT800"/>
      <c r="FU800"/>
      <c r="FV800"/>
      <c r="FW800"/>
      <c r="FX800"/>
      <c r="FY800"/>
      <c r="FZ800"/>
      <c r="GA800"/>
      <c r="GB800"/>
      <c r="GC800"/>
      <c r="GD800"/>
      <c r="GE800"/>
      <c r="GF800"/>
      <c r="GG800"/>
      <c r="GH800"/>
      <c r="GI800"/>
      <c r="GJ800"/>
      <c r="GK800"/>
      <c r="GL800"/>
      <c r="GM800"/>
      <c r="GN800"/>
      <c r="GO800"/>
      <c r="GP800"/>
      <c r="GQ800"/>
      <c r="GR800"/>
      <c r="GS800"/>
      <c r="GT800"/>
      <c r="GU800"/>
      <c r="GV800"/>
      <c r="GW800"/>
      <c r="GX800"/>
      <c r="GY800"/>
      <c r="GZ800"/>
      <c r="HA800"/>
      <c r="HB800"/>
      <c r="HC800"/>
      <c r="HD800"/>
      <c r="HE800"/>
      <c r="HF800"/>
      <c r="HG800"/>
      <c r="HH800"/>
      <c r="HI800"/>
      <c r="HJ800"/>
      <c r="HK800"/>
      <c r="HL800"/>
      <c r="HM800"/>
      <c r="HN800"/>
      <c r="HO800"/>
      <c r="HP800"/>
      <c r="HQ800"/>
      <c r="HR800"/>
      <c r="HS800"/>
      <c r="HT800"/>
      <c r="HU800"/>
      <c r="HV800"/>
      <c r="HW800"/>
      <c r="HX800"/>
      <c r="HY800"/>
      <c r="HZ800"/>
      <c r="IA800"/>
      <c r="IB800"/>
      <c r="IC800"/>
      <c r="ID800"/>
      <c r="IE800"/>
      <c r="IF800"/>
      <c r="IG800"/>
      <c r="IH800"/>
      <c r="II800"/>
      <c r="IJ800"/>
      <c r="IK800"/>
      <c r="IL800"/>
      <c r="IM800"/>
      <c r="IN800"/>
      <c r="IO800"/>
      <c r="IP800"/>
      <c r="IQ800"/>
      <c r="IR800"/>
      <c r="IS800"/>
    </row>
    <row r="801" spans="1:253" ht="12.75" customHeight="1" x14ac:dyDescent="0.2">
      <c r="A801" s="716"/>
      <c r="B801" s="1423" t="s">
        <v>1909</v>
      </c>
      <c r="C801" s="772">
        <v>0</v>
      </c>
      <c r="D801" s="1030"/>
      <c r="E801" s="750"/>
      <c r="F801" s="750"/>
      <c r="G801" s="772"/>
      <c r="H801" s="1409"/>
      <c r="I801" s="1410"/>
      <c r="J801"/>
      <c r="K801"/>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c r="EX801"/>
      <c r="EY801"/>
      <c r="EZ801"/>
      <c r="FA801"/>
      <c r="FB801"/>
      <c r="FC801"/>
      <c r="FD801"/>
      <c r="FE801"/>
      <c r="FF801"/>
      <c r="FG801"/>
      <c r="FH801"/>
      <c r="FI801"/>
      <c r="FJ801"/>
      <c r="FK801"/>
      <c r="FL801"/>
      <c r="FM801"/>
      <c r="FN801"/>
      <c r="FO801"/>
      <c r="FP801"/>
      <c r="FQ801"/>
      <c r="FR801"/>
      <c r="FS801"/>
      <c r="FT801"/>
      <c r="FU801"/>
      <c r="FV801"/>
      <c r="FW801"/>
      <c r="FX801"/>
      <c r="FY801"/>
      <c r="FZ801"/>
      <c r="GA801"/>
      <c r="GB801"/>
      <c r="GC801"/>
      <c r="GD801"/>
      <c r="GE801"/>
      <c r="GF801"/>
      <c r="GG801"/>
      <c r="GH801"/>
      <c r="GI801"/>
      <c r="GJ801"/>
      <c r="GK801"/>
      <c r="GL801"/>
      <c r="GM801"/>
      <c r="GN801"/>
      <c r="GO801"/>
      <c r="GP801"/>
      <c r="GQ801"/>
      <c r="GR801"/>
      <c r="GS801"/>
      <c r="GT801"/>
      <c r="GU801"/>
      <c r="GV801"/>
      <c r="GW801"/>
      <c r="GX801"/>
      <c r="GY801"/>
      <c r="GZ801"/>
      <c r="HA801"/>
      <c r="HB801"/>
      <c r="HC801"/>
      <c r="HD801"/>
      <c r="HE801"/>
      <c r="HF801"/>
      <c r="HG801"/>
      <c r="HH801"/>
      <c r="HI801"/>
      <c r="HJ801"/>
      <c r="HK801"/>
      <c r="HL801"/>
      <c r="HM801"/>
      <c r="HN801"/>
      <c r="HO801"/>
      <c r="HP801"/>
      <c r="HQ801"/>
      <c r="HR801"/>
      <c r="HS801"/>
      <c r="HT801"/>
      <c r="HU801"/>
      <c r="HV801"/>
      <c r="HW801"/>
      <c r="HX801"/>
      <c r="HY801"/>
      <c r="HZ801"/>
      <c r="IA801"/>
      <c r="IB801"/>
      <c r="IC801"/>
      <c r="ID801"/>
      <c r="IE801"/>
      <c r="IF801"/>
      <c r="IG801"/>
      <c r="IH801"/>
      <c r="II801"/>
      <c r="IJ801"/>
      <c r="IK801"/>
      <c r="IL801"/>
      <c r="IM801"/>
      <c r="IN801"/>
      <c r="IO801"/>
      <c r="IP801"/>
      <c r="IQ801"/>
      <c r="IR801"/>
      <c r="IS801"/>
    </row>
    <row r="802" spans="1:253" ht="12.75" customHeight="1" x14ac:dyDescent="0.2">
      <c r="A802" s="716"/>
      <c r="B802" s="1423" t="s">
        <v>1910</v>
      </c>
      <c r="C802" s="772">
        <v>0</v>
      </c>
      <c r="D802" s="1030"/>
      <c r="E802" s="750"/>
      <c r="F802" s="750"/>
      <c r="G802" s="772"/>
      <c r="H802" s="1409"/>
      <c r="I802" s="1410"/>
      <c r="J802"/>
      <c r="K80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c r="EX802"/>
      <c r="EY802"/>
      <c r="EZ802"/>
      <c r="FA802"/>
      <c r="FB802"/>
      <c r="FC802"/>
      <c r="FD802"/>
      <c r="FE802"/>
      <c r="FF802"/>
      <c r="FG802"/>
      <c r="FH802"/>
      <c r="FI802"/>
      <c r="FJ802"/>
      <c r="FK802"/>
      <c r="FL802"/>
      <c r="FM802"/>
      <c r="FN802"/>
      <c r="FO802"/>
      <c r="FP802"/>
      <c r="FQ802"/>
      <c r="FR802"/>
      <c r="FS802"/>
      <c r="FT802"/>
      <c r="FU802"/>
      <c r="FV802"/>
      <c r="FW802"/>
      <c r="FX802"/>
      <c r="FY802"/>
      <c r="FZ802"/>
      <c r="GA802"/>
      <c r="GB802"/>
      <c r="GC802"/>
      <c r="GD802"/>
      <c r="GE802"/>
      <c r="GF802"/>
      <c r="GG802"/>
      <c r="GH802"/>
      <c r="GI802"/>
      <c r="GJ802"/>
      <c r="GK802"/>
      <c r="GL802"/>
      <c r="GM802"/>
      <c r="GN802"/>
      <c r="GO802"/>
      <c r="GP802"/>
      <c r="GQ802"/>
      <c r="GR802"/>
      <c r="GS802"/>
      <c r="GT802"/>
      <c r="GU802"/>
      <c r="GV802"/>
      <c r="GW802"/>
      <c r="GX802"/>
      <c r="GY802"/>
      <c r="GZ802"/>
      <c r="HA802"/>
      <c r="HB802"/>
      <c r="HC802"/>
      <c r="HD802"/>
      <c r="HE802"/>
      <c r="HF802"/>
      <c r="HG802"/>
      <c r="HH802"/>
      <c r="HI802"/>
      <c r="HJ802"/>
      <c r="HK802"/>
      <c r="HL802"/>
      <c r="HM802"/>
      <c r="HN802"/>
      <c r="HO802"/>
      <c r="HP802"/>
      <c r="HQ802"/>
      <c r="HR802"/>
      <c r="HS802"/>
      <c r="HT802"/>
      <c r="HU802"/>
      <c r="HV802"/>
      <c r="HW802"/>
      <c r="HX802"/>
      <c r="HY802"/>
      <c r="HZ802"/>
      <c r="IA802"/>
      <c r="IB802"/>
      <c r="IC802"/>
      <c r="ID802"/>
      <c r="IE802"/>
      <c r="IF802"/>
      <c r="IG802"/>
      <c r="IH802"/>
      <c r="II802"/>
      <c r="IJ802"/>
      <c r="IK802"/>
      <c r="IL802"/>
      <c r="IM802"/>
      <c r="IN802"/>
      <c r="IO802"/>
      <c r="IP802"/>
      <c r="IQ802"/>
      <c r="IR802"/>
      <c r="IS802"/>
    </row>
    <row r="803" spans="1:253" ht="12.75" customHeight="1" x14ac:dyDescent="0.2">
      <c r="A803" s="716"/>
      <c r="B803" s="1423" t="s">
        <v>1911</v>
      </c>
      <c r="C803" s="772">
        <v>0</v>
      </c>
      <c r="D803" s="1030"/>
      <c r="E803" s="750"/>
      <c r="F803" s="750"/>
      <c r="G803" s="772"/>
      <c r="H803" s="1409"/>
      <c r="I803" s="1410"/>
      <c r="J803"/>
      <c r="K803"/>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c r="EX803"/>
      <c r="EY803"/>
      <c r="EZ803"/>
      <c r="FA803"/>
      <c r="FB803"/>
      <c r="FC803"/>
      <c r="FD803"/>
      <c r="FE803"/>
      <c r="FF803"/>
      <c r="FG803"/>
      <c r="FH803"/>
      <c r="FI803"/>
      <c r="FJ803"/>
      <c r="FK803"/>
      <c r="FL803"/>
      <c r="FM803"/>
      <c r="FN803"/>
      <c r="FO803"/>
      <c r="FP803"/>
      <c r="FQ803"/>
      <c r="FR803"/>
      <c r="FS803"/>
      <c r="FT803"/>
      <c r="FU803"/>
      <c r="FV803"/>
      <c r="FW803"/>
      <c r="FX803"/>
      <c r="FY803"/>
      <c r="FZ803"/>
      <c r="GA803"/>
      <c r="GB803"/>
      <c r="GC803"/>
      <c r="GD803"/>
      <c r="GE803"/>
      <c r="GF803"/>
      <c r="GG803"/>
      <c r="GH803"/>
      <c r="GI803"/>
      <c r="GJ803"/>
      <c r="GK803"/>
      <c r="GL803"/>
      <c r="GM803"/>
      <c r="GN803"/>
      <c r="GO803"/>
      <c r="GP803"/>
      <c r="GQ803"/>
      <c r="GR803"/>
      <c r="GS803"/>
      <c r="GT803"/>
      <c r="GU803"/>
      <c r="GV803"/>
      <c r="GW803"/>
      <c r="GX803"/>
      <c r="GY803"/>
      <c r="GZ803"/>
      <c r="HA803"/>
      <c r="HB803"/>
      <c r="HC803"/>
      <c r="HD803"/>
      <c r="HE803"/>
      <c r="HF803"/>
      <c r="HG803"/>
      <c r="HH803"/>
      <c r="HI803"/>
      <c r="HJ803"/>
      <c r="HK803"/>
      <c r="HL803"/>
      <c r="HM803"/>
      <c r="HN803"/>
      <c r="HO803"/>
      <c r="HP803"/>
      <c r="HQ803"/>
      <c r="HR803"/>
      <c r="HS803"/>
      <c r="HT803"/>
      <c r="HU803"/>
      <c r="HV803"/>
      <c r="HW803"/>
      <c r="HX803"/>
      <c r="HY803"/>
      <c r="HZ803"/>
      <c r="IA803"/>
      <c r="IB803"/>
      <c r="IC803"/>
      <c r="ID803"/>
      <c r="IE803"/>
      <c r="IF803"/>
      <c r="IG803"/>
      <c r="IH803"/>
      <c r="II803"/>
      <c r="IJ803"/>
      <c r="IK803"/>
      <c r="IL803"/>
      <c r="IM803"/>
      <c r="IN803"/>
      <c r="IO803"/>
      <c r="IP803"/>
      <c r="IQ803"/>
      <c r="IR803"/>
      <c r="IS803"/>
    </row>
    <row r="804" spans="1:253" ht="12.75" customHeight="1" x14ac:dyDescent="0.2">
      <c r="A804" s="716"/>
      <c r="B804" s="1423" t="s">
        <v>1912</v>
      </c>
      <c r="C804" s="772">
        <v>0</v>
      </c>
      <c r="D804" s="1030"/>
      <c r="E804" s="750"/>
      <c r="F804" s="750"/>
      <c r="G804" s="772"/>
      <c r="H804" s="1409"/>
      <c r="I804" s="1410"/>
      <c r="J804"/>
      <c r="K804"/>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c r="EX804"/>
      <c r="EY804"/>
      <c r="EZ804"/>
      <c r="FA804"/>
      <c r="FB804"/>
      <c r="FC804"/>
      <c r="FD804"/>
      <c r="FE804"/>
      <c r="FF804"/>
      <c r="FG804"/>
      <c r="FH804"/>
      <c r="FI804"/>
      <c r="FJ804"/>
      <c r="FK804"/>
      <c r="FL804"/>
      <c r="FM804"/>
      <c r="FN804"/>
      <c r="FO804"/>
      <c r="FP804"/>
      <c r="FQ804"/>
      <c r="FR804"/>
      <c r="FS804"/>
      <c r="FT804"/>
      <c r="FU804"/>
      <c r="FV804"/>
      <c r="FW804"/>
      <c r="FX804"/>
      <c r="FY804"/>
      <c r="FZ804"/>
      <c r="GA804"/>
      <c r="GB804"/>
      <c r="GC804"/>
      <c r="GD804"/>
      <c r="GE804"/>
      <c r="GF804"/>
      <c r="GG804"/>
      <c r="GH804"/>
      <c r="GI804"/>
      <c r="GJ804"/>
      <c r="GK804"/>
      <c r="GL804"/>
      <c r="GM804"/>
      <c r="GN804"/>
      <c r="GO804"/>
      <c r="GP804"/>
      <c r="GQ804"/>
      <c r="GR804"/>
      <c r="GS804"/>
      <c r="GT804"/>
      <c r="GU804"/>
      <c r="GV804"/>
      <c r="GW804"/>
      <c r="GX804"/>
      <c r="GY804"/>
      <c r="GZ804"/>
      <c r="HA804"/>
      <c r="HB804"/>
      <c r="HC804"/>
      <c r="HD804"/>
      <c r="HE804"/>
      <c r="HF804"/>
      <c r="HG804"/>
      <c r="HH804"/>
      <c r="HI804"/>
      <c r="HJ804"/>
      <c r="HK804"/>
      <c r="HL804"/>
      <c r="HM804"/>
      <c r="HN804"/>
      <c r="HO804"/>
      <c r="HP804"/>
      <c r="HQ804"/>
      <c r="HR804"/>
      <c r="HS804"/>
      <c r="HT804"/>
      <c r="HU804"/>
      <c r="HV804"/>
      <c r="HW804"/>
      <c r="HX804"/>
      <c r="HY804"/>
      <c r="HZ804"/>
      <c r="IA804"/>
      <c r="IB804"/>
      <c r="IC804"/>
      <c r="ID804"/>
      <c r="IE804"/>
      <c r="IF804"/>
      <c r="IG804"/>
      <c r="IH804"/>
      <c r="II804"/>
      <c r="IJ804"/>
      <c r="IK804"/>
      <c r="IL804"/>
      <c r="IM804"/>
      <c r="IN804"/>
      <c r="IO804"/>
      <c r="IP804"/>
      <c r="IQ804"/>
      <c r="IR804"/>
      <c r="IS804"/>
    </row>
    <row r="805" spans="1:253" ht="12.75" customHeight="1" x14ac:dyDescent="0.2">
      <c r="A805" s="716"/>
      <c r="B805" s="1423" t="s">
        <v>1913</v>
      </c>
      <c r="C805" s="772">
        <v>0</v>
      </c>
      <c r="D805" s="1030"/>
      <c r="E805" s="750"/>
      <c r="F805" s="750"/>
      <c r="G805" s="772"/>
      <c r="H805" s="1409"/>
      <c r="I805" s="1410"/>
      <c r="J805"/>
      <c r="K805"/>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c r="EX805"/>
      <c r="EY805"/>
      <c r="EZ805"/>
      <c r="FA805"/>
      <c r="FB805"/>
      <c r="FC805"/>
      <c r="FD805"/>
      <c r="FE805"/>
      <c r="FF805"/>
      <c r="FG805"/>
      <c r="FH805"/>
      <c r="FI805"/>
      <c r="FJ805"/>
      <c r="FK805"/>
      <c r="FL805"/>
      <c r="FM805"/>
      <c r="FN805"/>
      <c r="FO805"/>
      <c r="FP805"/>
      <c r="FQ805"/>
      <c r="FR805"/>
      <c r="FS805"/>
      <c r="FT805"/>
      <c r="FU805"/>
      <c r="FV805"/>
      <c r="FW805"/>
      <c r="FX805"/>
      <c r="FY805"/>
      <c r="FZ805"/>
      <c r="GA805"/>
      <c r="GB805"/>
      <c r="GC805"/>
      <c r="GD805"/>
      <c r="GE805"/>
      <c r="GF805"/>
      <c r="GG805"/>
      <c r="GH805"/>
      <c r="GI805"/>
      <c r="GJ805"/>
      <c r="GK805"/>
      <c r="GL805"/>
      <c r="GM805"/>
      <c r="GN805"/>
      <c r="GO805"/>
      <c r="GP805"/>
      <c r="GQ805"/>
      <c r="GR805"/>
      <c r="GS805"/>
      <c r="GT805"/>
      <c r="GU805"/>
      <c r="GV805"/>
      <c r="GW805"/>
      <c r="GX805"/>
      <c r="GY805"/>
      <c r="GZ805"/>
      <c r="HA805"/>
      <c r="HB805"/>
      <c r="HC805"/>
      <c r="HD805"/>
      <c r="HE805"/>
      <c r="HF805"/>
      <c r="HG805"/>
      <c r="HH805"/>
      <c r="HI805"/>
      <c r="HJ805"/>
      <c r="HK805"/>
      <c r="HL805"/>
      <c r="HM805"/>
      <c r="HN805"/>
      <c r="HO805"/>
      <c r="HP805"/>
      <c r="HQ805"/>
      <c r="HR805"/>
      <c r="HS805"/>
      <c r="HT805"/>
      <c r="HU805"/>
      <c r="HV805"/>
      <c r="HW805"/>
      <c r="HX805"/>
      <c r="HY805"/>
      <c r="HZ805"/>
      <c r="IA805"/>
      <c r="IB805"/>
      <c r="IC805"/>
      <c r="ID805"/>
      <c r="IE805"/>
      <c r="IF805"/>
      <c r="IG805"/>
      <c r="IH805"/>
      <c r="II805"/>
      <c r="IJ805"/>
      <c r="IK805"/>
      <c r="IL805"/>
      <c r="IM805"/>
      <c r="IN805"/>
      <c r="IO805"/>
      <c r="IP805"/>
      <c r="IQ805"/>
      <c r="IR805"/>
      <c r="IS805"/>
    </row>
    <row r="806" spans="1:253" ht="12.75" customHeight="1" x14ac:dyDescent="0.2">
      <c r="A806" s="716"/>
      <c r="B806" s="1424" t="s">
        <v>819</v>
      </c>
      <c r="C806" s="1425">
        <f>SUM(C807:C809)</f>
        <v>34750000</v>
      </c>
      <c r="D806" s="1414"/>
      <c r="E806" s="1413"/>
      <c r="F806" s="1413"/>
      <c r="G806" s="1425"/>
      <c r="H806" s="1409"/>
      <c r="I806" s="1410"/>
      <c r="J806"/>
      <c r="K806"/>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c r="EX806"/>
      <c r="EY806"/>
      <c r="EZ806"/>
      <c r="FA806"/>
      <c r="FB806"/>
      <c r="FC806"/>
      <c r="FD806"/>
      <c r="FE806"/>
      <c r="FF806"/>
      <c r="FG806"/>
      <c r="FH806"/>
      <c r="FI806"/>
      <c r="FJ806"/>
      <c r="FK806"/>
      <c r="FL806"/>
      <c r="FM806"/>
      <c r="FN806"/>
      <c r="FO806"/>
      <c r="FP806"/>
      <c r="FQ806"/>
      <c r="FR806"/>
      <c r="FS806"/>
      <c r="FT806"/>
      <c r="FU806"/>
      <c r="FV806"/>
      <c r="FW806"/>
      <c r="FX806"/>
      <c r="FY806"/>
      <c r="FZ806"/>
      <c r="GA806"/>
      <c r="GB806"/>
      <c r="GC806"/>
      <c r="GD806"/>
      <c r="GE806"/>
      <c r="GF806"/>
      <c r="GG806"/>
      <c r="GH806"/>
      <c r="GI806"/>
      <c r="GJ806"/>
      <c r="GK806"/>
      <c r="GL806"/>
      <c r="GM806"/>
      <c r="GN806"/>
      <c r="GO806"/>
      <c r="GP806"/>
      <c r="GQ806"/>
      <c r="GR806"/>
      <c r="GS806"/>
      <c r="GT806"/>
      <c r="GU806"/>
      <c r="GV806"/>
      <c r="GW806"/>
      <c r="GX806"/>
      <c r="GY806"/>
      <c r="GZ806"/>
      <c r="HA806"/>
      <c r="HB806"/>
      <c r="HC806"/>
      <c r="HD806"/>
      <c r="HE806"/>
      <c r="HF806"/>
      <c r="HG806"/>
      <c r="HH806"/>
      <c r="HI806"/>
      <c r="HJ806"/>
      <c r="HK806"/>
      <c r="HL806"/>
      <c r="HM806"/>
      <c r="HN806"/>
      <c r="HO806"/>
      <c r="HP806"/>
      <c r="HQ806"/>
      <c r="HR806"/>
      <c r="HS806"/>
      <c r="HT806"/>
      <c r="HU806"/>
      <c r="HV806"/>
      <c r="HW806"/>
      <c r="HX806"/>
      <c r="HY806"/>
      <c r="HZ806"/>
      <c r="IA806"/>
      <c r="IB806"/>
      <c r="IC806"/>
      <c r="ID806"/>
      <c r="IE806"/>
      <c r="IF806"/>
      <c r="IG806"/>
      <c r="IH806"/>
      <c r="II806"/>
      <c r="IJ806"/>
      <c r="IK806"/>
      <c r="IL806"/>
      <c r="IM806"/>
      <c r="IN806"/>
      <c r="IO806"/>
      <c r="IP806"/>
      <c r="IQ806"/>
      <c r="IR806"/>
      <c r="IS806"/>
    </row>
    <row r="807" spans="1:253" ht="12.75" customHeight="1" x14ac:dyDescent="0.2">
      <c r="A807" s="716"/>
      <c r="B807" s="789" t="s">
        <v>1914</v>
      </c>
      <c r="C807" s="772">
        <v>34500000</v>
      </c>
      <c r="D807" s="1030"/>
      <c r="E807" s="750"/>
      <c r="F807" s="750"/>
      <c r="G807" s="772"/>
      <c r="H807" s="1409"/>
      <c r="I807" s="1410"/>
      <c r="J807"/>
      <c r="K807"/>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c r="EX807"/>
      <c r="EY807"/>
      <c r="EZ807"/>
      <c r="FA807"/>
      <c r="FB807"/>
      <c r="FC807"/>
      <c r="FD807"/>
      <c r="FE807"/>
      <c r="FF807"/>
      <c r="FG807"/>
      <c r="FH807"/>
      <c r="FI807"/>
      <c r="FJ807"/>
      <c r="FK807"/>
      <c r="FL807"/>
      <c r="FM807"/>
      <c r="FN807"/>
      <c r="FO807"/>
      <c r="FP807"/>
      <c r="FQ807"/>
      <c r="FR807"/>
      <c r="FS807"/>
      <c r="FT807"/>
      <c r="FU807"/>
      <c r="FV807"/>
      <c r="FW807"/>
      <c r="FX807"/>
      <c r="FY807"/>
      <c r="FZ807"/>
      <c r="GA807"/>
      <c r="GB807"/>
      <c r="GC807"/>
      <c r="GD807"/>
      <c r="GE807"/>
      <c r="GF807"/>
      <c r="GG807"/>
      <c r="GH807"/>
      <c r="GI807"/>
      <c r="GJ807"/>
      <c r="GK807"/>
      <c r="GL807"/>
      <c r="GM807"/>
      <c r="GN807"/>
      <c r="GO807"/>
      <c r="GP807"/>
      <c r="GQ807"/>
      <c r="GR807"/>
      <c r="GS807"/>
      <c r="GT807"/>
      <c r="GU807"/>
      <c r="GV807"/>
      <c r="GW807"/>
      <c r="GX807"/>
      <c r="GY807"/>
      <c r="GZ807"/>
      <c r="HA807"/>
      <c r="HB807"/>
      <c r="HC807"/>
      <c r="HD807"/>
      <c r="HE807"/>
      <c r="HF807"/>
      <c r="HG807"/>
      <c r="HH807"/>
      <c r="HI807"/>
      <c r="HJ807"/>
      <c r="HK807"/>
      <c r="HL807"/>
      <c r="HM807"/>
      <c r="HN807"/>
      <c r="HO807"/>
      <c r="HP807"/>
      <c r="HQ807"/>
      <c r="HR807"/>
      <c r="HS807"/>
      <c r="HT807"/>
      <c r="HU807"/>
      <c r="HV807"/>
      <c r="HW807"/>
      <c r="HX807"/>
      <c r="HY807"/>
      <c r="HZ807"/>
      <c r="IA807"/>
      <c r="IB807"/>
      <c r="IC807"/>
      <c r="ID807"/>
      <c r="IE807"/>
      <c r="IF807"/>
      <c r="IG807"/>
      <c r="IH807"/>
      <c r="II807"/>
      <c r="IJ807"/>
      <c r="IK807"/>
      <c r="IL807"/>
      <c r="IM807"/>
      <c r="IN807"/>
      <c r="IO807"/>
      <c r="IP807"/>
      <c r="IQ807"/>
      <c r="IR807"/>
      <c r="IS807"/>
    </row>
    <row r="808" spans="1:253" s="98" customFormat="1" ht="12.75" customHeight="1" x14ac:dyDescent="0.25">
      <c r="A808" s="716"/>
      <c r="B808" s="889" t="s">
        <v>1915</v>
      </c>
      <c r="C808" s="772">
        <v>250000</v>
      </c>
      <c r="D808" s="1030"/>
      <c r="E808" s="750"/>
      <c r="F808" s="750"/>
      <c r="G808" s="772"/>
      <c r="H808" s="1367"/>
      <c r="I808" s="1410"/>
    </row>
    <row r="809" spans="1:253" ht="12.75" customHeight="1" x14ac:dyDescent="0.2">
      <c r="A809" s="716"/>
      <c r="B809" s="889" t="s">
        <v>1916</v>
      </c>
      <c r="C809" s="772">
        <v>0</v>
      </c>
      <c r="D809" s="1030"/>
      <c r="E809" s="750"/>
      <c r="F809" s="750"/>
      <c r="G809" s="772"/>
      <c r="H809" s="1409"/>
      <c r="I809" s="1410"/>
      <c r="J809"/>
      <c r="K809"/>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c r="EX809"/>
      <c r="EY809"/>
      <c r="EZ809"/>
      <c r="FA809"/>
      <c r="FB809"/>
      <c r="FC809"/>
      <c r="FD809"/>
      <c r="FE809"/>
      <c r="FF809"/>
      <c r="FG809"/>
      <c r="FH809"/>
      <c r="FI809"/>
      <c r="FJ809"/>
      <c r="FK809"/>
      <c r="FL809"/>
      <c r="FM809"/>
      <c r="FN809"/>
      <c r="FO809"/>
      <c r="FP809"/>
      <c r="FQ809"/>
      <c r="FR809"/>
      <c r="FS809"/>
      <c r="FT809"/>
      <c r="FU809"/>
      <c r="FV809"/>
      <c r="FW809"/>
      <c r="FX809"/>
      <c r="FY809"/>
      <c r="FZ809"/>
      <c r="GA809"/>
      <c r="GB809"/>
      <c r="GC809"/>
      <c r="GD809"/>
      <c r="GE809"/>
      <c r="GF809"/>
      <c r="GG809"/>
      <c r="GH809"/>
      <c r="GI809"/>
      <c r="GJ809"/>
      <c r="GK809"/>
      <c r="GL809"/>
      <c r="GM809"/>
      <c r="GN809"/>
      <c r="GO809"/>
      <c r="GP809"/>
      <c r="GQ809"/>
      <c r="GR809"/>
      <c r="GS809"/>
      <c r="GT809"/>
      <c r="GU809"/>
      <c r="GV809"/>
      <c r="GW809"/>
      <c r="GX809"/>
      <c r="GY809"/>
      <c r="GZ809"/>
      <c r="HA809"/>
      <c r="HB809"/>
      <c r="HC809"/>
      <c r="HD809"/>
      <c r="HE809"/>
      <c r="HF809"/>
      <c r="HG809"/>
      <c r="HH809"/>
      <c r="HI809"/>
      <c r="HJ809"/>
      <c r="HK809"/>
      <c r="HL809"/>
      <c r="HM809"/>
      <c r="HN809"/>
      <c r="HO809"/>
      <c r="HP809"/>
      <c r="HQ809"/>
      <c r="HR809"/>
      <c r="HS809"/>
      <c r="HT809"/>
      <c r="HU809"/>
      <c r="HV809"/>
      <c r="HW809"/>
      <c r="HX809"/>
      <c r="HY809"/>
      <c r="HZ809"/>
      <c r="IA809"/>
      <c r="IB809"/>
      <c r="IC809"/>
      <c r="ID809"/>
      <c r="IE809"/>
      <c r="IF809"/>
      <c r="IG809"/>
      <c r="IH809"/>
      <c r="II809"/>
      <c r="IJ809"/>
      <c r="IK809"/>
      <c r="IL809"/>
      <c r="IM809"/>
      <c r="IN809"/>
      <c r="IO809"/>
      <c r="IP809"/>
      <c r="IQ809"/>
      <c r="IR809"/>
      <c r="IS809"/>
    </row>
    <row r="810" spans="1:253" ht="12.75" customHeight="1" x14ac:dyDescent="0.2">
      <c r="A810" s="716"/>
      <c r="B810" s="1426" t="s">
        <v>1917</v>
      </c>
      <c r="C810" s="734">
        <f>C811+C814+C817</f>
        <v>14815000</v>
      </c>
      <c r="D810" s="1033"/>
      <c r="E810" s="726"/>
      <c r="F810" s="726"/>
      <c r="G810" s="734"/>
      <c r="H810" s="1409"/>
      <c r="I810" s="1410"/>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c r="EX810"/>
      <c r="EY810"/>
      <c r="EZ810"/>
      <c r="FA810"/>
      <c r="FB810"/>
      <c r="FC810"/>
      <c r="FD810"/>
      <c r="FE810"/>
      <c r="FF810"/>
      <c r="FG810"/>
      <c r="FH810"/>
      <c r="FI810"/>
      <c r="FJ810"/>
      <c r="FK810"/>
      <c r="FL810"/>
      <c r="FM810"/>
      <c r="FN810"/>
      <c r="FO810"/>
      <c r="FP810"/>
      <c r="FQ810"/>
      <c r="FR810"/>
      <c r="FS810"/>
      <c r="FT810"/>
      <c r="FU810"/>
      <c r="FV810"/>
      <c r="FW810"/>
      <c r="FX810"/>
      <c r="FY810"/>
      <c r="FZ810"/>
      <c r="GA810"/>
      <c r="GB810"/>
      <c r="GC810"/>
      <c r="GD810"/>
      <c r="GE810"/>
      <c r="GF810"/>
      <c r="GG810"/>
      <c r="GH810"/>
      <c r="GI810"/>
      <c r="GJ810"/>
      <c r="GK810"/>
      <c r="GL810"/>
      <c r="GM810"/>
      <c r="GN810"/>
      <c r="GO810"/>
      <c r="GP810"/>
      <c r="GQ810"/>
      <c r="GR810"/>
      <c r="GS810"/>
      <c r="GT810"/>
      <c r="GU810"/>
      <c r="GV810"/>
      <c r="GW810"/>
      <c r="GX810"/>
      <c r="GY810"/>
      <c r="GZ810"/>
      <c r="HA810"/>
      <c r="HB810"/>
      <c r="HC810"/>
      <c r="HD810"/>
      <c r="HE810"/>
      <c r="HF810"/>
      <c r="HG810"/>
      <c r="HH810"/>
      <c r="HI810"/>
      <c r="HJ810"/>
      <c r="HK810"/>
      <c r="HL810"/>
      <c r="HM810"/>
      <c r="HN810"/>
      <c r="HO810"/>
      <c r="HP810"/>
      <c r="HQ810"/>
      <c r="HR810"/>
      <c r="HS810"/>
      <c r="HT810"/>
      <c r="HU810"/>
      <c r="HV810"/>
      <c r="HW810"/>
      <c r="HX810"/>
      <c r="HY810"/>
      <c r="HZ810"/>
      <c r="IA810"/>
      <c r="IB810"/>
      <c r="IC810"/>
      <c r="ID810"/>
      <c r="IE810"/>
      <c r="IF810"/>
      <c r="IG810"/>
      <c r="IH810"/>
      <c r="II810"/>
      <c r="IJ810"/>
      <c r="IK810"/>
      <c r="IL810"/>
      <c r="IM810"/>
      <c r="IN810"/>
      <c r="IO810"/>
      <c r="IP810"/>
      <c r="IQ810"/>
      <c r="IR810"/>
      <c r="IS810"/>
    </row>
    <row r="811" spans="1:253" ht="12.75" customHeight="1" x14ac:dyDescent="0.2">
      <c r="A811" s="748"/>
      <c r="B811" s="1427" t="s">
        <v>807</v>
      </c>
      <c r="C811" s="1425">
        <f>C812+C813</f>
        <v>0</v>
      </c>
      <c r="D811" s="1414"/>
      <c r="E811" s="1413"/>
      <c r="F811" s="1413"/>
      <c r="G811" s="1425"/>
      <c r="H811" s="1409"/>
      <c r="I811" s="1410"/>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c r="EX811"/>
      <c r="EY811"/>
      <c r="EZ811"/>
      <c r="FA811"/>
      <c r="FB811"/>
      <c r="FC811"/>
      <c r="FD811"/>
      <c r="FE811"/>
      <c r="FF811"/>
      <c r="FG811"/>
      <c r="FH811"/>
      <c r="FI811"/>
      <c r="FJ811"/>
      <c r="FK811"/>
      <c r="FL811"/>
      <c r="FM811"/>
      <c r="FN811"/>
      <c r="FO811"/>
      <c r="FP811"/>
      <c r="FQ811"/>
      <c r="FR811"/>
      <c r="FS811"/>
      <c r="FT811"/>
      <c r="FU811"/>
      <c r="FV811"/>
      <c r="FW811"/>
      <c r="FX811"/>
      <c r="FY811"/>
      <c r="FZ811"/>
      <c r="GA811"/>
      <c r="GB811"/>
      <c r="GC811"/>
      <c r="GD811"/>
      <c r="GE811"/>
      <c r="GF811"/>
      <c r="GG811"/>
      <c r="GH811"/>
      <c r="GI811"/>
      <c r="GJ811"/>
      <c r="GK811"/>
      <c r="GL811"/>
      <c r="GM811"/>
      <c r="GN811"/>
      <c r="GO811"/>
      <c r="GP811"/>
      <c r="GQ811"/>
      <c r="GR811"/>
      <c r="GS811"/>
      <c r="GT811"/>
      <c r="GU811"/>
      <c r="GV811"/>
      <c r="GW811"/>
      <c r="GX811"/>
      <c r="GY811"/>
      <c r="GZ811"/>
      <c r="HA811"/>
      <c r="HB811"/>
      <c r="HC811"/>
      <c r="HD811"/>
      <c r="HE811"/>
      <c r="HF811"/>
      <c r="HG811"/>
      <c r="HH811"/>
      <c r="HI811"/>
      <c r="HJ811"/>
      <c r="HK811"/>
      <c r="HL811"/>
      <c r="HM811"/>
      <c r="HN811"/>
      <c r="HO811"/>
      <c r="HP811"/>
      <c r="HQ811"/>
      <c r="HR811"/>
      <c r="HS811"/>
      <c r="HT811"/>
      <c r="HU811"/>
      <c r="HV811"/>
      <c r="HW811"/>
      <c r="HX811"/>
      <c r="HY811"/>
      <c r="HZ811"/>
      <c r="IA811"/>
      <c r="IB811"/>
      <c r="IC811"/>
      <c r="ID811"/>
      <c r="IE811"/>
      <c r="IF811"/>
      <c r="IG811"/>
      <c r="IH811"/>
      <c r="II811"/>
      <c r="IJ811"/>
      <c r="IK811"/>
      <c r="IL811"/>
      <c r="IM811"/>
      <c r="IN811"/>
      <c r="IO811"/>
      <c r="IP811"/>
      <c r="IQ811"/>
      <c r="IR811"/>
      <c r="IS811"/>
    </row>
    <row r="812" spans="1:253" ht="12.75" customHeight="1" x14ac:dyDescent="0.2">
      <c r="A812" s="748"/>
      <c r="B812" s="796" t="s">
        <v>1918</v>
      </c>
      <c r="C812" s="772">
        <v>0</v>
      </c>
      <c r="D812" s="1030"/>
      <c r="E812" s="750"/>
      <c r="F812" s="750"/>
      <c r="G812" s="772"/>
      <c r="H812" s="1409"/>
      <c r="I812" s="1410"/>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c r="EX812"/>
      <c r="EY812"/>
      <c r="EZ812"/>
      <c r="FA812"/>
      <c r="FB812"/>
      <c r="FC812"/>
      <c r="FD812"/>
      <c r="FE812"/>
      <c r="FF812"/>
      <c r="FG812"/>
      <c r="FH812"/>
      <c r="FI812"/>
      <c r="FJ812"/>
      <c r="FK812"/>
      <c r="FL812"/>
      <c r="FM812"/>
      <c r="FN812"/>
      <c r="FO812"/>
      <c r="FP812"/>
      <c r="FQ812"/>
      <c r="FR812"/>
      <c r="FS812"/>
      <c r="FT812"/>
      <c r="FU812"/>
      <c r="FV812"/>
      <c r="FW812"/>
      <c r="FX812"/>
      <c r="FY812"/>
      <c r="FZ812"/>
      <c r="GA812"/>
      <c r="GB812"/>
      <c r="GC812"/>
      <c r="GD812"/>
      <c r="GE812"/>
      <c r="GF812"/>
      <c r="GG812"/>
      <c r="GH812"/>
      <c r="GI812"/>
      <c r="GJ812"/>
      <c r="GK812"/>
      <c r="GL812"/>
      <c r="GM812"/>
      <c r="GN812"/>
      <c r="GO812"/>
      <c r="GP812"/>
      <c r="GQ812"/>
      <c r="GR812"/>
      <c r="GS812"/>
      <c r="GT812"/>
      <c r="GU812"/>
      <c r="GV812"/>
      <c r="GW812"/>
      <c r="GX812"/>
      <c r="GY812"/>
      <c r="GZ812"/>
      <c r="HA812"/>
      <c r="HB812"/>
      <c r="HC812"/>
      <c r="HD812"/>
      <c r="HE812"/>
      <c r="HF812"/>
      <c r="HG812"/>
      <c r="HH812"/>
      <c r="HI812"/>
      <c r="HJ812"/>
      <c r="HK812"/>
      <c r="HL812"/>
      <c r="HM812"/>
      <c r="HN812"/>
      <c r="HO812"/>
      <c r="HP812"/>
      <c r="HQ812"/>
      <c r="HR812"/>
      <c r="HS812"/>
      <c r="HT812"/>
      <c r="HU812"/>
      <c r="HV812"/>
      <c r="HW812"/>
      <c r="HX812"/>
      <c r="HY812"/>
      <c r="HZ812"/>
      <c r="IA812"/>
      <c r="IB812"/>
      <c r="IC812"/>
      <c r="ID812"/>
      <c r="IE812"/>
      <c r="IF812"/>
      <c r="IG812"/>
      <c r="IH812"/>
      <c r="II812"/>
      <c r="IJ812"/>
      <c r="IK812"/>
      <c r="IL812"/>
      <c r="IM812"/>
      <c r="IN812"/>
      <c r="IO812"/>
      <c r="IP812"/>
      <c r="IQ812"/>
      <c r="IR812"/>
      <c r="IS812"/>
    </row>
    <row r="813" spans="1:253" s="98" customFormat="1" ht="12.75" customHeight="1" x14ac:dyDescent="0.25">
      <c r="A813" s="748"/>
      <c r="B813" s="796" t="s">
        <v>1919</v>
      </c>
      <c r="C813" s="772">
        <v>0</v>
      </c>
      <c r="D813" s="1030"/>
      <c r="E813" s="750"/>
      <c r="F813" s="750"/>
      <c r="G813" s="772"/>
      <c r="H813" s="1367"/>
      <c r="I813" s="1410"/>
    </row>
    <row r="814" spans="1:253" ht="12.75" customHeight="1" x14ac:dyDescent="0.2">
      <c r="A814" s="748"/>
      <c r="B814" s="1427" t="s">
        <v>819</v>
      </c>
      <c r="C814" s="1428">
        <f>SUM(C815:C816)</f>
        <v>14050000</v>
      </c>
      <c r="D814" s="1429"/>
      <c r="E814" s="1430"/>
      <c r="F814" s="1430"/>
      <c r="G814" s="1428"/>
      <c r="H814" s="1409"/>
      <c r="I814" s="1410"/>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c r="EX814"/>
      <c r="EY814"/>
      <c r="EZ814"/>
      <c r="FA814"/>
      <c r="FB814"/>
      <c r="FC814"/>
      <c r="FD814"/>
      <c r="FE814"/>
      <c r="FF814"/>
      <c r="FG814"/>
      <c r="FH814"/>
      <c r="FI814"/>
      <c r="FJ814"/>
      <c r="FK814"/>
      <c r="FL814"/>
      <c r="FM814"/>
      <c r="FN814"/>
      <c r="FO814"/>
      <c r="FP814"/>
      <c r="FQ814"/>
      <c r="FR814"/>
      <c r="FS814"/>
      <c r="FT814"/>
      <c r="FU814"/>
      <c r="FV814"/>
      <c r="FW814"/>
      <c r="FX814"/>
      <c r="FY814"/>
      <c r="FZ814"/>
      <c r="GA814"/>
      <c r="GB814"/>
      <c r="GC814"/>
      <c r="GD814"/>
      <c r="GE814"/>
      <c r="GF814"/>
      <c r="GG814"/>
      <c r="GH814"/>
      <c r="GI814"/>
      <c r="GJ814"/>
      <c r="GK814"/>
      <c r="GL814"/>
      <c r="GM814"/>
      <c r="GN814"/>
      <c r="GO814"/>
      <c r="GP814"/>
      <c r="GQ814"/>
      <c r="GR814"/>
      <c r="GS814"/>
      <c r="GT814"/>
      <c r="GU814"/>
      <c r="GV814"/>
      <c r="GW814"/>
      <c r="GX814"/>
      <c r="GY814"/>
      <c r="GZ814"/>
      <c r="HA814"/>
      <c r="HB814"/>
      <c r="HC814"/>
      <c r="HD814"/>
      <c r="HE814"/>
      <c r="HF814"/>
      <c r="HG814"/>
      <c r="HH814"/>
      <c r="HI814"/>
      <c r="HJ814"/>
      <c r="HK814"/>
      <c r="HL814"/>
      <c r="HM814"/>
      <c r="HN814"/>
      <c r="HO814"/>
      <c r="HP814"/>
      <c r="HQ814"/>
      <c r="HR814"/>
      <c r="HS814"/>
      <c r="HT814"/>
      <c r="HU814"/>
      <c r="HV814"/>
      <c r="HW814"/>
      <c r="HX814"/>
      <c r="HY814"/>
      <c r="HZ814"/>
      <c r="IA814"/>
      <c r="IB814"/>
      <c r="IC814"/>
      <c r="ID814"/>
      <c r="IE814"/>
      <c r="IF814"/>
      <c r="IG814"/>
      <c r="IH814"/>
      <c r="II814"/>
      <c r="IJ814"/>
      <c r="IK814"/>
      <c r="IL814"/>
      <c r="IM814"/>
      <c r="IN814"/>
      <c r="IO814"/>
      <c r="IP814"/>
      <c r="IQ814"/>
      <c r="IR814"/>
      <c r="IS814"/>
    </row>
    <row r="815" spans="1:253" ht="12.75" customHeight="1" x14ac:dyDescent="0.2">
      <c r="A815" s="748"/>
      <c r="B815" s="789" t="s">
        <v>1920</v>
      </c>
      <c r="C815" s="772">
        <v>14000000</v>
      </c>
      <c r="D815" s="1030"/>
      <c r="E815" s="750"/>
      <c r="F815" s="750"/>
      <c r="G815" s="772"/>
      <c r="H815" s="902"/>
      <c r="I815" s="1410"/>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c r="EX815"/>
      <c r="EY815"/>
      <c r="EZ815"/>
      <c r="FA815"/>
      <c r="FB815"/>
      <c r="FC815"/>
      <c r="FD815"/>
      <c r="FE815"/>
      <c r="FF815"/>
      <c r="FG815"/>
      <c r="FH815"/>
      <c r="FI815"/>
      <c r="FJ815"/>
      <c r="FK815"/>
      <c r="FL815"/>
      <c r="FM815"/>
      <c r="FN815"/>
      <c r="FO815"/>
      <c r="FP815"/>
      <c r="FQ815"/>
      <c r="FR815"/>
      <c r="FS815"/>
      <c r="FT815"/>
      <c r="FU815"/>
      <c r="FV815"/>
      <c r="FW815"/>
      <c r="FX815"/>
      <c r="FY815"/>
      <c r="FZ815"/>
      <c r="GA815"/>
      <c r="GB815"/>
      <c r="GC815"/>
      <c r="GD815"/>
      <c r="GE815"/>
      <c r="GF815"/>
      <c r="GG815"/>
      <c r="GH815"/>
      <c r="GI815"/>
      <c r="GJ815"/>
      <c r="GK815"/>
      <c r="GL815"/>
      <c r="GM815"/>
      <c r="GN815"/>
      <c r="GO815"/>
      <c r="GP815"/>
      <c r="GQ815"/>
      <c r="GR815"/>
      <c r="GS815"/>
      <c r="GT815"/>
      <c r="GU815"/>
      <c r="GV815"/>
      <c r="GW815"/>
      <c r="GX815"/>
      <c r="GY815"/>
      <c r="GZ815"/>
      <c r="HA815"/>
      <c r="HB815"/>
      <c r="HC815"/>
      <c r="HD815"/>
      <c r="HE815"/>
      <c r="HF815"/>
      <c r="HG815"/>
      <c r="HH815"/>
      <c r="HI815"/>
      <c r="HJ815"/>
      <c r="HK815"/>
      <c r="HL815"/>
      <c r="HM815"/>
      <c r="HN815"/>
      <c r="HO815"/>
      <c r="HP815"/>
      <c r="HQ815"/>
      <c r="HR815"/>
      <c r="HS815"/>
      <c r="HT815"/>
      <c r="HU815"/>
      <c r="HV815"/>
      <c r="HW815"/>
      <c r="HX815"/>
      <c r="HY815"/>
      <c r="HZ815"/>
      <c r="IA815"/>
      <c r="IB815"/>
      <c r="IC815"/>
      <c r="ID815"/>
      <c r="IE815"/>
      <c r="IF815"/>
      <c r="IG815"/>
      <c r="IH815"/>
      <c r="II815"/>
      <c r="IJ815"/>
      <c r="IK815"/>
      <c r="IL815"/>
      <c r="IM815"/>
      <c r="IN815"/>
      <c r="IO815"/>
      <c r="IP815"/>
      <c r="IQ815"/>
      <c r="IR815"/>
      <c r="IS815"/>
    </row>
    <row r="816" spans="1:253" ht="12.75" customHeight="1" x14ac:dyDescent="0.2">
      <c r="A816" s="748"/>
      <c r="B816" s="1431" t="s">
        <v>1921</v>
      </c>
      <c r="C816" s="772">
        <v>50000</v>
      </c>
      <c r="D816" s="1030"/>
      <c r="E816" s="750"/>
      <c r="F816" s="750"/>
      <c r="G816" s="772"/>
      <c r="H816" s="1409"/>
      <c r="I816" s="1410"/>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c r="EX816"/>
      <c r="EY816"/>
      <c r="EZ816"/>
      <c r="FA816"/>
      <c r="FB816"/>
      <c r="FC816"/>
      <c r="FD816"/>
      <c r="FE816"/>
      <c r="FF816"/>
      <c r="FG816"/>
      <c r="FH816"/>
      <c r="FI816"/>
      <c r="FJ816"/>
      <c r="FK816"/>
      <c r="FL816"/>
      <c r="FM816"/>
      <c r="FN816"/>
      <c r="FO816"/>
      <c r="FP816"/>
      <c r="FQ816"/>
      <c r="FR816"/>
      <c r="FS816"/>
      <c r="FT816"/>
      <c r="FU816"/>
      <c r="FV816"/>
      <c r="FW816"/>
      <c r="FX816"/>
      <c r="FY816"/>
      <c r="FZ816"/>
      <c r="GA816"/>
      <c r="GB816"/>
      <c r="GC816"/>
      <c r="GD816"/>
      <c r="GE816"/>
      <c r="GF816"/>
      <c r="GG816"/>
      <c r="GH816"/>
      <c r="GI816"/>
      <c r="GJ816"/>
      <c r="GK816"/>
      <c r="GL816"/>
      <c r="GM816"/>
      <c r="GN816"/>
      <c r="GO816"/>
      <c r="GP816"/>
      <c r="GQ816"/>
      <c r="GR816"/>
      <c r="GS816"/>
      <c r="GT816"/>
      <c r="GU816"/>
      <c r="GV816"/>
      <c r="GW816"/>
      <c r="GX816"/>
      <c r="GY816"/>
      <c r="GZ816"/>
      <c r="HA816"/>
      <c r="HB816"/>
      <c r="HC816"/>
      <c r="HD816"/>
      <c r="HE816"/>
      <c r="HF816"/>
      <c r="HG816"/>
      <c r="HH816"/>
      <c r="HI816"/>
      <c r="HJ816"/>
      <c r="HK816"/>
      <c r="HL816"/>
      <c r="HM816"/>
      <c r="HN816"/>
      <c r="HO816"/>
      <c r="HP816"/>
      <c r="HQ816"/>
      <c r="HR816"/>
      <c r="HS816"/>
      <c r="HT816"/>
      <c r="HU816"/>
      <c r="HV816"/>
      <c r="HW816"/>
      <c r="HX816"/>
      <c r="HY816"/>
      <c r="HZ816"/>
      <c r="IA816"/>
      <c r="IB816"/>
      <c r="IC816"/>
      <c r="ID816"/>
      <c r="IE816"/>
      <c r="IF816"/>
      <c r="IG816"/>
      <c r="IH816"/>
      <c r="II816"/>
      <c r="IJ816"/>
      <c r="IK816"/>
      <c r="IL816"/>
      <c r="IM816"/>
      <c r="IN816"/>
      <c r="IO816"/>
      <c r="IP816"/>
      <c r="IQ816"/>
      <c r="IR816"/>
      <c r="IS816"/>
    </row>
    <row r="817" spans="1:253" ht="12.75" customHeight="1" x14ac:dyDescent="0.2">
      <c r="A817" s="1432"/>
      <c r="B817" s="1433" t="s">
        <v>829</v>
      </c>
      <c r="C817" s="1434">
        <f>SUM(C818:C821)</f>
        <v>765000</v>
      </c>
      <c r="D817" s="1435"/>
      <c r="E817" s="1436"/>
      <c r="F817" s="1436"/>
      <c r="G817" s="1434"/>
      <c r="H817" s="1409"/>
      <c r="I817" s="1410"/>
      <c r="J817"/>
      <c r="K817"/>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c r="EX817"/>
      <c r="EY817"/>
      <c r="EZ817"/>
      <c r="FA817"/>
      <c r="FB817"/>
      <c r="FC817"/>
      <c r="FD817"/>
      <c r="FE817"/>
      <c r="FF817"/>
      <c r="FG817"/>
      <c r="FH817"/>
      <c r="FI817"/>
      <c r="FJ817"/>
      <c r="FK817"/>
      <c r="FL817"/>
      <c r="FM817"/>
      <c r="FN817"/>
      <c r="FO817"/>
      <c r="FP817"/>
      <c r="FQ817"/>
      <c r="FR817"/>
      <c r="FS817"/>
      <c r="FT817"/>
      <c r="FU817"/>
      <c r="FV817"/>
      <c r="FW817"/>
      <c r="FX817"/>
      <c r="FY817"/>
      <c r="FZ817"/>
      <c r="GA817"/>
      <c r="GB817"/>
      <c r="GC817"/>
      <c r="GD817"/>
      <c r="GE817"/>
      <c r="GF817"/>
      <c r="GG817"/>
      <c r="GH817"/>
      <c r="GI817"/>
      <c r="GJ817"/>
      <c r="GK817"/>
      <c r="GL817"/>
      <c r="GM817"/>
      <c r="GN817"/>
      <c r="GO817"/>
      <c r="GP817"/>
      <c r="GQ817"/>
      <c r="GR817"/>
      <c r="GS817"/>
      <c r="GT817"/>
      <c r="GU817"/>
      <c r="GV817"/>
      <c r="GW817"/>
      <c r="GX817"/>
      <c r="GY817"/>
      <c r="GZ817"/>
      <c r="HA817"/>
      <c r="HB817"/>
      <c r="HC817"/>
      <c r="HD817"/>
      <c r="HE817"/>
      <c r="HF817"/>
      <c r="HG817"/>
      <c r="HH817"/>
      <c r="HI817"/>
      <c r="HJ817"/>
      <c r="HK817"/>
      <c r="HL817"/>
      <c r="HM817"/>
      <c r="HN817"/>
      <c r="HO817"/>
      <c r="HP817"/>
      <c r="HQ817"/>
      <c r="HR817"/>
      <c r="HS817"/>
      <c r="HT817"/>
      <c r="HU817"/>
      <c r="HV817"/>
      <c r="HW817"/>
      <c r="HX817"/>
      <c r="HY817"/>
      <c r="HZ817"/>
      <c r="IA817"/>
      <c r="IB817"/>
      <c r="IC817"/>
      <c r="ID817"/>
      <c r="IE817"/>
      <c r="IF817"/>
      <c r="IG817"/>
      <c r="IH817"/>
      <c r="II817"/>
      <c r="IJ817"/>
      <c r="IK817"/>
      <c r="IL817"/>
      <c r="IM817"/>
      <c r="IN817"/>
      <c r="IO817"/>
      <c r="IP817"/>
      <c r="IQ817"/>
      <c r="IR817"/>
      <c r="IS817"/>
    </row>
    <row r="818" spans="1:253" ht="12.75" customHeight="1" x14ac:dyDescent="0.2">
      <c r="A818" s="1437"/>
      <c r="B818" s="1438" t="s">
        <v>830</v>
      </c>
      <c r="C818" s="1439">
        <v>150000</v>
      </c>
      <c r="D818" s="1440"/>
      <c r="E818" s="1441"/>
      <c r="F818" s="1441"/>
      <c r="G818" s="1439"/>
      <c r="H818" s="1409"/>
      <c r="I818" s="1410"/>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c r="EX818"/>
      <c r="EY818"/>
      <c r="EZ818"/>
      <c r="FA818"/>
      <c r="FB818"/>
      <c r="FC818"/>
      <c r="FD818"/>
      <c r="FE818"/>
      <c r="FF818"/>
      <c r="FG818"/>
      <c r="FH818"/>
      <c r="FI818"/>
      <c r="FJ818"/>
      <c r="FK818"/>
      <c r="FL818"/>
      <c r="FM818"/>
      <c r="FN818"/>
      <c r="FO818"/>
      <c r="FP818"/>
      <c r="FQ818"/>
      <c r="FR818"/>
      <c r="FS818"/>
      <c r="FT818"/>
      <c r="FU818"/>
      <c r="FV818"/>
      <c r="FW818"/>
      <c r="FX818"/>
      <c r="FY818"/>
      <c r="FZ818"/>
      <c r="GA818"/>
      <c r="GB818"/>
      <c r="GC818"/>
      <c r="GD818"/>
      <c r="GE818"/>
      <c r="GF818"/>
      <c r="GG818"/>
      <c r="GH818"/>
      <c r="GI818"/>
      <c r="GJ818"/>
      <c r="GK818"/>
      <c r="GL818"/>
      <c r="GM818"/>
      <c r="GN818"/>
      <c r="GO818"/>
      <c r="GP818"/>
      <c r="GQ818"/>
      <c r="GR818"/>
      <c r="GS818"/>
      <c r="GT818"/>
      <c r="GU818"/>
      <c r="GV818"/>
      <c r="GW818"/>
      <c r="GX818"/>
      <c r="GY818"/>
      <c r="GZ818"/>
      <c r="HA818"/>
      <c r="HB818"/>
      <c r="HC818"/>
      <c r="HD818"/>
      <c r="HE818"/>
      <c r="HF818"/>
      <c r="HG818"/>
      <c r="HH818"/>
      <c r="HI818"/>
      <c r="HJ818"/>
      <c r="HK818"/>
      <c r="HL818"/>
      <c r="HM818"/>
      <c r="HN818"/>
      <c r="HO818"/>
      <c r="HP818"/>
      <c r="HQ818"/>
      <c r="HR818"/>
      <c r="HS818"/>
      <c r="HT818"/>
      <c r="HU818"/>
      <c r="HV818"/>
      <c r="HW818"/>
      <c r="HX818"/>
      <c r="HY818"/>
      <c r="HZ818"/>
      <c r="IA818"/>
      <c r="IB818"/>
      <c r="IC818"/>
      <c r="ID818"/>
      <c r="IE818"/>
      <c r="IF818"/>
      <c r="IG818"/>
      <c r="IH818"/>
      <c r="II818"/>
      <c r="IJ818"/>
      <c r="IK818"/>
      <c r="IL818"/>
      <c r="IM818"/>
      <c r="IN818"/>
      <c r="IO818"/>
      <c r="IP818"/>
      <c r="IQ818"/>
      <c r="IR818"/>
      <c r="IS818"/>
    </row>
    <row r="819" spans="1:253" ht="12.75" customHeight="1" x14ac:dyDescent="0.2">
      <c r="A819" s="1442"/>
      <c r="B819" s="1443" t="s">
        <v>1922</v>
      </c>
      <c r="C819" s="1444">
        <v>0</v>
      </c>
      <c r="D819" s="1445"/>
      <c r="E819" s="1045"/>
      <c r="F819" s="1045"/>
      <c r="G819" s="1444"/>
      <c r="H819" s="1409"/>
      <c r="I819" s="1410"/>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c r="EX819"/>
      <c r="EY819"/>
      <c r="EZ819"/>
      <c r="FA819"/>
      <c r="FB819"/>
      <c r="FC819"/>
      <c r="FD819"/>
      <c r="FE819"/>
      <c r="FF819"/>
      <c r="FG819"/>
      <c r="FH819"/>
      <c r="FI819"/>
      <c r="FJ819"/>
      <c r="FK819"/>
      <c r="FL819"/>
      <c r="FM819"/>
      <c r="FN819"/>
      <c r="FO819"/>
      <c r="FP819"/>
      <c r="FQ819"/>
      <c r="FR819"/>
      <c r="FS819"/>
      <c r="FT819"/>
      <c r="FU819"/>
      <c r="FV819"/>
      <c r="FW819"/>
      <c r="FX819"/>
      <c r="FY819"/>
      <c r="FZ819"/>
      <c r="GA819"/>
      <c r="GB819"/>
      <c r="GC819"/>
      <c r="GD819"/>
      <c r="GE819"/>
      <c r="GF819"/>
      <c r="GG819"/>
      <c r="GH819"/>
      <c r="GI819"/>
      <c r="GJ819"/>
      <c r="GK819"/>
      <c r="GL819"/>
      <c r="GM819"/>
      <c r="GN819"/>
      <c r="GO819"/>
      <c r="GP819"/>
      <c r="GQ819"/>
      <c r="GR819"/>
      <c r="GS819"/>
      <c r="GT819"/>
      <c r="GU819"/>
      <c r="GV819"/>
      <c r="GW819"/>
      <c r="GX819"/>
      <c r="GY819"/>
      <c r="GZ819"/>
      <c r="HA819"/>
      <c r="HB819"/>
      <c r="HC819"/>
      <c r="HD819"/>
      <c r="HE819"/>
      <c r="HF819"/>
      <c r="HG819"/>
      <c r="HH819"/>
      <c r="HI819"/>
      <c r="HJ819"/>
      <c r="HK819"/>
      <c r="HL819"/>
      <c r="HM819"/>
      <c r="HN819"/>
      <c r="HO819"/>
      <c r="HP819"/>
      <c r="HQ819"/>
      <c r="HR819"/>
      <c r="HS819"/>
      <c r="HT819"/>
      <c r="HU819"/>
      <c r="HV819"/>
      <c r="HW819"/>
      <c r="HX819"/>
      <c r="HY819"/>
      <c r="HZ819"/>
      <c r="IA819"/>
      <c r="IB819"/>
      <c r="IC819"/>
      <c r="ID819"/>
      <c r="IE819"/>
      <c r="IF819"/>
      <c r="IG819"/>
      <c r="IH819"/>
      <c r="II819"/>
      <c r="IJ819"/>
      <c r="IK819"/>
      <c r="IL819"/>
      <c r="IM819"/>
      <c r="IN819"/>
      <c r="IO819"/>
      <c r="IP819"/>
      <c r="IQ819"/>
      <c r="IR819"/>
      <c r="IS819"/>
    </row>
    <row r="820" spans="1:253" ht="12.75" customHeight="1" x14ac:dyDescent="0.2">
      <c r="A820" s="1446"/>
      <c r="B820" s="1423" t="s">
        <v>832</v>
      </c>
      <c r="C820" s="767">
        <v>0</v>
      </c>
      <c r="D820" s="1338"/>
      <c r="E820" s="738"/>
      <c r="F820" s="738"/>
      <c r="G820" s="767"/>
      <c r="H820" s="1409"/>
      <c r="I820" s="1410"/>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c r="EX820"/>
      <c r="EY820"/>
      <c r="EZ820"/>
      <c r="FA820"/>
      <c r="FB820"/>
      <c r="FC820"/>
      <c r="FD820"/>
      <c r="FE820"/>
      <c r="FF820"/>
      <c r="FG820"/>
      <c r="FH820"/>
      <c r="FI820"/>
      <c r="FJ820"/>
      <c r="FK820"/>
      <c r="FL820"/>
      <c r="FM820"/>
      <c r="FN820"/>
      <c r="FO820"/>
      <c r="FP820"/>
      <c r="FQ820"/>
      <c r="FR820"/>
      <c r="FS820"/>
      <c r="FT820"/>
      <c r="FU820"/>
      <c r="FV820"/>
      <c r="FW820"/>
      <c r="FX820"/>
      <c r="FY820"/>
      <c r="FZ820"/>
      <c r="GA820"/>
      <c r="GB820"/>
      <c r="GC820"/>
      <c r="GD820"/>
      <c r="GE820"/>
      <c r="GF820"/>
      <c r="GG820"/>
      <c r="GH820"/>
      <c r="GI820"/>
      <c r="GJ820"/>
      <c r="GK820"/>
      <c r="GL820"/>
      <c r="GM820"/>
      <c r="GN820"/>
      <c r="GO820"/>
      <c r="GP820"/>
      <c r="GQ820"/>
      <c r="GR820"/>
      <c r="GS820"/>
      <c r="GT820"/>
      <c r="GU820"/>
      <c r="GV820"/>
      <c r="GW820"/>
      <c r="GX820"/>
      <c r="GY820"/>
      <c r="GZ820"/>
      <c r="HA820"/>
      <c r="HB820"/>
      <c r="HC820"/>
      <c r="HD820"/>
      <c r="HE820"/>
      <c r="HF820"/>
      <c r="HG820"/>
      <c r="HH820"/>
      <c r="HI820"/>
      <c r="HJ820"/>
      <c r="HK820"/>
      <c r="HL820"/>
      <c r="HM820"/>
      <c r="HN820"/>
      <c r="HO820"/>
      <c r="HP820"/>
      <c r="HQ820"/>
      <c r="HR820"/>
      <c r="HS820"/>
      <c r="HT820"/>
      <c r="HU820"/>
      <c r="HV820"/>
      <c r="HW820"/>
      <c r="HX820"/>
      <c r="HY820"/>
      <c r="HZ820"/>
      <c r="IA820"/>
      <c r="IB820"/>
      <c r="IC820"/>
      <c r="ID820"/>
      <c r="IE820"/>
      <c r="IF820"/>
      <c r="IG820"/>
      <c r="IH820"/>
      <c r="II820"/>
      <c r="IJ820"/>
      <c r="IK820"/>
      <c r="IL820"/>
      <c r="IM820"/>
      <c r="IN820"/>
      <c r="IO820"/>
      <c r="IP820"/>
      <c r="IQ820"/>
      <c r="IR820"/>
      <c r="IS820"/>
    </row>
    <row r="821" spans="1:253" ht="25.5" x14ac:dyDescent="0.2">
      <c r="A821" s="748"/>
      <c r="B821" s="789" t="s">
        <v>1923</v>
      </c>
      <c r="C821" s="772">
        <v>615000</v>
      </c>
      <c r="D821" s="1030"/>
      <c r="E821" s="750"/>
      <c r="F821" s="750"/>
      <c r="G821" s="772"/>
      <c r="H821" s="1409"/>
      <c r="I821" s="1410"/>
      <c r="J821"/>
      <c r="K821"/>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c r="EX821"/>
      <c r="EY821"/>
      <c r="EZ821"/>
      <c r="FA821"/>
      <c r="FB821"/>
      <c r="FC821"/>
      <c r="FD821"/>
      <c r="FE821"/>
      <c r="FF821"/>
      <c r="FG821"/>
      <c r="FH821"/>
      <c r="FI821"/>
      <c r="FJ821"/>
      <c r="FK821"/>
      <c r="FL821"/>
      <c r="FM821"/>
      <c r="FN821"/>
      <c r="FO821"/>
      <c r="FP821"/>
      <c r="FQ821"/>
      <c r="FR821"/>
      <c r="FS821"/>
      <c r="FT821"/>
      <c r="FU821"/>
      <c r="FV821"/>
      <c r="FW821"/>
      <c r="FX821"/>
      <c r="FY821"/>
      <c r="FZ821"/>
      <c r="GA821"/>
      <c r="GB821"/>
      <c r="GC821"/>
      <c r="GD821"/>
      <c r="GE821"/>
      <c r="GF821"/>
      <c r="GG821"/>
      <c r="GH821"/>
      <c r="GI821"/>
      <c r="GJ821"/>
      <c r="GK821"/>
      <c r="GL821"/>
      <c r="GM821"/>
      <c r="GN821"/>
      <c r="GO821"/>
      <c r="GP821"/>
      <c r="GQ821"/>
      <c r="GR821"/>
      <c r="GS821"/>
      <c r="GT821"/>
      <c r="GU821"/>
      <c r="GV821"/>
      <c r="GW821"/>
      <c r="GX821"/>
      <c r="GY821"/>
      <c r="GZ821"/>
      <c r="HA821"/>
      <c r="HB821"/>
      <c r="HC821"/>
      <c r="HD821"/>
      <c r="HE821"/>
      <c r="HF821"/>
      <c r="HG821"/>
      <c r="HH821"/>
      <c r="HI821"/>
      <c r="HJ821"/>
      <c r="HK821"/>
      <c r="HL821"/>
      <c r="HM821"/>
      <c r="HN821"/>
      <c r="HO821"/>
      <c r="HP821"/>
      <c r="HQ821"/>
      <c r="HR821"/>
      <c r="HS821"/>
      <c r="HT821"/>
      <c r="HU821"/>
      <c r="HV821"/>
      <c r="HW821"/>
      <c r="HX821"/>
      <c r="HY821"/>
      <c r="HZ821"/>
      <c r="IA821"/>
      <c r="IB821"/>
      <c r="IC821"/>
      <c r="ID821"/>
      <c r="IE821"/>
      <c r="IF821"/>
      <c r="IG821"/>
      <c r="IH821"/>
      <c r="II821"/>
      <c r="IJ821"/>
      <c r="IK821"/>
      <c r="IL821"/>
      <c r="IM821"/>
      <c r="IN821"/>
      <c r="IO821"/>
      <c r="IP821"/>
      <c r="IQ821"/>
      <c r="IR821"/>
      <c r="IS821"/>
    </row>
    <row r="822" spans="1:253" ht="12.75" customHeight="1" x14ac:dyDescent="0.2">
      <c r="A822" s="716">
        <v>3612</v>
      </c>
      <c r="B822" s="787" t="s">
        <v>833</v>
      </c>
      <c r="C822" s="734">
        <f>C823+C825</f>
        <v>55570000</v>
      </c>
      <c r="D822" s="1033"/>
      <c r="E822" s="726"/>
      <c r="F822" s="726"/>
      <c r="G822" s="734"/>
      <c r="H822" s="1409"/>
      <c r="I822" s="1410"/>
      <c r="J822"/>
      <c r="K822"/>
      <c r="L822"/>
      <c r="M822"/>
      <c r="N822"/>
      <c r="O822"/>
      <c r="P82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c r="EB822"/>
      <c r="EC822"/>
      <c r="ED822"/>
      <c r="EE822"/>
      <c r="EF822"/>
      <c r="EG822"/>
      <c r="EH822"/>
      <c r="EI822"/>
      <c r="EJ822"/>
      <c r="EK822"/>
      <c r="EL822"/>
      <c r="EM822"/>
      <c r="EN822"/>
      <c r="EO822"/>
      <c r="EP822"/>
      <c r="EQ822"/>
      <c r="ER822"/>
      <c r="ES822"/>
      <c r="ET822"/>
      <c r="EU822"/>
      <c r="EV822"/>
      <c r="EW822"/>
      <c r="EX822"/>
      <c r="EY822"/>
      <c r="EZ822"/>
      <c r="FA822"/>
      <c r="FB822"/>
      <c r="FC822"/>
      <c r="FD822"/>
      <c r="FE822"/>
      <c r="FF822"/>
      <c r="FG822"/>
      <c r="FH822"/>
      <c r="FI822"/>
      <c r="FJ822"/>
      <c r="FK822"/>
      <c r="FL822"/>
      <c r="FM822"/>
      <c r="FN822"/>
      <c r="FO822"/>
      <c r="FP822"/>
      <c r="FQ822"/>
      <c r="FR822"/>
      <c r="FS822"/>
      <c r="FT822"/>
      <c r="FU822"/>
      <c r="FV822"/>
      <c r="FW822"/>
      <c r="FX822"/>
      <c r="FY822"/>
      <c r="FZ822"/>
      <c r="GA822"/>
      <c r="GB822"/>
      <c r="GC822"/>
      <c r="GD822"/>
      <c r="GE822"/>
      <c r="GF822"/>
      <c r="GG822"/>
      <c r="GH822"/>
      <c r="GI822"/>
      <c r="GJ822"/>
      <c r="GK822"/>
      <c r="GL822"/>
      <c r="GM822"/>
      <c r="GN822"/>
      <c r="GO822"/>
      <c r="GP822"/>
      <c r="GQ822"/>
      <c r="GR822"/>
      <c r="GS822"/>
      <c r="GT822"/>
      <c r="GU822"/>
      <c r="GV822"/>
      <c r="GW822"/>
      <c r="GX822"/>
      <c r="GY822"/>
      <c r="GZ822"/>
      <c r="HA822"/>
      <c r="HB822"/>
      <c r="HC822"/>
      <c r="HD822"/>
      <c r="HE822"/>
      <c r="HF822"/>
      <c r="HG822"/>
      <c r="HH822"/>
      <c r="HI822"/>
      <c r="HJ822"/>
      <c r="HK822"/>
      <c r="HL822"/>
      <c r="HM822"/>
      <c r="HN822"/>
      <c r="HO822"/>
      <c r="HP822"/>
      <c r="HQ822"/>
      <c r="HR822"/>
      <c r="HS822"/>
      <c r="HT822"/>
      <c r="HU822"/>
      <c r="HV822"/>
      <c r="HW822"/>
      <c r="HX822"/>
      <c r="HY822"/>
      <c r="HZ822"/>
      <c r="IA822"/>
      <c r="IB822"/>
      <c r="IC822"/>
      <c r="ID822"/>
      <c r="IE822"/>
      <c r="IF822"/>
      <c r="IG822"/>
      <c r="IH822"/>
      <c r="II822"/>
      <c r="IJ822"/>
      <c r="IK822"/>
      <c r="IL822"/>
      <c r="IM822"/>
      <c r="IN822"/>
      <c r="IO822"/>
      <c r="IP822"/>
      <c r="IQ822"/>
      <c r="IR822"/>
      <c r="IS822"/>
    </row>
    <row r="823" spans="1:253" ht="12.75" customHeight="1" x14ac:dyDescent="0.2">
      <c r="A823" s="748"/>
      <c r="B823" s="1427" t="s">
        <v>807</v>
      </c>
      <c r="C823" s="1425">
        <f>SUM(C824)</f>
        <v>300000</v>
      </c>
      <c r="D823" s="1414"/>
      <c r="E823" s="1413"/>
      <c r="F823" s="1447"/>
      <c r="G823" s="1425"/>
      <c r="H823" s="1409"/>
      <c r="I823" s="1410"/>
      <c r="J823"/>
      <c r="K823"/>
      <c r="L823"/>
      <c r="M823"/>
      <c r="N82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c r="EX823"/>
      <c r="EY823"/>
      <c r="EZ823"/>
      <c r="FA823"/>
      <c r="FB823"/>
      <c r="FC823"/>
      <c r="FD823"/>
      <c r="FE823"/>
      <c r="FF823"/>
      <c r="FG823"/>
      <c r="FH823"/>
      <c r="FI823"/>
      <c r="FJ823"/>
      <c r="FK823"/>
      <c r="FL823"/>
      <c r="FM823"/>
      <c r="FN823"/>
      <c r="FO823"/>
      <c r="FP823"/>
      <c r="FQ823"/>
      <c r="FR823"/>
      <c r="FS823"/>
      <c r="FT823"/>
      <c r="FU823"/>
      <c r="FV823"/>
      <c r="FW823"/>
      <c r="FX823"/>
      <c r="FY823"/>
      <c r="FZ823"/>
      <c r="GA823"/>
      <c r="GB823"/>
      <c r="GC823"/>
      <c r="GD823"/>
      <c r="GE823"/>
      <c r="GF823"/>
      <c r="GG823"/>
      <c r="GH823"/>
      <c r="GI823"/>
      <c r="GJ823"/>
      <c r="GK823"/>
      <c r="GL823"/>
      <c r="GM823"/>
      <c r="GN823"/>
      <c r="GO823"/>
      <c r="GP823"/>
      <c r="GQ823"/>
      <c r="GR823"/>
      <c r="GS823"/>
      <c r="GT823"/>
      <c r="GU823"/>
      <c r="GV823"/>
      <c r="GW823"/>
      <c r="GX823"/>
      <c r="GY823"/>
      <c r="GZ823"/>
      <c r="HA823"/>
      <c r="HB823"/>
      <c r="HC823"/>
      <c r="HD823"/>
      <c r="HE823"/>
      <c r="HF823"/>
      <c r="HG823"/>
      <c r="HH823"/>
      <c r="HI823"/>
      <c r="HJ823"/>
      <c r="HK823"/>
      <c r="HL823"/>
      <c r="HM823"/>
      <c r="HN823"/>
      <c r="HO823"/>
      <c r="HP823"/>
      <c r="HQ823"/>
      <c r="HR823"/>
      <c r="HS823"/>
      <c r="HT823"/>
      <c r="HU823"/>
      <c r="HV823"/>
      <c r="HW823"/>
      <c r="HX823"/>
      <c r="HY823"/>
      <c r="HZ823"/>
      <c r="IA823"/>
      <c r="IB823"/>
      <c r="IC823"/>
      <c r="ID823"/>
      <c r="IE823"/>
      <c r="IF823"/>
      <c r="IG823"/>
      <c r="IH823"/>
      <c r="II823"/>
      <c r="IJ823"/>
      <c r="IK823"/>
      <c r="IL823"/>
      <c r="IM823"/>
      <c r="IN823"/>
      <c r="IO823"/>
      <c r="IP823"/>
      <c r="IQ823"/>
      <c r="IR823"/>
      <c r="IS823"/>
    </row>
    <row r="824" spans="1:253" ht="12.75" customHeight="1" x14ac:dyDescent="0.2">
      <c r="A824" s="748"/>
      <c r="B824" s="796" t="s">
        <v>1924</v>
      </c>
      <c r="C824" s="772">
        <v>300000</v>
      </c>
      <c r="D824" s="1030"/>
      <c r="E824" s="750"/>
      <c r="F824" s="1448"/>
      <c r="G824" s="772"/>
      <c r="H824" s="1409"/>
      <c r="I824" s="1410"/>
      <c r="J824"/>
      <c r="K824"/>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c r="EX824"/>
      <c r="EY824"/>
      <c r="EZ824"/>
      <c r="FA824"/>
      <c r="FB824"/>
      <c r="FC824"/>
      <c r="FD824"/>
      <c r="FE824"/>
      <c r="FF824"/>
      <c r="FG824"/>
      <c r="FH824"/>
      <c r="FI824"/>
      <c r="FJ824"/>
      <c r="FK824"/>
      <c r="FL824"/>
      <c r="FM824"/>
      <c r="FN824"/>
      <c r="FO824"/>
      <c r="FP824"/>
      <c r="FQ824"/>
      <c r="FR824"/>
      <c r="FS824"/>
      <c r="FT824"/>
      <c r="FU824"/>
      <c r="FV824"/>
      <c r="FW824"/>
      <c r="FX824"/>
      <c r="FY824"/>
      <c r="FZ824"/>
      <c r="GA824"/>
      <c r="GB824"/>
      <c r="GC824"/>
      <c r="GD824"/>
      <c r="GE824"/>
      <c r="GF824"/>
      <c r="GG824"/>
      <c r="GH824"/>
      <c r="GI824"/>
      <c r="GJ824"/>
      <c r="GK824"/>
      <c r="GL824"/>
      <c r="GM824"/>
      <c r="GN824"/>
      <c r="GO824"/>
      <c r="GP824"/>
      <c r="GQ824"/>
      <c r="GR824"/>
      <c r="GS824"/>
      <c r="GT824"/>
      <c r="GU824"/>
      <c r="GV824"/>
      <c r="GW824"/>
      <c r="GX824"/>
      <c r="GY824"/>
      <c r="GZ824"/>
      <c r="HA824"/>
      <c r="HB824"/>
      <c r="HC824"/>
      <c r="HD824"/>
      <c r="HE824"/>
      <c r="HF824"/>
      <c r="HG824"/>
      <c r="HH824"/>
      <c r="HI824"/>
      <c r="HJ824"/>
      <c r="HK824"/>
      <c r="HL824"/>
      <c r="HM824"/>
      <c r="HN824"/>
      <c r="HO824"/>
      <c r="HP824"/>
      <c r="HQ824"/>
      <c r="HR824"/>
      <c r="HS824"/>
      <c r="HT824"/>
      <c r="HU824"/>
      <c r="HV824"/>
      <c r="HW824"/>
      <c r="HX824"/>
      <c r="HY824"/>
      <c r="HZ824"/>
      <c r="IA824"/>
      <c r="IB824"/>
      <c r="IC824"/>
      <c r="ID824"/>
      <c r="IE824"/>
      <c r="IF824"/>
      <c r="IG824"/>
      <c r="IH824"/>
      <c r="II824"/>
      <c r="IJ824"/>
      <c r="IK824"/>
      <c r="IL824"/>
      <c r="IM824"/>
      <c r="IN824"/>
      <c r="IO824"/>
      <c r="IP824"/>
      <c r="IQ824"/>
      <c r="IR824"/>
      <c r="IS824"/>
    </row>
    <row r="825" spans="1:253" ht="12.75" customHeight="1" x14ac:dyDescent="0.2">
      <c r="A825" s="716"/>
      <c r="B825" s="1449" t="s">
        <v>844</v>
      </c>
      <c r="C825" s="1450">
        <f>C826+C831+C837+C848+C849+C850+C851+C852+C857</f>
        <v>55270000</v>
      </c>
      <c r="D825" s="1451"/>
      <c r="E825" s="1452"/>
      <c r="F825" s="1453"/>
      <c r="G825" s="1450"/>
      <c r="H825" s="1409"/>
      <c r="I825" s="1410"/>
      <c r="J825"/>
      <c r="K825"/>
      <c r="L825"/>
      <c r="M825"/>
      <c r="N825"/>
      <c r="O825"/>
      <c r="P825"/>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c r="EB825"/>
      <c r="EC825"/>
      <c r="ED825"/>
      <c r="EE825"/>
      <c r="EF825"/>
      <c r="EG825"/>
      <c r="EH825"/>
      <c r="EI825"/>
      <c r="EJ825"/>
      <c r="EK825"/>
      <c r="EL825"/>
      <c r="EM825"/>
      <c r="EN825"/>
      <c r="EO825"/>
      <c r="EP825"/>
      <c r="EQ825"/>
      <c r="ER825"/>
      <c r="ES825"/>
      <c r="ET825"/>
      <c r="EU825"/>
      <c r="EV825"/>
      <c r="EW825"/>
      <c r="EX825"/>
      <c r="EY825"/>
      <c r="EZ825"/>
      <c r="FA825"/>
      <c r="FB825"/>
      <c r="FC825"/>
      <c r="FD825"/>
      <c r="FE825"/>
      <c r="FF825"/>
      <c r="FG825"/>
      <c r="FH825"/>
      <c r="FI825"/>
      <c r="FJ825"/>
      <c r="FK825"/>
      <c r="FL825"/>
      <c r="FM825"/>
      <c r="FN825"/>
      <c r="FO825"/>
      <c r="FP825"/>
      <c r="FQ825"/>
      <c r="FR825"/>
      <c r="FS825"/>
      <c r="FT825"/>
      <c r="FU825"/>
      <c r="FV825"/>
      <c r="FW825"/>
      <c r="FX825"/>
      <c r="FY825"/>
      <c r="FZ825"/>
      <c r="GA825"/>
      <c r="GB825"/>
      <c r="GC825"/>
      <c r="GD825"/>
      <c r="GE825"/>
      <c r="GF825"/>
      <c r="GG825"/>
      <c r="GH825"/>
      <c r="GI825"/>
      <c r="GJ825"/>
      <c r="GK825"/>
      <c r="GL825"/>
      <c r="GM825"/>
      <c r="GN825"/>
      <c r="GO825"/>
      <c r="GP825"/>
      <c r="GQ825"/>
      <c r="GR825"/>
      <c r="GS825"/>
      <c r="GT825"/>
      <c r="GU825"/>
      <c r="GV825"/>
      <c r="GW825"/>
      <c r="GX825"/>
      <c r="GY825"/>
      <c r="GZ825"/>
      <c r="HA825"/>
      <c r="HB825"/>
      <c r="HC825"/>
      <c r="HD825"/>
      <c r="HE825"/>
      <c r="HF825"/>
      <c r="HG825"/>
      <c r="HH825"/>
      <c r="HI825"/>
      <c r="HJ825"/>
      <c r="HK825"/>
      <c r="HL825"/>
      <c r="HM825"/>
      <c r="HN825"/>
      <c r="HO825"/>
      <c r="HP825"/>
      <c r="HQ825"/>
      <c r="HR825"/>
      <c r="HS825"/>
      <c r="HT825"/>
      <c r="HU825"/>
      <c r="HV825"/>
      <c r="HW825"/>
      <c r="HX825"/>
      <c r="HY825"/>
      <c r="HZ825"/>
      <c r="IA825"/>
      <c r="IB825"/>
      <c r="IC825"/>
      <c r="ID825"/>
      <c r="IE825"/>
      <c r="IF825"/>
      <c r="IG825"/>
      <c r="IH825"/>
      <c r="II825"/>
      <c r="IJ825"/>
      <c r="IK825"/>
      <c r="IL825"/>
      <c r="IM825"/>
      <c r="IN825"/>
      <c r="IO825"/>
      <c r="IP825"/>
      <c r="IQ825"/>
      <c r="IR825"/>
      <c r="IS825"/>
    </row>
    <row r="826" spans="1:253" ht="12.75" customHeight="1" x14ac:dyDescent="0.2">
      <c r="A826" s="1454"/>
      <c r="B826" s="1455" t="s">
        <v>845</v>
      </c>
      <c r="C826" s="1456">
        <f>SUM(C827:C830)</f>
        <v>10050000</v>
      </c>
      <c r="D826" s="1457"/>
      <c r="E826" s="1452"/>
      <c r="F826" s="1453"/>
      <c r="G826" s="1456"/>
      <c r="H826" s="1409"/>
      <c r="I826" s="1410"/>
      <c r="J826"/>
      <c r="K826"/>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c r="EX826"/>
      <c r="EY826"/>
      <c r="EZ826"/>
      <c r="FA826"/>
      <c r="FB826"/>
      <c r="FC826"/>
      <c r="FD826"/>
      <c r="FE826"/>
      <c r="FF826"/>
      <c r="FG826"/>
      <c r="FH826"/>
      <c r="FI826"/>
      <c r="FJ826"/>
      <c r="FK826"/>
      <c r="FL826"/>
      <c r="FM826"/>
      <c r="FN826"/>
      <c r="FO826"/>
      <c r="FP826"/>
      <c r="FQ826"/>
      <c r="FR826"/>
      <c r="FS826"/>
      <c r="FT826"/>
      <c r="FU826"/>
      <c r="FV826"/>
      <c r="FW826"/>
      <c r="FX826"/>
      <c r="FY826"/>
      <c r="FZ826"/>
      <c r="GA826"/>
      <c r="GB826"/>
      <c r="GC826"/>
      <c r="GD826"/>
      <c r="GE826"/>
      <c r="GF826"/>
      <c r="GG826"/>
      <c r="GH826"/>
      <c r="GI826"/>
      <c r="GJ826"/>
      <c r="GK826"/>
      <c r="GL826"/>
      <c r="GM826"/>
      <c r="GN826"/>
      <c r="GO826"/>
      <c r="GP826"/>
      <c r="GQ826"/>
      <c r="GR826"/>
      <c r="GS826"/>
      <c r="GT826"/>
      <c r="GU826"/>
      <c r="GV826"/>
      <c r="GW826"/>
      <c r="GX826"/>
      <c r="GY826"/>
      <c r="GZ826"/>
      <c r="HA826"/>
      <c r="HB826"/>
      <c r="HC826"/>
      <c r="HD826"/>
      <c r="HE826"/>
      <c r="HF826"/>
      <c r="HG826"/>
      <c r="HH826"/>
      <c r="HI826"/>
      <c r="HJ826"/>
      <c r="HK826"/>
      <c r="HL826"/>
      <c r="HM826"/>
      <c r="HN826"/>
      <c r="HO826"/>
      <c r="HP826"/>
      <c r="HQ826"/>
      <c r="HR826"/>
      <c r="HS826"/>
      <c r="HT826"/>
      <c r="HU826"/>
      <c r="HV826"/>
      <c r="HW826"/>
      <c r="HX826"/>
      <c r="HY826"/>
      <c r="HZ826"/>
      <c r="IA826"/>
      <c r="IB826"/>
      <c r="IC826"/>
      <c r="ID826"/>
      <c r="IE826"/>
      <c r="IF826"/>
      <c r="IG826"/>
      <c r="IH826"/>
      <c r="II826"/>
      <c r="IJ826"/>
      <c r="IK826"/>
      <c r="IL826"/>
      <c r="IM826"/>
      <c r="IN826"/>
      <c r="IO826"/>
      <c r="IP826"/>
      <c r="IQ826"/>
      <c r="IR826"/>
      <c r="IS826"/>
    </row>
    <row r="827" spans="1:253" ht="12.75" customHeight="1" x14ac:dyDescent="0.2">
      <c r="A827" s="716"/>
      <c r="B827" s="789" t="s">
        <v>1925</v>
      </c>
      <c r="C827" s="1458">
        <v>5750000</v>
      </c>
      <c r="D827" s="1459"/>
      <c r="E827" s="1452"/>
      <c r="F827" s="1453"/>
      <c r="G827" s="1458"/>
      <c r="H827" s="1409"/>
      <c r="I827" s="1410"/>
      <c r="J827"/>
      <c r="K827"/>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c r="EX827"/>
      <c r="EY827"/>
      <c r="EZ827"/>
      <c r="FA827"/>
      <c r="FB827"/>
      <c r="FC827"/>
      <c r="FD827"/>
      <c r="FE827"/>
      <c r="FF827"/>
      <c r="FG827"/>
      <c r="FH827"/>
      <c r="FI827"/>
      <c r="FJ827"/>
      <c r="FK827"/>
      <c r="FL827"/>
      <c r="FM827"/>
      <c r="FN827"/>
      <c r="FO827"/>
      <c r="FP827"/>
      <c r="FQ827"/>
      <c r="FR827"/>
      <c r="FS827"/>
      <c r="FT827"/>
      <c r="FU827"/>
      <c r="FV827"/>
      <c r="FW827"/>
      <c r="FX827"/>
      <c r="FY827"/>
      <c r="FZ827"/>
      <c r="GA827"/>
      <c r="GB827"/>
      <c r="GC827"/>
      <c r="GD827"/>
      <c r="GE827"/>
      <c r="GF827"/>
      <c r="GG827"/>
      <c r="GH827"/>
      <c r="GI827"/>
      <c r="GJ827"/>
      <c r="GK827"/>
      <c r="GL827"/>
      <c r="GM827"/>
      <c r="GN827"/>
      <c r="GO827"/>
      <c r="GP827"/>
      <c r="GQ827"/>
      <c r="GR827"/>
      <c r="GS827"/>
      <c r="GT827"/>
      <c r="GU827"/>
      <c r="GV827"/>
      <c r="GW827"/>
      <c r="GX827"/>
      <c r="GY827"/>
      <c r="GZ827"/>
      <c r="HA827"/>
      <c r="HB827"/>
      <c r="HC827"/>
      <c r="HD827"/>
      <c r="HE827"/>
      <c r="HF827"/>
      <c r="HG827"/>
      <c r="HH827"/>
      <c r="HI827"/>
      <c r="HJ827"/>
      <c r="HK827"/>
      <c r="HL827"/>
      <c r="HM827"/>
      <c r="HN827"/>
      <c r="HO827"/>
      <c r="HP827"/>
      <c r="HQ827"/>
      <c r="HR827"/>
      <c r="HS827"/>
      <c r="HT827"/>
      <c r="HU827"/>
      <c r="HV827"/>
      <c r="HW827"/>
      <c r="HX827"/>
      <c r="HY827"/>
      <c r="HZ827"/>
      <c r="IA827"/>
      <c r="IB827"/>
      <c r="IC827"/>
      <c r="ID827"/>
      <c r="IE827"/>
      <c r="IF827"/>
      <c r="IG827"/>
      <c r="IH827"/>
      <c r="II827"/>
      <c r="IJ827"/>
      <c r="IK827"/>
      <c r="IL827"/>
      <c r="IM827"/>
      <c r="IN827"/>
      <c r="IO827"/>
      <c r="IP827"/>
      <c r="IQ827"/>
      <c r="IR827"/>
      <c r="IS827"/>
    </row>
    <row r="828" spans="1:253" ht="12.75" customHeight="1" x14ac:dyDescent="0.2">
      <c r="A828" s="716"/>
      <c r="B828" s="789" t="s">
        <v>1926</v>
      </c>
      <c r="C828" s="879">
        <v>500000</v>
      </c>
      <c r="D828" s="1460"/>
      <c r="E828" s="1452"/>
      <c r="F828" s="1453"/>
      <c r="G828" s="879"/>
      <c r="H828" s="1409"/>
      <c r="I828" s="1410"/>
      <c r="J828"/>
      <c r="K828"/>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c r="EX828"/>
      <c r="EY828"/>
      <c r="EZ828"/>
      <c r="FA828"/>
      <c r="FB828"/>
      <c r="FC828"/>
      <c r="FD828"/>
      <c r="FE828"/>
      <c r="FF828"/>
      <c r="FG828"/>
      <c r="FH828"/>
      <c r="FI828"/>
      <c r="FJ828"/>
      <c r="FK828"/>
      <c r="FL828"/>
      <c r="FM828"/>
      <c r="FN828"/>
      <c r="FO828"/>
      <c r="FP828"/>
      <c r="FQ828"/>
      <c r="FR828"/>
      <c r="FS828"/>
      <c r="FT828"/>
      <c r="FU828"/>
      <c r="FV828"/>
      <c r="FW828"/>
      <c r="FX828"/>
      <c r="FY828"/>
      <c r="FZ828"/>
      <c r="GA828"/>
      <c r="GB828"/>
      <c r="GC828"/>
      <c r="GD828"/>
      <c r="GE828"/>
      <c r="GF828"/>
      <c r="GG828"/>
      <c r="GH828"/>
      <c r="GI828"/>
      <c r="GJ828"/>
      <c r="GK828"/>
      <c r="GL828"/>
      <c r="GM828"/>
      <c r="GN828"/>
      <c r="GO828"/>
      <c r="GP828"/>
      <c r="GQ828"/>
      <c r="GR828"/>
      <c r="GS828"/>
      <c r="GT828"/>
      <c r="GU828"/>
      <c r="GV828"/>
      <c r="GW828"/>
      <c r="GX828"/>
      <c r="GY828"/>
      <c r="GZ828"/>
      <c r="HA828"/>
      <c r="HB828"/>
      <c r="HC828"/>
      <c r="HD828"/>
      <c r="HE828"/>
      <c r="HF828"/>
      <c r="HG828"/>
      <c r="HH828"/>
      <c r="HI828"/>
      <c r="HJ828"/>
      <c r="HK828"/>
      <c r="HL828"/>
      <c r="HM828"/>
      <c r="HN828"/>
      <c r="HO828"/>
      <c r="HP828"/>
      <c r="HQ828"/>
      <c r="HR828"/>
      <c r="HS828"/>
      <c r="HT828"/>
      <c r="HU828"/>
      <c r="HV828"/>
      <c r="HW828"/>
      <c r="HX828"/>
      <c r="HY828"/>
      <c r="HZ828"/>
      <c r="IA828"/>
      <c r="IB828"/>
      <c r="IC828"/>
      <c r="ID828"/>
      <c r="IE828"/>
      <c r="IF828"/>
      <c r="IG828"/>
      <c r="IH828"/>
      <c r="II828"/>
      <c r="IJ828"/>
      <c r="IK828"/>
      <c r="IL828"/>
      <c r="IM828"/>
      <c r="IN828"/>
      <c r="IO828"/>
      <c r="IP828"/>
      <c r="IQ828"/>
      <c r="IR828"/>
      <c r="IS828"/>
    </row>
    <row r="829" spans="1:253" ht="12.75" customHeight="1" x14ac:dyDescent="0.2">
      <c r="A829" s="716"/>
      <c r="B829" s="789" t="s">
        <v>1927</v>
      </c>
      <c r="C829" s="879">
        <v>1800000</v>
      </c>
      <c r="D829" s="1460"/>
      <c r="E829" s="1452"/>
      <c r="F829" s="1453"/>
      <c r="G829" s="879"/>
      <c r="H829" s="1409"/>
      <c r="I829" s="1410"/>
      <c r="J829"/>
      <c r="K829"/>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c r="EX829"/>
      <c r="EY829"/>
      <c r="EZ829"/>
      <c r="FA829"/>
      <c r="FB829"/>
      <c r="FC829"/>
      <c r="FD829"/>
      <c r="FE829"/>
      <c r="FF829"/>
      <c r="FG829"/>
      <c r="FH829"/>
      <c r="FI829"/>
      <c r="FJ829"/>
      <c r="FK829"/>
      <c r="FL829"/>
      <c r="FM829"/>
      <c r="FN829"/>
      <c r="FO829"/>
      <c r="FP829"/>
      <c r="FQ829"/>
      <c r="FR829"/>
      <c r="FS829"/>
      <c r="FT829"/>
      <c r="FU829"/>
      <c r="FV829"/>
      <c r="FW829"/>
      <c r="FX829"/>
      <c r="FY829"/>
      <c r="FZ829"/>
      <c r="GA829"/>
      <c r="GB829"/>
      <c r="GC829"/>
      <c r="GD829"/>
      <c r="GE829"/>
      <c r="GF829"/>
      <c r="GG829"/>
      <c r="GH829"/>
      <c r="GI829"/>
      <c r="GJ829"/>
      <c r="GK829"/>
      <c r="GL829"/>
      <c r="GM829"/>
      <c r="GN829"/>
      <c r="GO829"/>
      <c r="GP829"/>
      <c r="GQ829"/>
      <c r="GR829"/>
      <c r="GS829"/>
      <c r="GT829"/>
      <c r="GU829"/>
      <c r="GV829"/>
      <c r="GW829"/>
      <c r="GX829"/>
      <c r="GY829"/>
      <c r="GZ829"/>
      <c r="HA829"/>
      <c r="HB829"/>
      <c r="HC829"/>
      <c r="HD829"/>
      <c r="HE829"/>
      <c r="HF829"/>
      <c r="HG829"/>
      <c r="HH829"/>
      <c r="HI829"/>
      <c r="HJ829"/>
      <c r="HK829"/>
      <c r="HL829"/>
      <c r="HM829"/>
      <c r="HN829"/>
      <c r="HO829"/>
      <c r="HP829"/>
      <c r="HQ829"/>
      <c r="HR829"/>
      <c r="HS829"/>
      <c r="HT829"/>
      <c r="HU829"/>
      <c r="HV829"/>
      <c r="HW829"/>
      <c r="HX829"/>
      <c r="HY829"/>
      <c r="HZ829"/>
      <c r="IA829"/>
      <c r="IB829"/>
      <c r="IC829"/>
      <c r="ID829"/>
      <c r="IE829"/>
      <c r="IF829"/>
      <c r="IG829"/>
      <c r="IH829"/>
      <c r="II829"/>
      <c r="IJ829"/>
      <c r="IK829"/>
      <c r="IL829"/>
      <c r="IM829"/>
      <c r="IN829"/>
      <c r="IO829"/>
      <c r="IP829"/>
      <c r="IQ829"/>
      <c r="IR829"/>
      <c r="IS829"/>
    </row>
    <row r="830" spans="1:253" ht="12.75" customHeight="1" x14ac:dyDescent="0.2">
      <c r="A830" s="716"/>
      <c r="B830" s="789" t="s">
        <v>1928</v>
      </c>
      <c r="C830" s="879">
        <v>2000000</v>
      </c>
      <c r="D830" s="1460"/>
      <c r="E830" s="1452"/>
      <c r="F830" s="1452"/>
      <c r="G830" s="879"/>
      <c r="H830" s="1409"/>
      <c r="I830" s="1410"/>
      <c r="J830"/>
      <c r="K830"/>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c r="EX830"/>
      <c r="EY830"/>
      <c r="EZ830"/>
      <c r="FA830"/>
      <c r="FB830"/>
      <c r="FC830"/>
      <c r="FD830"/>
      <c r="FE830"/>
      <c r="FF830"/>
      <c r="FG830"/>
      <c r="FH830"/>
      <c r="FI830"/>
      <c r="FJ830"/>
      <c r="FK830"/>
      <c r="FL830"/>
      <c r="FM830"/>
      <c r="FN830"/>
      <c r="FO830"/>
      <c r="FP830"/>
      <c r="FQ830"/>
      <c r="FR830"/>
      <c r="FS830"/>
      <c r="FT830"/>
      <c r="FU830"/>
      <c r="FV830"/>
      <c r="FW830"/>
      <c r="FX830"/>
      <c r="FY830"/>
      <c r="FZ830"/>
      <c r="GA830"/>
      <c r="GB830"/>
      <c r="GC830"/>
      <c r="GD830"/>
      <c r="GE830"/>
      <c r="GF830"/>
      <c r="GG830"/>
      <c r="GH830"/>
      <c r="GI830"/>
      <c r="GJ830"/>
      <c r="GK830"/>
      <c r="GL830"/>
      <c r="GM830"/>
      <c r="GN830"/>
      <c r="GO830"/>
      <c r="GP830"/>
      <c r="GQ830"/>
      <c r="GR830"/>
      <c r="GS830"/>
      <c r="GT830"/>
      <c r="GU830"/>
      <c r="GV830"/>
      <c r="GW830"/>
      <c r="GX830"/>
      <c r="GY830"/>
      <c r="GZ830"/>
      <c r="HA830"/>
      <c r="HB830"/>
      <c r="HC830"/>
      <c r="HD830"/>
      <c r="HE830"/>
      <c r="HF830"/>
      <c r="HG830"/>
      <c r="HH830"/>
      <c r="HI830"/>
      <c r="HJ830"/>
      <c r="HK830"/>
      <c r="HL830"/>
      <c r="HM830"/>
      <c r="HN830"/>
      <c r="HO830"/>
      <c r="HP830"/>
      <c r="HQ830"/>
      <c r="HR830"/>
      <c r="HS830"/>
      <c r="HT830"/>
      <c r="HU830"/>
      <c r="HV830"/>
      <c r="HW830"/>
      <c r="HX830"/>
      <c r="HY830"/>
      <c r="HZ830"/>
      <c r="IA830"/>
      <c r="IB830"/>
      <c r="IC830"/>
      <c r="ID830"/>
      <c r="IE830"/>
      <c r="IF830"/>
      <c r="IG830"/>
      <c r="IH830"/>
      <c r="II830"/>
      <c r="IJ830"/>
      <c r="IK830"/>
      <c r="IL830"/>
      <c r="IM830"/>
      <c r="IN830"/>
      <c r="IO830"/>
      <c r="IP830"/>
      <c r="IQ830"/>
      <c r="IR830"/>
      <c r="IS830"/>
    </row>
    <row r="831" spans="1:253" ht="12.75" customHeight="1" x14ac:dyDescent="0.2">
      <c r="A831" s="716"/>
      <c r="B831" s="1461" t="s">
        <v>1929</v>
      </c>
      <c r="C831" s="1462">
        <f>C832+C833</f>
        <v>4250000</v>
      </c>
      <c r="D831" s="1463"/>
      <c r="E831" s="1464"/>
      <c r="F831" s="1464"/>
      <c r="G831" s="1462"/>
      <c r="H831" s="1409"/>
      <c r="I831" s="1410"/>
      <c r="J831"/>
      <c r="K831"/>
      <c r="L831"/>
      <c r="M831"/>
      <c r="N831"/>
      <c r="O831"/>
      <c r="P831"/>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c r="EB831"/>
      <c r="EC831"/>
      <c r="ED831"/>
      <c r="EE831"/>
      <c r="EF831"/>
      <c r="EG831"/>
      <c r="EH831"/>
      <c r="EI831"/>
      <c r="EJ831"/>
      <c r="EK831"/>
      <c r="EL831"/>
      <c r="EM831"/>
      <c r="EN831"/>
      <c r="EO831"/>
      <c r="EP831"/>
      <c r="EQ831"/>
      <c r="ER831"/>
      <c r="ES831"/>
      <c r="ET831"/>
      <c r="EU831"/>
      <c r="EV831"/>
      <c r="EW831"/>
      <c r="EX831"/>
      <c r="EY831"/>
      <c r="EZ831"/>
      <c r="FA831"/>
      <c r="FB831"/>
      <c r="FC831"/>
      <c r="FD831"/>
      <c r="FE831"/>
      <c r="FF831"/>
      <c r="FG831"/>
      <c r="FH831"/>
      <c r="FI831"/>
      <c r="FJ831"/>
      <c r="FK831"/>
      <c r="FL831"/>
      <c r="FM831"/>
      <c r="FN831"/>
      <c r="FO831"/>
      <c r="FP831"/>
      <c r="FQ831"/>
      <c r="FR831"/>
      <c r="FS831"/>
      <c r="FT831"/>
      <c r="FU831"/>
      <c r="FV831"/>
      <c r="FW831"/>
      <c r="FX831"/>
      <c r="FY831"/>
      <c r="FZ831"/>
      <c r="GA831"/>
      <c r="GB831"/>
      <c r="GC831"/>
      <c r="GD831"/>
      <c r="GE831"/>
      <c r="GF831"/>
      <c r="GG831"/>
      <c r="GH831"/>
      <c r="GI831"/>
      <c r="GJ831"/>
      <c r="GK831"/>
      <c r="GL831"/>
      <c r="GM831"/>
      <c r="GN831"/>
      <c r="GO831"/>
      <c r="GP831"/>
      <c r="GQ831"/>
      <c r="GR831"/>
      <c r="GS831"/>
      <c r="GT831"/>
      <c r="GU831"/>
      <c r="GV831"/>
      <c r="GW831"/>
      <c r="GX831"/>
      <c r="GY831"/>
      <c r="GZ831"/>
      <c r="HA831"/>
      <c r="HB831"/>
      <c r="HC831"/>
      <c r="HD831"/>
      <c r="HE831"/>
      <c r="HF831"/>
      <c r="HG831"/>
      <c r="HH831"/>
      <c r="HI831"/>
      <c r="HJ831"/>
      <c r="HK831"/>
      <c r="HL831"/>
      <c r="HM831"/>
      <c r="HN831"/>
      <c r="HO831"/>
      <c r="HP831"/>
      <c r="HQ831"/>
      <c r="HR831"/>
      <c r="HS831"/>
      <c r="HT831"/>
      <c r="HU831"/>
      <c r="HV831"/>
      <c r="HW831"/>
      <c r="HX831"/>
      <c r="HY831"/>
      <c r="HZ831"/>
      <c r="IA831"/>
      <c r="IB831"/>
      <c r="IC831"/>
      <c r="ID831"/>
      <c r="IE831"/>
      <c r="IF831"/>
      <c r="IG831"/>
      <c r="IH831"/>
      <c r="II831"/>
      <c r="IJ831"/>
      <c r="IK831"/>
      <c r="IL831"/>
      <c r="IM831"/>
      <c r="IN831"/>
      <c r="IO831"/>
      <c r="IP831"/>
      <c r="IQ831"/>
      <c r="IR831"/>
      <c r="IS831"/>
    </row>
    <row r="832" spans="1:253" ht="12.75" customHeight="1" x14ac:dyDescent="0.2">
      <c r="A832" s="748"/>
      <c r="B832" s="789" t="s">
        <v>1930</v>
      </c>
      <c r="C832" s="772">
        <v>3000000</v>
      </c>
      <c r="D832" s="1030"/>
      <c r="E832" s="750"/>
      <c r="F832" s="750"/>
      <c r="G832" s="772"/>
      <c r="H832" s="1409"/>
      <c r="I832" s="1410"/>
      <c r="J832"/>
      <c r="K832"/>
      <c r="L832"/>
      <c r="M832"/>
      <c r="N832"/>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c r="EX832"/>
      <c r="EY832"/>
      <c r="EZ832"/>
      <c r="FA832"/>
      <c r="FB832"/>
      <c r="FC832"/>
      <c r="FD832"/>
      <c r="FE832"/>
      <c r="FF832"/>
      <c r="FG832"/>
      <c r="FH832"/>
      <c r="FI832"/>
      <c r="FJ832"/>
      <c r="FK832"/>
      <c r="FL832"/>
      <c r="FM832"/>
      <c r="FN832"/>
      <c r="FO832"/>
      <c r="FP832"/>
      <c r="FQ832"/>
      <c r="FR832"/>
      <c r="FS832"/>
      <c r="FT832"/>
      <c r="FU832"/>
      <c r="FV832"/>
      <c r="FW832"/>
      <c r="FX832"/>
      <c r="FY832"/>
      <c r="FZ832"/>
      <c r="GA832"/>
      <c r="GB832"/>
      <c r="GC832"/>
      <c r="GD832"/>
      <c r="GE832"/>
      <c r="GF832"/>
      <c r="GG832"/>
      <c r="GH832"/>
      <c r="GI832"/>
      <c r="GJ832"/>
      <c r="GK832"/>
      <c r="GL832"/>
      <c r="GM832"/>
      <c r="GN832"/>
      <c r="GO832"/>
      <c r="GP832"/>
      <c r="GQ832"/>
      <c r="GR832"/>
      <c r="GS832"/>
      <c r="GT832"/>
      <c r="GU832"/>
      <c r="GV832"/>
      <c r="GW832"/>
      <c r="GX832"/>
      <c r="GY832"/>
      <c r="GZ832"/>
      <c r="HA832"/>
      <c r="HB832"/>
      <c r="HC832"/>
      <c r="HD832"/>
      <c r="HE832"/>
      <c r="HF832"/>
      <c r="HG832"/>
      <c r="HH832"/>
      <c r="HI832"/>
      <c r="HJ832"/>
      <c r="HK832"/>
      <c r="HL832"/>
      <c r="HM832"/>
      <c r="HN832"/>
      <c r="HO832"/>
      <c r="HP832"/>
      <c r="HQ832"/>
      <c r="HR832"/>
      <c r="HS832"/>
      <c r="HT832"/>
      <c r="HU832"/>
      <c r="HV832"/>
      <c r="HW832"/>
      <c r="HX832"/>
      <c r="HY832"/>
      <c r="HZ832"/>
      <c r="IA832"/>
      <c r="IB832"/>
      <c r="IC832"/>
      <c r="ID832"/>
      <c r="IE832"/>
      <c r="IF832"/>
      <c r="IG832"/>
      <c r="IH832"/>
      <c r="II832"/>
      <c r="IJ832"/>
      <c r="IK832"/>
      <c r="IL832"/>
      <c r="IM832"/>
      <c r="IN832"/>
      <c r="IO832"/>
      <c r="IP832"/>
      <c r="IQ832"/>
      <c r="IR832"/>
      <c r="IS832"/>
    </row>
    <row r="833" spans="1:253" ht="12.75" customHeight="1" x14ac:dyDescent="0.2">
      <c r="A833" s="748"/>
      <c r="B833" s="1465" t="s">
        <v>851</v>
      </c>
      <c r="C833" s="772">
        <f>SUM(C834:C836)</f>
        <v>1250000</v>
      </c>
      <c r="D833" s="1030"/>
      <c r="E833" s="750"/>
      <c r="F833" s="750"/>
      <c r="G833" s="772"/>
      <c r="H833" s="1409"/>
      <c r="I833" s="1410"/>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c r="EX833"/>
      <c r="EY833"/>
      <c r="EZ833"/>
      <c r="FA833"/>
      <c r="FB833"/>
      <c r="FC833"/>
      <c r="FD833"/>
      <c r="FE833"/>
      <c r="FF833"/>
      <c r="FG833"/>
      <c r="FH833"/>
      <c r="FI833"/>
      <c r="FJ833"/>
      <c r="FK833"/>
      <c r="FL833"/>
      <c r="FM833"/>
      <c r="FN833"/>
      <c r="FO833"/>
      <c r="FP833"/>
      <c r="FQ833"/>
      <c r="FR833"/>
      <c r="FS833"/>
      <c r="FT833"/>
      <c r="FU833"/>
      <c r="FV833"/>
      <c r="FW833"/>
      <c r="FX833"/>
      <c r="FY833"/>
      <c r="FZ833"/>
      <c r="GA833"/>
      <c r="GB833"/>
      <c r="GC833"/>
      <c r="GD833"/>
      <c r="GE833"/>
      <c r="GF833"/>
      <c r="GG833"/>
      <c r="GH833"/>
      <c r="GI833"/>
      <c r="GJ833"/>
      <c r="GK833"/>
      <c r="GL833"/>
      <c r="GM833"/>
      <c r="GN833"/>
      <c r="GO833"/>
      <c r="GP833"/>
      <c r="GQ833"/>
      <c r="GR833"/>
      <c r="GS833"/>
      <c r="GT833"/>
      <c r="GU833"/>
      <c r="GV833"/>
      <c r="GW833"/>
      <c r="GX833"/>
      <c r="GY833"/>
      <c r="GZ833"/>
      <c r="HA833"/>
      <c r="HB833"/>
      <c r="HC833"/>
      <c r="HD833"/>
      <c r="HE833"/>
      <c r="HF833"/>
      <c r="HG833"/>
      <c r="HH833"/>
      <c r="HI833"/>
      <c r="HJ833"/>
      <c r="HK833"/>
      <c r="HL833"/>
      <c r="HM833"/>
      <c r="HN833"/>
      <c r="HO833"/>
      <c r="HP833"/>
      <c r="HQ833"/>
      <c r="HR833"/>
      <c r="HS833"/>
      <c r="HT833"/>
      <c r="HU833"/>
      <c r="HV833"/>
      <c r="HW833"/>
      <c r="HX833"/>
      <c r="HY833"/>
      <c r="HZ833"/>
      <c r="IA833"/>
      <c r="IB833"/>
      <c r="IC833"/>
      <c r="ID833"/>
      <c r="IE833"/>
      <c r="IF833"/>
      <c r="IG833"/>
      <c r="IH833"/>
      <c r="II833"/>
      <c r="IJ833"/>
      <c r="IK833"/>
      <c r="IL833"/>
      <c r="IM833"/>
      <c r="IN833"/>
      <c r="IO833"/>
      <c r="IP833"/>
      <c r="IQ833"/>
      <c r="IR833"/>
      <c r="IS833"/>
    </row>
    <row r="834" spans="1:253" ht="12.75" customHeight="1" x14ac:dyDescent="0.2">
      <c r="A834" s="748"/>
      <c r="B834" s="796" t="s">
        <v>1931</v>
      </c>
      <c r="C834" s="772">
        <v>350000</v>
      </c>
      <c r="D834" s="1030"/>
      <c r="E834" s="750"/>
      <c r="F834" s="750"/>
      <c r="G834" s="772"/>
      <c r="H834" s="1409"/>
      <c r="I834" s="1410"/>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c r="EX834"/>
      <c r="EY834"/>
      <c r="EZ834"/>
      <c r="FA834"/>
      <c r="FB834"/>
      <c r="FC834"/>
      <c r="FD834"/>
      <c r="FE834"/>
      <c r="FF834"/>
      <c r="FG834"/>
      <c r="FH834"/>
      <c r="FI834"/>
      <c r="FJ834"/>
      <c r="FK834"/>
      <c r="FL834"/>
      <c r="FM834"/>
      <c r="FN834"/>
      <c r="FO834"/>
      <c r="FP834"/>
      <c r="FQ834"/>
      <c r="FR834"/>
      <c r="FS834"/>
      <c r="FT834"/>
      <c r="FU834"/>
      <c r="FV834"/>
      <c r="FW834"/>
      <c r="FX834"/>
      <c r="FY834"/>
      <c r="FZ834"/>
      <c r="GA834"/>
      <c r="GB834"/>
      <c r="GC834"/>
      <c r="GD834"/>
      <c r="GE834"/>
      <c r="GF834"/>
      <c r="GG834"/>
      <c r="GH834"/>
      <c r="GI834"/>
      <c r="GJ834"/>
      <c r="GK834"/>
      <c r="GL834"/>
      <c r="GM834"/>
      <c r="GN834"/>
      <c r="GO834"/>
      <c r="GP834"/>
      <c r="GQ834"/>
      <c r="GR834"/>
      <c r="GS834"/>
      <c r="GT834"/>
      <c r="GU834"/>
      <c r="GV834"/>
      <c r="GW834"/>
      <c r="GX834"/>
      <c r="GY834"/>
      <c r="GZ834"/>
      <c r="HA834"/>
      <c r="HB834"/>
      <c r="HC834"/>
      <c r="HD834"/>
      <c r="HE834"/>
      <c r="HF834"/>
      <c r="HG834"/>
      <c r="HH834"/>
      <c r="HI834"/>
      <c r="HJ834"/>
      <c r="HK834"/>
      <c r="HL834"/>
      <c r="HM834"/>
      <c r="HN834"/>
      <c r="HO834"/>
      <c r="HP834"/>
      <c r="HQ834"/>
      <c r="HR834"/>
      <c r="HS834"/>
      <c r="HT834"/>
      <c r="HU834"/>
      <c r="HV834"/>
      <c r="HW834"/>
      <c r="HX834"/>
      <c r="HY834"/>
      <c r="HZ834"/>
      <c r="IA834"/>
      <c r="IB834"/>
      <c r="IC834"/>
      <c r="ID834"/>
      <c r="IE834"/>
      <c r="IF834"/>
      <c r="IG834"/>
      <c r="IH834"/>
      <c r="II834"/>
      <c r="IJ834"/>
      <c r="IK834"/>
      <c r="IL834"/>
      <c r="IM834"/>
      <c r="IN834"/>
      <c r="IO834"/>
      <c r="IP834"/>
      <c r="IQ834"/>
      <c r="IR834"/>
      <c r="IS834"/>
    </row>
    <row r="835" spans="1:253" s="488" customFormat="1" ht="12.75" customHeight="1" x14ac:dyDescent="0.2">
      <c r="A835" s="748"/>
      <c r="B835" s="889" t="s">
        <v>1932</v>
      </c>
      <c r="C835" s="767">
        <v>500000</v>
      </c>
      <c r="D835" s="1338"/>
      <c r="E835" s="750"/>
      <c r="F835" s="750"/>
      <c r="G835" s="767"/>
      <c r="H835" s="1466"/>
      <c r="I835" s="1467"/>
    </row>
    <row r="836" spans="1:253" ht="12.75" customHeight="1" x14ac:dyDescent="0.2">
      <c r="A836" s="748"/>
      <c r="B836" s="889" t="s">
        <v>1933</v>
      </c>
      <c r="C836" s="772">
        <v>400000</v>
      </c>
      <c r="D836" s="1030"/>
      <c r="E836" s="750"/>
      <c r="F836" s="750"/>
      <c r="G836" s="772"/>
      <c r="H836" s="1409"/>
      <c r="I836" s="1410"/>
      <c r="J836"/>
      <c r="K836"/>
      <c r="L836"/>
      <c r="M836"/>
      <c r="N836"/>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c r="EX836"/>
      <c r="EY836"/>
      <c r="EZ836"/>
      <c r="FA836"/>
      <c r="FB836"/>
      <c r="FC836"/>
      <c r="FD836"/>
      <c r="FE836"/>
      <c r="FF836"/>
      <c r="FG836"/>
      <c r="FH836"/>
      <c r="FI836"/>
      <c r="FJ836"/>
      <c r="FK836"/>
      <c r="FL836"/>
      <c r="FM836"/>
      <c r="FN836"/>
      <c r="FO836"/>
      <c r="FP836"/>
      <c r="FQ836"/>
      <c r="FR836"/>
      <c r="FS836"/>
      <c r="FT836"/>
      <c r="FU836"/>
      <c r="FV836"/>
      <c r="FW836"/>
      <c r="FX836"/>
      <c r="FY836"/>
      <c r="FZ836"/>
      <c r="GA836"/>
      <c r="GB836"/>
      <c r="GC836"/>
      <c r="GD836"/>
      <c r="GE836"/>
      <c r="GF836"/>
      <c r="GG836"/>
      <c r="GH836"/>
      <c r="GI836"/>
      <c r="GJ836"/>
      <c r="GK836"/>
      <c r="GL836"/>
      <c r="GM836"/>
      <c r="GN836"/>
      <c r="GO836"/>
      <c r="GP836"/>
      <c r="GQ836"/>
      <c r="GR836"/>
      <c r="GS836"/>
      <c r="GT836"/>
      <c r="GU836"/>
      <c r="GV836"/>
      <c r="GW836"/>
      <c r="GX836"/>
      <c r="GY836"/>
      <c r="GZ836"/>
      <c r="HA836"/>
      <c r="HB836"/>
      <c r="HC836"/>
      <c r="HD836"/>
      <c r="HE836"/>
      <c r="HF836"/>
      <c r="HG836"/>
      <c r="HH836"/>
      <c r="HI836"/>
      <c r="HJ836"/>
      <c r="HK836"/>
      <c r="HL836"/>
      <c r="HM836"/>
      <c r="HN836"/>
      <c r="HO836"/>
      <c r="HP836"/>
      <c r="HQ836"/>
      <c r="HR836"/>
      <c r="HS836"/>
      <c r="HT836"/>
      <c r="HU836"/>
      <c r="HV836"/>
      <c r="HW836"/>
      <c r="HX836"/>
      <c r="HY836"/>
      <c r="HZ836"/>
      <c r="IA836"/>
      <c r="IB836"/>
      <c r="IC836"/>
      <c r="ID836"/>
      <c r="IE836"/>
      <c r="IF836"/>
      <c r="IG836"/>
      <c r="IH836"/>
      <c r="II836"/>
      <c r="IJ836"/>
      <c r="IK836"/>
      <c r="IL836"/>
      <c r="IM836"/>
      <c r="IN836"/>
      <c r="IO836"/>
      <c r="IP836"/>
      <c r="IQ836"/>
      <c r="IR836"/>
      <c r="IS836"/>
    </row>
    <row r="837" spans="1:253" ht="12.75" customHeight="1" x14ac:dyDescent="0.2">
      <c r="A837" s="1468"/>
      <c r="B837" s="1469" t="s">
        <v>1934</v>
      </c>
      <c r="C837" s="1462">
        <f>C838+C839</f>
        <v>5000000</v>
      </c>
      <c r="D837" s="1463"/>
      <c r="E837" s="1464"/>
      <c r="F837" s="1464"/>
      <c r="G837" s="1462"/>
      <c r="H837" s="1409"/>
      <c r="I837" s="1410"/>
      <c r="J837"/>
      <c r="K837"/>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c r="EX837"/>
      <c r="EY837"/>
      <c r="EZ837"/>
      <c r="FA837"/>
      <c r="FB837"/>
      <c r="FC837"/>
      <c r="FD837"/>
      <c r="FE837"/>
      <c r="FF837"/>
      <c r="FG837"/>
      <c r="FH837"/>
      <c r="FI837"/>
      <c r="FJ837"/>
      <c r="FK837"/>
      <c r="FL837"/>
      <c r="FM837"/>
      <c r="FN837"/>
      <c r="FO837"/>
      <c r="FP837"/>
      <c r="FQ837"/>
      <c r="FR837"/>
      <c r="FS837"/>
      <c r="FT837"/>
      <c r="FU837"/>
      <c r="FV837"/>
      <c r="FW837"/>
      <c r="FX837"/>
      <c r="FY837"/>
      <c r="FZ837"/>
      <c r="GA837"/>
      <c r="GB837"/>
      <c r="GC837"/>
      <c r="GD837"/>
      <c r="GE837"/>
      <c r="GF837"/>
      <c r="GG837"/>
      <c r="GH837"/>
      <c r="GI837"/>
      <c r="GJ837"/>
      <c r="GK837"/>
      <c r="GL837"/>
      <c r="GM837"/>
      <c r="GN837"/>
      <c r="GO837"/>
      <c r="GP837"/>
      <c r="GQ837"/>
      <c r="GR837"/>
      <c r="GS837"/>
      <c r="GT837"/>
      <c r="GU837"/>
      <c r="GV837"/>
      <c r="GW837"/>
      <c r="GX837"/>
      <c r="GY837"/>
      <c r="GZ837"/>
      <c r="HA837"/>
      <c r="HB837"/>
      <c r="HC837"/>
      <c r="HD837"/>
      <c r="HE837"/>
      <c r="HF837"/>
      <c r="HG837"/>
      <c r="HH837"/>
      <c r="HI837"/>
      <c r="HJ837"/>
      <c r="HK837"/>
      <c r="HL837"/>
      <c r="HM837"/>
      <c r="HN837"/>
      <c r="HO837"/>
      <c r="HP837"/>
      <c r="HQ837"/>
      <c r="HR837"/>
      <c r="HS837"/>
      <c r="HT837"/>
      <c r="HU837"/>
      <c r="HV837"/>
      <c r="HW837"/>
      <c r="HX837"/>
      <c r="HY837"/>
      <c r="HZ837"/>
      <c r="IA837"/>
      <c r="IB837"/>
      <c r="IC837"/>
      <c r="ID837"/>
      <c r="IE837"/>
      <c r="IF837"/>
      <c r="IG837"/>
      <c r="IH837"/>
      <c r="II837"/>
      <c r="IJ837"/>
      <c r="IK837"/>
      <c r="IL837"/>
      <c r="IM837"/>
      <c r="IN837"/>
      <c r="IO837"/>
      <c r="IP837"/>
      <c r="IQ837"/>
      <c r="IR837"/>
      <c r="IS837"/>
    </row>
    <row r="838" spans="1:253" ht="12.75" customHeight="1" x14ac:dyDescent="0.2">
      <c r="A838" s="1468"/>
      <c r="B838" s="1470" t="s">
        <v>850</v>
      </c>
      <c r="C838" s="797">
        <v>4000000</v>
      </c>
      <c r="D838" s="1471"/>
      <c r="E838" s="1472"/>
      <c r="F838" s="1472"/>
      <c r="G838" s="797"/>
      <c r="H838" s="1409"/>
      <c r="I838" s="1410"/>
      <c r="J838"/>
      <c r="K838"/>
      <c r="L838"/>
      <c r="M838"/>
      <c r="N838"/>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c r="EX838"/>
      <c r="EY838"/>
      <c r="EZ838"/>
      <c r="FA838"/>
      <c r="FB838"/>
      <c r="FC838"/>
      <c r="FD838"/>
      <c r="FE838"/>
      <c r="FF838"/>
      <c r="FG838"/>
      <c r="FH838"/>
      <c r="FI838"/>
      <c r="FJ838"/>
      <c r="FK838"/>
      <c r="FL838"/>
      <c r="FM838"/>
      <c r="FN838"/>
      <c r="FO838"/>
      <c r="FP838"/>
      <c r="FQ838"/>
      <c r="FR838"/>
      <c r="FS838"/>
      <c r="FT838"/>
      <c r="FU838"/>
      <c r="FV838"/>
      <c r="FW838"/>
      <c r="FX838"/>
      <c r="FY838"/>
      <c r="FZ838"/>
      <c r="GA838"/>
      <c r="GB838"/>
      <c r="GC838"/>
      <c r="GD838"/>
      <c r="GE838"/>
      <c r="GF838"/>
      <c r="GG838"/>
      <c r="GH838"/>
      <c r="GI838"/>
      <c r="GJ838"/>
      <c r="GK838"/>
      <c r="GL838"/>
      <c r="GM838"/>
      <c r="GN838"/>
      <c r="GO838"/>
      <c r="GP838"/>
      <c r="GQ838"/>
      <c r="GR838"/>
      <c r="GS838"/>
      <c r="GT838"/>
      <c r="GU838"/>
      <c r="GV838"/>
      <c r="GW838"/>
      <c r="GX838"/>
      <c r="GY838"/>
      <c r="GZ838"/>
      <c r="HA838"/>
      <c r="HB838"/>
      <c r="HC838"/>
      <c r="HD838"/>
      <c r="HE838"/>
      <c r="HF838"/>
      <c r="HG838"/>
      <c r="HH838"/>
      <c r="HI838"/>
      <c r="HJ838"/>
      <c r="HK838"/>
      <c r="HL838"/>
      <c r="HM838"/>
      <c r="HN838"/>
      <c r="HO838"/>
      <c r="HP838"/>
      <c r="HQ838"/>
      <c r="HR838"/>
      <c r="HS838"/>
      <c r="HT838"/>
      <c r="HU838"/>
      <c r="HV838"/>
      <c r="HW838"/>
      <c r="HX838"/>
      <c r="HY838"/>
      <c r="HZ838"/>
      <c r="IA838"/>
      <c r="IB838"/>
      <c r="IC838"/>
      <c r="ID838"/>
      <c r="IE838"/>
      <c r="IF838"/>
      <c r="IG838"/>
      <c r="IH838"/>
      <c r="II838"/>
      <c r="IJ838"/>
      <c r="IK838"/>
      <c r="IL838"/>
      <c r="IM838"/>
      <c r="IN838"/>
      <c r="IO838"/>
      <c r="IP838"/>
      <c r="IQ838"/>
      <c r="IR838"/>
      <c r="IS838"/>
    </row>
    <row r="839" spans="1:253" s="488" customFormat="1" ht="15" customHeight="1" x14ac:dyDescent="0.2">
      <c r="A839" s="748"/>
      <c r="B839" s="1465" t="s">
        <v>855</v>
      </c>
      <c r="C839" s="772">
        <f>SUM(C840:C843)</f>
        <v>1000000</v>
      </c>
      <c r="D839" s="1030"/>
      <c r="E839" s="750"/>
      <c r="F839" s="750"/>
      <c r="G839" s="772"/>
      <c r="H839" s="1466"/>
      <c r="I839" s="1467"/>
    </row>
    <row r="840" spans="1:253" ht="12.75" customHeight="1" x14ac:dyDescent="0.2">
      <c r="A840" s="748"/>
      <c r="B840" s="796" t="s">
        <v>1935</v>
      </c>
      <c r="C840" s="772">
        <v>0</v>
      </c>
      <c r="D840" s="1030"/>
      <c r="E840" s="750"/>
      <c r="F840" s="750"/>
      <c r="G840" s="772"/>
      <c r="H840" s="1409"/>
      <c r="I840" s="1410"/>
      <c r="J840"/>
      <c r="K840"/>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c r="EX840"/>
      <c r="EY840"/>
      <c r="EZ840"/>
      <c r="FA840"/>
      <c r="FB840"/>
      <c r="FC840"/>
      <c r="FD840"/>
      <c r="FE840"/>
      <c r="FF840"/>
      <c r="FG840"/>
      <c r="FH840"/>
      <c r="FI840"/>
      <c r="FJ840"/>
      <c r="FK840"/>
      <c r="FL840"/>
      <c r="FM840"/>
      <c r="FN840"/>
      <c r="FO840"/>
      <c r="FP840"/>
      <c r="FQ840"/>
      <c r="FR840"/>
      <c r="FS840"/>
      <c r="FT840"/>
      <c r="FU840"/>
      <c r="FV840"/>
      <c r="FW840"/>
      <c r="FX840"/>
      <c r="FY840"/>
      <c r="FZ840"/>
      <c r="GA840"/>
      <c r="GB840"/>
      <c r="GC840"/>
      <c r="GD840"/>
      <c r="GE840"/>
      <c r="GF840"/>
      <c r="GG840"/>
      <c r="GH840"/>
      <c r="GI840"/>
      <c r="GJ840"/>
      <c r="GK840"/>
      <c r="GL840"/>
      <c r="GM840"/>
      <c r="GN840"/>
      <c r="GO840"/>
      <c r="GP840"/>
      <c r="GQ840"/>
      <c r="GR840"/>
      <c r="GS840"/>
      <c r="GT840"/>
      <c r="GU840"/>
      <c r="GV840"/>
      <c r="GW840"/>
      <c r="GX840"/>
      <c r="GY840"/>
      <c r="GZ840"/>
      <c r="HA840"/>
      <c r="HB840"/>
      <c r="HC840"/>
      <c r="HD840"/>
      <c r="HE840"/>
      <c r="HF840"/>
      <c r="HG840"/>
      <c r="HH840"/>
      <c r="HI840"/>
      <c r="HJ840"/>
      <c r="HK840"/>
      <c r="HL840"/>
      <c r="HM840"/>
      <c r="HN840"/>
      <c r="HO840"/>
      <c r="HP840"/>
      <c r="HQ840"/>
      <c r="HR840"/>
      <c r="HS840"/>
      <c r="HT840"/>
      <c r="HU840"/>
      <c r="HV840"/>
      <c r="HW840"/>
      <c r="HX840"/>
      <c r="HY840"/>
      <c r="HZ840"/>
      <c r="IA840"/>
      <c r="IB840"/>
      <c r="IC840"/>
      <c r="ID840"/>
      <c r="IE840"/>
      <c r="IF840"/>
      <c r="IG840"/>
      <c r="IH840"/>
      <c r="II840"/>
      <c r="IJ840"/>
      <c r="IK840"/>
      <c r="IL840"/>
      <c r="IM840"/>
      <c r="IN840"/>
      <c r="IO840"/>
      <c r="IP840"/>
      <c r="IQ840"/>
      <c r="IR840"/>
      <c r="IS840"/>
    </row>
    <row r="841" spans="1:253" ht="12.75" customHeight="1" x14ac:dyDescent="0.2">
      <c r="A841" s="748"/>
      <c r="B841" s="889" t="s">
        <v>1932</v>
      </c>
      <c r="C841" s="767">
        <v>0</v>
      </c>
      <c r="D841" s="1338"/>
      <c r="E841" s="750"/>
      <c r="F841" s="750"/>
      <c r="G841" s="767"/>
      <c r="H841" s="1409"/>
      <c r="I841" s="1410"/>
      <c r="J841"/>
      <c r="K841"/>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c r="EX841"/>
      <c r="EY841"/>
      <c r="EZ841"/>
      <c r="FA841"/>
      <c r="FB841"/>
      <c r="FC841"/>
      <c r="FD841"/>
      <c r="FE841"/>
      <c r="FF841"/>
      <c r="FG841"/>
      <c r="FH841"/>
      <c r="FI841"/>
      <c r="FJ841"/>
      <c r="FK841"/>
      <c r="FL841"/>
      <c r="FM841"/>
      <c r="FN841"/>
      <c r="FO841"/>
      <c r="FP841"/>
      <c r="FQ841"/>
      <c r="FR841"/>
      <c r="FS841"/>
      <c r="FT841"/>
      <c r="FU841"/>
      <c r="FV841"/>
      <c r="FW841"/>
      <c r="FX841"/>
      <c r="FY841"/>
      <c r="FZ841"/>
      <c r="GA841"/>
      <c r="GB841"/>
      <c r="GC841"/>
      <c r="GD841"/>
      <c r="GE841"/>
      <c r="GF841"/>
      <c r="GG841"/>
      <c r="GH841"/>
      <c r="GI841"/>
      <c r="GJ841"/>
      <c r="GK841"/>
      <c r="GL841"/>
      <c r="GM841"/>
      <c r="GN841"/>
      <c r="GO841"/>
      <c r="GP841"/>
      <c r="GQ841"/>
      <c r="GR841"/>
      <c r="GS841"/>
      <c r="GT841"/>
      <c r="GU841"/>
      <c r="GV841"/>
      <c r="GW841"/>
      <c r="GX841"/>
      <c r="GY841"/>
      <c r="GZ841"/>
      <c r="HA841"/>
      <c r="HB841"/>
      <c r="HC841"/>
      <c r="HD841"/>
      <c r="HE841"/>
      <c r="HF841"/>
      <c r="HG841"/>
      <c r="HH841"/>
      <c r="HI841"/>
      <c r="HJ841"/>
      <c r="HK841"/>
      <c r="HL841"/>
      <c r="HM841"/>
      <c r="HN841"/>
      <c r="HO841"/>
      <c r="HP841"/>
      <c r="HQ841"/>
      <c r="HR841"/>
      <c r="HS841"/>
      <c r="HT841"/>
      <c r="HU841"/>
      <c r="HV841"/>
      <c r="HW841"/>
      <c r="HX841"/>
      <c r="HY841"/>
      <c r="HZ841"/>
      <c r="IA841"/>
      <c r="IB841"/>
      <c r="IC841"/>
      <c r="ID841"/>
      <c r="IE841"/>
      <c r="IF841"/>
      <c r="IG841"/>
      <c r="IH841"/>
      <c r="II841"/>
      <c r="IJ841"/>
      <c r="IK841"/>
      <c r="IL841"/>
      <c r="IM841"/>
      <c r="IN841"/>
      <c r="IO841"/>
      <c r="IP841"/>
      <c r="IQ841"/>
      <c r="IR841"/>
      <c r="IS841"/>
    </row>
    <row r="842" spans="1:253" s="98" customFormat="1" ht="12.75" customHeight="1" x14ac:dyDescent="0.25">
      <c r="A842" s="1468"/>
      <c r="B842" s="789" t="s">
        <v>1936</v>
      </c>
      <c r="C842" s="772">
        <v>0</v>
      </c>
      <c r="D842" s="1030"/>
      <c r="E842" s="750"/>
      <c r="F842" s="750"/>
      <c r="G842" s="772"/>
      <c r="H842" s="1367"/>
      <c r="I842" s="1333"/>
    </row>
    <row r="843" spans="1:253" ht="12.75" customHeight="1" x14ac:dyDescent="0.2">
      <c r="A843" s="1468"/>
      <c r="B843" s="789" t="s">
        <v>1937</v>
      </c>
      <c r="C843" s="772">
        <v>1000000</v>
      </c>
      <c r="D843" s="1030"/>
      <c r="E843" s="750"/>
      <c r="F843" s="750"/>
      <c r="G843" s="772"/>
      <c r="H843" s="1409"/>
      <c r="I843" s="1410"/>
      <c r="J843"/>
      <c r="K843"/>
      <c r="L843"/>
      <c r="M843"/>
      <c r="N843"/>
      <c r="O843"/>
      <c r="P843"/>
      <c r="Q843"/>
      <c r="R843"/>
      <c r="S843"/>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c r="EB843"/>
      <c r="EC843"/>
      <c r="ED843"/>
      <c r="EE843"/>
      <c r="EF843"/>
      <c r="EG843"/>
      <c r="EH843"/>
      <c r="EI843"/>
      <c r="EJ843"/>
      <c r="EK843"/>
      <c r="EL843"/>
      <c r="EM843"/>
      <c r="EN843"/>
      <c r="EO843"/>
      <c r="EP843"/>
      <c r="EQ843"/>
      <c r="ER843"/>
      <c r="ES843"/>
      <c r="ET843"/>
      <c r="EU843"/>
      <c r="EV843"/>
      <c r="EW843"/>
      <c r="EX843"/>
      <c r="EY843"/>
      <c r="EZ843"/>
      <c r="FA843"/>
      <c r="FB843"/>
      <c r="FC843"/>
      <c r="FD843"/>
      <c r="FE843"/>
      <c r="FF843"/>
      <c r="FG843"/>
      <c r="FH843"/>
      <c r="FI843"/>
      <c r="FJ843"/>
      <c r="FK843"/>
      <c r="FL843"/>
      <c r="FM843"/>
      <c r="FN843"/>
      <c r="FO843"/>
      <c r="FP843"/>
      <c r="FQ843"/>
      <c r="FR843"/>
      <c r="FS843"/>
      <c r="FT843"/>
      <c r="FU843"/>
      <c r="FV843"/>
      <c r="FW843"/>
      <c r="FX843"/>
      <c r="FY843"/>
      <c r="FZ843"/>
      <c r="GA843"/>
      <c r="GB843"/>
      <c r="GC843"/>
      <c r="GD843"/>
      <c r="GE843"/>
      <c r="GF843"/>
      <c r="GG843"/>
      <c r="GH843"/>
      <c r="GI843"/>
      <c r="GJ843"/>
      <c r="GK843"/>
      <c r="GL843"/>
      <c r="GM843"/>
      <c r="GN843"/>
      <c r="GO843"/>
      <c r="GP843"/>
      <c r="GQ843"/>
      <c r="GR843"/>
      <c r="GS843"/>
      <c r="GT843"/>
      <c r="GU843"/>
      <c r="GV843"/>
      <c r="GW843"/>
      <c r="GX843"/>
      <c r="GY843"/>
      <c r="GZ843"/>
      <c r="HA843"/>
      <c r="HB843"/>
      <c r="HC843"/>
      <c r="HD843"/>
      <c r="HE843"/>
      <c r="HF843"/>
      <c r="HG843"/>
      <c r="HH843"/>
      <c r="HI843"/>
      <c r="HJ843"/>
      <c r="HK843"/>
      <c r="HL843"/>
      <c r="HM843"/>
      <c r="HN843"/>
      <c r="HO843"/>
      <c r="HP843"/>
      <c r="HQ843"/>
      <c r="HR843"/>
      <c r="HS843"/>
      <c r="HT843"/>
      <c r="HU843"/>
      <c r="HV843"/>
      <c r="HW843"/>
      <c r="HX843"/>
      <c r="HY843"/>
      <c r="HZ843"/>
      <c r="IA843"/>
      <c r="IB843"/>
      <c r="IC843"/>
      <c r="ID843"/>
      <c r="IE843"/>
      <c r="IF843"/>
      <c r="IG843"/>
      <c r="IH843"/>
      <c r="II843"/>
      <c r="IJ843"/>
      <c r="IK843"/>
      <c r="IL843"/>
      <c r="IM843"/>
      <c r="IN843"/>
      <c r="IO843"/>
      <c r="IP843"/>
      <c r="IQ843"/>
      <c r="IR843"/>
      <c r="IS843"/>
    </row>
    <row r="844" spans="1:253" ht="12.75" customHeight="1" x14ac:dyDescent="0.2">
      <c r="A844" s="1468"/>
      <c r="B844" s="1473" t="s">
        <v>1938</v>
      </c>
      <c r="C844" s="1474">
        <v>0</v>
      </c>
      <c r="D844" s="1475"/>
      <c r="E844" s="1476"/>
      <c r="F844" s="1476"/>
      <c r="G844" s="1474"/>
      <c r="H844" s="1409"/>
      <c r="I844" s="1410"/>
      <c r="J844"/>
      <c r="K844"/>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c r="EX844"/>
      <c r="EY844"/>
      <c r="EZ844"/>
      <c r="FA844"/>
      <c r="FB844"/>
      <c r="FC844"/>
      <c r="FD844"/>
      <c r="FE844"/>
      <c r="FF844"/>
      <c r="FG844"/>
      <c r="FH844"/>
      <c r="FI844"/>
      <c r="FJ844"/>
      <c r="FK844"/>
      <c r="FL844"/>
      <c r="FM844"/>
      <c r="FN844"/>
      <c r="FO844"/>
      <c r="FP844"/>
      <c r="FQ844"/>
      <c r="FR844"/>
      <c r="FS844"/>
      <c r="FT844"/>
      <c r="FU844"/>
      <c r="FV844"/>
      <c r="FW844"/>
      <c r="FX844"/>
      <c r="FY844"/>
      <c r="FZ844"/>
      <c r="GA844"/>
      <c r="GB844"/>
      <c r="GC844"/>
      <c r="GD844"/>
      <c r="GE844"/>
      <c r="GF844"/>
      <c r="GG844"/>
      <c r="GH844"/>
      <c r="GI844"/>
      <c r="GJ844"/>
      <c r="GK844"/>
      <c r="GL844"/>
      <c r="GM844"/>
      <c r="GN844"/>
      <c r="GO844"/>
      <c r="GP844"/>
      <c r="GQ844"/>
      <c r="GR844"/>
      <c r="GS844"/>
      <c r="GT844"/>
      <c r="GU844"/>
      <c r="GV844"/>
      <c r="GW844"/>
      <c r="GX844"/>
      <c r="GY844"/>
      <c r="GZ844"/>
      <c r="HA844"/>
      <c r="HB844"/>
      <c r="HC844"/>
      <c r="HD844"/>
      <c r="HE844"/>
      <c r="HF844"/>
      <c r="HG844"/>
      <c r="HH844"/>
      <c r="HI844"/>
      <c r="HJ844"/>
      <c r="HK844"/>
      <c r="HL844"/>
      <c r="HM844"/>
      <c r="HN844"/>
      <c r="HO844"/>
      <c r="HP844"/>
      <c r="HQ844"/>
      <c r="HR844"/>
      <c r="HS844"/>
      <c r="HT844"/>
      <c r="HU844"/>
      <c r="HV844"/>
      <c r="HW844"/>
      <c r="HX844"/>
      <c r="HY844"/>
      <c r="HZ844"/>
      <c r="IA844"/>
      <c r="IB844"/>
      <c r="IC844"/>
      <c r="ID844"/>
      <c r="IE844"/>
      <c r="IF844"/>
      <c r="IG844"/>
      <c r="IH844"/>
      <c r="II844"/>
      <c r="IJ844"/>
      <c r="IK844"/>
      <c r="IL844"/>
      <c r="IM844"/>
      <c r="IN844"/>
      <c r="IO844"/>
      <c r="IP844"/>
      <c r="IQ844"/>
      <c r="IR844"/>
      <c r="IS844"/>
    </row>
    <row r="845" spans="1:253" ht="12.75" customHeight="1" x14ac:dyDescent="0.2">
      <c r="A845" s="1468"/>
      <c r="B845" s="1470" t="s">
        <v>850</v>
      </c>
      <c r="C845" s="767">
        <v>0</v>
      </c>
      <c r="D845" s="1338"/>
      <c r="E845" s="738"/>
      <c r="F845" s="738"/>
      <c r="G845" s="767"/>
      <c r="H845" s="1409"/>
      <c r="I845" s="1410"/>
      <c r="J845"/>
      <c r="K845"/>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c r="EX845"/>
      <c r="EY845"/>
      <c r="EZ845"/>
      <c r="FA845"/>
      <c r="FB845"/>
      <c r="FC845"/>
      <c r="FD845"/>
      <c r="FE845"/>
      <c r="FF845"/>
      <c r="FG845"/>
      <c r="FH845"/>
      <c r="FI845"/>
      <c r="FJ845"/>
      <c r="FK845"/>
      <c r="FL845"/>
      <c r="FM845"/>
      <c r="FN845"/>
      <c r="FO845"/>
      <c r="FP845"/>
      <c r="FQ845"/>
      <c r="FR845"/>
      <c r="FS845"/>
      <c r="FT845"/>
      <c r="FU845"/>
      <c r="FV845"/>
      <c r="FW845"/>
      <c r="FX845"/>
      <c r="FY845"/>
      <c r="FZ845"/>
      <c r="GA845"/>
      <c r="GB845"/>
      <c r="GC845"/>
      <c r="GD845"/>
      <c r="GE845"/>
      <c r="GF845"/>
      <c r="GG845"/>
      <c r="GH845"/>
      <c r="GI845"/>
      <c r="GJ845"/>
      <c r="GK845"/>
      <c r="GL845"/>
      <c r="GM845"/>
      <c r="GN845"/>
      <c r="GO845"/>
      <c r="GP845"/>
      <c r="GQ845"/>
      <c r="GR845"/>
      <c r="GS845"/>
      <c r="GT845"/>
      <c r="GU845"/>
      <c r="GV845"/>
      <c r="GW845"/>
      <c r="GX845"/>
      <c r="GY845"/>
      <c r="GZ845"/>
      <c r="HA845"/>
      <c r="HB845"/>
      <c r="HC845"/>
      <c r="HD845"/>
      <c r="HE845"/>
      <c r="HF845"/>
      <c r="HG845"/>
      <c r="HH845"/>
      <c r="HI845"/>
      <c r="HJ845"/>
      <c r="HK845"/>
      <c r="HL845"/>
      <c r="HM845"/>
      <c r="HN845"/>
      <c r="HO845"/>
      <c r="HP845"/>
      <c r="HQ845"/>
      <c r="HR845"/>
      <c r="HS845"/>
      <c r="HT845"/>
      <c r="HU845"/>
      <c r="HV845"/>
      <c r="HW845"/>
      <c r="HX845"/>
      <c r="HY845"/>
      <c r="HZ845"/>
      <c r="IA845"/>
      <c r="IB845"/>
      <c r="IC845"/>
      <c r="ID845"/>
      <c r="IE845"/>
      <c r="IF845"/>
      <c r="IG845"/>
      <c r="IH845"/>
      <c r="II845"/>
      <c r="IJ845"/>
      <c r="IK845"/>
      <c r="IL845"/>
      <c r="IM845"/>
      <c r="IN845"/>
      <c r="IO845"/>
      <c r="IP845"/>
      <c r="IQ845"/>
      <c r="IR845"/>
      <c r="IS845"/>
    </row>
    <row r="846" spans="1:253" ht="12.75" customHeight="1" x14ac:dyDescent="0.2">
      <c r="A846" s="748"/>
      <c r="B846" s="796" t="s">
        <v>1939</v>
      </c>
      <c r="C846" s="767">
        <v>0</v>
      </c>
      <c r="D846" s="1030"/>
      <c r="E846" s="738"/>
      <c r="F846" s="738"/>
      <c r="G846" s="767"/>
      <c r="H846" s="1409"/>
      <c r="I846" s="1410"/>
      <c r="J846"/>
      <c r="K846"/>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c r="EX846"/>
      <c r="EY846"/>
      <c r="EZ846"/>
      <c r="FA846"/>
      <c r="FB846"/>
      <c r="FC846"/>
      <c r="FD846"/>
      <c r="FE846"/>
      <c r="FF846"/>
      <c r="FG846"/>
      <c r="FH846"/>
      <c r="FI846"/>
      <c r="FJ846"/>
      <c r="FK846"/>
      <c r="FL846"/>
      <c r="FM846"/>
      <c r="FN846"/>
      <c r="FO846"/>
      <c r="FP846"/>
      <c r="FQ846"/>
      <c r="FR846"/>
      <c r="FS846"/>
      <c r="FT846"/>
      <c r="FU846"/>
      <c r="FV846"/>
      <c r="FW846"/>
      <c r="FX846"/>
      <c r="FY846"/>
      <c r="FZ846"/>
      <c r="GA846"/>
      <c r="GB846"/>
      <c r="GC846"/>
      <c r="GD846"/>
      <c r="GE846"/>
      <c r="GF846"/>
      <c r="GG846"/>
      <c r="GH846"/>
      <c r="GI846"/>
      <c r="GJ846"/>
      <c r="GK846"/>
      <c r="GL846"/>
      <c r="GM846"/>
      <c r="GN846"/>
      <c r="GO846"/>
      <c r="GP846"/>
      <c r="GQ846"/>
      <c r="GR846"/>
      <c r="GS846"/>
      <c r="GT846"/>
      <c r="GU846"/>
      <c r="GV846"/>
      <c r="GW846"/>
      <c r="GX846"/>
      <c r="GY846"/>
      <c r="GZ846"/>
      <c r="HA846"/>
      <c r="HB846"/>
      <c r="HC846"/>
      <c r="HD846"/>
      <c r="HE846"/>
      <c r="HF846"/>
      <c r="HG846"/>
      <c r="HH846"/>
      <c r="HI846"/>
      <c r="HJ846"/>
      <c r="HK846"/>
      <c r="HL846"/>
      <c r="HM846"/>
      <c r="HN846"/>
      <c r="HO846"/>
      <c r="HP846"/>
      <c r="HQ846"/>
      <c r="HR846"/>
      <c r="HS846"/>
      <c r="HT846"/>
      <c r="HU846"/>
      <c r="HV846"/>
      <c r="HW846"/>
      <c r="HX846"/>
      <c r="HY846"/>
      <c r="HZ846"/>
      <c r="IA846"/>
      <c r="IB846"/>
      <c r="IC846"/>
      <c r="ID846"/>
      <c r="IE846"/>
      <c r="IF846"/>
      <c r="IG846"/>
      <c r="IH846"/>
      <c r="II846"/>
      <c r="IJ846"/>
      <c r="IK846"/>
      <c r="IL846"/>
      <c r="IM846"/>
      <c r="IN846"/>
      <c r="IO846"/>
      <c r="IP846"/>
      <c r="IQ846"/>
      <c r="IR846"/>
      <c r="IS846"/>
    </row>
    <row r="847" spans="1:253" ht="12.75" customHeight="1" x14ac:dyDescent="0.2">
      <c r="A847" s="748"/>
      <c r="B847" s="796" t="s">
        <v>869</v>
      </c>
      <c r="C847" s="767">
        <v>0</v>
      </c>
      <c r="D847" s="1030"/>
      <c r="E847" s="738"/>
      <c r="F847" s="738"/>
      <c r="G847" s="767"/>
      <c r="H847" s="1409"/>
      <c r="I847" s="1410"/>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c r="EX847"/>
      <c r="EY847"/>
      <c r="EZ847"/>
      <c r="FA847"/>
      <c r="FB847"/>
      <c r="FC847"/>
      <c r="FD847"/>
      <c r="FE847"/>
      <c r="FF847"/>
      <c r="FG847"/>
      <c r="FH847"/>
      <c r="FI847"/>
      <c r="FJ847"/>
      <c r="FK847"/>
      <c r="FL847"/>
      <c r="FM847"/>
      <c r="FN847"/>
      <c r="FO847"/>
      <c r="FP847"/>
      <c r="FQ847"/>
      <c r="FR847"/>
      <c r="FS847"/>
      <c r="FT847"/>
      <c r="FU847"/>
      <c r="FV847"/>
      <c r="FW847"/>
      <c r="FX847"/>
      <c r="FY847"/>
      <c r="FZ847"/>
      <c r="GA847"/>
      <c r="GB847"/>
      <c r="GC847"/>
      <c r="GD847"/>
      <c r="GE847"/>
      <c r="GF847"/>
      <c r="GG847"/>
      <c r="GH847"/>
      <c r="GI847"/>
      <c r="GJ847"/>
      <c r="GK847"/>
      <c r="GL847"/>
      <c r="GM847"/>
      <c r="GN847"/>
      <c r="GO847"/>
      <c r="GP847"/>
      <c r="GQ847"/>
      <c r="GR847"/>
      <c r="GS847"/>
      <c r="GT847"/>
      <c r="GU847"/>
      <c r="GV847"/>
      <c r="GW847"/>
      <c r="GX847"/>
      <c r="GY847"/>
      <c r="GZ847"/>
      <c r="HA847"/>
      <c r="HB847"/>
      <c r="HC847"/>
      <c r="HD847"/>
      <c r="HE847"/>
      <c r="HF847"/>
      <c r="HG847"/>
      <c r="HH847"/>
      <c r="HI847"/>
      <c r="HJ847"/>
      <c r="HK847"/>
      <c r="HL847"/>
      <c r="HM847"/>
      <c r="HN847"/>
      <c r="HO847"/>
      <c r="HP847"/>
      <c r="HQ847"/>
      <c r="HR847"/>
      <c r="HS847"/>
      <c r="HT847"/>
      <c r="HU847"/>
      <c r="HV847"/>
      <c r="HW847"/>
      <c r="HX847"/>
      <c r="HY847"/>
      <c r="HZ847"/>
      <c r="IA847"/>
      <c r="IB847"/>
      <c r="IC847"/>
      <c r="ID847"/>
      <c r="IE847"/>
      <c r="IF847"/>
      <c r="IG847"/>
      <c r="IH847"/>
      <c r="II847"/>
      <c r="IJ847"/>
      <c r="IK847"/>
      <c r="IL847"/>
      <c r="IM847"/>
      <c r="IN847"/>
      <c r="IO847"/>
      <c r="IP847"/>
      <c r="IQ847"/>
      <c r="IR847"/>
      <c r="IS847"/>
    </row>
    <row r="848" spans="1:253" ht="12.75" customHeight="1" x14ac:dyDescent="0.2">
      <c r="A848" s="1468"/>
      <c r="B848" s="1477" t="s">
        <v>1940</v>
      </c>
      <c r="C848" s="767">
        <v>300000</v>
      </c>
      <c r="D848" s="1030"/>
      <c r="E848" s="738"/>
      <c r="F848" s="738"/>
      <c r="G848" s="767"/>
      <c r="H848" s="1409"/>
      <c r="I848" s="1410"/>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c r="EX848"/>
      <c r="EY848"/>
      <c r="EZ848"/>
      <c r="FA848"/>
      <c r="FB848"/>
      <c r="FC848"/>
      <c r="FD848"/>
      <c r="FE848"/>
      <c r="FF848"/>
      <c r="FG848"/>
      <c r="FH848"/>
      <c r="FI848"/>
      <c r="FJ848"/>
      <c r="FK848"/>
      <c r="FL848"/>
      <c r="FM848"/>
      <c r="FN848"/>
      <c r="FO848"/>
      <c r="FP848"/>
      <c r="FQ848"/>
      <c r="FR848"/>
      <c r="FS848"/>
      <c r="FT848"/>
      <c r="FU848"/>
      <c r="FV848"/>
      <c r="FW848"/>
      <c r="FX848"/>
      <c r="FY848"/>
      <c r="FZ848"/>
      <c r="GA848"/>
      <c r="GB848"/>
      <c r="GC848"/>
      <c r="GD848"/>
      <c r="GE848"/>
      <c r="GF848"/>
      <c r="GG848"/>
      <c r="GH848"/>
      <c r="GI848"/>
      <c r="GJ848"/>
      <c r="GK848"/>
      <c r="GL848"/>
      <c r="GM848"/>
      <c r="GN848"/>
      <c r="GO848"/>
      <c r="GP848"/>
      <c r="GQ848"/>
      <c r="GR848"/>
      <c r="GS848"/>
      <c r="GT848"/>
      <c r="GU848"/>
      <c r="GV848"/>
      <c r="GW848"/>
      <c r="GX848"/>
      <c r="GY848"/>
      <c r="GZ848"/>
      <c r="HA848"/>
      <c r="HB848"/>
      <c r="HC848"/>
      <c r="HD848"/>
      <c r="HE848"/>
      <c r="HF848"/>
      <c r="HG848"/>
      <c r="HH848"/>
      <c r="HI848"/>
      <c r="HJ848"/>
      <c r="HK848"/>
      <c r="HL848"/>
      <c r="HM848"/>
      <c r="HN848"/>
      <c r="HO848"/>
      <c r="HP848"/>
      <c r="HQ848"/>
      <c r="HR848"/>
      <c r="HS848"/>
      <c r="HT848"/>
      <c r="HU848"/>
      <c r="HV848"/>
      <c r="HW848"/>
      <c r="HX848"/>
      <c r="HY848"/>
      <c r="HZ848"/>
      <c r="IA848"/>
      <c r="IB848"/>
      <c r="IC848"/>
      <c r="ID848"/>
      <c r="IE848"/>
      <c r="IF848"/>
      <c r="IG848"/>
      <c r="IH848"/>
      <c r="II848"/>
      <c r="IJ848"/>
      <c r="IK848"/>
      <c r="IL848"/>
      <c r="IM848"/>
      <c r="IN848"/>
      <c r="IO848"/>
      <c r="IP848"/>
      <c r="IQ848"/>
      <c r="IR848"/>
      <c r="IS848"/>
    </row>
    <row r="849" spans="1:253" s="488" customFormat="1" ht="12.75" customHeight="1" x14ac:dyDescent="0.2">
      <c r="A849" s="1468"/>
      <c r="B849" s="1477" t="s">
        <v>1941</v>
      </c>
      <c r="C849" s="767">
        <v>3000000</v>
      </c>
      <c r="D849" s="1030"/>
      <c r="E849" s="738"/>
      <c r="F849" s="738"/>
      <c r="G849" s="767"/>
      <c r="H849" s="1466"/>
      <c r="I849" s="1467"/>
    </row>
    <row r="850" spans="1:253" s="488" customFormat="1" ht="12.75" customHeight="1" x14ac:dyDescent="0.2">
      <c r="A850" s="1468"/>
      <c r="B850" s="1478" t="s">
        <v>1942</v>
      </c>
      <c r="C850" s="767">
        <v>100000</v>
      </c>
      <c r="D850" s="1030"/>
      <c r="E850" s="738"/>
      <c r="F850" s="738"/>
      <c r="G850" s="767"/>
      <c r="H850" s="1466"/>
      <c r="I850" s="1467"/>
    </row>
    <row r="851" spans="1:253" s="488" customFormat="1" ht="12.75" customHeight="1" x14ac:dyDescent="0.2">
      <c r="A851" s="1468"/>
      <c r="B851" s="1479" t="s">
        <v>1943</v>
      </c>
      <c r="C851" s="772">
        <v>100000</v>
      </c>
      <c r="D851" s="1030"/>
      <c r="E851" s="750"/>
      <c r="F851" s="750"/>
      <c r="G851" s="772"/>
      <c r="H851" s="1466"/>
      <c r="I851" s="1467"/>
    </row>
    <row r="852" spans="1:253" ht="12.75" customHeight="1" x14ac:dyDescent="0.2">
      <c r="A852" s="1468"/>
      <c r="B852" s="1479" t="s">
        <v>1944</v>
      </c>
      <c r="C852" s="767">
        <f>C853+C854+C855+C856</f>
        <v>32450000</v>
      </c>
      <c r="D852" s="1338"/>
      <c r="E852" s="738"/>
      <c r="F852" s="738"/>
      <c r="G852" s="767"/>
      <c r="H852" s="1409"/>
      <c r="I852" s="1410"/>
      <c r="J852"/>
      <c r="K852"/>
      <c r="L852"/>
      <c r="M852"/>
      <c r="N852"/>
      <c r="O852"/>
      <c r="P85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c r="EB852"/>
      <c r="EC852"/>
      <c r="ED852"/>
      <c r="EE852"/>
      <c r="EF852"/>
      <c r="EG852"/>
      <c r="EH852"/>
      <c r="EI852"/>
      <c r="EJ852"/>
      <c r="EK852"/>
      <c r="EL852"/>
      <c r="EM852"/>
      <c r="EN852"/>
      <c r="EO852"/>
      <c r="EP852"/>
      <c r="EQ852"/>
      <c r="ER852"/>
      <c r="ES852"/>
      <c r="ET852"/>
      <c r="EU852"/>
      <c r="EV852"/>
      <c r="EW852"/>
      <c r="EX852"/>
      <c r="EY852"/>
      <c r="EZ852"/>
      <c r="FA852"/>
      <c r="FB852"/>
      <c r="FC852"/>
      <c r="FD852"/>
      <c r="FE852"/>
      <c r="FF852"/>
      <c r="FG852"/>
      <c r="FH852"/>
      <c r="FI852"/>
      <c r="FJ852"/>
      <c r="FK852"/>
      <c r="FL852"/>
      <c r="FM852"/>
      <c r="FN852"/>
      <c r="FO852"/>
      <c r="FP852"/>
      <c r="FQ852"/>
      <c r="FR852"/>
      <c r="FS852"/>
      <c r="FT852"/>
      <c r="FU852"/>
      <c r="FV852"/>
      <c r="FW852"/>
      <c r="FX852"/>
      <c r="FY852"/>
      <c r="FZ852"/>
      <c r="GA852"/>
      <c r="GB852"/>
      <c r="GC852"/>
      <c r="GD852"/>
      <c r="GE852"/>
      <c r="GF852"/>
      <c r="GG852"/>
      <c r="GH852"/>
      <c r="GI852"/>
      <c r="GJ852"/>
      <c r="GK852"/>
      <c r="GL852"/>
      <c r="GM852"/>
      <c r="GN852"/>
      <c r="GO852"/>
      <c r="GP852"/>
      <c r="GQ852"/>
      <c r="GR852"/>
      <c r="GS852"/>
      <c r="GT852"/>
      <c r="GU852"/>
      <c r="GV852"/>
      <c r="GW852"/>
      <c r="GX852"/>
      <c r="GY852"/>
      <c r="GZ852"/>
      <c r="HA852"/>
      <c r="HB852"/>
      <c r="HC852"/>
      <c r="HD852"/>
      <c r="HE852"/>
      <c r="HF852"/>
      <c r="HG852"/>
      <c r="HH852"/>
      <c r="HI852"/>
      <c r="HJ852"/>
      <c r="HK852"/>
      <c r="HL852"/>
      <c r="HM852"/>
      <c r="HN852"/>
      <c r="HO852"/>
      <c r="HP852"/>
      <c r="HQ852"/>
      <c r="HR852"/>
      <c r="HS852"/>
      <c r="HT852"/>
      <c r="HU852"/>
      <c r="HV852"/>
      <c r="HW852"/>
      <c r="HX852"/>
      <c r="HY852"/>
      <c r="HZ852"/>
      <c r="IA852"/>
      <c r="IB852"/>
      <c r="IC852"/>
      <c r="ID852"/>
      <c r="IE852"/>
      <c r="IF852"/>
      <c r="IG852"/>
      <c r="IH852"/>
      <c r="II852"/>
      <c r="IJ852"/>
      <c r="IK852"/>
      <c r="IL852"/>
      <c r="IM852"/>
      <c r="IN852"/>
      <c r="IO852"/>
      <c r="IP852"/>
      <c r="IQ852"/>
      <c r="IR852"/>
      <c r="IS852"/>
    </row>
    <row r="853" spans="1:253" ht="12.75" customHeight="1" x14ac:dyDescent="0.2">
      <c r="A853" s="1468"/>
      <c r="B853" s="1480" t="s">
        <v>1945</v>
      </c>
      <c r="C853" s="772">
        <v>7000000</v>
      </c>
      <c r="D853" s="1030"/>
      <c r="E853" s="750"/>
      <c r="F853" s="750"/>
      <c r="G853" s="772"/>
      <c r="H853" s="1409"/>
      <c r="I853" s="1410"/>
      <c r="J853"/>
      <c r="K853"/>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c r="EX853"/>
      <c r="EY853"/>
      <c r="EZ853"/>
      <c r="FA853"/>
      <c r="FB853"/>
      <c r="FC853"/>
      <c r="FD853"/>
      <c r="FE853"/>
      <c r="FF853"/>
      <c r="FG853"/>
      <c r="FH853"/>
      <c r="FI853"/>
      <c r="FJ853"/>
      <c r="FK853"/>
      <c r="FL853"/>
      <c r="FM853"/>
      <c r="FN853"/>
      <c r="FO853"/>
      <c r="FP853"/>
      <c r="FQ853"/>
      <c r="FR853"/>
      <c r="FS853"/>
      <c r="FT853"/>
      <c r="FU853"/>
      <c r="FV853"/>
      <c r="FW853"/>
      <c r="FX853"/>
      <c r="FY853"/>
      <c r="FZ853"/>
      <c r="GA853"/>
      <c r="GB853"/>
      <c r="GC853"/>
      <c r="GD853"/>
      <c r="GE853"/>
      <c r="GF853"/>
      <c r="GG853"/>
      <c r="GH853"/>
      <c r="GI853"/>
      <c r="GJ853"/>
      <c r="GK853"/>
      <c r="GL853"/>
      <c r="GM853"/>
      <c r="GN853"/>
      <c r="GO853"/>
      <c r="GP853"/>
      <c r="GQ853"/>
      <c r="GR853"/>
      <c r="GS853"/>
      <c r="GT853"/>
      <c r="GU853"/>
      <c r="GV853"/>
      <c r="GW853"/>
      <c r="GX853"/>
      <c r="GY853"/>
      <c r="GZ853"/>
      <c r="HA853"/>
      <c r="HB853"/>
      <c r="HC853"/>
      <c r="HD853"/>
      <c r="HE853"/>
      <c r="HF853"/>
      <c r="HG853"/>
      <c r="HH853"/>
      <c r="HI853"/>
      <c r="HJ853"/>
      <c r="HK853"/>
      <c r="HL853"/>
      <c r="HM853"/>
      <c r="HN853"/>
      <c r="HO853"/>
      <c r="HP853"/>
      <c r="HQ853"/>
      <c r="HR853"/>
      <c r="HS853"/>
      <c r="HT853"/>
      <c r="HU853"/>
      <c r="HV853"/>
      <c r="HW853"/>
      <c r="HX853"/>
      <c r="HY853"/>
      <c r="HZ853"/>
      <c r="IA853"/>
      <c r="IB853"/>
      <c r="IC853"/>
      <c r="ID853"/>
      <c r="IE853"/>
      <c r="IF853"/>
      <c r="IG853"/>
      <c r="IH853"/>
      <c r="II853"/>
      <c r="IJ853"/>
      <c r="IK853"/>
      <c r="IL853"/>
      <c r="IM853"/>
      <c r="IN853"/>
      <c r="IO853"/>
      <c r="IP853"/>
      <c r="IQ853"/>
      <c r="IR853"/>
      <c r="IS853"/>
    </row>
    <row r="854" spans="1:253" ht="12.75" customHeight="1" x14ac:dyDescent="0.2">
      <c r="A854" s="748"/>
      <c r="B854" s="1481" t="s">
        <v>1946</v>
      </c>
      <c r="C854" s="767">
        <v>22000000</v>
      </c>
      <c r="D854" s="1338"/>
      <c r="E854" s="738"/>
      <c r="F854" s="738"/>
      <c r="G854" s="767"/>
      <c r="H854" s="1409"/>
      <c r="I854" s="1410"/>
      <c r="J854"/>
      <c r="K854"/>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c r="EX854"/>
      <c r="EY854"/>
      <c r="EZ854"/>
      <c r="FA854"/>
      <c r="FB854"/>
      <c r="FC854"/>
      <c r="FD854"/>
      <c r="FE854"/>
      <c r="FF854"/>
      <c r="FG854"/>
      <c r="FH854"/>
      <c r="FI854"/>
      <c r="FJ854"/>
      <c r="FK854"/>
      <c r="FL854"/>
      <c r="FM854"/>
      <c r="FN854"/>
      <c r="FO854"/>
      <c r="FP854"/>
      <c r="FQ854"/>
      <c r="FR854"/>
      <c r="FS854"/>
      <c r="FT854"/>
      <c r="FU854"/>
      <c r="FV854"/>
      <c r="FW854"/>
      <c r="FX854"/>
      <c r="FY854"/>
      <c r="FZ854"/>
      <c r="GA854"/>
      <c r="GB854"/>
      <c r="GC854"/>
      <c r="GD854"/>
      <c r="GE854"/>
      <c r="GF854"/>
      <c r="GG854"/>
      <c r="GH854"/>
      <c r="GI854"/>
      <c r="GJ854"/>
      <c r="GK854"/>
      <c r="GL854"/>
      <c r="GM854"/>
      <c r="GN854"/>
      <c r="GO854"/>
      <c r="GP854"/>
      <c r="GQ854"/>
      <c r="GR854"/>
      <c r="GS854"/>
      <c r="GT854"/>
      <c r="GU854"/>
      <c r="GV854"/>
      <c r="GW854"/>
      <c r="GX854"/>
      <c r="GY854"/>
      <c r="GZ854"/>
      <c r="HA854"/>
      <c r="HB854"/>
      <c r="HC854"/>
      <c r="HD854"/>
      <c r="HE854"/>
      <c r="HF854"/>
      <c r="HG854"/>
      <c r="HH854"/>
      <c r="HI854"/>
      <c r="HJ854"/>
      <c r="HK854"/>
      <c r="HL854"/>
      <c r="HM854"/>
      <c r="HN854"/>
      <c r="HO854"/>
      <c r="HP854"/>
      <c r="HQ854"/>
      <c r="HR854"/>
      <c r="HS854"/>
      <c r="HT854"/>
      <c r="HU854"/>
      <c r="HV854"/>
      <c r="HW854"/>
      <c r="HX854"/>
      <c r="HY854"/>
      <c r="HZ854"/>
      <c r="IA854"/>
      <c r="IB854"/>
      <c r="IC854"/>
      <c r="ID854"/>
      <c r="IE854"/>
      <c r="IF854"/>
      <c r="IG854"/>
      <c r="IH854"/>
      <c r="II854"/>
      <c r="IJ854"/>
      <c r="IK854"/>
      <c r="IL854"/>
      <c r="IM854"/>
      <c r="IN854"/>
      <c r="IO854"/>
      <c r="IP854"/>
      <c r="IQ854"/>
      <c r="IR854"/>
      <c r="IS854"/>
    </row>
    <row r="855" spans="1:253" ht="12.75" customHeight="1" x14ac:dyDescent="0.2">
      <c r="A855" s="748"/>
      <c r="B855" s="796" t="s">
        <v>1947</v>
      </c>
      <c r="C855" s="767">
        <v>900000</v>
      </c>
      <c r="D855" s="1338"/>
      <c r="E855" s="738"/>
      <c r="F855" s="738"/>
      <c r="G855" s="767"/>
      <c r="H855" s="1409"/>
      <c r="I855" s="1410"/>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c r="EX855"/>
      <c r="EY855"/>
      <c r="EZ855"/>
      <c r="FA855"/>
      <c r="FB855"/>
      <c r="FC855"/>
      <c r="FD855"/>
      <c r="FE855"/>
      <c r="FF855"/>
      <c r="FG855"/>
      <c r="FH855"/>
      <c r="FI855"/>
      <c r="FJ855"/>
      <c r="FK855"/>
      <c r="FL855"/>
      <c r="FM855"/>
      <c r="FN855"/>
      <c r="FO855"/>
      <c r="FP855"/>
      <c r="FQ855"/>
      <c r="FR855"/>
      <c r="FS855"/>
      <c r="FT855"/>
      <c r="FU855"/>
      <c r="FV855"/>
      <c r="FW855"/>
      <c r="FX855"/>
      <c r="FY855"/>
      <c r="FZ855"/>
      <c r="GA855"/>
      <c r="GB855"/>
      <c r="GC855"/>
      <c r="GD855"/>
      <c r="GE855"/>
      <c r="GF855"/>
      <c r="GG855"/>
      <c r="GH855"/>
      <c r="GI855"/>
      <c r="GJ855"/>
      <c r="GK855"/>
      <c r="GL855"/>
      <c r="GM855"/>
      <c r="GN855"/>
      <c r="GO855"/>
      <c r="GP855"/>
      <c r="GQ855"/>
      <c r="GR855"/>
      <c r="GS855"/>
      <c r="GT855"/>
      <c r="GU855"/>
      <c r="GV855"/>
      <c r="GW855"/>
      <c r="GX855"/>
      <c r="GY855"/>
      <c r="GZ855"/>
      <c r="HA855"/>
      <c r="HB855"/>
      <c r="HC855"/>
      <c r="HD855"/>
      <c r="HE855"/>
      <c r="HF855"/>
      <c r="HG855"/>
      <c r="HH855"/>
      <c r="HI855"/>
      <c r="HJ855"/>
      <c r="HK855"/>
      <c r="HL855"/>
      <c r="HM855"/>
      <c r="HN855"/>
      <c r="HO855"/>
      <c r="HP855"/>
      <c r="HQ855"/>
      <c r="HR855"/>
      <c r="HS855"/>
      <c r="HT855"/>
      <c r="HU855"/>
      <c r="HV855"/>
      <c r="HW855"/>
      <c r="HX855"/>
      <c r="HY855"/>
      <c r="HZ855"/>
      <c r="IA855"/>
      <c r="IB855"/>
      <c r="IC855"/>
      <c r="ID855"/>
      <c r="IE855"/>
      <c r="IF855"/>
      <c r="IG855"/>
      <c r="IH855"/>
      <c r="II855"/>
      <c r="IJ855"/>
      <c r="IK855"/>
      <c r="IL855"/>
      <c r="IM855"/>
      <c r="IN855"/>
      <c r="IO855"/>
      <c r="IP855"/>
      <c r="IQ855"/>
      <c r="IR855"/>
      <c r="IS855"/>
    </row>
    <row r="856" spans="1:253" s="488" customFormat="1" ht="12.75" customHeight="1" x14ac:dyDescent="0.2">
      <c r="A856" s="748"/>
      <c r="B856" s="789" t="s">
        <v>1948</v>
      </c>
      <c r="C856" s="767">
        <v>2550000</v>
      </c>
      <c r="D856" s="1338"/>
      <c r="E856" s="738"/>
      <c r="F856" s="738"/>
      <c r="G856" s="767"/>
      <c r="H856" s="1466"/>
      <c r="I856" s="1467"/>
    </row>
    <row r="857" spans="1:253" s="488" customFormat="1" ht="12.75" customHeight="1" x14ac:dyDescent="0.2">
      <c r="A857" s="748"/>
      <c r="B857" s="789" t="s">
        <v>1949</v>
      </c>
      <c r="C857" s="767">
        <v>20000</v>
      </c>
      <c r="D857" s="1338"/>
      <c r="E857" s="738"/>
      <c r="F857" s="738"/>
      <c r="G857" s="767"/>
      <c r="H857" s="1466"/>
      <c r="I857" s="1467"/>
    </row>
    <row r="858" spans="1:253" s="488" customFormat="1" ht="12.75" customHeight="1" x14ac:dyDescent="0.2">
      <c r="A858" s="716">
        <v>3613</v>
      </c>
      <c r="B858" s="782" t="s">
        <v>879</v>
      </c>
      <c r="C858" s="746">
        <f>C859+C869+C870+C871+C876+C888+C889</f>
        <v>23745000</v>
      </c>
      <c r="D858" s="1116"/>
      <c r="E858" s="731"/>
      <c r="F858" s="731"/>
      <c r="G858" s="746"/>
      <c r="H858" s="1466"/>
      <c r="I858" s="1467"/>
    </row>
    <row r="859" spans="1:253" s="488" customFormat="1" ht="12.75" customHeight="1" x14ac:dyDescent="0.2">
      <c r="A859" s="1482"/>
      <c r="B859" s="1483" t="s">
        <v>880</v>
      </c>
      <c r="C859" s="1428">
        <f>SUM(C860:C868)</f>
        <v>3990000</v>
      </c>
      <c r="D859" s="1429"/>
      <c r="E859" s="1430"/>
      <c r="F859" s="1430"/>
      <c r="G859" s="1428"/>
      <c r="H859" s="1466"/>
      <c r="I859" s="1467"/>
    </row>
    <row r="860" spans="1:253" s="488" customFormat="1" ht="12.75" customHeight="1" x14ac:dyDescent="0.2">
      <c r="A860" s="708"/>
      <c r="B860" s="789" t="s">
        <v>1950</v>
      </c>
      <c r="C860" s="767">
        <v>550000</v>
      </c>
      <c r="D860" s="1338"/>
      <c r="E860" s="738"/>
      <c r="F860" s="738"/>
      <c r="G860" s="767"/>
      <c r="H860" s="1466"/>
      <c r="I860" s="1467"/>
    </row>
    <row r="861" spans="1:253" ht="12.75" customHeight="1" x14ac:dyDescent="0.2">
      <c r="A861" s="1454"/>
      <c r="B861" s="789" t="s">
        <v>1951</v>
      </c>
      <c r="C861" s="772">
        <v>0</v>
      </c>
      <c r="D861" s="1030"/>
      <c r="E861" s="750"/>
      <c r="F861" s="750"/>
      <c r="G861" s="772"/>
      <c r="H861" s="1409"/>
      <c r="I861" s="1410"/>
      <c r="J861"/>
      <c r="K861"/>
      <c r="L861"/>
      <c r="M861"/>
      <c r="N861"/>
      <c r="O861"/>
      <c r="P861"/>
      <c r="Q861"/>
      <c r="R861"/>
      <c r="S861"/>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c r="EB861"/>
      <c r="EC861"/>
      <c r="ED861"/>
      <c r="EE861"/>
      <c r="EF861"/>
      <c r="EG861"/>
      <c r="EH861"/>
      <c r="EI861"/>
      <c r="EJ861"/>
      <c r="EK861"/>
      <c r="EL861"/>
      <c r="EM861"/>
      <c r="EN861"/>
      <c r="EO861"/>
      <c r="EP861"/>
      <c r="EQ861"/>
      <c r="ER861"/>
      <c r="ES861"/>
      <c r="ET861"/>
      <c r="EU861"/>
      <c r="EV861"/>
      <c r="EW861"/>
      <c r="EX861"/>
      <c r="EY861"/>
      <c r="EZ861"/>
      <c r="FA861"/>
      <c r="FB861"/>
      <c r="FC861"/>
      <c r="FD861"/>
      <c r="FE861"/>
      <c r="FF861"/>
      <c r="FG861"/>
      <c r="FH861"/>
      <c r="FI861"/>
      <c r="FJ861"/>
      <c r="FK861"/>
      <c r="FL861"/>
      <c r="FM861"/>
      <c r="FN861"/>
      <c r="FO861"/>
      <c r="FP861"/>
      <c r="FQ861"/>
      <c r="FR861"/>
      <c r="FS861"/>
      <c r="FT861"/>
      <c r="FU861"/>
      <c r="FV861"/>
      <c r="FW861"/>
      <c r="FX861"/>
      <c r="FY861"/>
      <c r="FZ861"/>
      <c r="GA861"/>
      <c r="GB861"/>
      <c r="GC861"/>
      <c r="GD861"/>
      <c r="GE861"/>
      <c r="GF861"/>
      <c r="GG861"/>
      <c r="GH861"/>
      <c r="GI861"/>
      <c r="GJ861"/>
      <c r="GK861"/>
      <c r="GL861"/>
      <c r="GM861"/>
      <c r="GN861"/>
      <c r="GO861"/>
      <c r="GP861"/>
      <c r="GQ861"/>
      <c r="GR861"/>
      <c r="GS861"/>
      <c r="GT861"/>
      <c r="GU861"/>
      <c r="GV861"/>
      <c r="GW861"/>
      <c r="GX861"/>
      <c r="GY861"/>
      <c r="GZ861"/>
      <c r="HA861"/>
      <c r="HB861"/>
      <c r="HC861"/>
      <c r="HD861"/>
      <c r="HE861"/>
      <c r="HF861"/>
      <c r="HG861"/>
      <c r="HH861"/>
      <c r="HI861"/>
      <c r="HJ861"/>
      <c r="HK861"/>
      <c r="HL861"/>
      <c r="HM861"/>
      <c r="HN861"/>
      <c r="HO861"/>
      <c r="HP861"/>
      <c r="HQ861"/>
      <c r="HR861"/>
      <c r="HS861"/>
      <c r="HT861"/>
      <c r="HU861"/>
      <c r="HV861"/>
      <c r="HW861"/>
      <c r="HX861"/>
      <c r="HY861"/>
      <c r="HZ861"/>
      <c r="IA861"/>
      <c r="IB861"/>
      <c r="IC861"/>
      <c r="ID861"/>
      <c r="IE861"/>
      <c r="IF861"/>
      <c r="IG861"/>
      <c r="IH861"/>
      <c r="II861"/>
      <c r="IJ861"/>
      <c r="IK861"/>
      <c r="IL861"/>
      <c r="IM861"/>
      <c r="IN861"/>
      <c r="IO861"/>
      <c r="IP861"/>
      <c r="IQ861"/>
      <c r="IR861"/>
      <c r="IS861"/>
    </row>
    <row r="862" spans="1:253" ht="12.75" customHeight="1" x14ac:dyDescent="0.2">
      <c r="A862" s="716"/>
      <c r="B862" s="1484" t="s">
        <v>1952</v>
      </c>
      <c r="C862" s="767">
        <v>0</v>
      </c>
      <c r="D862" s="1338"/>
      <c r="E862" s="738"/>
      <c r="F862" s="738"/>
      <c r="G862" s="767"/>
      <c r="H862" s="1409"/>
      <c r="I862" s="1410"/>
      <c r="J862"/>
      <c r="K86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c r="EX862"/>
      <c r="EY862"/>
      <c r="EZ862"/>
      <c r="FA862"/>
      <c r="FB862"/>
      <c r="FC862"/>
      <c r="FD862"/>
      <c r="FE862"/>
      <c r="FF862"/>
      <c r="FG862"/>
      <c r="FH862"/>
      <c r="FI862"/>
      <c r="FJ862"/>
      <c r="FK862"/>
      <c r="FL862"/>
      <c r="FM862"/>
      <c r="FN862"/>
      <c r="FO862"/>
      <c r="FP862"/>
      <c r="FQ862"/>
      <c r="FR862"/>
      <c r="FS862"/>
      <c r="FT862"/>
      <c r="FU862"/>
      <c r="FV862"/>
      <c r="FW862"/>
      <c r="FX862"/>
      <c r="FY862"/>
      <c r="FZ862"/>
      <c r="GA862"/>
      <c r="GB862"/>
      <c r="GC862"/>
      <c r="GD862"/>
      <c r="GE862"/>
      <c r="GF862"/>
      <c r="GG862"/>
      <c r="GH862"/>
      <c r="GI862"/>
      <c r="GJ862"/>
      <c r="GK862"/>
      <c r="GL862"/>
      <c r="GM862"/>
      <c r="GN862"/>
      <c r="GO862"/>
      <c r="GP862"/>
      <c r="GQ862"/>
      <c r="GR862"/>
      <c r="GS862"/>
      <c r="GT862"/>
      <c r="GU862"/>
      <c r="GV862"/>
      <c r="GW862"/>
      <c r="GX862"/>
      <c r="GY862"/>
      <c r="GZ862"/>
      <c r="HA862"/>
      <c r="HB862"/>
      <c r="HC862"/>
      <c r="HD862"/>
      <c r="HE862"/>
      <c r="HF862"/>
      <c r="HG862"/>
      <c r="HH862"/>
      <c r="HI862"/>
      <c r="HJ862"/>
      <c r="HK862"/>
      <c r="HL862"/>
      <c r="HM862"/>
      <c r="HN862"/>
      <c r="HO862"/>
      <c r="HP862"/>
      <c r="HQ862"/>
      <c r="HR862"/>
      <c r="HS862"/>
      <c r="HT862"/>
      <c r="HU862"/>
      <c r="HV862"/>
      <c r="HW862"/>
      <c r="HX862"/>
      <c r="HY862"/>
      <c r="HZ862"/>
      <c r="IA862"/>
      <c r="IB862"/>
      <c r="IC862"/>
      <c r="ID862"/>
      <c r="IE862"/>
      <c r="IF862"/>
      <c r="IG862"/>
      <c r="IH862"/>
      <c r="II862"/>
      <c r="IJ862"/>
      <c r="IK862"/>
      <c r="IL862"/>
      <c r="IM862"/>
      <c r="IN862"/>
      <c r="IO862"/>
      <c r="IP862"/>
      <c r="IQ862"/>
      <c r="IR862"/>
      <c r="IS862"/>
    </row>
    <row r="863" spans="1:253" ht="12.75" customHeight="1" x14ac:dyDescent="0.2">
      <c r="A863" s="708"/>
      <c r="B863" s="1484" t="s">
        <v>1953</v>
      </c>
      <c r="C863" s="767">
        <v>600000</v>
      </c>
      <c r="D863" s="1338"/>
      <c r="E863" s="738"/>
      <c r="F863" s="738"/>
      <c r="G863" s="767"/>
      <c r="H863" s="1409"/>
      <c r="I863" s="1410"/>
      <c r="J863"/>
      <c r="K863"/>
      <c r="L863"/>
      <c r="M863"/>
      <c r="N863"/>
      <c r="O863"/>
      <c r="P863"/>
      <c r="Q863"/>
      <c r="R863"/>
      <c r="S863"/>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c r="EB863"/>
      <c r="EC863"/>
      <c r="ED863"/>
      <c r="EE863"/>
      <c r="EF863"/>
      <c r="EG863"/>
      <c r="EH863"/>
      <c r="EI863"/>
      <c r="EJ863"/>
      <c r="EK863"/>
      <c r="EL863"/>
      <c r="EM863"/>
      <c r="EN863"/>
      <c r="EO863"/>
      <c r="EP863"/>
      <c r="EQ863"/>
      <c r="ER863"/>
      <c r="ES863"/>
      <c r="ET863"/>
      <c r="EU863"/>
      <c r="EV863"/>
      <c r="EW863"/>
      <c r="EX863"/>
      <c r="EY863"/>
      <c r="EZ863"/>
      <c r="FA863"/>
      <c r="FB863"/>
      <c r="FC863"/>
      <c r="FD863"/>
      <c r="FE863"/>
      <c r="FF863"/>
      <c r="FG863"/>
      <c r="FH863"/>
      <c r="FI863"/>
      <c r="FJ863"/>
      <c r="FK863"/>
      <c r="FL863"/>
      <c r="FM863"/>
      <c r="FN863"/>
      <c r="FO863"/>
      <c r="FP863"/>
      <c r="FQ863"/>
      <c r="FR863"/>
      <c r="FS863"/>
      <c r="FT863"/>
      <c r="FU863"/>
      <c r="FV863"/>
      <c r="FW863"/>
      <c r="FX863"/>
      <c r="FY863"/>
      <c r="FZ863"/>
      <c r="GA863"/>
      <c r="GB863"/>
      <c r="GC863"/>
      <c r="GD863"/>
      <c r="GE863"/>
      <c r="GF863"/>
      <c r="GG863"/>
      <c r="GH863"/>
      <c r="GI863"/>
      <c r="GJ863"/>
      <c r="GK863"/>
      <c r="GL863"/>
      <c r="GM863"/>
      <c r="GN863"/>
      <c r="GO863"/>
      <c r="GP863"/>
      <c r="GQ863"/>
      <c r="GR863"/>
      <c r="GS863"/>
      <c r="GT863"/>
      <c r="GU863"/>
      <c r="GV863"/>
      <c r="GW863"/>
      <c r="GX863"/>
      <c r="GY863"/>
      <c r="GZ863"/>
      <c r="HA863"/>
      <c r="HB863"/>
      <c r="HC863"/>
      <c r="HD863"/>
      <c r="HE863"/>
      <c r="HF863"/>
      <c r="HG863"/>
      <c r="HH863"/>
      <c r="HI863"/>
      <c r="HJ863"/>
      <c r="HK863"/>
      <c r="HL863"/>
      <c r="HM863"/>
      <c r="HN863"/>
      <c r="HO863"/>
      <c r="HP863"/>
      <c r="HQ863"/>
      <c r="HR863"/>
      <c r="HS863"/>
      <c r="HT863"/>
      <c r="HU863"/>
      <c r="HV863"/>
      <c r="HW863"/>
      <c r="HX863"/>
      <c r="HY863"/>
      <c r="HZ863"/>
      <c r="IA863"/>
      <c r="IB863"/>
      <c r="IC863"/>
      <c r="ID863"/>
      <c r="IE863"/>
      <c r="IF863"/>
      <c r="IG863"/>
      <c r="IH863"/>
      <c r="II863"/>
      <c r="IJ863"/>
      <c r="IK863"/>
      <c r="IL863"/>
      <c r="IM863"/>
      <c r="IN863"/>
      <c r="IO863"/>
      <c r="IP863"/>
      <c r="IQ863"/>
      <c r="IR863"/>
      <c r="IS863"/>
    </row>
    <row r="864" spans="1:253" s="488" customFormat="1" ht="12.75" customHeight="1" x14ac:dyDescent="0.2">
      <c r="A864" s="708"/>
      <c r="B864" s="1484" t="s">
        <v>1954</v>
      </c>
      <c r="C864" s="767">
        <v>1100000</v>
      </c>
      <c r="D864" s="1338"/>
      <c r="E864" s="738"/>
      <c r="F864" s="738"/>
      <c r="G864" s="767"/>
      <c r="H864" s="1466"/>
      <c r="I864" s="1467"/>
    </row>
    <row r="865" spans="1:253" s="488" customFormat="1" ht="12.75" customHeight="1" x14ac:dyDescent="0.2">
      <c r="A865" s="708"/>
      <c r="B865" s="796" t="s">
        <v>1955</v>
      </c>
      <c r="C865" s="767">
        <v>0</v>
      </c>
      <c r="D865" s="1338"/>
      <c r="E865" s="738"/>
      <c r="F865" s="738"/>
      <c r="G865" s="767"/>
      <c r="H865" s="1466"/>
      <c r="I865" s="1467"/>
    </row>
    <row r="866" spans="1:253" s="488" customFormat="1" ht="12.75" customHeight="1" x14ac:dyDescent="0.2">
      <c r="A866" s="708"/>
      <c r="B866" s="796" t="s">
        <v>1956</v>
      </c>
      <c r="C866" s="767">
        <v>840000</v>
      </c>
      <c r="D866" s="1338"/>
      <c r="E866" s="738"/>
      <c r="F866" s="738"/>
      <c r="G866" s="767"/>
      <c r="H866" s="1466"/>
      <c r="I866" s="1467"/>
    </row>
    <row r="867" spans="1:253" s="488" customFormat="1" ht="12.75" customHeight="1" x14ac:dyDescent="0.2">
      <c r="A867" s="708"/>
      <c r="B867" s="796" t="s">
        <v>1957</v>
      </c>
      <c r="C867" s="767">
        <v>900000</v>
      </c>
      <c r="D867" s="1338"/>
      <c r="E867" s="738"/>
      <c r="F867" s="738"/>
      <c r="G867" s="767"/>
      <c r="H867" s="1466"/>
      <c r="I867" s="1467"/>
    </row>
    <row r="868" spans="1:253" s="488" customFormat="1" ht="12.75" customHeight="1" x14ac:dyDescent="0.2">
      <c r="A868" s="708"/>
      <c r="B868" s="1485" t="s">
        <v>1958</v>
      </c>
      <c r="C868" s="767">
        <v>0</v>
      </c>
      <c r="D868" s="1338"/>
      <c r="E868" s="738"/>
      <c r="F868" s="738"/>
      <c r="G868" s="767"/>
      <c r="H868" s="1466"/>
      <c r="I868" s="1467"/>
    </row>
    <row r="869" spans="1:253" s="488" customFormat="1" ht="12.75" customHeight="1" x14ac:dyDescent="0.2">
      <c r="A869" s="708"/>
      <c r="B869" s="1427" t="s">
        <v>1959</v>
      </c>
      <c r="C869" s="772">
        <v>30000</v>
      </c>
      <c r="D869" s="1030"/>
      <c r="E869" s="750"/>
      <c r="F869" s="750"/>
      <c r="G869" s="772"/>
      <c r="H869" s="1466"/>
      <c r="I869" s="1467"/>
    </row>
    <row r="870" spans="1:253" s="488" customFormat="1" ht="12.75" customHeight="1" x14ac:dyDescent="0.2">
      <c r="A870" s="708"/>
      <c r="B870" s="1427" t="s">
        <v>1960</v>
      </c>
      <c r="C870" s="1428">
        <v>80000</v>
      </c>
      <c r="D870" s="1429"/>
      <c r="E870" s="1430"/>
      <c r="F870" s="1430"/>
      <c r="G870" s="1428"/>
      <c r="H870" s="1466"/>
      <c r="I870" s="1467"/>
    </row>
    <row r="871" spans="1:253" s="488" customFormat="1" ht="12.75" customHeight="1" x14ac:dyDescent="0.2">
      <c r="A871" s="1454"/>
      <c r="B871" s="1427" t="s">
        <v>1961</v>
      </c>
      <c r="C871" s="1428">
        <f>C872+C873+C874+C875</f>
        <v>8050000</v>
      </c>
      <c r="D871" s="1429"/>
      <c r="E871" s="1430"/>
      <c r="F871" s="1430"/>
      <c r="G871" s="1428"/>
      <c r="H871" s="1466"/>
      <c r="I871" s="1467"/>
    </row>
    <row r="872" spans="1:253" ht="12.75" customHeight="1" x14ac:dyDescent="0.2">
      <c r="A872" s="1454"/>
      <c r="B872" s="1427" t="s">
        <v>1945</v>
      </c>
      <c r="C872" s="767">
        <v>1200000</v>
      </c>
      <c r="D872" s="1338"/>
      <c r="E872" s="738"/>
      <c r="F872" s="738"/>
      <c r="G872" s="767"/>
      <c r="H872" s="1409"/>
      <c r="I872" s="1410"/>
      <c r="J872"/>
      <c r="K872"/>
      <c r="L872"/>
      <c r="M872"/>
      <c r="N872"/>
      <c r="O872"/>
      <c r="P872"/>
      <c r="Q872"/>
      <c r="R872"/>
      <c r="S872"/>
      <c r="T872"/>
      <c r="U872"/>
      <c r="V872"/>
      <c r="W872"/>
      <c r="X872"/>
      <c r="Y872"/>
      <c r="Z872"/>
      <c r="AA872"/>
      <c r="AB872"/>
      <c r="AC872"/>
      <c r="AD872"/>
      <c r="AE872"/>
      <c r="AF872"/>
      <c r="AG872"/>
      <c r="AH872"/>
      <c r="AI872"/>
      <c r="AJ872"/>
      <c r="AK872"/>
      <c r="AL872"/>
      <c r="AM872"/>
      <c r="AN872"/>
      <c r="AO872"/>
      <c r="AP872"/>
      <c r="AQ872"/>
      <c r="AR872"/>
      <c r="AS872"/>
      <c r="AT872"/>
      <c r="AU872"/>
      <c r="AV872"/>
      <c r="AW872"/>
      <c r="AX872"/>
      <c r="AY872"/>
      <c r="AZ872"/>
      <c r="BA872"/>
      <c r="BB872"/>
      <c r="BC872"/>
      <c r="BD87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c r="EB872"/>
      <c r="EC872"/>
      <c r="ED872"/>
      <c r="EE872"/>
      <c r="EF872"/>
      <c r="EG872"/>
      <c r="EH872"/>
      <c r="EI872"/>
      <c r="EJ872"/>
      <c r="EK872"/>
      <c r="EL872"/>
      <c r="EM872"/>
      <c r="EN872"/>
      <c r="EO872"/>
      <c r="EP872"/>
      <c r="EQ872"/>
      <c r="ER872"/>
      <c r="ES872"/>
      <c r="ET872"/>
      <c r="EU872"/>
      <c r="EV872"/>
      <c r="EW872"/>
      <c r="EX872"/>
      <c r="EY872"/>
      <c r="EZ872"/>
      <c r="FA872"/>
      <c r="FB872"/>
      <c r="FC872"/>
      <c r="FD872"/>
      <c r="FE872"/>
      <c r="FF872"/>
      <c r="FG872"/>
      <c r="FH872"/>
      <c r="FI872"/>
      <c r="FJ872"/>
      <c r="FK872"/>
      <c r="FL872"/>
      <c r="FM872"/>
      <c r="FN872"/>
      <c r="FO872"/>
      <c r="FP872"/>
      <c r="FQ872"/>
      <c r="FR872"/>
      <c r="FS872"/>
      <c r="FT872"/>
      <c r="FU872"/>
      <c r="FV872"/>
      <c r="FW872"/>
      <c r="FX872"/>
      <c r="FY872"/>
      <c r="FZ872"/>
      <c r="GA872"/>
      <c r="GB872"/>
      <c r="GC872"/>
      <c r="GD872"/>
      <c r="GE872"/>
      <c r="GF872"/>
      <c r="GG872"/>
      <c r="GH872"/>
      <c r="GI872"/>
      <c r="GJ872"/>
      <c r="GK872"/>
      <c r="GL872"/>
      <c r="GM872"/>
      <c r="GN872"/>
      <c r="GO872"/>
      <c r="GP872"/>
      <c r="GQ872"/>
      <c r="GR872"/>
      <c r="GS872"/>
      <c r="GT872"/>
      <c r="GU872"/>
      <c r="GV872"/>
      <c r="GW872"/>
      <c r="GX872"/>
      <c r="GY872"/>
      <c r="GZ872"/>
      <c r="HA872"/>
      <c r="HB872"/>
      <c r="HC872"/>
      <c r="HD872"/>
      <c r="HE872"/>
      <c r="HF872"/>
      <c r="HG872"/>
      <c r="HH872"/>
      <c r="HI872"/>
      <c r="HJ872"/>
      <c r="HK872"/>
      <c r="HL872"/>
      <c r="HM872"/>
      <c r="HN872"/>
      <c r="HO872"/>
      <c r="HP872"/>
      <c r="HQ872"/>
      <c r="HR872"/>
      <c r="HS872"/>
      <c r="HT872"/>
      <c r="HU872"/>
      <c r="HV872"/>
      <c r="HW872"/>
      <c r="HX872"/>
      <c r="HY872"/>
      <c r="HZ872"/>
      <c r="IA872"/>
      <c r="IB872"/>
      <c r="IC872"/>
      <c r="ID872"/>
      <c r="IE872"/>
      <c r="IF872"/>
      <c r="IG872"/>
      <c r="IH872"/>
      <c r="II872"/>
      <c r="IJ872"/>
      <c r="IK872"/>
      <c r="IL872"/>
      <c r="IM872"/>
      <c r="IN872"/>
      <c r="IO872"/>
      <c r="IP872"/>
      <c r="IQ872"/>
      <c r="IR872"/>
      <c r="IS872"/>
    </row>
    <row r="873" spans="1:253" ht="12.75" customHeight="1" x14ac:dyDescent="0.2">
      <c r="A873" s="1454"/>
      <c r="B873" s="1427" t="s">
        <v>897</v>
      </c>
      <c r="C873" s="767">
        <v>2000000</v>
      </c>
      <c r="D873" s="1338"/>
      <c r="E873" s="738"/>
      <c r="F873" s="738"/>
      <c r="G873" s="767"/>
      <c r="H873" s="1409"/>
      <c r="I873" s="1410"/>
      <c r="J873"/>
      <c r="K873"/>
      <c r="L873"/>
      <c r="M873"/>
      <c r="N873"/>
      <c r="O873"/>
      <c r="P873"/>
      <c r="Q873"/>
      <c r="R873"/>
      <c r="S873"/>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c r="EB873"/>
      <c r="EC873"/>
      <c r="ED873"/>
      <c r="EE873"/>
      <c r="EF873"/>
      <c r="EG873"/>
      <c r="EH873"/>
      <c r="EI873"/>
      <c r="EJ873"/>
      <c r="EK873"/>
      <c r="EL873"/>
      <c r="EM873"/>
      <c r="EN873"/>
      <c r="EO873"/>
      <c r="EP873"/>
      <c r="EQ873"/>
      <c r="ER873"/>
      <c r="ES873"/>
      <c r="ET873"/>
      <c r="EU873"/>
      <c r="EV873"/>
      <c r="EW873"/>
      <c r="EX873"/>
      <c r="EY873"/>
      <c r="EZ873"/>
      <c r="FA873"/>
      <c r="FB873"/>
      <c r="FC873"/>
      <c r="FD873"/>
      <c r="FE873"/>
      <c r="FF873"/>
      <c r="FG873"/>
      <c r="FH873"/>
      <c r="FI873"/>
      <c r="FJ873"/>
      <c r="FK873"/>
      <c r="FL873"/>
      <c r="FM873"/>
      <c r="FN873"/>
      <c r="FO873"/>
      <c r="FP873"/>
      <c r="FQ873"/>
      <c r="FR873"/>
      <c r="FS873"/>
      <c r="FT873"/>
      <c r="FU873"/>
      <c r="FV873"/>
      <c r="FW873"/>
      <c r="FX873"/>
      <c r="FY873"/>
      <c r="FZ873"/>
      <c r="GA873"/>
      <c r="GB873"/>
      <c r="GC873"/>
      <c r="GD873"/>
      <c r="GE873"/>
      <c r="GF873"/>
      <c r="GG873"/>
      <c r="GH873"/>
      <c r="GI873"/>
      <c r="GJ873"/>
      <c r="GK873"/>
      <c r="GL873"/>
      <c r="GM873"/>
      <c r="GN873"/>
      <c r="GO873"/>
      <c r="GP873"/>
      <c r="GQ873"/>
      <c r="GR873"/>
      <c r="GS873"/>
      <c r="GT873"/>
      <c r="GU873"/>
      <c r="GV873"/>
      <c r="GW873"/>
      <c r="GX873"/>
      <c r="GY873"/>
      <c r="GZ873"/>
      <c r="HA873"/>
      <c r="HB873"/>
      <c r="HC873"/>
      <c r="HD873"/>
      <c r="HE873"/>
      <c r="HF873"/>
      <c r="HG873"/>
      <c r="HH873"/>
      <c r="HI873"/>
      <c r="HJ873"/>
      <c r="HK873"/>
      <c r="HL873"/>
      <c r="HM873"/>
      <c r="HN873"/>
      <c r="HO873"/>
      <c r="HP873"/>
      <c r="HQ873"/>
      <c r="HR873"/>
      <c r="HS873"/>
      <c r="HT873"/>
      <c r="HU873"/>
      <c r="HV873"/>
      <c r="HW873"/>
      <c r="HX873"/>
      <c r="HY873"/>
      <c r="HZ873"/>
      <c r="IA873"/>
      <c r="IB873"/>
      <c r="IC873"/>
      <c r="ID873"/>
      <c r="IE873"/>
      <c r="IF873"/>
      <c r="IG873"/>
      <c r="IH873"/>
      <c r="II873"/>
      <c r="IJ873"/>
      <c r="IK873"/>
      <c r="IL873"/>
      <c r="IM873"/>
      <c r="IN873"/>
      <c r="IO873"/>
      <c r="IP873"/>
      <c r="IQ873"/>
      <c r="IR873"/>
      <c r="IS873"/>
    </row>
    <row r="874" spans="1:253" ht="12.75" customHeight="1" x14ac:dyDescent="0.2">
      <c r="A874" s="716"/>
      <c r="B874" s="1481" t="s">
        <v>898</v>
      </c>
      <c r="C874" s="772">
        <v>2000000</v>
      </c>
      <c r="D874" s="1030"/>
      <c r="E874" s="750"/>
      <c r="F874" s="750"/>
      <c r="G874" s="772"/>
      <c r="H874" s="1409"/>
      <c r="I874" s="1410"/>
      <c r="J874"/>
      <c r="K874"/>
      <c r="L874"/>
      <c r="M874"/>
      <c r="N874"/>
      <c r="O874"/>
      <c r="P874"/>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c r="EB874"/>
      <c r="EC874"/>
      <c r="ED874"/>
      <c r="EE874"/>
      <c r="EF874"/>
      <c r="EG874"/>
      <c r="EH874"/>
      <c r="EI874"/>
      <c r="EJ874"/>
      <c r="EK874"/>
      <c r="EL874"/>
      <c r="EM874"/>
      <c r="EN874"/>
      <c r="EO874"/>
      <c r="EP874"/>
      <c r="EQ874"/>
      <c r="ER874"/>
      <c r="ES874"/>
      <c r="ET874"/>
      <c r="EU874"/>
      <c r="EV874"/>
      <c r="EW874"/>
      <c r="EX874"/>
      <c r="EY874"/>
      <c r="EZ874"/>
      <c r="FA874"/>
      <c r="FB874"/>
      <c r="FC874"/>
      <c r="FD874"/>
      <c r="FE874"/>
      <c r="FF874"/>
      <c r="FG874"/>
      <c r="FH874"/>
      <c r="FI874"/>
      <c r="FJ874"/>
      <c r="FK874"/>
      <c r="FL874"/>
      <c r="FM874"/>
      <c r="FN874"/>
      <c r="FO874"/>
      <c r="FP874"/>
      <c r="FQ874"/>
      <c r="FR874"/>
      <c r="FS874"/>
      <c r="FT874"/>
      <c r="FU874"/>
      <c r="FV874"/>
      <c r="FW874"/>
      <c r="FX874"/>
      <c r="FY874"/>
      <c r="FZ874"/>
      <c r="GA874"/>
      <c r="GB874"/>
      <c r="GC874"/>
      <c r="GD874"/>
      <c r="GE874"/>
      <c r="GF874"/>
      <c r="GG874"/>
      <c r="GH874"/>
      <c r="GI874"/>
      <c r="GJ874"/>
      <c r="GK874"/>
      <c r="GL874"/>
      <c r="GM874"/>
      <c r="GN874"/>
      <c r="GO874"/>
      <c r="GP874"/>
      <c r="GQ874"/>
      <c r="GR874"/>
      <c r="GS874"/>
      <c r="GT874"/>
      <c r="GU874"/>
      <c r="GV874"/>
      <c r="GW874"/>
      <c r="GX874"/>
      <c r="GY874"/>
      <c r="GZ874"/>
      <c r="HA874"/>
      <c r="HB874"/>
      <c r="HC874"/>
      <c r="HD874"/>
      <c r="HE874"/>
      <c r="HF874"/>
      <c r="HG874"/>
      <c r="HH874"/>
      <c r="HI874"/>
      <c r="HJ874"/>
      <c r="HK874"/>
      <c r="HL874"/>
      <c r="HM874"/>
      <c r="HN874"/>
      <c r="HO874"/>
      <c r="HP874"/>
      <c r="HQ874"/>
      <c r="HR874"/>
      <c r="HS874"/>
      <c r="HT874"/>
      <c r="HU874"/>
      <c r="HV874"/>
      <c r="HW874"/>
      <c r="HX874"/>
      <c r="HY874"/>
      <c r="HZ874"/>
      <c r="IA874"/>
      <c r="IB874"/>
      <c r="IC874"/>
      <c r="ID874"/>
      <c r="IE874"/>
      <c r="IF874"/>
      <c r="IG874"/>
      <c r="IH874"/>
      <c r="II874"/>
      <c r="IJ874"/>
      <c r="IK874"/>
      <c r="IL874"/>
      <c r="IM874"/>
      <c r="IN874"/>
      <c r="IO874"/>
      <c r="IP874"/>
      <c r="IQ874"/>
      <c r="IR874"/>
      <c r="IS874"/>
    </row>
    <row r="875" spans="1:253" s="98" customFormat="1" ht="12.75" customHeight="1" x14ac:dyDescent="0.25">
      <c r="A875" s="716"/>
      <c r="B875" s="1481" t="s">
        <v>1962</v>
      </c>
      <c r="C875" s="772">
        <v>2850000</v>
      </c>
      <c r="D875" s="1030"/>
      <c r="E875" s="750"/>
      <c r="F875" s="750"/>
      <c r="G875" s="772"/>
      <c r="H875" s="1367"/>
      <c r="I875" s="1333"/>
    </row>
    <row r="876" spans="1:253" s="488" customFormat="1" ht="12.75" customHeight="1" x14ac:dyDescent="0.2">
      <c r="A876" s="716"/>
      <c r="B876" s="1483" t="s">
        <v>900</v>
      </c>
      <c r="C876" s="1425">
        <f>SUM(C877:C887)</f>
        <v>4905000</v>
      </c>
      <c r="D876" s="1414"/>
      <c r="E876" s="1413"/>
      <c r="F876" s="1413"/>
      <c r="G876" s="1425"/>
      <c r="H876" s="1466"/>
      <c r="I876" s="1467"/>
    </row>
    <row r="877" spans="1:253" ht="12.75" customHeight="1" x14ac:dyDescent="0.2">
      <c r="A877" s="716"/>
      <c r="B877" s="1481" t="s">
        <v>1963</v>
      </c>
      <c r="C877" s="772">
        <v>700000</v>
      </c>
      <c r="D877" s="1030"/>
      <c r="E877" s="750"/>
      <c r="F877" s="750"/>
      <c r="G877" s="772"/>
      <c r="H877" s="1409"/>
      <c r="I877" s="1410"/>
      <c r="J877"/>
      <c r="K877"/>
      <c r="L877"/>
      <c r="M877"/>
      <c r="N877"/>
      <c r="O877"/>
      <c r="P877"/>
      <c r="Q877"/>
      <c r="R877"/>
      <c r="S877"/>
      <c r="T877"/>
      <c r="U877"/>
      <c r="V877"/>
      <c r="W877"/>
      <c r="X877"/>
      <c r="Y877"/>
      <c r="Z877"/>
      <c r="AA877"/>
      <c r="AB877"/>
      <c r="AC877"/>
      <c r="AD877"/>
      <c r="AE877"/>
      <c r="AF877"/>
      <c r="AG877"/>
      <c r="AH877"/>
      <c r="AI877"/>
      <c r="AJ877"/>
      <c r="AK877"/>
      <c r="AL877"/>
      <c r="AM877"/>
      <c r="AN877"/>
      <c r="AO877"/>
      <c r="AP877"/>
      <c r="AQ877"/>
      <c r="AR877"/>
      <c r="AS877"/>
      <c r="AT877"/>
      <c r="AU877"/>
      <c r="AV877"/>
      <c r="AW877"/>
      <c r="AX877"/>
      <c r="AY877"/>
      <c r="AZ877"/>
      <c r="BA877"/>
      <c r="BB877"/>
      <c r="BC877"/>
      <c r="BD877"/>
      <c r="BE877"/>
      <c r="BF877"/>
      <c r="BG877"/>
      <c r="BH877"/>
      <c r="BI877"/>
      <c r="BJ877"/>
      <c r="BK877"/>
      <c r="BL877"/>
      <c r="BM877"/>
      <c r="BN877"/>
      <c r="BO877"/>
      <c r="BP877"/>
      <c r="BQ877"/>
      <c r="BR877"/>
      <c r="BS877"/>
      <c r="BT877"/>
      <c r="BU877"/>
      <c r="BV877"/>
      <c r="BW877"/>
      <c r="BX877"/>
      <c r="BY877"/>
      <c r="BZ877"/>
      <c r="CA877"/>
      <c r="CB877"/>
      <c r="CC877"/>
      <c r="CD877"/>
      <c r="CE877"/>
      <c r="CF877"/>
      <c r="CG877"/>
      <c r="CH877"/>
      <c r="CI877"/>
      <c r="CJ877"/>
      <c r="CK877"/>
      <c r="CL877"/>
      <c r="CM877"/>
      <c r="CN877"/>
      <c r="CO877"/>
      <c r="CP877"/>
      <c r="CQ877"/>
      <c r="CR877"/>
      <c r="CS877"/>
      <c r="CT877"/>
      <c r="CU877"/>
      <c r="CV877"/>
      <c r="CW877"/>
      <c r="CX877"/>
      <c r="CY877"/>
      <c r="CZ877"/>
      <c r="DA877"/>
      <c r="DB877"/>
      <c r="DC877"/>
      <c r="DD877"/>
      <c r="DE877"/>
      <c r="DF877"/>
      <c r="DG877"/>
      <c r="DH877"/>
      <c r="DI877"/>
      <c r="DJ877"/>
      <c r="DK877"/>
      <c r="DL877"/>
      <c r="DM877"/>
      <c r="DN877"/>
      <c r="DO877"/>
      <c r="DP877"/>
      <c r="DQ877"/>
      <c r="DR877"/>
      <c r="DS877"/>
      <c r="DT877"/>
      <c r="DU877"/>
      <c r="DV877"/>
      <c r="DW877"/>
      <c r="DX877"/>
      <c r="DY877"/>
      <c r="DZ877"/>
      <c r="EA877"/>
      <c r="EB877"/>
      <c r="EC877"/>
      <c r="ED877"/>
      <c r="EE877"/>
      <c r="EF877"/>
      <c r="EG877"/>
      <c r="EH877"/>
      <c r="EI877"/>
      <c r="EJ877"/>
      <c r="EK877"/>
      <c r="EL877"/>
      <c r="EM877"/>
      <c r="EN877"/>
      <c r="EO877"/>
      <c r="EP877"/>
      <c r="EQ877"/>
      <c r="ER877"/>
      <c r="ES877"/>
      <c r="ET877"/>
      <c r="EU877"/>
      <c r="EV877"/>
      <c r="EW877"/>
      <c r="EX877"/>
      <c r="EY877"/>
      <c r="EZ877"/>
      <c r="FA877"/>
      <c r="FB877"/>
      <c r="FC877"/>
      <c r="FD877"/>
      <c r="FE877"/>
      <c r="FF877"/>
      <c r="FG877"/>
      <c r="FH877"/>
      <c r="FI877"/>
      <c r="FJ877"/>
      <c r="FK877"/>
      <c r="FL877"/>
      <c r="FM877"/>
      <c r="FN877"/>
      <c r="FO877"/>
      <c r="FP877"/>
      <c r="FQ877"/>
      <c r="FR877"/>
      <c r="FS877"/>
      <c r="FT877"/>
      <c r="FU877"/>
      <c r="FV877"/>
      <c r="FW877"/>
      <c r="FX877"/>
      <c r="FY877"/>
      <c r="FZ877"/>
      <c r="GA877"/>
      <c r="GB877"/>
      <c r="GC877"/>
      <c r="GD877"/>
      <c r="GE877"/>
      <c r="GF877"/>
      <c r="GG877"/>
      <c r="GH877"/>
      <c r="GI877"/>
      <c r="GJ877"/>
      <c r="GK877"/>
      <c r="GL877"/>
      <c r="GM877"/>
      <c r="GN877"/>
      <c r="GO877"/>
      <c r="GP877"/>
      <c r="GQ877"/>
      <c r="GR877"/>
      <c r="GS877"/>
      <c r="GT877"/>
      <c r="GU877"/>
      <c r="GV877"/>
      <c r="GW877"/>
      <c r="GX877"/>
      <c r="GY877"/>
      <c r="GZ877"/>
      <c r="HA877"/>
      <c r="HB877"/>
      <c r="HC877"/>
      <c r="HD877"/>
      <c r="HE877"/>
      <c r="HF877"/>
      <c r="HG877"/>
      <c r="HH877"/>
      <c r="HI877"/>
      <c r="HJ877"/>
      <c r="HK877"/>
      <c r="HL877"/>
      <c r="HM877"/>
      <c r="HN877"/>
      <c r="HO877"/>
      <c r="HP877"/>
      <c r="HQ877"/>
      <c r="HR877"/>
      <c r="HS877"/>
      <c r="HT877"/>
      <c r="HU877"/>
      <c r="HV877"/>
      <c r="HW877"/>
      <c r="HX877"/>
      <c r="HY877"/>
      <c r="HZ877"/>
      <c r="IA877"/>
      <c r="IB877"/>
      <c r="IC877"/>
      <c r="ID877"/>
      <c r="IE877"/>
      <c r="IF877"/>
      <c r="IG877"/>
      <c r="IH877"/>
      <c r="II877"/>
      <c r="IJ877"/>
      <c r="IK877"/>
      <c r="IL877"/>
      <c r="IM877"/>
      <c r="IN877"/>
      <c r="IO877"/>
      <c r="IP877"/>
      <c r="IQ877"/>
      <c r="IR877"/>
      <c r="IS877"/>
    </row>
    <row r="878" spans="1:253" ht="12.75" customHeight="1" x14ac:dyDescent="0.2">
      <c r="A878" s="716"/>
      <c r="B878" s="889" t="s">
        <v>1964</v>
      </c>
      <c r="C878" s="772">
        <v>1000000</v>
      </c>
      <c r="D878" s="1030"/>
      <c r="E878" s="750"/>
      <c r="F878" s="750"/>
      <c r="G878" s="772"/>
      <c r="H878" s="1409"/>
      <c r="I878" s="1410"/>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c r="EX878"/>
      <c r="EY878"/>
      <c r="EZ878"/>
      <c r="FA878"/>
      <c r="FB878"/>
      <c r="FC878"/>
      <c r="FD878"/>
      <c r="FE878"/>
      <c r="FF878"/>
      <c r="FG878"/>
      <c r="FH878"/>
      <c r="FI878"/>
      <c r="FJ878"/>
      <c r="FK878"/>
      <c r="FL878"/>
      <c r="FM878"/>
      <c r="FN878"/>
      <c r="FO878"/>
      <c r="FP878"/>
      <c r="FQ878"/>
      <c r="FR878"/>
      <c r="FS878"/>
      <c r="FT878"/>
      <c r="FU878"/>
      <c r="FV878"/>
      <c r="FW878"/>
      <c r="FX878"/>
      <c r="FY878"/>
      <c r="FZ878"/>
      <c r="GA878"/>
      <c r="GB878"/>
      <c r="GC878"/>
      <c r="GD878"/>
      <c r="GE878"/>
      <c r="GF878"/>
      <c r="GG878"/>
      <c r="GH878"/>
      <c r="GI878"/>
      <c r="GJ878"/>
      <c r="GK878"/>
      <c r="GL878"/>
      <c r="GM878"/>
      <c r="GN878"/>
      <c r="GO878"/>
      <c r="GP878"/>
      <c r="GQ878"/>
      <c r="GR878"/>
      <c r="GS878"/>
      <c r="GT878"/>
      <c r="GU878"/>
      <c r="GV878"/>
      <c r="GW878"/>
      <c r="GX878"/>
      <c r="GY878"/>
      <c r="GZ878"/>
      <c r="HA878"/>
      <c r="HB878"/>
      <c r="HC878"/>
      <c r="HD878"/>
      <c r="HE878"/>
      <c r="HF878"/>
      <c r="HG878"/>
      <c r="HH878"/>
      <c r="HI878"/>
      <c r="HJ878"/>
      <c r="HK878"/>
      <c r="HL878"/>
      <c r="HM878"/>
      <c r="HN878"/>
      <c r="HO878"/>
      <c r="HP878"/>
      <c r="HQ878"/>
      <c r="HR878"/>
      <c r="HS878"/>
      <c r="HT878"/>
      <c r="HU878"/>
      <c r="HV878"/>
      <c r="HW878"/>
      <c r="HX878"/>
      <c r="HY878"/>
      <c r="HZ878"/>
      <c r="IA878"/>
      <c r="IB878"/>
      <c r="IC878"/>
      <c r="ID878"/>
      <c r="IE878"/>
      <c r="IF878"/>
      <c r="IG878"/>
      <c r="IH878"/>
      <c r="II878"/>
      <c r="IJ878"/>
      <c r="IK878"/>
      <c r="IL878"/>
      <c r="IM878"/>
      <c r="IN878"/>
      <c r="IO878"/>
      <c r="IP878"/>
      <c r="IQ878"/>
      <c r="IR878"/>
      <c r="IS878"/>
    </row>
    <row r="879" spans="1:253" ht="12.75" customHeight="1" x14ac:dyDescent="0.2">
      <c r="A879" s="716"/>
      <c r="B879" s="889" t="s">
        <v>1965</v>
      </c>
      <c r="C879" s="772">
        <v>50000</v>
      </c>
      <c r="D879" s="1030"/>
      <c r="E879" s="750"/>
      <c r="F879" s="750"/>
      <c r="G879" s="772"/>
      <c r="H879" s="1409"/>
      <c r="I879" s="1410"/>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c r="EX879"/>
      <c r="EY879"/>
      <c r="EZ879"/>
      <c r="FA879"/>
      <c r="FB879"/>
      <c r="FC879"/>
      <c r="FD879"/>
      <c r="FE879"/>
      <c r="FF879"/>
      <c r="FG879"/>
      <c r="FH879"/>
      <c r="FI879"/>
      <c r="FJ879"/>
      <c r="FK879"/>
      <c r="FL879"/>
      <c r="FM879"/>
      <c r="FN879"/>
      <c r="FO879"/>
      <c r="FP879"/>
      <c r="FQ879"/>
      <c r="FR879"/>
      <c r="FS879"/>
      <c r="FT879"/>
      <c r="FU879"/>
      <c r="FV879"/>
      <c r="FW879"/>
      <c r="FX879"/>
      <c r="FY879"/>
      <c r="FZ879"/>
      <c r="GA879"/>
      <c r="GB879"/>
      <c r="GC879"/>
      <c r="GD879"/>
      <c r="GE879"/>
      <c r="GF879"/>
      <c r="GG879"/>
      <c r="GH879"/>
      <c r="GI879"/>
      <c r="GJ879"/>
      <c r="GK879"/>
      <c r="GL879"/>
      <c r="GM879"/>
      <c r="GN879"/>
      <c r="GO879"/>
      <c r="GP879"/>
      <c r="GQ879"/>
      <c r="GR879"/>
      <c r="GS879"/>
      <c r="GT879"/>
      <c r="GU879"/>
      <c r="GV879"/>
      <c r="GW879"/>
      <c r="GX879"/>
      <c r="GY879"/>
      <c r="GZ879"/>
      <c r="HA879"/>
      <c r="HB879"/>
      <c r="HC879"/>
      <c r="HD879"/>
      <c r="HE879"/>
      <c r="HF879"/>
      <c r="HG879"/>
      <c r="HH879"/>
      <c r="HI879"/>
      <c r="HJ879"/>
      <c r="HK879"/>
      <c r="HL879"/>
      <c r="HM879"/>
      <c r="HN879"/>
      <c r="HO879"/>
      <c r="HP879"/>
      <c r="HQ879"/>
      <c r="HR879"/>
      <c r="HS879"/>
      <c r="HT879"/>
      <c r="HU879"/>
      <c r="HV879"/>
      <c r="HW879"/>
      <c r="HX879"/>
      <c r="HY879"/>
      <c r="HZ879"/>
      <c r="IA879"/>
      <c r="IB879"/>
      <c r="IC879"/>
      <c r="ID879"/>
      <c r="IE879"/>
      <c r="IF879"/>
      <c r="IG879"/>
      <c r="IH879"/>
      <c r="II879"/>
      <c r="IJ879"/>
      <c r="IK879"/>
      <c r="IL879"/>
      <c r="IM879"/>
      <c r="IN879"/>
      <c r="IO879"/>
      <c r="IP879"/>
      <c r="IQ879"/>
      <c r="IR879"/>
      <c r="IS879"/>
    </row>
    <row r="880" spans="1:253" s="2" customFormat="1" ht="12.75" customHeight="1" x14ac:dyDescent="0.2">
      <c r="A880" s="716"/>
      <c r="B880" s="796" t="s">
        <v>906</v>
      </c>
      <c r="C880" s="772">
        <v>100000</v>
      </c>
      <c r="D880" s="1030"/>
      <c r="E880" s="750"/>
      <c r="F880" s="750"/>
      <c r="G880" s="772"/>
      <c r="H880" s="1409"/>
      <c r="I880" s="1410"/>
    </row>
    <row r="881" spans="1:253" ht="12.75" customHeight="1" x14ac:dyDescent="0.2">
      <c r="A881" s="716"/>
      <c r="B881" s="1481" t="s">
        <v>1966</v>
      </c>
      <c r="C881" s="772">
        <v>200000</v>
      </c>
      <c r="D881" s="1030"/>
      <c r="E881" s="750"/>
      <c r="F881" s="750"/>
      <c r="G881" s="772"/>
      <c r="H881" s="1409"/>
      <c r="I881" s="1410"/>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c r="EX881"/>
      <c r="EY881"/>
      <c r="EZ881"/>
      <c r="FA881"/>
      <c r="FB881"/>
      <c r="FC881"/>
      <c r="FD881"/>
      <c r="FE881"/>
      <c r="FF881"/>
      <c r="FG881"/>
      <c r="FH881"/>
      <c r="FI881"/>
      <c r="FJ881"/>
      <c r="FK881"/>
      <c r="FL881"/>
      <c r="FM881"/>
      <c r="FN881"/>
      <c r="FO881"/>
      <c r="FP881"/>
      <c r="FQ881"/>
      <c r="FR881"/>
      <c r="FS881"/>
      <c r="FT881"/>
      <c r="FU881"/>
      <c r="FV881"/>
      <c r="FW881"/>
      <c r="FX881"/>
      <c r="FY881"/>
      <c r="FZ881"/>
      <c r="GA881"/>
      <c r="GB881"/>
      <c r="GC881"/>
      <c r="GD881"/>
      <c r="GE881"/>
      <c r="GF881"/>
      <c r="GG881"/>
      <c r="GH881"/>
      <c r="GI881"/>
      <c r="GJ881"/>
      <c r="GK881"/>
      <c r="GL881"/>
      <c r="GM881"/>
      <c r="GN881"/>
      <c r="GO881"/>
      <c r="GP881"/>
      <c r="GQ881"/>
      <c r="GR881"/>
      <c r="GS881"/>
      <c r="GT881"/>
      <c r="GU881"/>
      <c r="GV881"/>
      <c r="GW881"/>
      <c r="GX881"/>
      <c r="GY881"/>
      <c r="GZ881"/>
      <c r="HA881"/>
      <c r="HB881"/>
      <c r="HC881"/>
      <c r="HD881"/>
      <c r="HE881"/>
      <c r="HF881"/>
      <c r="HG881"/>
      <c r="HH881"/>
      <c r="HI881"/>
      <c r="HJ881"/>
      <c r="HK881"/>
      <c r="HL881"/>
      <c r="HM881"/>
      <c r="HN881"/>
      <c r="HO881"/>
      <c r="HP881"/>
      <c r="HQ881"/>
      <c r="HR881"/>
      <c r="HS881"/>
      <c r="HT881"/>
      <c r="HU881"/>
      <c r="HV881"/>
      <c r="HW881"/>
      <c r="HX881"/>
      <c r="HY881"/>
      <c r="HZ881"/>
      <c r="IA881"/>
      <c r="IB881"/>
      <c r="IC881"/>
      <c r="ID881"/>
      <c r="IE881"/>
      <c r="IF881"/>
      <c r="IG881"/>
      <c r="IH881"/>
      <c r="II881"/>
      <c r="IJ881"/>
      <c r="IK881"/>
      <c r="IL881"/>
      <c r="IM881"/>
      <c r="IN881"/>
      <c r="IO881"/>
      <c r="IP881"/>
      <c r="IQ881"/>
      <c r="IR881"/>
      <c r="IS881"/>
    </row>
    <row r="882" spans="1:253" ht="12.75" customHeight="1" x14ac:dyDescent="0.2">
      <c r="A882" s="716"/>
      <c r="B882" s="1485" t="s">
        <v>1967</v>
      </c>
      <c r="C882" s="772">
        <v>350000</v>
      </c>
      <c r="D882" s="1030"/>
      <c r="E882" s="750"/>
      <c r="F882" s="750"/>
      <c r="G882" s="772"/>
      <c r="H882" s="1409"/>
      <c r="I882" s="1410"/>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c r="EX882"/>
      <c r="EY882"/>
      <c r="EZ882"/>
      <c r="FA882"/>
      <c r="FB882"/>
      <c r="FC882"/>
      <c r="FD882"/>
      <c r="FE882"/>
      <c r="FF882"/>
      <c r="FG882"/>
      <c r="FH882"/>
      <c r="FI882"/>
      <c r="FJ882"/>
      <c r="FK882"/>
      <c r="FL882"/>
      <c r="FM882"/>
      <c r="FN882"/>
      <c r="FO882"/>
      <c r="FP882"/>
      <c r="FQ882"/>
      <c r="FR882"/>
      <c r="FS882"/>
      <c r="FT882"/>
      <c r="FU882"/>
      <c r="FV882"/>
      <c r="FW882"/>
      <c r="FX882"/>
      <c r="FY882"/>
      <c r="FZ882"/>
      <c r="GA882"/>
      <c r="GB882"/>
      <c r="GC882"/>
      <c r="GD882"/>
      <c r="GE882"/>
      <c r="GF882"/>
      <c r="GG882"/>
      <c r="GH882"/>
      <c r="GI882"/>
      <c r="GJ882"/>
      <c r="GK882"/>
      <c r="GL882"/>
      <c r="GM882"/>
      <c r="GN882"/>
      <c r="GO882"/>
      <c r="GP882"/>
      <c r="GQ882"/>
      <c r="GR882"/>
      <c r="GS882"/>
      <c r="GT882"/>
      <c r="GU882"/>
      <c r="GV882"/>
      <c r="GW882"/>
      <c r="GX882"/>
      <c r="GY882"/>
      <c r="GZ882"/>
      <c r="HA882"/>
      <c r="HB882"/>
      <c r="HC882"/>
      <c r="HD882"/>
      <c r="HE882"/>
      <c r="HF882"/>
      <c r="HG882"/>
      <c r="HH882"/>
      <c r="HI882"/>
      <c r="HJ882"/>
      <c r="HK882"/>
      <c r="HL882"/>
      <c r="HM882"/>
      <c r="HN882"/>
      <c r="HO882"/>
      <c r="HP882"/>
      <c r="HQ882"/>
      <c r="HR882"/>
      <c r="HS882"/>
      <c r="HT882"/>
      <c r="HU882"/>
      <c r="HV882"/>
      <c r="HW882"/>
      <c r="HX882"/>
      <c r="HY882"/>
      <c r="HZ882"/>
      <c r="IA882"/>
      <c r="IB882"/>
      <c r="IC882"/>
      <c r="ID882"/>
      <c r="IE882"/>
      <c r="IF882"/>
      <c r="IG882"/>
      <c r="IH882"/>
      <c r="II882"/>
      <c r="IJ882"/>
      <c r="IK882"/>
      <c r="IL882"/>
      <c r="IM882"/>
      <c r="IN882"/>
      <c r="IO882"/>
      <c r="IP882"/>
      <c r="IQ882"/>
      <c r="IR882"/>
      <c r="IS882"/>
    </row>
    <row r="883" spans="1:253" ht="12.75" customHeight="1" x14ac:dyDescent="0.2">
      <c r="A883" s="716"/>
      <c r="B883" s="1486" t="s">
        <v>1968</v>
      </c>
      <c r="C883" s="772">
        <v>0</v>
      </c>
      <c r="D883" s="1030"/>
      <c r="E883" s="750"/>
      <c r="F883" s="750"/>
      <c r="G883" s="772"/>
      <c r="H883" s="1409"/>
      <c r="I883" s="1410"/>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c r="EX883"/>
      <c r="EY883"/>
      <c r="EZ883"/>
      <c r="FA883"/>
      <c r="FB883"/>
      <c r="FC883"/>
      <c r="FD883"/>
      <c r="FE883"/>
      <c r="FF883"/>
      <c r="FG883"/>
      <c r="FH883"/>
      <c r="FI883"/>
      <c r="FJ883"/>
      <c r="FK883"/>
      <c r="FL883"/>
      <c r="FM883"/>
      <c r="FN883"/>
      <c r="FO883"/>
      <c r="FP883"/>
      <c r="FQ883"/>
      <c r="FR883"/>
      <c r="FS883"/>
      <c r="FT883"/>
      <c r="FU883"/>
      <c r="FV883"/>
      <c r="FW883"/>
      <c r="FX883"/>
      <c r="FY883"/>
      <c r="FZ883"/>
      <c r="GA883"/>
      <c r="GB883"/>
      <c r="GC883"/>
      <c r="GD883"/>
      <c r="GE883"/>
      <c r="GF883"/>
      <c r="GG883"/>
      <c r="GH883"/>
      <c r="GI883"/>
      <c r="GJ883"/>
      <c r="GK883"/>
      <c r="GL883"/>
      <c r="GM883"/>
      <c r="GN883"/>
      <c r="GO883"/>
      <c r="GP883"/>
      <c r="GQ883"/>
      <c r="GR883"/>
      <c r="GS883"/>
      <c r="GT883"/>
      <c r="GU883"/>
      <c r="GV883"/>
      <c r="GW883"/>
      <c r="GX883"/>
      <c r="GY883"/>
      <c r="GZ883"/>
      <c r="HA883"/>
      <c r="HB883"/>
      <c r="HC883"/>
      <c r="HD883"/>
      <c r="HE883"/>
      <c r="HF883"/>
      <c r="HG883"/>
      <c r="HH883"/>
      <c r="HI883"/>
      <c r="HJ883"/>
      <c r="HK883"/>
      <c r="HL883"/>
      <c r="HM883"/>
      <c r="HN883"/>
      <c r="HO883"/>
      <c r="HP883"/>
      <c r="HQ883"/>
      <c r="HR883"/>
      <c r="HS883"/>
      <c r="HT883"/>
      <c r="HU883"/>
      <c r="HV883"/>
      <c r="HW883"/>
      <c r="HX883"/>
      <c r="HY883"/>
      <c r="HZ883"/>
      <c r="IA883"/>
      <c r="IB883"/>
      <c r="IC883"/>
      <c r="ID883"/>
      <c r="IE883"/>
      <c r="IF883"/>
      <c r="IG883"/>
      <c r="IH883"/>
      <c r="II883"/>
      <c r="IJ883"/>
      <c r="IK883"/>
      <c r="IL883"/>
      <c r="IM883"/>
      <c r="IN883"/>
      <c r="IO883"/>
      <c r="IP883"/>
      <c r="IQ883"/>
      <c r="IR883"/>
      <c r="IS883"/>
    </row>
    <row r="884" spans="1:253" ht="12.75" customHeight="1" x14ac:dyDescent="0.2">
      <c r="A884" s="716"/>
      <c r="B884" s="889" t="s">
        <v>1969</v>
      </c>
      <c r="C884" s="772">
        <v>2200000</v>
      </c>
      <c r="D884" s="1030"/>
      <c r="E884" s="750"/>
      <c r="F884" s="750"/>
      <c r="G884" s="772"/>
      <c r="H884" s="1409"/>
      <c r="I884" s="1410"/>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c r="EX884"/>
      <c r="EY884"/>
      <c r="EZ884"/>
      <c r="FA884"/>
      <c r="FB884"/>
      <c r="FC884"/>
      <c r="FD884"/>
      <c r="FE884"/>
      <c r="FF884"/>
      <c r="FG884"/>
      <c r="FH884"/>
      <c r="FI884"/>
      <c r="FJ884"/>
      <c r="FK884"/>
      <c r="FL884"/>
      <c r="FM884"/>
      <c r="FN884"/>
      <c r="FO884"/>
      <c r="FP884"/>
      <c r="FQ884"/>
      <c r="FR884"/>
      <c r="FS884"/>
      <c r="FT884"/>
      <c r="FU884"/>
      <c r="FV884"/>
      <c r="FW884"/>
      <c r="FX884"/>
      <c r="FY884"/>
      <c r="FZ884"/>
      <c r="GA884"/>
      <c r="GB884"/>
      <c r="GC884"/>
      <c r="GD884"/>
      <c r="GE884"/>
      <c r="GF884"/>
      <c r="GG884"/>
      <c r="GH884"/>
      <c r="GI884"/>
      <c r="GJ884"/>
      <c r="GK884"/>
      <c r="GL884"/>
      <c r="GM884"/>
      <c r="GN884"/>
      <c r="GO884"/>
      <c r="GP884"/>
      <c r="GQ884"/>
      <c r="GR884"/>
      <c r="GS884"/>
      <c r="GT884"/>
      <c r="GU884"/>
      <c r="GV884"/>
      <c r="GW884"/>
      <c r="GX884"/>
      <c r="GY884"/>
      <c r="GZ884"/>
      <c r="HA884"/>
      <c r="HB884"/>
      <c r="HC884"/>
      <c r="HD884"/>
      <c r="HE884"/>
      <c r="HF884"/>
      <c r="HG884"/>
      <c r="HH884"/>
      <c r="HI884"/>
      <c r="HJ884"/>
      <c r="HK884"/>
      <c r="HL884"/>
      <c r="HM884"/>
      <c r="HN884"/>
      <c r="HO884"/>
      <c r="HP884"/>
      <c r="HQ884"/>
      <c r="HR884"/>
      <c r="HS884"/>
      <c r="HT884"/>
      <c r="HU884"/>
      <c r="HV884"/>
      <c r="HW884"/>
      <c r="HX884"/>
      <c r="HY884"/>
      <c r="HZ884"/>
      <c r="IA884"/>
      <c r="IB884"/>
      <c r="IC884"/>
      <c r="ID884"/>
      <c r="IE884"/>
      <c r="IF884"/>
      <c r="IG884"/>
      <c r="IH884"/>
      <c r="II884"/>
      <c r="IJ884"/>
      <c r="IK884"/>
      <c r="IL884"/>
      <c r="IM884"/>
      <c r="IN884"/>
      <c r="IO884"/>
      <c r="IP884"/>
      <c r="IQ884"/>
      <c r="IR884"/>
      <c r="IS884"/>
    </row>
    <row r="885" spans="1:253" ht="12.75" customHeight="1" x14ac:dyDescent="0.2">
      <c r="A885" s="716"/>
      <c r="B885" s="1485" t="s">
        <v>1970</v>
      </c>
      <c r="C885" s="772">
        <v>20000</v>
      </c>
      <c r="D885" s="1030"/>
      <c r="E885" s="750"/>
      <c r="F885" s="750"/>
      <c r="G885" s="772"/>
      <c r="H885" s="1409"/>
      <c r="I885" s="1410"/>
      <c r="J885"/>
      <c r="K885"/>
      <c r="L885"/>
      <c r="M885"/>
      <c r="N885"/>
      <c r="O885"/>
      <c r="P885"/>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c r="EB885"/>
      <c r="EC885"/>
      <c r="ED885"/>
      <c r="EE885"/>
      <c r="EF885"/>
      <c r="EG885"/>
      <c r="EH885"/>
      <c r="EI885"/>
      <c r="EJ885"/>
      <c r="EK885"/>
      <c r="EL885"/>
      <c r="EM885"/>
      <c r="EN885"/>
      <c r="EO885"/>
      <c r="EP885"/>
      <c r="EQ885"/>
      <c r="ER885"/>
      <c r="ES885"/>
      <c r="ET885"/>
      <c r="EU885"/>
      <c r="EV885"/>
      <c r="EW885"/>
      <c r="EX885"/>
      <c r="EY885"/>
      <c r="EZ885"/>
      <c r="FA885"/>
      <c r="FB885"/>
      <c r="FC885"/>
      <c r="FD885"/>
      <c r="FE885"/>
      <c r="FF885"/>
      <c r="FG885"/>
      <c r="FH885"/>
      <c r="FI885"/>
      <c r="FJ885"/>
      <c r="FK885"/>
      <c r="FL885"/>
      <c r="FM885"/>
      <c r="FN885"/>
      <c r="FO885"/>
      <c r="FP885"/>
      <c r="FQ885"/>
      <c r="FR885"/>
      <c r="FS885"/>
      <c r="FT885"/>
      <c r="FU885"/>
      <c r="FV885"/>
      <c r="FW885"/>
      <c r="FX885"/>
      <c r="FY885"/>
      <c r="FZ885"/>
      <c r="GA885"/>
      <c r="GB885"/>
      <c r="GC885"/>
      <c r="GD885"/>
      <c r="GE885"/>
      <c r="GF885"/>
      <c r="GG885"/>
      <c r="GH885"/>
      <c r="GI885"/>
      <c r="GJ885"/>
      <c r="GK885"/>
      <c r="GL885"/>
      <c r="GM885"/>
      <c r="GN885"/>
      <c r="GO885"/>
      <c r="GP885"/>
      <c r="GQ885"/>
      <c r="GR885"/>
      <c r="GS885"/>
      <c r="GT885"/>
      <c r="GU885"/>
      <c r="GV885"/>
      <c r="GW885"/>
      <c r="GX885"/>
      <c r="GY885"/>
      <c r="GZ885"/>
      <c r="HA885"/>
      <c r="HB885"/>
      <c r="HC885"/>
      <c r="HD885"/>
      <c r="HE885"/>
      <c r="HF885"/>
      <c r="HG885"/>
      <c r="HH885"/>
      <c r="HI885"/>
      <c r="HJ885"/>
      <c r="HK885"/>
      <c r="HL885"/>
      <c r="HM885"/>
      <c r="HN885"/>
      <c r="HO885"/>
      <c r="HP885"/>
      <c r="HQ885"/>
      <c r="HR885"/>
      <c r="HS885"/>
      <c r="HT885"/>
      <c r="HU885"/>
      <c r="HV885"/>
      <c r="HW885"/>
      <c r="HX885"/>
      <c r="HY885"/>
      <c r="HZ885"/>
      <c r="IA885"/>
      <c r="IB885"/>
      <c r="IC885"/>
      <c r="ID885"/>
      <c r="IE885"/>
      <c r="IF885"/>
      <c r="IG885"/>
      <c r="IH885"/>
      <c r="II885"/>
      <c r="IJ885"/>
      <c r="IK885"/>
      <c r="IL885"/>
      <c r="IM885"/>
      <c r="IN885"/>
      <c r="IO885"/>
      <c r="IP885"/>
      <c r="IQ885"/>
      <c r="IR885"/>
      <c r="IS885"/>
    </row>
    <row r="886" spans="1:253" ht="12.75" customHeight="1" x14ac:dyDescent="0.2">
      <c r="A886" s="716"/>
      <c r="B886" s="796" t="s">
        <v>911</v>
      </c>
      <c r="C886" s="772">
        <v>15000</v>
      </c>
      <c r="D886" s="1030"/>
      <c r="E886" s="750"/>
      <c r="F886" s="750"/>
      <c r="G886" s="772"/>
      <c r="H886" s="1409"/>
      <c r="I886" s="1410"/>
      <c r="J886"/>
      <c r="K886"/>
      <c r="L886"/>
      <c r="M886"/>
      <c r="N886"/>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c r="EX886"/>
      <c r="EY886"/>
      <c r="EZ886"/>
      <c r="FA886"/>
      <c r="FB886"/>
      <c r="FC886"/>
      <c r="FD886"/>
      <c r="FE886"/>
      <c r="FF886"/>
      <c r="FG886"/>
      <c r="FH886"/>
      <c r="FI886"/>
      <c r="FJ886"/>
      <c r="FK886"/>
      <c r="FL886"/>
      <c r="FM886"/>
      <c r="FN886"/>
      <c r="FO886"/>
      <c r="FP886"/>
      <c r="FQ886"/>
      <c r="FR886"/>
      <c r="FS886"/>
      <c r="FT886"/>
      <c r="FU886"/>
      <c r="FV886"/>
      <c r="FW886"/>
      <c r="FX886"/>
      <c r="FY886"/>
      <c r="FZ886"/>
      <c r="GA886"/>
      <c r="GB886"/>
      <c r="GC886"/>
      <c r="GD886"/>
      <c r="GE886"/>
      <c r="GF886"/>
      <c r="GG886"/>
      <c r="GH886"/>
      <c r="GI886"/>
      <c r="GJ886"/>
      <c r="GK886"/>
      <c r="GL886"/>
      <c r="GM886"/>
      <c r="GN886"/>
      <c r="GO886"/>
      <c r="GP886"/>
      <c r="GQ886"/>
      <c r="GR886"/>
      <c r="GS886"/>
      <c r="GT886"/>
      <c r="GU886"/>
      <c r="GV886"/>
      <c r="GW886"/>
      <c r="GX886"/>
      <c r="GY886"/>
      <c r="GZ886"/>
      <c r="HA886"/>
      <c r="HB886"/>
      <c r="HC886"/>
      <c r="HD886"/>
      <c r="HE886"/>
      <c r="HF886"/>
      <c r="HG886"/>
      <c r="HH886"/>
      <c r="HI886"/>
      <c r="HJ886"/>
      <c r="HK886"/>
      <c r="HL886"/>
      <c r="HM886"/>
      <c r="HN886"/>
      <c r="HO886"/>
      <c r="HP886"/>
      <c r="HQ886"/>
      <c r="HR886"/>
      <c r="HS886"/>
      <c r="HT886"/>
      <c r="HU886"/>
      <c r="HV886"/>
      <c r="HW886"/>
      <c r="HX886"/>
      <c r="HY886"/>
      <c r="HZ886"/>
      <c r="IA886"/>
      <c r="IB886"/>
      <c r="IC886"/>
      <c r="ID886"/>
      <c r="IE886"/>
      <c r="IF886"/>
      <c r="IG886"/>
      <c r="IH886"/>
      <c r="II886"/>
      <c r="IJ886"/>
      <c r="IK886"/>
      <c r="IL886"/>
      <c r="IM886"/>
      <c r="IN886"/>
      <c r="IO886"/>
      <c r="IP886"/>
      <c r="IQ886"/>
      <c r="IR886"/>
      <c r="IS886"/>
    </row>
    <row r="887" spans="1:253" ht="12.75" customHeight="1" x14ac:dyDescent="0.2">
      <c r="A887" s="716"/>
      <c r="B887" s="789" t="s">
        <v>1971</v>
      </c>
      <c r="C887" s="772">
        <v>270000</v>
      </c>
      <c r="D887" s="1030"/>
      <c r="E887" s="750"/>
      <c r="F887" s="750"/>
      <c r="G887" s="772"/>
      <c r="H887" s="1409"/>
      <c r="I887" s="1410"/>
      <c r="J887"/>
      <c r="K887"/>
      <c r="L887"/>
      <c r="M887"/>
      <c r="N887"/>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c r="EX887"/>
      <c r="EY887"/>
      <c r="EZ887"/>
      <c r="FA887"/>
      <c r="FB887"/>
      <c r="FC887"/>
      <c r="FD887"/>
      <c r="FE887"/>
      <c r="FF887"/>
      <c r="FG887"/>
      <c r="FH887"/>
      <c r="FI887"/>
      <c r="FJ887"/>
      <c r="FK887"/>
      <c r="FL887"/>
      <c r="FM887"/>
      <c r="FN887"/>
      <c r="FO887"/>
      <c r="FP887"/>
      <c r="FQ887"/>
      <c r="FR887"/>
      <c r="FS887"/>
      <c r="FT887"/>
      <c r="FU887"/>
      <c r="FV887"/>
      <c r="FW887"/>
      <c r="FX887"/>
      <c r="FY887"/>
      <c r="FZ887"/>
      <c r="GA887"/>
      <c r="GB887"/>
      <c r="GC887"/>
      <c r="GD887"/>
      <c r="GE887"/>
      <c r="GF887"/>
      <c r="GG887"/>
      <c r="GH887"/>
      <c r="GI887"/>
      <c r="GJ887"/>
      <c r="GK887"/>
      <c r="GL887"/>
      <c r="GM887"/>
      <c r="GN887"/>
      <c r="GO887"/>
      <c r="GP887"/>
      <c r="GQ887"/>
      <c r="GR887"/>
      <c r="GS887"/>
      <c r="GT887"/>
      <c r="GU887"/>
      <c r="GV887"/>
      <c r="GW887"/>
      <c r="GX887"/>
      <c r="GY887"/>
      <c r="GZ887"/>
      <c r="HA887"/>
      <c r="HB887"/>
      <c r="HC887"/>
      <c r="HD887"/>
      <c r="HE887"/>
      <c r="HF887"/>
      <c r="HG887"/>
      <c r="HH887"/>
      <c r="HI887"/>
      <c r="HJ887"/>
      <c r="HK887"/>
      <c r="HL887"/>
      <c r="HM887"/>
      <c r="HN887"/>
      <c r="HO887"/>
      <c r="HP887"/>
      <c r="HQ887"/>
      <c r="HR887"/>
      <c r="HS887"/>
      <c r="HT887"/>
      <c r="HU887"/>
      <c r="HV887"/>
      <c r="HW887"/>
      <c r="HX887"/>
      <c r="HY887"/>
      <c r="HZ887"/>
      <c r="IA887"/>
      <c r="IB887"/>
      <c r="IC887"/>
      <c r="ID887"/>
      <c r="IE887"/>
      <c r="IF887"/>
      <c r="IG887"/>
      <c r="IH887"/>
      <c r="II887"/>
      <c r="IJ887"/>
      <c r="IK887"/>
      <c r="IL887"/>
      <c r="IM887"/>
      <c r="IN887"/>
      <c r="IO887"/>
      <c r="IP887"/>
      <c r="IQ887"/>
      <c r="IR887"/>
      <c r="IS887"/>
    </row>
    <row r="888" spans="1:253" ht="12.75" customHeight="1" x14ac:dyDescent="0.2">
      <c r="A888" s="1454"/>
      <c r="B888" s="1427" t="s">
        <v>913</v>
      </c>
      <c r="C888" s="1425">
        <f>C891+C895+C904</f>
        <v>6100000</v>
      </c>
      <c r="D888" s="1414"/>
      <c r="E888" s="1413"/>
      <c r="F888" s="1413"/>
      <c r="G888" s="1425"/>
      <c r="H888" s="1409"/>
      <c r="I888" s="1410"/>
      <c r="J888"/>
      <c r="K888"/>
      <c r="L888"/>
      <c r="M888"/>
      <c r="N888"/>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c r="EX888"/>
      <c r="EY888"/>
      <c r="EZ888"/>
      <c r="FA888"/>
      <c r="FB888"/>
      <c r="FC888"/>
      <c r="FD888"/>
      <c r="FE888"/>
      <c r="FF888"/>
      <c r="FG888"/>
      <c r="FH888"/>
      <c r="FI888"/>
      <c r="FJ888"/>
      <c r="FK888"/>
      <c r="FL888"/>
      <c r="FM888"/>
      <c r="FN888"/>
      <c r="FO888"/>
      <c r="FP888"/>
      <c r="FQ888"/>
      <c r="FR888"/>
      <c r="FS888"/>
      <c r="FT888"/>
      <c r="FU888"/>
      <c r="FV888"/>
      <c r="FW888"/>
      <c r="FX888"/>
      <c r="FY888"/>
      <c r="FZ888"/>
      <c r="GA888"/>
      <c r="GB888"/>
      <c r="GC888"/>
      <c r="GD888"/>
      <c r="GE888"/>
      <c r="GF888"/>
      <c r="GG888"/>
      <c r="GH888"/>
      <c r="GI888"/>
      <c r="GJ888"/>
      <c r="GK888"/>
      <c r="GL888"/>
      <c r="GM888"/>
      <c r="GN888"/>
      <c r="GO888"/>
      <c r="GP888"/>
      <c r="GQ888"/>
      <c r="GR888"/>
      <c r="GS888"/>
      <c r="GT888"/>
      <c r="GU888"/>
      <c r="GV888"/>
      <c r="GW888"/>
      <c r="GX888"/>
      <c r="GY888"/>
      <c r="GZ888"/>
      <c r="HA888"/>
      <c r="HB888"/>
      <c r="HC888"/>
      <c r="HD888"/>
      <c r="HE888"/>
      <c r="HF888"/>
      <c r="HG888"/>
      <c r="HH888"/>
      <c r="HI888"/>
      <c r="HJ888"/>
      <c r="HK888"/>
      <c r="HL888"/>
      <c r="HM888"/>
      <c r="HN888"/>
      <c r="HO888"/>
      <c r="HP888"/>
      <c r="HQ888"/>
      <c r="HR888"/>
      <c r="HS888"/>
      <c r="HT888"/>
      <c r="HU888"/>
      <c r="HV888"/>
      <c r="HW888"/>
      <c r="HX888"/>
      <c r="HY888"/>
      <c r="HZ888"/>
      <c r="IA888"/>
      <c r="IB888"/>
      <c r="IC888"/>
      <c r="ID888"/>
      <c r="IE888"/>
      <c r="IF888"/>
      <c r="IG888"/>
      <c r="IH888"/>
      <c r="II888"/>
      <c r="IJ888"/>
      <c r="IK888"/>
      <c r="IL888"/>
      <c r="IM888"/>
      <c r="IN888"/>
      <c r="IO888"/>
      <c r="IP888"/>
      <c r="IQ888"/>
      <c r="IR888"/>
      <c r="IS888"/>
    </row>
    <row r="889" spans="1:253" ht="25.5" x14ac:dyDescent="0.2">
      <c r="A889" s="1454"/>
      <c r="B889" s="789" t="s">
        <v>1972</v>
      </c>
      <c r="C889" s="772">
        <v>590000</v>
      </c>
      <c r="D889" s="1030"/>
      <c r="E889" s="750"/>
      <c r="F889" s="750"/>
      <c r="G889" s="772"/>
      <c r="H889" s="1409"/>
      <c r="I889" s="1410"/>
      <c r="J889"/>
      <c r="K889"/>
      <c r="L889"/>
      <c r="M889"/>
      <c r="N889"/>
      <c r="O889"/>
      <c r="P889"/>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c r="EB889"/>
      <c r="EC889"/>
      <c r="ED889"/>
      <c r="EE889"/>
      <c r="EF889"/>
      <c r="EG889"/>
      <c r="EH889"/>
      <c r="EI889"/>
      <c r="EJ889"/>
      <c r="EK889"/>
      <c r="EL889"/>
      <c r="EM889"/>
      <c r="EN889"/>
      <c r="EO889"/>
      <c r="EP889"/>
      <c r="EQ889"/>
      <c r="ER889"/>
      <c r="ES889"/>
      <c r="ET889"/>
      <c r="EU889"/>
      <c r="EV889"/>
      <c r="EW889"/>
      <c r="EX889"/>
      <c r="EY889"/>
      <c r="EZ889"/>
      <c r="FA889"/>
      <c r="FB889"/>
      <c r="FC889"/>
      <c r="FD889"/>
      <c r="FE889"/>
      <c r="FF889"/>
      <c r="FG889"/>
      <c r="FH889"/>
      <c r="FI889"/>
      <c r="FJ889"/>
      <c r="FK889"/>
      <c r="FL889"/>
      <c r="FM889"/>
      <c r="FN889"/>
      <c r="FO889"/>
      <c r="FP889"/>
      <c r="FQ889"/>
      <c r="FR889"/>
      <c r="FS889"/>
      <c r="FT889"/>
      <c r="FU889"/>
      <c r="FV889"/>
      <c r="FW889"/>
      <c r="FX889"/>
      <c r="FY889"/>
      <c r="FZ889"/>
      <c r="GA889"/>
      <c r="GB889"/>
      <c r="GC889"/>
      <c r="GD889"/>
      <c r="GE889"/>
      <c r="GF889"/>
      <c r="GG889"/>
      <c r="GH889"/>
      <c r="GI889"/>
      <c r="GJ889"/>
      <c r="GK889"/>
      <c r="GL889"/>
      <c r="GM889"/>
      <c r="GN889"/>
      <c r="GO889"/>
      <c r="GP889"/>
      <c r="GQ889"/>
      <c r="GR889"/>
      <c r="GS889"/>
      <c r="GT889"/>
      <c r="GU889"/>
      <c r="GV889"/>
      <c r="GW889"/>
      <c r="GX889"/>
      <c r="GY889"/>
      <c r="GZ889"/>
      <c r="HA889"/>
      <c r="HB889"/>
      <c r="HC889"/>
      <c r="HD889"/>
      <c r="HE889"/>
      <c r="HF889"/>
      <c r="HG889"/>
      <c r="HH889"/>
      <c r="HI889"/>
      <c r="HJ889"/>
      <c r="HK889"/>
      <c r="HL889"/>
      <c r="HM889"/>
      <c r="HN889"/>
      <c r="HO889"/>
      <c r="HP889"/>
      <c r="HQ889"/>
      <c r="HR889"/>
      <c r="HS889"/>
      <c r="HT889"/>
      <c r="HU889"/>
      <c r="HV889"/>
      <c r="HW889"/>
      <c r="HX889"/>
      <c r="HY889"/>
      <c r="HZ889"/>
      <c r="IA889"/>
      <c r="IB889"/>
      <c r="IC889"/>
      <c r="ID889"/>
      <c r="IE889"/>
      <c r="IF889"/>
      <c r="IG889"/>
      <c r="IH889"/>
      <c r="II889"/>
      <c r="IJ889"/>
      <c r="IK889"/>
      <c r="IL889"/>
      <c r="IM889"/>
      <c r="IN889"/>
      <c r="IO889"/>
      <c r="IP889"/>
      <c r="IQ889"/>
      <c r="IR889"/>
      <c r="IS889"/>
    </row>
    <row r="890" spans="1:253" ht="25.5" x14ac:dyDescent="0.2">
      <c r="A890" s="1454"/>
      <c r="B890" s="789" t="s">
        <v>1973</v>
      </c>
      <c r="C890" s="772">
        <v>0</v>
      </c>
      <c r="D890" s="1030"/>
      <c r="E890" s="750"/>
      <c r="F890" s="750"/>
      <c r="G890" s="772"/>
      <c r="H890" s="1409"/>
      <c r="I890" s="1410"/>
      <c r="J890"/>
      <c r="K890"/>
      <c r="L890"/>
      <c r="M890"/>
      <c r="N890"/>
      <c r="O890"/>
      <c r="P890"/>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c r="EB890"/>
      <c r="EC890"/>
      <c r="ED890"/>
      <c r="EE890"/>
      <c r="EF890"/>
      <c r="EG890"/>
      <c r="EH890"/>
      <c r="EI890"/>
      <c r="EJ890"/>
      <c r="EK890"/>
      <c r="EL890"/>
      <c r="EM890"/>
      <c r="EN890"/>
      <c r="EO890"/>
      <c r="EP890"/>
      <c r="EQ890"/>
      <c r="ER890"/>
      <c r="ES890"/>
      <c r="ET890"/>
      <c r="EU890"/>
      <c r="EV890"/>
      <c r="EW890"/>
      <c r="EX890"/>
      <c r="EY890"/>
      <c r="EZ890"/>
      <c r="FA890"/>
      <c r="FB890"/>
      <c r="FC890"/>
      <c r="FD890"/>
      <c r="FE890"/>
      <c r="FF890"/>
      <c r="FG890"/>
      <c r="FH890"/>
      <c r="FI890"/>
      <c r="FJ890"/>
      <c r="FK890"/>
      <c r="FL890"/>
      <c r="FM890"/>
      <c r="FN890"/>
      <c r="FO890"/>
      <c r="FP890"/>
      <c r="FQ890"/>
      <c r="FR890"/>
      <c r="FS890"/>
      <c r="FT890"/>
      <c r="FU890"/>
      <c r="FV890"/>
      <c r="FW890"/>
      <c r="FX890"/>
      <c r="FY890"/>
      <c r="FZ890"/>
      <c r="GA890"/>
      <c r="GB890"/>
      <c r="GC890"/>
      <c r="GD890"/>
      <c r="GE890"/>
      <c r="GF890"/>
      <c r="GG890"/>
      <c r="GH890"/>
      <c r="GI890"/>
      <c r="GJ890"/>
      <c r="GK890"/>
      <c r="GL890"/>
      <c r="GM890"/>
      <c r="GN890"/>
      <c r="GO890"/>
      <c r="GP890"/>
      <c r="GQ890"/>
      <c r="GR890"/>
      <c r="GS890"/>
      <c r="GT890"/>
      <c r="GU890"/>
      <c r="GV890"/>
      <c r="GW890"/>
      <c r="GX890"/>
      <c r="GY890"/>
      <c r="GZ890"/>
      <c r="HA890"/>
      <c r="HB890"/>
      <c r="HC890"/>
      <c r="HD890"/>
      <c r="HE890"/>
      <c r="HF890"/>
      <c r="HG890"/>
      <c r="HH890"/>
      <c r="HI890"/>
      <c r="HJ890"/>
      <c r="HK890"/>
      <c r="HL890"/>
      <c r="HM890"/>
      <c r="HN890"/>
      <c r="HO890"/>
      <c r="HP890"/>
      <c r="HQ890"/>
      <c r="HR890"/>
      <c r="HS890"/>
      <c r="HT890"/>
      <c r="HU890"/>
      <c r="HV890"/>
      <c r="HW890"/>
      <c r="HX890"/>
      <c r="HY890"/>
      <c r="HZ890"/>
      <c r="IA890"/>
      <c r="IB890"/>
      <c r="IC890"/>
      <c r="ID890"/>
      <c r="IE890"/>
      <c r="IF890"/>
      <c r="IG890"/>
      <c r="IH890"/>
      <c r="II890"/>
      <c r="IJ890"/>
      <c r="IK890"/>
      <c r="IL890"/>
      <c r="IM890"/>
      <c r="IN890"/>
      <c r="IO890"/>
      <c r="IP890"/>
      <c r="IQ890"/>
      <c r="IR890"/>
      <c r="IS890"/>
    </row>
    <row r="891" spans="1:253" ht="12.75" customHeight="1" x14ac:dyDescent="0.2">
      <c r="A891" s="1454"/>
      <c r="B891" s="787" t="s">
        <v>1974</v>
      </c>
      <c r="C891" s="1462">
        <f>C892+C893</f>
        <v>3000000</v>
      </c>
      <c r="D891" s="1463"/>
      <c r="E891" s="1464"/>
      <c r="F891" s="1464"/>
      <c r="G891" s="1462"/>
      <c r="H891" s="1409"/>
      <c r="I891" s="1410"/>
      <c r="J891"/>
      <c r="K891"/>
      <c r="L891"/>
      <c r="M891"/>
      <c r="N891"/>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c r="EX891"/>
      <c r="EY891"/>
      <c r="EZ891"/>
      <c r="FA891"/>
      <c r="FB891"/>
      <c r="FC891"/>
      <c r="FD891"/>
      <c r="FE891"/>
      <c r="FF891"/>
      <c r="FG891"/>
      <c r="FH891"/>
      <c r="FI891"/>
      <c r="FJ891"/>
      <c r="FK891"/>
      <c r="FL891"/>
      <c r="FM891"/>
      <c r="FN891"/>
      <c r="FO891"/>
      <c r="FP891"/>
      <c r="FQ891"/>
      <c r="FR891"/>
      <c r="FS891"/>
      <c r="FT891"/>
      <c r="FU891"/>
      <c r="FV891"/>
      <c r="FW891"/>
      <c r="FX891"/>
      <c r="FY891"/>
      <c r="FZ891"/>
      <c r="GA891"/>
      <c r="GB891"/>
      <c r="GC891"/>
      <c r="GD891"/>
      <c r="GE891"/>
      <c r="GF891"/>
      <c r="GG891"/>
      <c r="GH891"/>
      <c r="GI891"/>
      <c r="GJ891"/>
      <c r="GK891"/>
      <c r="GL891"/>
      <c r="GM891"/>
      <c r="GN891"/>
      <c r="GO891"/>
      <c r="GP891"/>
      <c r="GQ891"/>
      <c r="GR891"/>
      <c r="GS891"/>
      <c r="GT891"/>
      <c r="GU891"/>
      <c r="GV891"/>
      <c r="GW891"/>
      <c r="GX891"/>
      <c r="GY891"/>
      <c r="GZ891"/>
      <c r="HA891"/>
      <c r="HB891"/>
      <c r="HC891"/>
      <c r="HD891"/>
      <c r="HE891"/>
      <c r="HF891"/>
      <c r="HG891"/>
      <c r="HH891"/>
      <c r="HI891"/>
      <c r="HJ891"/>
      <c r="HK891"/>
      <c r="HL891"/>
      <c r="HM891"/>
      <c r="HN891"/>
      <c r="HO891"/>
      <c r="HP891"/>
      <c r="HQ891"/>
      <c r="HR891"/>
      <c r="HS891"/>
      <c r="HT891"/>
      <c r="HU891"/>
      <c r="HV891"/>
      <c r="HW891"/>
      <c r="HX891"/>
      <c r="HY891"/>
      <c r="HZ891"/>
      <c r="IA891"/>
      <c r="IB891"/>
      <c r="IC891"/>
      <c r="ID891"/>
      <c r="IE891"/>
      <c r="IF891"/>
      <c r="IG891"/>
      <c r="IH891"/>
      <c r="II891"/>
      <c r="IJ891"/>
      <c r="IK891"/>
      <c r="IL891"/>
      <c r="IM891"/>
      <c r="IN891"/>
      <c r="IO891"/>
      <c r="IP891"/>
      <c r="IQ891"/>
      <c r="IR891"/>
      <c r="IS891"/>
    </row>
    <row r="892" spans="1:253" ht="12.75" customHeight="1" x14ac:dyDescent="0.2">
      <c r="A892" s="1454"/>
      <c r="B892" s="1485" t="s">
        <v>916</v>
      </c>
      <c r="C892" s="772">
        <v>3000000</v>
      </c>
      <c r="D892" s="1030"/>
      <c r="E892" s="750"/>
      <c r="F892" s="750"/>
      <c r="G892" s="772"/>
      <c r="H892" s="1409"/>
      <c r="I892" s="1410"/>
      <c r="J892"/>
      <c r="K892"/>
      <c r="L892"/>
      <c r="M892"/>
      <c r="N892"/>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c r="EX892"/>
      <c r="EY892"/>
      <c r="EZ892"/>
      <c r="FA892"/>
      <c r="FB892"/>
      <c r="FC892"/>
      <c r="FD892"/>
      <c r="FE892"/>
      <c r="FF892"/>
      <c r="FG892"/>
      <c r="FH892"/>
      <c r="FI892"/>
      <c r="FJ892"/>
      <c r="FK892"/>
      <c r="FL892"/>
      <c r="FM892"/>
      <c r="FN892"/>
      <c r="FO892"/>
      <c r="FP892"/>
      <c r="FQ892"/>
      <c r="FR892"/>
      <c r="FS892"/>
      <c r="FT892"/>
      <c r="FU892"/>
      <c r="FV892"/>
      <c r="FW892"/>
      <c r="FX892"/>
      <c r="FY892"/>
      <c r="FZ892"/>
      <c r="GA892"/>
      <c r="GB892"/>
      <c r="GC892"/>
      <c r="GD892"/>
      <c r="GE892"/>
      <c r="GF892"/>
      <c r="GG892"/>
      <c r="GH892"/>
      <c r="GI892"/>
      <c r="GJ892"/>
      <c r="GK892"/>
      <c r="GL892"/>
      <c r="GM892"/>
      <c r="GN892"/>
      <c r="GO892"/>
      <c r="GP892"/>
      <c r="GQ892"/>
      <c r="GR892"/>
      <c r="GS892"/>
      <c r="GT892"/>
      <c r="GU892"/>
      <c r="GV892"/>
      <c r="GW892"/>
      <c r="GX892"/>
      <c r="GY892"/>
      <c r="GZ892"/>
      <c r="HA892"/>
      <c r="HB892"/>
      <c r="HC892"/>
      <c r="HD892"/>
      <c r="HE892"/>
      <c r="HF892"/>
      <c r="HG892"/>
      <c r="HH892"/>
      <c r="HI892"/>
      <c r="HJ892"/>
      <c r="HK892"/>
      <c r="HL892"/>
      <c r="HM892"/>
      <c r="HN892"/>
      <c r="HO892"/>
      <c r="HP892"/>
      <c r="HQ892"/>
      <c r="HR892"/>
      <c r="HS892"/>
      <c r="HT892"/>
      <c r="HU892"/>
      <c r="HV892"/>
      <c r="HW892"/>
      <c r="HX892"/>
      <c r="HY892"/>
      <c r="HZ892"/>
      <c r="IA892"/>
      <c r="IB892"/>
      <c r="IC892"/>
      <c r="ID892"/>
      <c r="IE892"/>
      <c r="IF892"/>
      <c r="IG892"/>
      <c r="IH892"/>
      <c r="II892"/>
      <c r="IJ892"/>
      <c r="IK892"/>
      <c r="IL892"/>
      <c r="IM892"/>
      <c r="IN892"/>
      <c r="IO892"/>
      <c r="IP892"/>
      <c r="IQ892"/>
      <c r="IR892"/>
      <c r="IS892"/>
    </row>
    <row r="893" spans="1:253" ht="12.75" customHeight="1" x14ac:dyDescent="0.2">
      <c r="A893" s="716"/>
      <c r="B893" s="796" t="s">
        <v>1975</v>
      </c>
      <c r="C893" s="772">
        <f>C894</f>
        <v>0</v>
      </c>
      <c r="D893" s="1030"/>
      <c r="E893" s="750"/>
      <c r="F893" s="750"/>
      <c r="G893" s="772"/>
      <c r="H893" s="1409"/>
      <c r="I893" s="1410"/>
      <c r="J893"/>
      <c r="K893"/>
      <c r="L893"/>
      <c r="M893"/>
      <c r="N89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c r="EX893"/>
      <c r="EY893"/>
      <c r="EZ893"/>
      <c r="FA893"/>
      <c r="FB893"/>
      <c r="FC893"/>
      <c r="FD893"/>
      <c r="FE893"/>
      <c r="FF893"/>
      <c r="FG893"/>
      <c r="FH893"/>
      <c r="FI893"/>
      <c r="FJ893"/>
      <c r="FK893"/>
      <c r="FL893"/>
      <c r="FM893"/>
      <c r="FN893"/>
      <c r="FO893"/>
      <c r="FP893"/>
      <c r="FQ893"/>
      <c r="FR893"/>
      <c r="FS893"/>
      <c r="FT893"/>
      <c r="FU893"/>
      <c r="FV893"/>
      <c r="FW893"/>
      <c r="FX893"/>
      <c r="FY893"/>
      <c r="FZ893"/>
      <c r="GA893"/>
      <c r="GB893"/>
      <c r="GC893"/>
      <c r="GD893"/>
      <c r="GE893"/>
      <c r="GF893"/>
      <c r="GG893"/>
      <c r="GH893"/>
      <c r="GI893"/>
      <c r="GJ893"/>
      <c r="GK893"/>
      <c r="GL893"/>
      <c r="GM893"/>
      <c r="GN893"/>
      <c r="GO893"/>
      <c r="GP893"/>
      <c r="GQ893"/>
      <c r="GR893"/>
      <c r="GS893"/>
      <c r="GT893"/>
      <c r="GU893"/>
      <c r="GV893"/>
      <c r="GW893"/>
      <c r="GX893"/>
      <c r="GY893"/>
      <c r="GZ893"/>
      <c r="HA893"/>
      <c r="HB893"/>
      <c r="HC893"/>
      <c r="HD893"/>
      <c r="HE893"/>
      <c r="HF893"/>
      <c r="HG893"/>
      <c r="HH893"/>
      <c r="HI893"/>
      <c r="HJ893"/>
      <c r="HK893"/>
      <c r="HL893"/>
      <c r="HM893"/>
      <c r="HN893"/>
      <c r="HO893"/>
      <c r="HP893"/>
      <c r="HQ893"/>
      <c r="HR893"/>
      <c r="HS893"/>
      <c r="HT893"/>
      <c r="HU893"/>
      <c r="HV893"/>
      <c r="HW893"/>
      <c r="HX893"/>
      <c r="HY893"/>
      <c r="HZ893"/>
      <c r="IA893"/>
      <c r="IB893"/>
      <c r="IC893"/>
      <c r="ID893"/>
      <c r="IE893"/>
      <c r="IF893"/>
      <c r="IG893"/>
      <c r="IH893"/>
      <c r="II893"/>
      <c r="IJ893"/>
      <c r="IK893"/>
      <c r="IL893"/>
      <c r="IM893"/>
      <c r="IN893"/>
      <c r="IO893"/>
      <c r="IP893"/>
      <c r="IQ893"/>
      <c r="IR893"/>
      <c r="IS893"/>
    </row>
    <row r="894" spans="1:253" ht="12.75" customHeight="1" x14ac:dyDescent="0.2">
      <c r="A894" s="716"/>
      <c r="B894" s="796" t="s">
        <v>1976</v>
      </c>
      <c r="C894" s="772">
        <v>0</v>
      </c>
      <c r="D894" s="1030"/>
      <c r="E894" s="750"/>
      <c r="F894" s="750"/>
      <c r="G894" s="772"/>
      <c r="H894" s="1409"/>
      <c r="I894" s="1410"/>
      <c r="J894"/>
      <c r="K894"/>
      <c r="L894"/>
      <c r="M894"/>
      <c r="N894"/>
      <c r="O894"/>
      <c r="P894"/>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c r="EB894"/>
      <c r="EC894"/>
      <c r="ED894"/>
      <c r="EE894"/>
      <c r="EF894"/>
      <c r="EG894"/>
      <c r="EH894"/>
      <c r="EI894"/>
      <c r="EJ894"/>
      <c r="EK894"/>
      <c r="EL894"/>
      <c r="EM894"/>
      <c r="EN894"/>
      <c r="EO894"/>
      <c r="EP894"/>
      <c r="EQ894"/>
      <c r="ER894"/>
      <c r="ES894"/>
      <c r="ET894"/>
      <c r="EU894"/>
      <c r="EV894"/>
      <c r="EW894"/>
      <c r="EX894"/>
      <c r="EY894"/>
      <c r="EZ894"/>
      <c r="FA894"/>
      <c r="FB894"/>
      <c r="FC894"/>
      <c r="FD894"/>
      <c r="FE894"/>
      <c r="FF894"/>
      <c r="FG894"/>
      <c r="FH894"/>
      <c r="FI894"/>
      <c r="FJ894"/>
      <c r="FK894"/>
      <c r="FL894"/>
      <c r="FM894"/>
      <c r="FN894"/>
      <c r="FO894"/>
      <c r="FP894"/>
      <c r="FQ894"/>
      <c r="FR894"/>
      <c r="FS894"/>
      <c r="FT894"/>
      <c r="FU894"/>
      <c r="FV894"/>
      <c r="FW894"/>
      <c r="FX894"/>
      <c r="FY894"/>
      <c r="FZ894"/>
      <c r="GA894"/>
      <c r="GB894"/>
      <c r="GC894"/>
      <c r="GD894"/>
      <c r="GE894"/>
      <c r="GF894"/>
      <c r="GG894"/>
      <c r="GH894"/>
      <c r="GI894"/>
      <c r="GJ894"/>
      <c r="GK894"/>
      <c r="GL894"/>
      <c r="GM894"/>
      <c r="GN894"/>
      <c r="GO894"/>
      <c r="GP894"/>
      <c r="GQ894"/>
      <c r="GR894"/>
      <c r="GS894"/>
      <c r="GT894"/>
      <c r="GU894"/>
      <c r="GV894"/>
      <c r="GW894"/>
      <c r="GX894"/>
      <c r="GY894"/>
      <c r="GZ894"/>
      <c r="HA894"/>
      <c r="HB894"/>
      <c r="HC894"/>
      <c r="HD894"/>
      <c r="HE894"/>
      <c r="HF894"/>
      <c r="HG894"/>
      <c r="HH894"/>
      <c r="HI894"/>
      <c r="HJ894"/>
      <c r="HK894"/>
      <c r="HL894"/>
      <c r="HM894"/>
      <c r="HN894"/>
      <c r="HO894"/>
      <c r="HP894"/>
      <c r="HQ894"/>
      <c r="HR894"/>
      <c r="HS894"/>
      <c r="HT894"/>
      <c r="HU894"/>
      <c r="HV894"/>
      <c r="HW894"/>
      <c r="HX894"/>
      <c r="HY894"/>
      <c r="HZ894"/>
      <c r="IA894"/>
      <c r="IB894"/>
      <c r="IC894"/>
      <c r="ID894"/>
      <c r="IE894"/>
      <c r="IF894"/>
      <c r="IG894"/>
      <c r="IH894"/>
      <c r="II894"/>
      <c r="IJ894"/>
      <c r="IK894"/>
      <c r="IL894"/>
      <c r="IM894"/>
      <c r="IN894"/>
      <c r="IO894"/>
      <c r="IP894"/>
      <c r="IQ894"/>
      <c r="IR894"/>
      <c r="IS894"/>
    </row>
    <row r="895" spans="1:253" ht="12.75" customHeight="1" x14ac:dyDescent="0.2">
      <c r="A895" s="1454"/>
      <c r="B895" s="1487" t="s">
        <v>1977</v>
      </c>
      <c r="C895" s="1462">
        <f>SUM(C896:C897)</f>
        <v>1350000</v>
      </c>
      <c r="D895" s="1463"/>
      <c r="E895" s="1464"/>
      <c r="F895" s="1464"/>
      <c r="G895" s="1462"/>
      <c r="H895" s="1409"/>
      <c r="I895" s="1410"/>
      <c r="J895"/>
      <c r="K895"/>
      <c r="L895"/>
      <c r="M895"/>
      <c r="N895"/>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c r="EX895"/>
      <c r="EY895"/>
      <c r="EZ895"/>
      <c r="FA895"/>
      <c r="FB895"/>
      <c r="FC895"/>
      <c r="FD895"/>
      <c r="FE895"/>
      <c r="FF895"/>
      <c r="FG895"/>
      <c r="FH895"/>
      <c r="FI895"/>
      <c r="FJ895"/>
      <c r="FK895"/>
      <c r="FL895"/>
      <c r="FM895"/>
      <c r="FN895"/>
      <c r="FO895"/>
      <c r="FP895"/>
      <c r="FQ895"/>
      <c r="FR895"/>
      <c r="FS895"/>
      <c r="FT895"/>
      <c r="FU895"/>
      <c r="FV895"/>
      <c r="FW895"/>
      <c r="FX895"/>
      <c r="FY895"/>
      <c r="FZ895"/>
      <c r="GA895"/>
      <c r="GB895"/>
      <c r="GC895"/>
      <c r="GD895"/>
      <c r="GE895"/>
      <c r="GF895"/>
      <c r="GG895"/>
      <c r="GH895"/>
      <c r="GI895"/>
      <c r="GJ895"/>
      <c r="GK895"/>
      <c r="GL895"/>
      <c r="GM895"/>
      <c r="GN895"/>
      <c r="GO895"/>
      <c r="GP895"/>
      <c r="GQ895"/>
      <c r="GR895"/>
      <c r="GS895"/>
      <c r="GT895"/>
      <c r="GU895"/>
      <c r="GV895"/>
      <c r="GW895"/>
      <c r="GX895"/>
      <c r="GY895"/>
      <c r="GZ895"/>
      <c r="HA895"/>
      <c r="HB895"/>
      <c r="HC895"/>
      <c r="HD895"/>
      <c r="HE895"/>
      <c r="HF895"/>
      <c r="HG895"/>
      <c r="HH895"/>
      <c r="HI895"/>
      <c r="HJ895"/>
      <c r="HK895"/>
      <c r="HL895"/>
      <c r="HM895"/>
      <c r="HN895"/>
      <c r="HO895"/>
      <c r="HP895"/>
      <c r="HQ895"/>
      <c r="HR895"/>
      <c r="HS895"/>
      <c r="HT895"/>
      <c r="HU895"/>
      <c r="HV895"/>
      <c r="HW895"/>
      <c r="HX895"/>
      <c r="HY895"/>
      <c r="HZ895"/>
      <c r="IA895"/>
      <c r="IB895"/>
      <c r="IC895"/>
      <c r="ID895"/>
      <c r="IE895"/>
      <c r="IF895"/>
      <c r="IG895"/>
      <c r="IH895"/>
      <c r="II895"/>
      <c r="IJ895"/>
      <c r="IK895"/>
      <c r="IL895"/>
      <c r="IM895"/>
      <c r="IN895"/>
      <c r="IO895"/>
      <c r="IP895"/>
      <c r="IQ895"/>
      <c r="IR895"/>
      <c r="IS895"/>
    </row>
    <row r="896" spans="1:253" ht="12.75" customHeight="1" x14ac:dyDescent="0.2">
      <c r="A896" s="1454"/>
      <c r="B896" s="1488" t="s">
        <v>927</v>
      </c>
      <c r="C896" s="772">
        <v>0</v>
      </c>
      <c r="D896" s="1030"/>
      <c r="E896" s="750"/>
      <c r="F896" s="750"/>
      <c r="G896" s="772"/>
      <c r="H896" s="1409"/>
      <c r="I896" s="1410"/>
      <c r="J896"/>
      <c r="K896"/>
      <c r="L896"/>
      <c r="M896"/>
      <c r="N896"/>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c r="EX896"/>
      <c r="EY896"/>
      <c r="EZ896"/>
      <c r="FA896"/>
      <c r="FB896"/>
      <c r="FC896"/>
      <c r="FD896"/>
      <c r="FE896"/>
      <c r="FF896"/>
      <c r="FG896"/>
      <c r="FH896"/>
      <c r="FI896"/>
      <c r="FJ896"/>
      <c r="FK896"/>
      <c r="FL896"/>
      <c r="FM896"/>
      <c r="FN896"/>
      <c r="FO896"/>
      <c r="FP896"/>
      <c r="FQ896"/>
      <c r="FR896"/>
      <c r="FS896"/>
      <c r="FT896"/>
      <c r="FU896"/>
      <c r="FV896"/>
      <c r="FW896"/>
      <c r="FX896"/>
      <c r="FY896"/>
      <c r="FZ896"/>
      <c r="GA896"/>
      <c r="GB896"/>
      <c r="GC896"/>
      <c r="GD896"/>
      <c r="GE896"/>
      <c r="GF896"/>
      <c r="GG896"/>
      <c r="GH896"/>
      <c r="GI896"/>
      <c r="GJ896"/>
      <c r="GK896"/>
      <c r="GL896"/>
      <c r="GM896"/>
      <c r="GN896"/>
      <c r="GO896"/>
      <c r="GP896"/>
      <c r="GQ896"/>
      <c r="GR896"/>
      <c r="GS896"/>
      <c r="GT896"/>
      <c r="GU896"/>
      <c r="GV896"/>
      <c r="GW896"/>
      <c r="GX896"/>
      <c r="GY896"/>
      <c r="GZ896"/>
      <c r="HA896"/>
      <c r="HB896"/>
      <c r="HC896"/>
      <c r="HD896"/>
      <c r="HE896"/>
      <c r="HF896"/>
      <c r="HG896"/>
      <c r="HH896"/>
      <c r="HI896"/>
      <c r="HJ896"/>
      <c r="HK896"/>
      <c r="HL896"/>
      <c r="HM896"/>
      <c r="HN896"/>
      <c r="HO896"/>
      <c r="HP896"/>
      <c r="HQ896"/>
      <c r="HR896"/>
      <c r="HS896"/>
      <c r="HT896"/>
      <c r="HU896"/>
      <c r="HV896"/>
      <c r="HW896"/>
      <c r="HX896"/>
      <c r="HY896"/>
      <c r="HZ896"/>
      <c r="IA896"/>
      <c r="IB896"/>
      <c r="IC896"/>
      <c r="ID896"/>
      <c r="IE896"/>
      <c r="IF896"/>
      <c r="IG896"/>
      <c r="IH896"/>
      <c r="II896"/>
      <c r="IJ896"/>
      <c r="IK896"/>
      <c r="IL896"/>
      <c r="IM896"/>
      <c r="IN896"/>
      <c r="IO896"/>
      <c r="IP896"/>
      <c r="IQ896"/>
      <c r="IR896"/>
      <c r="IS896"/>
    </row>
    <row r="897" spans="1:253" ht="12.75" customHeight="1" x14ac:dyDescent="0.2">
      <c r="A897" s="1454"/>
      <c r="B897" s="1488" t="s">
        <v>1978</v>
      </c>
      <c r="C897" s="772">
        <f>SUM(C898:C903)</f>
        <v>1350000</v>
      </c>
      <c r="D897" s="1030"/>
      <c r="E897" s="750"/>
      <c r="F897" s="750"/>
      <c r="G897" s="772"/>
      <c r="H897" s="1409"/>
      <c r="I897" s="1410"/>
      <c r="J897"/>
      <c r="K897"/>
      <c r="L897"/>
      <c r="M897"/>
      <c r="N897"/>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c r="EX897"/>
      <c r="EY897"/>
      <c r="EZ897"/>
      <c r="FA897"/>
      <c r="FB897"/>
      <c r="FC897"/>
      <c r="FD897"/>
      <c r="FE897"/>
      <c r="FF897"/>
      <c r="FG897"/>
      <c r="FH897"/>
      <c r="FI897"/>
      <c r="FJ897"/>
      <c r="FK897"/>
      <c r="FL897"/>
      <c r="FM897"/>
      <c r="FN897"/>
      <c r="FO897"/>
      <c r="FP897"/>
      <c r="FQ897"/>
      <c r="FR897"/>
      <c r="FS897"/>
      <c r="FT897"/>
      <c r="FU897"/>
      <c r="FV897"/>
      <c r="FW897"/>
      <c r="FX897"/>
      <c r="FY897"/>
      <c r="FZ897"/>
      <c r="GA897"/>
      <c r="GB897"/>
      <c r="GC897"/>
      <c r="GD897"/>
      <c r="GE897"/>
      <c r="GF897"/>
      <c r="GG897"/>
      <c r="GH897"/>
      <c r="GI897"/>
      <c r="GJ897"/>
      <c r="GK897"/>
      <c r="GL897"/>
      <c r="GM897"/>
      <c r="GN897"/>
      <c r="GO897"/>
      <c r="GP897"/>
      <c r="GQ897"/>
      <c r="GR897"/>
      <c r="GS897"/>
      <c r="GT897"/>
      <c r="GU897"/>
      <c r="GV897"/>
      <c r="GW897"/>
      <c r="GX897"/>
      <c r="GY897"/>
      <c r="GZ897"/>
      <c r="HA897"/>
      <c r="HB897"/>
      <c r="HC897"/>
      <c r="HD897"/>
      <c r="HE897"/>
      <c r="HF897"/>
      <c r="HG897"/>
      <c r="HH897"/>
      <c r="HI897"/>
      <c r="HJ897"/>
      <c r="HK897"/>
      <c r="HL897"/>
      <c r="HM897"/>
      <c r="HN897"/>
      <c r="HO897"/>
      <c r="HP897"/>
      <c r="HQ897"/>
      <c r="HR897"/>
      <c r="HS897"/>
      <c r="HT897"/>
      <c r="HU897"/>
      <c r="HV897"/>
      <c r="HW897"/>
      <c r="HX897"/>
      <c r="HY897"/>
      <c r="HZ897"/>
      <c r="IA897"/>
      <c r="IB897"/>
      <c r="IC897"/>
      <c r="ID897"/>
      <c r="IE897"/>
      <c r="IF897"/>
      <c r="IG897"/>
      <c r="IH897"/>
      <c r="II897"/>
      <c r="IJ897"/>
      <c r="IK897"/>
      <c r="IL897"/>
      <c r="IM897"/>
      <c r="IN897"/>
      <c r="IO897"/>
      <c r="IP897"/>
      <c r="IQ897"/>
      <c r="IR897"/>
      <c r="IS897"/>
    </row>
    <row r="898" spans="1:253" ht="12.75" customHeight="1" x14ac:dyDescent="0.2">
      <c r="A898" s="716"/>
      <c r="B898" s="796" t="s">
        <v>932</v>
      </c>
      <c r="C898" s="772">
        <v>100000</v>
      </c>
      <c r="D898" s="1030"/>
      <c r="E898" s="750"/>
      <c r="F898" s="750"/>
      <c r="G898" s="772"/>
      <c r="H898" s="1409"/>
      <c r="I898" s="1410"/>
      <c r="J898"/>
      <c r="K898"/>
      <c r="L898"/>
      <c r="M898"/>
      <c r="N898"/>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c r="EX898"/>
      <c r="EY898"/>
      <c r="EZ898"/>
      <c r="FA898"/>
      <c r="FB898"/>
      <c r="FC898"/>
      <c r="FD898"/>
      <c r="FE898"/>
      <c r="FF898"/>
      <c r="FG898"/>
      <c r="FH898"/>
      <c r="FI898"/>
      <c r="FJ898"/>
      <c r="FK898"/>
      <c r="FL898"/>
      <c r="FM898"/>
      <c r="FN898"/>
      <c r="FO898"/>
      <c r="FP898"/>
      <c r="FQ898"/>
      <c r="FR898"/>
      <c r="FS898"/>
      <c r="FT898"/>
      <c r="FU898"/>
      <c r="FV898"/>
      <c r="FW898"/>
      <c r="FX898"/>
      <c r="FY898"/>
      <c r="FZ898"/>
      <c r="GA898"/>
      <c r="GB898"/>
      <c r="GC898"/>
      <c r="GD898"/>
      <c r="GE898"/>
      <c r="GF898"/>
      <c r="GG898"/>
      <c r="GH898"/>
      <c r="GI898"/>
      <c r="GJ898"/>
      <c r="GK898"/>
      <c r="GL898"/>
      <c r="GM898"/>
      <c r="GN898"/>
      <c r="GO898"/>
      <c r="GP898"/>
      <c r="GQ898"/>
      <c r="GR898"/>
      <c r="GS898"/>
      <c r="GT898"/>
      <c r="GU898"/>
      <c r="GV898"/>
      <c r="GW898"/>
      <c r="GX898"/>
      <c r="GY898"/>
      <c r="GZ898"/>
      <c r="HA898"/>
      <c r="HB898"/>
      <c r="HC898"/>
      <c r="HD898"/>
      <c r="HE898"/>
      <c r="HF898"/>
      <c r="HG898"/>
      <c r="HH898"/>
      <c r="HI898"/>
      <c r="HJ898"/>
      <c r="HK898"/>
      <c r="HL898"/>
      <c r="HM898"/>
      <c r="HN898"/>
      <c r="HO898"/>
      <c r="HP898"/>
      <c r="HQ898"/>
      <c r="HR898"/>
      <c r="HS898"/>
      <c r="HT898"/>
      <c r="HU898"/>
      <c r="HV898"/>
      <c r="HW898"/>
      <c r="HX898"/>
      <c r="HY898"/>
      <c r="HZ898"/>
      <c r="IA898"/>
      <c r="IB898"/>
      <c r="IC898"/>
      <c r="ID898"/>
      <c r="IE898"/>
      <c r="IF898"/>
      <c r="IG898"/>
      <c r="IH898"/>
      <c r="II898"/>
      <c r="IJ898"/>
      <c r="IK898"/>
      <c r="IL898"/>
      <c r="IM898"/>
      <c r="IN898"/>
      <c r="IO898"/>
      <c r="IP898"/>
      <c r="IQ898"/>
      <c r="IR898"/>
      <c r="IS898"/>
    </row>
    <row r="899" spans="1:253" ht="12.75" customHeight="1" x14ac:dyDescent="0.2">
      <c r="A899" s="716"/>
      <c r="B899" s="796" t="s">
        <v>1979</v>
      </c>
      <c r="C899" s="772">
        <v>0</v>
      </c>
      <c r="D899" s="1030"/>
      <c r="E899" s="750"/>
      <c r="F899" s="750"/>
      <c r="G899" s="772"/>
      <c r="H899" s="1409"/>
      <c r="I899" s="1410"/>
      <c r="J899"/>
      <c r="K899"/>
      <c r="L899"/>
      <c r="M899"/>
      <c r="N899"/>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c r="EX899"/>
      <c r="EY899"/>
      <c r="EZ899"/>
      <c r="FA899"/>
      <c r="FB899"/>
      <c r="FC899"/>
      <c r="FD899"/>
      <c r="FE899"/>
      <c r="FF899"/>
      <c r="FG899"/>
      <c r="FH899"/>
      <c r="FI899"/>
      <c r="FJ899"/>
      <c r="FK899"/>
      <c r="FL899"/>
      <c r="FM899"/>
      <c r="FN899"/>
      <c r="FO899"/>
      <c r="FP899"/>
      <c r="FQ899"/>
      <c r="FR899"/>
      <c r="FS899"/>
      <c r="FT899"/>
      <c r="FU899"/>
      <c r="FV899"/>
      <c r="FW899"/>
      <c r="FX899"/>
      <c r="FY899"/>
      <c r="FZ899"/>
      <c r="GA899"/>
      <c r="GB899"/>
      <c r="GC899"/>
      <c r="GD899"/>
      <c r="GE899"/>
      <c r="GF899"/>
      <c r="GG899"/>
      <c r="GH899"/>
      <c r="GI899"/>
      <c r="GJ899"/>
      <c r="GK899"/>
      <c r="GL899"/>
      <c r="GM899"/>
      <c r="GN899"/>
      <c r="GO899"/>
      <c r="GP899"/>
      <c r="GQ899"/>
      <c r="GR899"/>
      <c r="GS899"/>
      <c r="GT899"/>
      <c r="GU899"/>
      <c r="GV899"/>
      <c r="GW899"/>
      <c r="GX899"/>
      <c r="GY899"/>
      <c r="GZ899"/>
      <c r="HA899"/>
      <c r="HB899"/>
      <c r="HC899"/>
      <c r="HD899"/>
      <c r="HE899"/>
      <c r="HF899"/>
      <c r="HG899"/>
      <c r="HH899"/>
      <c r="HI899"/>
      <c r="HJ899"/>
      <c r="HK899"/>
      <c r="HL899"/>
      <c r="HM899"/>
      <c r="HN899"/>
      <c r="HO899"/>
      <c r="HP899"/>
      <c r="HQ899"/>
      <c r="HR899"/>
      <c r="HS899"/>
      <c r="HT899"/>
      <c r="HU899"/>
      <c r="HV899"/>
      <c r="HW899"/>
      <c r="HX899"/>
      <c r="HY899"/>
      <c r="HZ899"/>
      <c r="IA899"/>
      <c r="IB899"/>
      <c r="IC899"/>
      <c r="ID899"/>
      <c r="IE899"/>
      <c r="IF899"/>
      <c r="IG899"/>
      <c r="IH899"/>
      <c r="II899"/>
      <c r="IJ899"/>
      <c r="IK899"/>
      <c r="IL899"/>
      <c r="IM899"/>
      <c r="IN899"/>
      <c r="IO899"/>
      <c r="IP899"/>
      <c r="IQ899"/>
      <c r="IR899"/>
      <c r="IS899"/>
    </row>
    <row r="900" spans="1:253" ht="12.75" customHeight="1" x14ac:dyDescent="0.2">
      <c r="A900" s="1454"/>
      <c r="B900" s="1478" t="s">
        <v>1980</v>
      </c>
      <c r="C900" s="772">
        <v>650000</v>
      </c>
      <c r="D900" s="1030"/>
      <c r="E900" s="750"/>
      <c r="F900" s="750"/>
      <c r="G900" s="772"/>
      <c r="H900" s="1409"/>
      <c r="I900" s="1410"/>
      <c r="J900"/>
      <c r="K900"/>
      <c r="L900"/>
      <c r="M900"/>
      <c r="N900"/>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c r="EX900"/>
      <c r="EY900"/>
      <c r="EZ900"/>
      <c r="FA900"/>
      <c r="FB900"/>
      <c r="FC900"/>
      <c r="FD900"/>
      <c r="FE900"/>
      <c r="FF900"/>
      <c r="FG900"/>
      <c r="FH900"/>
      <c r="FI900"/>
      <c r="FJ900"/>
      <c r="FK900"/>
      <c r="FL900"/>
      <c r="FM900"/>
      <c r="FN900"/>
      <c r="FO900"/>
      <c r="FP900"/>
      <c r="FQ900"/>
      <c r="FR900"/>
      <c r="FS900"/>
      <c r="FT900"/>
      <c r="FU900"/>
      <c r="FV900"/>
      <c r="FW900"/>
      <c r="FX900"/>
      <c r="FY900"/>
      <c r="FZ900"/>
      <c r="GA900"/>
      <c r="GB900"/>
      <c r="GC900"/>
      <c r="GD900"/>
      <c r="GE900"/>
      <c r="GF900"/>
      <c r="GG900"/>
      <c r="GH900"/>
      <c r="GI900"/>
      <c r="GJ900"/>
      <c r="GK900"/>
      <c r="GL900"/>
      <c r="GM900"/>
      <c r="GN900"/>
      <c r="GO900"/>
      <c r="GP900"/>
      <c r="GQ900"/>
      <c r="GR900"/>
      <c r="GS900"/>
      <c r="GT900"/>
      <c r="GU900"/>
      <c r="GV900"/>
      <c r="GW900"/>
      <c r="GX900"/>
      <c r="GY900"/>
      <c r="GZ900"/>
      <c r="HA900"/>
      <c r="HB900"/>
      <c r="HC900"/>
      <c r="HD900"/>
      <c r="HE900"/>
      <c r="HF900"/>
      <c r="HG900"/>
      <c r="HH900"/>
      <c r="HI900"/>
      <c r="HJ900"/>
      <c r="HK900"/>
      <c r="HL900"/>
      <c r="HM900"/>
      <c r="HN900"/>
      <c r="HO900"/>
      <c r="HP900"/>
      <c r="HQ900"/>
      <c r="HR900"/>
      <c r="HS900"/>
      <c r="HT900"/>
      <c r="HU900"/>
      <c r="HV900"/>
      <c r="HW900"/>
      <c r="HX900"/>
      <c r="HY900"/>
      <c r="HZ900"/>
      <c r="IA900"/>
      <c r="IB900"/>
      <c r="IC900"/>
      <c r="ID900"/>
      <c r="IE900"/>
      <c r="IF900"/>
      <c r="IG900"/>
      <c r="IH900"/>
      <c r="II900"/>
      <c r="IJ900"/>
      <c r="IK900"/>
      <c r="IL900"/>
      <c r="IM900"/>
      <c r="IN900"/>
      <c r="IO900"/>
      <c r="IP900"/>
      <c r="IQ900"/>
      <c r="IR900"/>
      <c r="IS900"/>
    </row>
    <row r="901" spans="1:253" ht="15.75" customHeight="1" x14ac:dyDescent="0.2">
      <c r="A901" s="1454"/>
      <c r="B901" s="1478" t="s">
        <v>1981</v>
      </c>
      <c r="C901" s="772">
        <v>500000</v>
      </c>
      <c r="D901" s="1030"/>
      <c r="E901" s="750"/>
      <c r="F901" s="750"/>
      <c r="G901" s="772"/>
      <c r="H901" s="1409"/>
      <c r="I901" s="1410"/>
      <c r="J901"/>
      <c r="K901"/>
      <c r="L901"/>
      <c r="M901"/>
      <c r="N901"/>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c r="EX901"/>
      <c r="EY901"/>
      <c r="EZ901"/>
      <c r="FA901"/>
      <c r="FB901"/>
      <c r="FC901"/>
      <c r="FD901"/>
      <c r="FE901"/>
      <c r="FF901"/>
      <c r="FG901"/>
      <c r="FH901"/>
      <c r="FI901"/>
      <c r="FJ901"/>
      <c r="FK901"/>
      <c r="FL901"/>
      <c r="FM901"/>
      <c r="FN901"/>
      <c r="FO901"/>
      <c r="FP901"/>
      <c r="FQ901"/>
      <c r="FR901"/>
      <c r="FS901"/>
      <c r="FT901"/>
      <c r="FU901"/>
      <c r="FV901"/>
      <c r="FW901"/>
      <c r="FX901"/>
      <c r="FY901"/>
      <c r="FZ901"/>
      <c r="GA901"/>
      <c r="GB901"/>
      <c r="GC901"/>
      <c r="GD901"/>
      <c r="GE901"/>
      <c r="GF901"/>
      <c r="GG901"/>
      <c r="GH901"/>
      <c r="GI901"/>
      <c r="GJ901"/>
      <c r="GK901"/>
      <c r="GL901"/>
      <c r="GM901"/>
      <c r="GN901"/>
      <c r="GO901"/>
      <c r="GP901"/>
      <c r="GQ901"/>
      <c r="GR901"/>
      <c r="GS901"/>
      <c r="GT901"/>
      <c r="GU901"/>
      <c r="GV901"/>
      <c r="GW901"/>
      <c r="GX901"/>
      <c r="GY901"/>
      <c r="GZ901"/>
      <c r="HA901"/>
      <c r="HB901"/>
      <c r="HC901"/>
      <c r="HD901"/>
      <c r="HE901"/>
      <c r="HF901"/>
      <c r="HG901"/>
      <c r="HH901"/>
      <c r="HI901"/>
      <c r="HJ901"/>
      <c r="HK901"/>
      <c r="HL901"/>
      <c r="HM901"/>
      <c r="HN901"/>
      <c r="HO901"/>
      <c r="HP901"/>
      <c r="HQ901"/>
      <c r="HR901"/>
      <c r="HS901"/>
      <c r="HT901"/>
      <c r="HU901"/>
      <c r="HV901"/>
      <c r="HW901"/>
      <c r="HX901"/>
      <c r="HY901"/>
      <c r="HZ901"/>
      <c r="IA901"/>
      <c r="IB901"/>
      <c r="IC901"/>
      <c r="ID901"/>
      <c r="IE901"/>
      <c r="IF901"/>
      <c r="IG901"/>
      <c r="IH901"/>
      <c r="II901"/>
      <c r="IJ901"/>
      <c r="IK901"/>
      <c r="IL901"/>
      <c r="IM901"/>
      <c r="IN901"/>
      <c r="IO901"/>
      <c r="IP901"/>
      <c r="IQ901"/>
      <c r="IR901"/>
      <c r="IS901"/>
    </row>
    <row r="902" spans="1:253" ht="12.75" customHeight="1" x14ac:dyDescent="0.2">
      <c r="A902" s="1454"/>
      <c r="B902" s="1478" t="s">
        <v>1982</v>
      </c>
      <c r="C902" s="772">
        <v>100000</v>
      </c>
      <c r="D902" s="1030"/>
      <c r="E902" s="750"/>
      <c r="F902" s="750"/>
      <c r="G902" s="772"/>
      <c r="H902" s="1409"/>
      <c r="I902" s="1410"/>
      <c r="J902"/>
      <c r="K902"/>
      <c r="L902"/>
      <c r="M902"/>
      <c r="N902"/>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c r="EX902"/>
      <c r="EY902"/>
      <c r="EZ902"/>
      <c r="FA902"/>
      <c r="FB902"/>
      <c r="FC902"/>
      <c r="FD902"/>
      <c r="FE902"/>
      <c r="FF902"/>
      <c r="FG902"/>
      <c r="FH902"/>
      <c r="FI902"/>
      <c r="FJ902"/>
      <c r="FK902"/>
      <c r="FL902"/>
      <c r="FM902"/>
      <c r="FN902"/>
      <c r="FO902"/>
      <c r="FP902"/>
      <c r="FQ902"/>
      <c r="FR902"/>
      <c r="FS902"/>
      <c r="FT902"/>
      <c r="FU902"/>
      <c r="FV902"/>
      <c r="FW902"/>
      <c r="FX902"/>
      <c r="FY902"/>
      <c r="FZ902"/>
      <c r="GA902"/>
      <c r="GB902"/>
      <c r="GC902"/>
      <c r="GD902"/>
      <c r="GE902"/>
      <c r="GF902"/>
      <c r="GG902"/>
      <c r="GH902"/>
      <c r="GI902"/>
      <c r="GJ902"/>
      <c r="GK902"/>
      <c r="GL902"/>
      <c r="GM902"/>
      <c r="GN902"/>
      <c r="GO902"/>
      <c r="GP902"/>
      <c r="GQ902"/>
      <c r="GR902"/>
      <c r="GS902"/>
      <c r="GT902"/>
      <c r="GU902"/>
      <c r="GV902"/>
      <c r="GW902"/>
      <c r="GX902"/>
      <c r="GY902"/>
      <c r="GZ902"/>
      <c r="HA902"/>
      <c r="HB902"/>
      <c r="HC902"/>
      <c r="HD902"/>
      <c r="HE902"/>
      <c r="HF902"/>
      <c r="HG902"/>
      <c r="HH902"/>
      <c r="HI902"/>
      <c r="HJ902"/>
      <c r="HK902"/>
      <c r="HL902"/>
      <c r="HM902"/>
      <c r="HN902"/>
      <c r="HO902"/>
      <c r="HP902"/>
      <c r="HQ902"/>
      <c r="HR902"/>
      <c r="HS902"/>
      <c r="HT902"/>
      <c r="HU902"/>
      <c r="HV902"/>
      <c r="HW902"/>
      <c r="HX902"/>
      <c r="HY902"/>
      <c r="HZ902"/>
      <c r="IA902"/>
      <c r="IB902"/>
      <c r="IC902"/>
      <c r="ID902"/>
      <c r="IE902"/>
      <c r="IF902"/>
      <c r="IG902"/>
      <c r="IH902"/>
      <c r="II902"/>
      <c r="IJ902"/>
      <c r="IK902"/>
      <c r="IL902"/>
      <c r="IM902"/>
      <c r="IN902"/>
      <c r="IO902"/>
      <c r="IP902"/>
      <c r="IQ902"/>
      <c r="IR902"/>
      <c r="IS902"/>
    </row>
    <row r="903" spans="1:253" ht="12.75" customHeight="1" x14ac:dyDescent="0.2">
      <c r="A903" s="1454"/>
      <c r="B903" s="789" t="s">
        <v>1983</v>
      </c>
      <c r="C903" s="772">
        <v>0</v>
      </c>
      <c r="D903" s="1030"/>
      <c r="E903" s="750"/>
      <c r="F903" s="750"/>
      <c r="G903" s="772"/>
      <c r="H903" s="1409"/>
      <c r="I903" s="1410"/>
      <c r="J903"/>
      <c r="K903"/>
      <c r="L903"/>
      <c r="M903"/>
      <c r="N90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c r="EX903"/>
      <c r="EY903"/>
      <c r="EZ903"/>
      <c r="FA903"/>
      <c r="FB903"/>
      <c r="FC903"/>
      <c r="FD903"/>
      <c r="FE903"/>
      <c r="FF903"/>
      <c r="FG903"/>
      <c r="FH903"/>
      <c r="FI903"/>
      <c r="FJ903"/>
      <c r="FK903"/>
      <c r="FL903"/>
      <c r="FM903"/>
      <c r="FN903"/>
      <c r="FO903"/>
      <c r="FP903"/>
      <c r="FQ903"/>
      <c r="FR903"/>
      <c r="FS903"/>
      <c r="FT903"/>
      <c r="FU903"/>
      <c r="FV903"/>
      <c r="FW903"/>
      <c r="FX903"/>
      <c r="FY903"/>
      <c r="FZ903"/>
      <c r="GA903"/>
      <c r="GB903"/>
      <c r="GC903"/>
      <c r="GD903"/>
      <c r="GE903"/>
      <c r="GF903"/>
      <c r="GG903"/>
      <c r="GH903"/>
      <c r="GI903"/>
      <c r="GJ903"/>
      <c r="GK903"/>
      <c r="GL903"/>
      <c r="GM903"/>
      <c r="GN903"/>
      <c r="GO903"/>
      <c r="GP903"/>
      <c r="GQ903"/>
      <c r="GR903"/>
      <c r="GS903"/>
      <c r="GT903"/>
      <c r="GU903"/>
      <c r="GV903"/>
      <c r="GW903"/>
      <c r="GX903"/>
      <c r="GY903"/>
      <c r="GZ903"/>
      <c r="HA903"/>
      <c r="HB903"/>
      <c r="HC903"/>
      <c r="HD903"/>
      <c r="HE903"/>
      <c r="HF903"/>
      <c r="HG903"/>
      <c r="HH903"/>
      <c r="HI903"/>
      <c r="HJ903"/>
      <c r="HK903"/>
      <c r="HL903"/>
      <c r="HM903"/>
      <c r="HN903"/>
      <c r="HO903"/>
      <c r="HP903"/>
      <c r="HQ903"/>
      <c r="HR903"/>
      <c r="HS903"/>
      <c r="HT903"/>
      <c r="HU903"/>
      <c r="HV903"/>
      <c r="HW903"/>
      <c r="HX903"/>
      <c r="HY903"/>
      <c r="HZ903"/>
      <c r="IA903"/>
      <c r="IB903"/>
      <c r="IC903"/>
      <c r="ID903"/>
      <c r="IE903"/>
      <c r="IF903"/>
      <c r="IG903"/>
      <c r="IH903"/>
      <c r="II903"/>
      <c r="IJ903"/>
      <c r="IK903"/>
      <c r="IL903"/>
      <c r="IM903"/>
      <c r="IN903"/>
      <c r="IO903"/>
      <c r="IP903"/>
      <c r="IQ903"/>
      <c r="IR903"/>
      <c r="IS903"/>
    </row>
    <row r="904" spans="1:253" ht="12.75" customHeight="1" x14ac:dyDescent="0.2">
      <c r="A904" s="1454"/>
      <c r="B904" s="1489" t="s">
        <v>1984</v>
      </c>
      <c r="C904" s="1425">
        <f>SUM(C906:C910)</f>
        <v>1750000</v>
      </c>
      <c r="D904" s="1414"/>
      <c r="E904" s="1413"/>
      <c r="F904" s="1413"/>
      <c r="G904" s="1425"/>
      <c r="H904" s="1409"/>
      <c r="I904" s="1410"/>
      <c r="J904"/>
      <c r="K904"/>
      <c r="L904"/>
      <c r="M904"/>
      <c r="N904"/>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c r="EX904"/>
      <c r="EY904"/>
      <c r="EZ904"/>
      <c r="FA904"/>
      <c r="FB904"/>
      <c r="FC904"/>
      <c r="FD904"/>
      <c r="FE904"/>
      <c r="FF904"/>
      <c r="FG904"/>
      <c r="FH904"/>
      <c r="FI904"/>
      <c r="FJ904"/>
      <c r="FK904"/>
      <c r="FL904"/>
      <c r="FM904"/>
      <c r="FN904"/>
      <c r="FO904"/>
      <c r="FP904"/>
      <c r="FQ904"/>
      <c r="FR904"/>
      <c r="FS904"/>
      <c r="FT904"/>
      <c r="FU904"/>
      <c r="FV904"/>
      <c r="FW904"/>
      <c r="FX904"/>
      <c r="FY904"/>
      <c r="FZ904"/>
      <c r="GA904"/>
      <c r="GB904"/>
      <c r="GC904"/>
      <c r="GD904"/>
      <c r="GE904"/>
      <c r="GF904"/>
      <c r="GG904"/>
      <c r="GH904"/>
      <c r="GI904"/>
      <c r="GJ904"/>
      <c r="GK904"/>
      <c r="GL904"/>
      <c r="GM904"/>
      <c r="GN904"/>
      <c r="GO904"/>
      <c r="GP904"/>
      <c r="GQ904"/>
      <c r="GR904"/>
      <c r="GS904"/>
      <c r="GT904"/>
      <c r="GU904"/>
      <c r="GV904"/>
      <c r="GW904"/>
      <c r="GX904"/>
      <c r="GY904"/>
      <c r="GZ904"/>
      <c r="HA904"/>
      <c r="HB904"/>
      <c r="HC904"/>
      <c r="HD904"/>
      <c r="HE904"/>
      <c r="HF904"/>
      <c r="HG904"/>
      <c r="HH904"/>
      <c r="HI904"/>
      <c r="HJ904"/>
      <c r="HK904"/>
      <c r="HL904"/>
      <c r="HM904"/>
      <c r="HN904"/>
      <c r="HO904"/>
      <c r="HP904"/>
      <c r="HQ904"/>
      <c r="HR904"/>
      <c r="HS904"/>
      <c r="HT904"/>
      <c r="HU904"/>
      <c r="HV904"/>
      <c r="HW904"/>
      <c r="HX904"/>
      <c r="HY904"/>
      <c r="HZ904"/>
      <c r="IA904"/>
      <c r="IB904"/>
      <c r="IC904"/>
      <c r="ID904"/>
      <c r="IE904"/>
      <c r="IF904"/>
      <c r="IG904"/>
      <c r="IH904"/>
      <c r="II904"/>
      <c r="IJ904"/>
      <c r="IK904"/>
      <c r="IL904"/>
      <c r="IM904"/>
      <c r="IN904"/>
      <c r="IO904"/>
      <c r="IP904"/>
      <c r="IQ904"/>
      <c r="IR904"/>
      <c r="IS904"/>
    </row>
    <row r="905" spans="1:253" ht="12.75" customHeight="1" x14ac:dyDescent="0.2">
      <c r="A905" s="1454"/>
      <c r="B905" s="1478" t="s">
        <v>1985</v>
      </c>
      <c r="C905" s="767">
        <v>100000</v>
      </c>
      <c r="D905" s="1338"/>
      <c r="E905" s="738"/>
      <c r="F905" s="738"/>
      <c r="G905" s="767"/>
      <c r="H905" s="1409"/>
      <c r="I905" s="1410"/>
      <c r="J905"/>
      <c r="K905"/>
      <c r="L905"/>
      <c r="M905"/>
      <c r="N905"/>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c r="EX905"/>
      <c r="EY905"/>
      <c r="EZ905"/>
      <c r="FA905"/>
      <c r="FB905"/>
      <c r="FC905"/>
      <c r="FD905"/>
      <c r="FE905"/>
      <c r="FF905"/>
      <c r="FG905"/>
      <c r="FH905"/>
      <c r="FI905"/>
      <c r="FJ905"/>
      <c r="FK905"/>
      <c r="FL905"/>
      <c r="FM905"/>
      <c r="FN905"/>
      <c r="FO905"/>
      <c r="FP905"/>
      <c r="FQ905"/>
      <c r="FR905"/>
      <c r="FS905"/>
      <c r="FT905"/>
      <c r="FU905"/>
      <c r="FV905"/>
      <c r="FW905"/>
      <c r="FX905"/>
      <c r="FY905"/>
      <c r="FZ905"/>
      <c r="GA905"/>
      <c r="GB905"/>
      <c r="GC905"/>
      <c r="GD905"/>
      <c r="GE905"/>
      <c r="GF905"/>
      <c r="GG905"/>
      <c r="GH905"/>
      <c r="GI905"/>
      <c r="GJ905"/>
      <c r="GK905"/>
      <c r="GL905"/>
      <c r="GM905"/>
      <c r="GN905"/>
      <c r="GO905"/>
      <c r="GP905"/>
      <c r="GQ905"/>
      <c r="GR905"/>
      <c r="GS905"/>
      <c r="GT905"/>
      <c r="GU905"/>
      <c r="GV905"/>
      <c r="GW905"/>
      <c r="GX905"/>
      <c r="GY905"/>
      <c r="GZ905"/>
      <c r="HA905"/>
      <c r="HB905"/>
      <c r="HC905"/>
      <c r="HD905"/>
      <c r="HE905"/>
      <c r="HF905"/>
      <c r="HG905"/>
      <c r="HH905"/>
      <c r="HI905"/>
      <c r="HJ905"/>
      <c r="HK905"/>
      <c r="HL905"/>
      <c r="HM905"/>
      <c r="HN905"/>
      <c r="HO905"/>
      <c r="HP905"/>
      <c r="HQ905"/>
      <c r="HR905"/>
      <c r="HS905"/>
      <c r="HT905"/>
      <c r="HU905"/>
      <c r="HV905"/>
      <c r="HW905"/>
      <c r="HX905"/>
      <c r="HY905"/>
      <c r="HZ905"/>
      <c r="IA905"/>
      <c r="IB905"/>
      <c r="IC905"/>
      <c r="ID905"/>
      <c r="IE905"/>
      <c r="IF905"/>
      <c r="IG905"/>
      <c r="IH905"/>
      <c r="II905"/>
      <c r="IJ905"/>
      <c r="IK905"/>
      <c r="IL905"/>
      <c r="IM905"/>
      <c r="IN905"/>
      <c r="IO905"/>
      <c r="IP905"/>
      <c r="IQ905"/>
      <c r="IR905"/>
      <c r="IS905"/>
    </row>
    <row r="906" spans="1:253" ht="12.75" customHeight="1" x14ac:dyDescent="0.2">
      <c r="A906" s="1454"/>
      <c r="B906" s="1478" t="s">
        <v>1986</v>
      </c>
      <c r="C906" s="767">
        <v>200000</v>
      </c>
      <c r="D906" s="1338"/>
      <c r="E906" s="738"/>
      <c r="F906" s="738"/>
      <c r="G906" s="767"/>
      <c r="H906" s="1409"/>
      <c r="I906" s="1410"/>
      <c r="J906"/>
      <c r="K906"/>
      <c r="L906"/>
      <c r="M906"/>
      <c r="N906"/>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c r="EX906"/>
      <c r="EY906"/>
      <c r="EZ906"/>
      <c r="FA906"/>
      <c r="FB906"/>
      <c r="FC906"/>
      <c r="FD906"/>
      <c r="FE906"/>
      <c r="FF906"/>
      <c r="FG906"/>
      <c r="FH906"/>
      <c r="FI906"/>
      <c r="FJ906"/>
      <c r="FK906"/>
      <c r="FL906"/>
      <c r="FM906"/>
      <c r="FN906"/>
      <c r="FO906"/>
      <c r="FP906"/>
      <c r="FQ906"/>
      <c r="FR906"/>
      <c r="FS906"/>
      <c r="FT906"/>
      <c r="FU906"/>
      <c r="FV906"/>
      <c r="FW906"/>
      <c r="FX906"/>
      <c r="FY906"/>
      <c r="FZ906"/>
      <c r="GA906"/>
      <c r="GB906"/>
      <c r="GC906"/>
      <c r="GD906"/>
      <c r="GE906"/>
      <c r="GF906"/>
      <c r="GG906"/>
      <c r="GH906"/>
      <c r="GI906"/>
      <c r="GJ906"/>
      <c r="GK906"/>
      <c r="GL906"/>
      <c r="GM906"/>
      <c r="GN906"/>
      <c r="GO906"/>
      <c r="GP906"/>
      <c r="GQ906"/>
      <c r="GR906"/>
      <c r="GS906"/>
      <c r="GT906"/>
      <c r="GU906"/>
      <c r="GV906"/>
      <c r="GW906"/>
      <c r="GX906"/>
      <c r="GY906"/>
      <c r="GZ906"/>
      <c r="HA906"/>
      <c r="HB906"/>
      <c r="HC906"/>
      <c r="HD906"/>
      <c r="HE906"/>
      <c r="HF906"/>
      <c r="HG906"/>
      <c r="HH906"/>
      <c r="HI906"/>
      <c r="HJ906"/>
      <c r="HK906"/>
      <c r="HL906"/>
      <c r="HM906"/>
      <c r="HN906"/>
      <c r="HO906"/>
      <c r="HP906"/>
      <c r="HQ906"/>
      <c r="HR906"/>
      <c r="HS906"/>
      <c r="HT906"/>
      <c r="HU906"/>
      <c r="HV906"/>
      <c r="HW906"/>
      <c r="HX906"/>
      <c r="HY906"/>
      <c r="HZ906"/>
      <c r="IA906"/>
      <c r="IB906"/>
      <c r="IC906"/>
      <c r="ID906"/>
      <c r="IE906"/>
      <c r="IF906"/>
      <c r="IG906"/>
      <c r="IH906"/>
      <c r="II906"/>
      <c r="IJ906"/>
      <c r="IK906"/>
      <c r="IL906"/>
      <c r="IM906"/>
      <c r="IN906"/>
      <c r="IO906"/>
      <c r="IP906"/>
      <c r="IQ906"/>
      <c r="IR906"/>
      <c r="IS906"/>
    </row>
    <row r="907" spans="1:253" ht="12.75" customHeight="1" x14ac:dyDescent="0.2">
      <c r="A907" s="1454"/>
      <c r="B907" s="1478" t="s">
        <v>1987</v>
      </c>
      <c r="C907" s="772">
        <v>450000</v>
      </c>
      <c r="D907" s="1030"/>
      <c r="E907" s="750"/>
      <c r="F907" s="750"/>
      <c r="G907" s="772"/>
      <c r="H907" s="1409"/>
      <c r="I907" s="1410"/>
      <c r="J907"/>
      <c r="K907"/>
      <c r="L907"/>
      <c r="M907"/>
      <c r="N907"/>
      <c r="O907"/>
      <c r="P907"/>
      <c r="Q907"/>
      <c r="R907"/>
      <c r="S907"/>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c r="EB907"/>
      <c r="EC907"/>
      <c r="ED907"/>
      <c r="EE907"/>
      <c r="EF907"/>
      <c r="EG907"/>
      <c r="EH907"/>
      <c r="EI907"/>
      <c r="EJ907"/>
      <c r="EK907"/>
      <c r="EL907"/>
      <c r="EM907"/>
      <c r="EN907"/>
      <c r="EO907"/>
      <c r="EP907"/>
      <c r="EQ907"/>
      <c r="ER907"/>
      <c r="ES907"/>
      <c r="ET907"/>
      <c r="EU907"/>
      <c r="EV907"/>
      <c r="EW907"/>
      <c r="EX907"/>
      <c r="EY907"/>
      <c r="EZ907"/>
      <c r="FA907"/>
      <c r="FB907"/>
      <c r="FC907"/>
      <c r="FD907"/>
      <c r="FE907"/>
      <c r="FF907"/>
      <c r="FG907"/>
      <c r="FH907"/>
      <c r="FI907"/>
      <c r="FJ907"/>
      <c r="FK907"/>
      <c r="FL907"/>
      <c r="FM907"/>
      <c r="FN907"/>
      <c r="FO907"/>
      <c r="FP907"/>
      <c r="FQ907"/>
      <c r="FR907"/>
      <c r="FS907"/>
      <c r="FT907"/>
      <c r="FU907"/>
      <c r="FV907"/>
      <c r="FW907"/>
      <c r="FX907"/>
      <c r="FY907"/>
      <c r="FZ907"/>
      <c r="GA907"/>
      <c r="GB907"/>
      <c r="GC907"/>
      <c r="GD907"/>
      <c r="GE907"/>
      <c r="GF907"/>
      <c r="GG907"/>
      <c r="GH907"/>
      <c r="GI907"/>
      <c r="GJ907"/>
      <c r="GK907"/>
      <c r="GL907"/>
      <c r="GM907"/>
      <c r="GN907"/>
      <c r="GO907"/>
      <c r="GP907"/>
      <c r="GQ907"/>
      <c r="GR907"/>
      <c r="GS907"/>
      <c r="GT907"/>
      <c r="GU907"/>
      <c r="GV907"/>
      <c r="GW907"/>
      <c r="GX907"/>
      <c r="GY907"/>
      <c r="GZ907"/>
      <c r="HA907"/>
      <c r="HB907"/>
      <c r="HC907"/>
      <c r="HD907"/>
      <c r="HE907"/>
      <c r="HF907"/>
      <c r="HG907"/>
      <c r="HH907"/>
      <c r="HI907"/>
      <c r="HJ907"/>
      <c r="HK907"/>
      <c r="HL907"/>
      <c r="HM907"/>
      <c r="HN907"/>
      <c r="HO907"/>
      <c r="HP907"/>
      <c r="HQ907"/>
      <c r="HR907"/>
      <c r="HS907"/>
      <c r="HT907"/>
      <c r="HU907"/>
      <c r="HV907"/>
      <c r="HW907"/>
      <c r="HX907"/>
      <c r="HY907"/>
      <c r="HZ907"/>
      <c r="IA907"/>
      <c r="IB907"/>
      <c r="IC907"/>
      <c r="ID907"/>
      <c r="IE907"/>
      <c r="IF907"/>
      <c r="IG907"/>
      <c r="IH907"/>
      <c r="II907"/>
      <c r="IJ907"/>
      <c r="IK907"/>
      <c r="IL907"/>
      <c r="IM907"/>
      <c r="IN907"/>
      <c r="IO907"/>
      <c r="IP907"/>
      <c r="IQ907"/>
      <c r="IR907"/>
      <c r="IS907"/>
    </row>
    <row r="908" spans="1:253" ht="12.75" customHeight="1" x14ac:dyDescent="0.2">
      <c r="A908" s="1454"/>
      <c r="B908" s="1477" t="s">
        <v>1988</v>
      </c>
      <c r="C908" s="767">
        <v>200000</v>
      </c>
      <c r="D908" s="1338"/>
      <c r="E908" s="738"/>
      <c r="F908" s="738"/>
      <c r="G908" s="767"/>
      <c r="H908" s="1409"/>
      <c r="I908" s="1410"/>
      <c r="J908"/>
      <c r="K908"/>
      <c r="L908"/>
      <c r="M908"/>
      <c r="N908"/>
      <c r="O908"/>
      <c r="P908"/>
      <c r="Q908"/>
      <c r="R908"/>
      <c r="S908"/>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c r="EB908"/>
      <c r="EC908"/>
      <c r="ED908"/>
      <c r="EE908"/>
      <c r="EF908"/>
      <c r="EG908"/>
      <c r="EH908"/>
      <c r="EI908"/>
      <c r="EJ908"/>
      <c r="EK908"/>
      <c r="EL908"/>
      <c r="EM908"/>
      <c r="EN908"/>
      <c r="EO908"/>
      <c r="EP908"/>
      <c r="EQ908"/>
      <c r="ER908"/>
      <c r="ES908"/>
      <c r="ET908"/>
      <c r="EU908"/>
      <c r="EV908"/>
      <c r="EW908"/>
      <c r="EX908"/>
      <c r="EY908"/>
      <c r="EZ908"/>
      <c r="FA908"/>
      <c r="FB908"/>
      <c r="FC908"/>
      <c r="FD908"/>
      <c r="FE908"/>
      <c r="FF908"/>
      <c r="FG908"/>
      <c r="FH908"/>
      <c r="FI908"/>
      <c r="FJ908"/>
      <c r="FK908"/>
      <c r="FL908"/>
      <c r="FM908"/>
      <c r="FN908"/>
      <c r="FO908"/>
      <c r="FP908"/>
      <c r="FQ908"/>
      <c r="FR908"/>
      <c r="FS908"/>
      <c r="FT908"/>
      <c r="FU908"/>
      <c r="FV908"/>
      <c r="FW908"/>
      <c r="FX908"/>
      <c r="FY908"/>
      <c r="FZ908"/>
      <c r="GA908"/>
      <c r="GB908"/>
      <c r="GC908"/>
      <c r="GD908"/>
      <c r="GE908"/>
      <c r="GF908"/>
      <c r="GG908"/>
      <c r="GH908"/>
      <c r="GI908"/>
      <c r="GJ908"/>
      <c r="GK908"/>
      <c r="GL908"/>
      <c r="GM908"/>
      <c r="GN908"/>
      <c r="GO908"/>
      <c r="GP908"/>
      <c r="GQ908"/>
      <c r="GR908"/>
      <c r="GS908"/>
      <c r="GT908"/>
      <c r="GU908"/>
      <c r="GV908"/>
      <c r="GW908"/>
      <c r="GX908"/>
      <c r="GY908"/>
      <c r="GZ908"/>
      <c r="HA908"/>
      <c r="HB908"/>
      <c r="HC908"/>
      <c r="HD908"/>
      <c r="HE908"/>
      <c r="HF908"/>
      <c r="HG908"/>
      <c r="HH908"/>
      <c r="HI908"/>
      <c r="HJ908"/>
      <c r="HK908"/>
      <c r="HL908"/>
      <c r="HM908"/>
      <c r="HN908"/>
      <c r="HO908"/>
      <c r="HP908"/>
      <c r="HQ908"/>
      <c r="HR908"/>
      <c r="HS908"/>
      <c r="HT908"/>
      <c r="HU908"/>
      <c r="HV908"/>
      <c r="HW908"/>
      <c r="HX908"/>
      <c r="HY908"/>
      <c r="HZ908"/>
      <c r="IA908"/>
      <c r="IB908"/>
      <c r="IC908"/>
      <c r="ID908"/>
      <c r="IE908"/>
      <c r="IF908"/>
      <c r="IG908"/>
      <c r="IH908"/>
      <c r="II908"/>
      <c r="IJ908"/>
      <c r="IK908"/>
      <c r="IL908"/>
      <c r="IM908"/>
      <c r="IN908"/>
      <c r="IO908"/>
      <c r="IP908"/>
      <c r="IQ908"/>
      <c r="IR908"/>
      <c r="IS908"/>
    </row>
    <row r="909" spans="1:253" ht="12.75" customHeight="1" x14ac:dyDescent="0.2">
      <c r="A909" s="1454"/>
      <c r="B909" s="1485" t="s">
        <v>1989</v>
      </c>
      <c r="C909" s="797">
        <v>400000</v>
      </c>
      <c r="D909" s="1471"/>
      <c r="E909" s="1472"/>
      <c r="F909" s="738"/>
      <c r="G909" s="797"/>
      <c r="H909" s="1409"/>
      <c r="I909" s="1410"/>
      <c r="J909"/>
      <c r="K909"/>
      <c r="L909"/>
      <c r="M909"/>
      <c r="N909"/>
      <c r="O909"/>
      <c r="P909"/>
      <c r="Q909"/>
      <c r="R909"/>
      <c r="S90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c r="EB909"/>
      <c r="EC909"/>
      <c r="ED909"/>
      <c r="EE909"/>
      <c r="EF909"/>
      <c r="EG909"/>
      <c r="EH909"/>
      <c r="EI909"/>
      <c r="EJ909"/>
      <c r="EK909"/>
      <c r="EL909"/>
      <c r="EM909"/>
      <c r="EN909"/>
      <c r="EO909"/>
      <c r="EP909"/>
      <c r="EQ909"/>
      <c r="ER909"/>
      <c r="ES909"/>
      <c r="ET909"/>
      <c r="EU909"/>
      <c r="EV909"/>
      <c r="EW909"/>
      <c r="EX909"/>
      <c r="EY909"/>
      <c r="EZ909"/>
      <c r="FA909"/>
      <c r="FB909"/>
      <c r="FC909"/>
      <c r="FD909"/>
      <c r="FE909"/>
      <c r="FF909"/>
      <c r="FG909"/>
      <c r="FH909"/>
      <c r="FI909"/>
      <c r="FJ909"/>
      <c r="FK909"/>
      <c r="FL909"/>
      <c r="FM909"/>
      <c r="FN909"/>
      <c r="FO909"/>
      <c r="FP909"/>
      <c r="FQ909"/>
      <c r="FR909"/>
      <c r="FS909"/>
      <c r="FT909"/>
      <c r="FU909"/>
      <c r="FV909"/>
      <c r="FW909"/>
      <c r="FX909"/>
      <c r="FY909"/>
      <c r="FZ909"/>
      <c r="GA909"/>
      <c r="GB909"/>
      <c r="GC909"/>
      <c r="GD909"/>
      <c r="GE909"/>
      <c r="GF909"/>
      <c r="GG909"/>
      <c r="GH909"/>
      <c r="GI909"/>
      <c r="GJ909"/>
      <c r="GK909"/>
      <c r="GL909"/>
      <c r="GM909"/>
      <c r="GN909"/>
      <c r="GO909"/>
      <c r="GP909"/>
      <c r="GQ909"/>
      <c r="GR909"/>
      <c r="GS909"/>
      <c r="GT909"/>
      <c r="GU909"/>
      <c r="GV909"/>
      <c r="GW909"/>
      <c r="GX909"/>
      <c r="GY909"/>
      <c r="GZ909"/>
      <c r="HA909"/>
      <c r="HB909"/>
      <c r="HC909"/>
      <c r="HD909"/>
      <c r="HE909"/>
      <c r="HF909"/>
      <c r="HG909"/>
      <c r="HH909"/>
      <c r="HI909"/>
      <c r="HJ909"/>
      <c r="HK909"/>
      <c r="HL909"/>
      <c r="HM909"/>
      <c r="HN909"/>
      <c r="HO909"/>
      <c r="HP909"/>
      <c r="HQ909"/>
      <c r="HR909"/>
      <c r="HS909"/>
      <c r="HT909"/>
      <c r="HU909"/>
      <c r="HV909"/>
      <c r="HW909"/>
      <c r="HX909"/>
      <c r="HY909"/>
      <c r="HZ909"/>
      <c r="IA909"/>
      <c r="IB909"/>
      <c r="IC909"/>
      <c r="ID909"/>
      <c r="IE909"/>
      <c r="IF909"/>
      <c r="IG909"/>
      <c r="IH909"/>
      <c r="II909"/>
      <c r="IJ909"/>
      <c r="IK909"/>
      <c r="IL909"/>
      <c r="IM909"/>
      <c r="IN909"/>
      <c r="IO909"/>
      <c r="IP909"/>
      <c r="IQ909"/>
      <c r="IR909"/>
      <c r="IS909"/>
    </row>
    <row r="910" spans="1:253" ht="28.9" customHeight="1" x14ac:dyDescent="0.2">
      <c r="A910" s="716"/>
      <c r="B910" s="1477" t="s">
        <v>1990</v>
      </c>
      <c r="C910" s="767">
        <v>500000</v>
      </c>
      <c r="D910" s="1338"/>
      <c r="E910" s="738"/>
      <c r="F910" s="738"/>
      <c r="G910" s="767"/>
      <c r="H910" s="1409"/>
      <c r="I910" s="1410"/>
      <c r="J910"/>
      <c r="K910"/>
      <c r="L910"/>
      <c r="M910"/>
      <c r="N910"/>
      <c r="O910"/>
      <c r="P910"/>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c r="EB910"/>
      <c r="EC910"/>
      <c r="ED910"/>
      <c r="EE910"/>
      <c r="EF910"/>
      <c r="EG910"/>
      <c r="EH910"/>
      <c r="EI910"/>
      <c r="EJ910"/>
      <c r="EK910"/>
      <c r="EL910"/>
      <c r="EM910"/>
      <c r="EN910"/>
      <c r="EO910"/>
      <c r="EP910"/>
      <c r="EQ910"/>
      <c r="ER910"/>
      <c r="ES910"/>
      <c r="ET910"/>
      <c r="EU910"/>
      <c r="EV910"/>
      <c r="EW910"/>
      <c r="EX910"/>
      <c r="EY910"/>
      <c r="EZ910"/>
      <c r="FA910"/>
      <c r="FB910"/>
      <c r="FC910"/>
      <c r="FD910"/>
      <c r="FE910"/>
      <c r="FF910"/>
      <c r="FG910"/>
      <c r="FH910"/>
      <c r="FI910"/>
      <c r="FJ910"/>
      <c r="FK910"/>
      <c r="FL910"/>
      <c r="FM910"/>
      <c r="FN910"/>
      <c r="FO910"/>
      <c r="FP910"/>
      <c r="FQ910"/>
      <c r="FR910"/>
      <c r="FS910"/>
      <c r="FT910"/>
      <c r="FU910"/>
      <c r="FV910"/>
      <c r="FW910"/>
      <c r="FX910"/>
      <c r="FY910"/>
      <c r="FZ910"/>
      <c r="GA910"/>
      <c r="GB910"/>
      <c r="GC910"/>
      <c r="GD910"/>
      <c r="GE910"/>
      <c r="GF910"/>
      <c r="GG910"/>
      <c r="GH910"/>
      <c r="GI910"/>
      <c r="GJ910"/>
      <c r="GK910"/>
      <c r="GL910"/>
      <c r="GM910"/>
      <c r="GN910"/>
      <c r="GO910"/>
      <c r="GP910"/>
      <c r="GQ910"/>
      <c r="GR910"/>
      <c r="GS910"/>
      <c r="GT910"/>
      <c r="GU910"/>
      <c r="GV910"/>
      <c r="GW910"/>
      <c r="GX910"/>
      <c r="GY910"/>
      <c r="GZ910"/>
      <c r="HA910"/>
      <c r="HB910"/>
      <c r="HC910"/>
      <c r="HD910"/>
      <c r="HE910"/>
      <c r="HF910"/>
      <c r="HG910"/>
      <c r="HH910"/>
      <c r="HI910"/>
      <c r="HJ910"/>
      <c r="HK910"/>
      <c r="HL910"/>
      <c r="HM910"/>
      <c r="HN910"/>
      <c r="HO910"/>
      <c r="HP910"/>
      <c r="HQ910"/>
      <c r="HR910"/>
      <c r="HS910"/>
      <c r="HT910"/>
      <c r="HU910"/>
      <c r="HV910"/>
      <c r="HW910"/>
      <c r="HX910"/>
      <c r="HY910"/>
      <c r="HZ910"/>
      <c r="IA910"/>
      <c r="IB910"/>
      <c r="IC910"/>
      <c r="ID910"/>
      <c r="IE910"/>
      <c r="IF910"/>
      <c r="IG910"/>
      <c r="IH910"/>
      <c r="II910"/>
      <c r="IJ910"/>
      <c r="IK910"/>
      <c r="IL910"/>
      <c r="IM910"/>
      <c r="IN910"/>
      <c r="IO910"/>
      <c r="IP910"/>
      <c r="IQ910"/>
      <c r="IR910"/>
      <c r="IS910"/>
    </row>
    <row r="911" spans="1:253" ht="12.75" customHeight="1" x14ac:dyDescent="0.2">
      <c r="A911" s="716">
        <v>3634</v>
      </c>
      <c r="B911" s="1490" t="s">
        <v>1991</v>
      </c>
      <c r="C911" s="746">
        <f>SUM(C912:C916)</f>
        <v>4050000</v>
      </c>
      <c r="D911" s="1116"/>
      <c r="E911" s="731"/>
      <c r="F911" s="731"/>
      <c r="G911" s="746"/>
      <c r="H911" s="1409"/>
      <c r="I911" s="1410"/>
      <c r="J911"/>
      <c r="K911"/>
      <c r="L911"/>
      <c r="M911"/>
      <c r="N911"/>
      <c r="O911"/>
      <c r="P911"/>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c r="EB911"/>
      <c r="EC911"/>
      <c r="ED911"/>
      <c r="EE911"/>
      <c r="EF911"/>
      <c r="EG911"/>
      <c r="EH911"/>
      <c r="EI911"/>
      <c r="EJ911"/>
      <c r="EK911"/>
      <c r="EL911"/>
      <c r="EM911"/>
      <c r="EN911"/>
      <c r="EO911"/>
      <c r="EP911"/>
      <c r="EQ911"/>
      <c r="ER911"/>
      <c r="ES911"/>
      <c r="ET911"/>
      <c r="EU911"/>
      <c r="EV911"/>
      <c r="EW911"/>
      <c r="EX911"/>
      <c r="EY911"/>
      <c r="EZ911"/>
      <c r="FA911"/>
      <c r="FB911"/>
      <c r="FC911"/>
      <c r="FD911"/>
      <c r="FE911"/>
      <c r="FF911"/>
      <c r="FG911"/>
      <c r="FH911"/>
      <c r="FI911"/>
      <c r="FJ911"/>
      <c r="FK911"/>
      <c r="FL911"/>
      <c r="FM911"/>
      <c r="FN911"/>
      <c r="FO911"/>
      <c r="FP911"/>
      <c r="FQ911"/>
      <c r="FR911"/>
      <c r="FS911"/>
      <c r="FT911"/>
      <c r="FU911"/>
      <c r="FV911"/>
      <c r="FW911"/>
      <c r="FX911"/>
      <c r="FY911"/>
      <c r="FZ911"/>
      <c r="GA911"/>
      <c r="GB911"/>
      <c r="GC911"/>
      <c r="GD911"/>
      <c r="GE911"/>
      <c r="GF911"/>
      <c r="GG911"/>
      <c r="GH911"/>
      <c r="GI911"/>
      <c r="GJ911"/>
      <c r="GK911"/>
      <c r="GL911"/>
      <c r="GM911"/>
      <c r="GN911"/>
      <c r="GO911"/>
      <c r="GP911"/>
      <c r="GQ911"/>
      <c r="GR911"/>
      <c r="GS911"/>
      <c r="GT911"/>
      <c r="GU911"/>
      <c r="GV911"/>
      <c r="GW911"/>
      <c r="GX911"/>
      <c r="GY911"/>
      <c r="GZ911"/>
      <c r="HA911"/>
      <c r="HB911"/>
      <c r="HC911"/>
      <c r="HD911"/>
      <c r="HE911"/>
      <c r="HF911"/>
      <c r="HG911"/>
      <c r="HH911"/>
      <c r="HI911"/>
      <c r="HJ911"/>
      <c r="HK911"/>
      <c r="HL911"/>
      <c r="HM911"/>
      <c r="HN911"/>
      <c r="HO911"/>
      <c r="HP911"/>
      <c r="HQ911"/>
      <c r="HR911"/>
      <c r="HS911"/>
      <c r="HT911"/>
      <c r="HU911"/>
      <c r="HV911"/>
      <c r="HW911"/>
      <c r="HX911"/>
      <c r="HY911"/>
      <c r="HZ911"/>
      <c r="IA911"/>
      <c r="IB911"/>
      <c r="IC911"/>
      <c r="ID911"/>
      <c r="IE911"/>
      <c r="IF911"/>
      <c r="IG911"/>
      <c r="IH911"/>
      <c r="II911"/>
      <c r="IJ911"/>
      <c r="IK911"/>
      <c r="IL911"/>
      <c r="IM911"/>
      <c r="IN911"/>
      <c r="IO911"/>
      <c r="IP911"/>
      <c r="IQ911"/>
      <c r="IR911"/>
      <c r="IS911"/>
    </row>
    <row r="912" spans="1:253" ht="25.5" x14ac:dyDescent="0.2">
      <c r="A912" s="716"/>
      <c r="B912" s="1478" t="s">
        <v>1992</v>
      </c>
      <c r="C912" s="767">
        <v>350000</v>
      </c>
      <c r="D912" s="1338"/>
      <c r="E912" s="738"/>
      <c r="F912" s="738"/>
      <c r="G912" s="767"/>
      <c r="H912" s="1409"/>
      <c r="I912" s="1410"/>
      <c r="J912"/>
      <c r="K912"/>
      <c r="L912"/>
      <c r="M912"/>
      <c r="N912"/>
      <c r="O912"/>
      <c r="P912"/>
      <c r="Q912"/>
      <c r="R912"/>
      <c r="S912"/>
      <c r="T912"/>
      <c r="U912"/>
      <c r="V912"/>
      <c r="W912"/>
      <c r="X912"/>
      <c r="Y912"/>
      <c r="Z912"/>
      <c r="AA912"/>
      <c r="AB912"/>
      <c r="AC912"/>
      <c r="AD912"/>
      <c r="AE912"/>
      <c r="AF912"/>
      <c r="AG912"/>
      <c r="AH912"/>
      <c r="AI912"/>
      <c r="AJ912"/>
      <c r="AK912"/>
      <c r="AL912"/>
      <c r="AM912"/>
      <c r="AN912"/>
      <c r="AO912"/>
      <c r="AP912"/>
      <c r="AQ912"/>
      <c r="AR912"/>
      <c r="AS912"/>
      <c r="AT912"/>
      <c r="AU912"/>
      <c r="AV912"/>
      <c r="AW912"/>
      <c r="AX912"/>
      <c r="AY912"/>
      <c r="AZ912"/>
      <c r="BA912"/>
      <c r="BB912"/>
      <c r="BC912"/>
      <c r="BD91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c r="EB912"/>
      <c r="EC912"/>
      <c r="ED912"/>
      <c r="EE912"/>
      <c r="EF912"/>
      <c r="EG912"/>
      <c r="EH912"/>
      <c r="EI912"/>
      <c r="EJ912"/>
      <c r="EK912"/>
      <c r="EL912"/>
      <c r="EM912"/>
      <c r="EN912"/>
      <c r="EO912"/>
      <c r="EP912"/>
      <c r="EQ912"/>
      <c r="ER912"/>
      <c r="ES912"/>
      <c r="ET912"/>
      <c r="EU912"/>
      <c r="EV912"/>
      <c r="EW912"/>
      <c r="EX912"/>
      <c r="EY912"/>
      <c r="EZ912"/>
      <c r="FA912"/>
      <c r="FB912"/>
      <c r="FC912"/>
      <c r="FD912"/>
      <c r="FE912"/>
      <c r="FF912"/>
      <c r="FG912"/>
      <c r="FH912"/>
      <c r="FI912"/>
      <c r="FJ912"/>
      <c r="FK912"/>
      <c r="FL912"/>
      <c r="FM912"/>
      <c r="FN912"/>
      <c r="FO912"/>
      <c r="FP912"/>
      <c r="FQ912"/>
      <c r="FR912"/>
      <c r="FS912"/>
      <c r="FT912"/>
      <c r="FU912"/>
      <c r="FV912"/>
      <c r="FW912"/>
      <c r="FX912"/>
      <c r="FY912"/>
      <c r="FZ912"/>
      <c r="GA912"/>
      <c r="GB912"/>
      <c r="GC912"/>
      <c r="GD912"/>
      <c r="GE912"/>
      <c r="GF912"/>
      <c r="GG912"/>
      <c r="GH912"/>
      <c r="GI912"/>
      <c r="GJ912"/>
      <c r="GK912"/>
      <c r="GL912"/>
      <c r="GM912"/>
      <c r="GN912"/>
      <c r="GO912"/>
      <c r="GP912"/>
      <c r="GQ912"/>
      <c r="GR912"/>
      <c r="GS912"/>
      <c r="GT912"/>
      <c r="GU912"/>
      <c r="GV912"/>
      <c r="GW912"/>
      <c r="GX912"/>
      <c r="GY912"/>
      <c r="GZ912"/>
      <c r="HA912"/>
      <c r="HB912"/>
      <c r="HC912"/>
      <c r="HD912"/>
      <c r="HE912"/>
      <c r="HF912"/>
      <c r="HG912"/>
      <c r="HH912"/>
      <c r="HI912"/>
      <c r="HJ912"/>
      <c r="HK912"/>
      <c r="HL912"/>
      <c r="HM912"/>
      <c r="HN912"/>
      <c r="HO912"/>
      <c r="HP912"/>
      <c r="HQ912"/>
      <c r="HR912"/>
      <c r="HS912"/>
      <c r="HT912"/>
      <c r="HU912"/>
      <c r="HV912"/>
      <c r="HW912"/>
      <c r="HX912"/>
      <c r="HY912"/>
      <c r="HZ912"/>
      <c r="IA912"/>
      <c r="IB912"/>
      <c r="IC912"/>
      <c r="ID912"/>
      <c r="IE912"/>
      <c r="IF912"/>
      <c r="IG912"/>
      <c r="IH912"/>
      <c r="II912"/>
      <c r="IJ912"/>
      <c r="IK912"/>
      <c r="IL912"/>
      <c r="IM912"/>
      <c r="IN912"/>
      <c r="IO912"/>
      <c r="IP912"/>
      <c r="IQ912"/>
      <c r="IR912"/>
      <c r="IS912"/>
    </row>
    <row r="913" spans="1:253" ht="15" x14ac:dyDescent="0.2">
      <c r="A913" s="716"/>
      <c r="B913" s="1478" t="s">
        <v>1993</v>
      </c>
      <c r="C913" s="767">
        <v>300000</v>
      </c>
      <c r="D913" s="1338"/>
      <c r="E913" s="738"/>
      <c r="F913" s="738"/>
      <c r="G913" s="767"/>
      <c r="H913" s="1409"/>
      <c r="I913" s="1410"/>
      <c r="J913"/>
      <c r="K913"/>
      <c r="L913"/>
      <c r="M913"/>
      <c r="N913"/>
      <c r="O913"/>
      <c r="P913"/>
      <c r="Q913"/>
      <c r="R913"/>
      <c r="S913"/>
      <c r="T913"/>
      <c r="U913"/>
      <c r="V913"/>
      <c r="W913"/>
      <c r="X913"/>
      <c r="Y913"/>
      <c r="Z913"/>
      <c r="AA913"/>
      <c r="AB913"/>
      <c r="AC913"/>
      <c r="AD913"/>
      <c r="AE913"/>
      <c r="AF913"/>
      <c r="AG913"/>
      <c r="AH913"/>
      <c r="AI913"/>
      <c r="AJ913"/>
      <c r="AK913"/>
      <c r="AL913"/>
      <c r="AM913"/>
      <c r="AN913"/>
      <c r="AO913"/>
      <c r="AP913"/>
      <c r="AQ913"/>
      <c r="AR913"/>
      <c r="AS913"/>
      <c r="AT913"/>
      <c r="AU913"/>
      <c r="AV913"/>
      <c r="AW913"/>
      <c r="AX913"/>
      <c r="AY913"/>
      <c r="AZ913"/>
      <c r="BA913"/>
      <c r="BB913"/>
      <c r="BC913"/>
      <c r="BD913"/>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c r="EB913"/>
      <c r="EC913"/>
      <c r="ED913"/>
      <c r="EE913"/>
      <c r="EF913"/>
      <c r="EG913"/>
      <c r="EH913"/>
      <c r="EI913"/>
      <c r="EJ913"/>
      <c r="EK913"/>
      <c r="EL913"/>
      <c r="EM913"/>
      <c r="EN913"/>
      <c r="EO913"/>
      <c r="EP913"/>
      <c r="EQ913"/>
      <c r="ER913"/>
      <c r="ES913"/>
      <c r="ET913"/>
      <c r="EU913"/>
      <c r="EV913"/>
      <c r="EW913"/>
      <c r="EX913"/>
      <c r="EY913"/>
      <c r="EZ913"/>
      <c r="FA913"/>
      <c r="FB913"/>
      <c r="FC913"/>
      <c r="FD913"/>
      <c r="FE913"/>
      <c r="FF913"/>
      <c r="FG913"/>
      <c r="FH913"/>
      <c r="FI913"/>
      <c r="FJ913"/>
      <c r="FK913"/>
      <c r="FL913"/>
      <c r="FM913"/>
      <c r="FN913"/>
      <c r="FO913"/>
      <c r="FP913"/>
      <c r="FQ913"/>
      <c r="FR913"/>
      <c r="FS913"/>
      <c r="FT913"/>
      <c r="FU913"/>
      <c r="FV913"/>
      <c r="FW913"/>
      <c r="FX913"/>
      <c r="FY913"/>
      <c r="FZ913"/>
      <c r="GA913"/>
      <c r="GB913"/>
      <c r="GC913"/>
      <c r="GD913"/>
      <c r="GE913"/>
      <c r="GF913"/>
      <c r="GG913"/>
      <c r="GH913"/>
      <c r="GI913"/>
      <c r="GJ913"/>
      <c r="GK913"/>
      <c r="GL913"/>
      <c r="GM913"/>
      <c r="GN913"/>
      <c r="GO913"/>
      <c r="GP913"/>
      <c r="GQ913"/>
      <c r="GR913"/>
      <c r="GS913"/>
      <c r="GT913"/>
      <c r="GU913"/>
      <c r="GV913"/>
      <c r="GW913"/>
      <c r="GX913"/>
      <c r="GY913"/>
      <c r="GZ913"/>
      <c r="HA913"/>
      <c r="HB913"/>
      <c r="HC913"/>
      <c r="HD913"/>
      <c r="HE913"/>
      <c r="HF913"/>
      <c r="HG913"/>
      <c r="HH913"/>
      <c r="HI913"/>
      <c r="HJ913"/>
      <c r="HK913"/>
      <c r="HL913"/>
      <c r="HM913"/>
      <c r="HN913"/>
      <c r="HO913"/>
      <c r="HP913"/>
      <c r="HQ913"/>
      <c r="HR913"/>
      <c r="HS913"/>
      <c r="HT913"/>
      <c r="HU913"/>
      <c r="HV913"/>
      <c r="HW913"/>
      <c r="HX913"/>
      <c r="HY913"/>
      <c r="HZ913"/>
      <c r="IA913"/>
      <c r="IB913"/>
      <c r="IC913"/>
      <c r="ID913"/>
      <c r="IE913"/>
      <c r="IF913"/>
      <c r="IG913"/>
      <c r="IH913"/>
      <c r="II913"/>
      <c r="IJ913"/>
      <c r="IK913"/>
      <c r="IL913"/>
      <c r="IM913"/>
      <c r="IN913"/>
      <c r="IO913"/>
      <c r="IP913"/>
      <c r="IQ913"/>
      <c r="IR913"/>
      <c r="IS913"/>
    </row>
    <row r="914" spans="1:253" ht="25.5" x14ac:dyDescent="0.2">
      <c r="A914" s="1491"/>
      <c r="B914" s="1492" t="s">
        <v>1994</v>
      </c>
      <c r="C914" s="820">
        <v>900000</v>
      </c>
      <c r="D914" s="1445"/>
      <c r="E914" s="1045"/>
      <c r="F914" s="1045"/>
      <c r="G914" s="820"/>
      <c r="H914" s="1409"/>
      <c r="I914" s="1410"/>
      <c r="J914"/>
      <c r="K914"/>
      <c r="L914"/>
      <c r="M914"/>
      <c r="N914"/>
      <c r="O914"/>
      <c r="P914"/>
      <c r="Q914"/>
      <c r="R914"/>
      <c r="S914"/>
      <c r="T914"/>
      <c r="U914"/>
      <c r="V914"/>
      <c r="W914"/>
      <c r="X914"/>
      <c r="Y914"/>
      <c r="Z914"/>
      <c r="AA914"/>
      <c r="AB914"/>
      <c r="AC914"/>
      <c r="AD914"/>
      <c r="AE914"/>
      <c r="AF914"/>
      <c r="AG914"/>
      <c r="AH914"/>
      <c r="AI914"/>
      <c r="AJ914"/>
      <c r="AK914"/>
      <c r="AL914"/>
      <c r="AM914"/>
      <c r="AN914"/>
      <c r="AO914"/>
      <c r="AP914"/>
      <c r="AQ914"/>
      <c r="AR914"/>
      <c r="AS914"/>
      <c r="AT914"/>
      <c r="AU914"/>
      <c r="AV914"/>
      <c r="AW914"/>
      <c r="AX914"/>
      <c r="AY914"/>
      <c r="AZ914"/>
      <c r="BA914"/>
      <c r="BB914"/>
      <c r="BC914"/>
      <c r="BD914"/>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c r="EB914"/>
      <c r="EC914"/>
      <c r="ED914"/>
      <c r="EE914"/>
      <c r="EF914"/>
      <c r="EG914"/>
      <c r="EH914"/>
      <c r="EI914"/>
      <c r="EJ914"/>
      <c r="EK914"/>
      <c r="EL914"/>
      <c r="EM914"/>
      <c r="EN914"/>
      <c r="EO914"/>
      <c r="EP914"/>
      <c r="EQ914"/>
      <c r="ER914"/>
      <c r="ES914"/>
      <c r="ET914"/>
      <c r="EU914"/>
      <c r="EV914"/>
      <c r="EW914"/>
      <c r="EX914"/>
      <c r="EY914"/>
      <c r="EZ914"/>
      <c r="FA914"/>
      <c r="FB914"/>
      <c r="FC914"/>
      <c r="FD914"/>
      <c r="FE914"/>
      <c r="FF914"/>
      <c r="FG914"/>
      <c r="FH914"/>
      <c r="FI914"/>
      <c r="FJ914"/>
      <c r="FK914"/>
      <c r="FL914"/>
      <c r="FM914"/>
      <c r="FN914"/>
      <c r="FO914"/>
      <c r="FP914"/>
      <c r="FQ914"/>
      <c r="FR914"/>
      <c r="FS914"/>
      <c r="FT914"/>
      <c r="FU914"/>
      <c r="FV914"/>
      <c r="FW914"/>
      <c r="FX914"/>
      <c r="FY914"/>
      <c r="FZ914"/>
      <c r="GA914"/>
      <c r="GB914"/>
      <c r="GC914"/>
      <c r="GD914"/>
      <c r="GE914"/>
      <c r="GF914"/>
      <c r="GG914"/>
      <c r="GH914"/>
      <c r="GI914"/>
      <c r="GJ914"/>
      <c r="GK914"/>
      <c r="GL914"/>
      <c r="GM914"/>
      <c r="GN914"/>
      <c r="GO914"/>
      <c r="GP914"/>
      <c r="GQ914"/>
      <c r="GR914"/>
      <c r="GS914"/>
      <c r="GT914"/>
      <c r="GU914"/>
      <c r="GV914"/>
      <c r="GW914"/>
      <c r="GX914"/>
      <c r="GY914"/>
      <c r="GZ914"/>
      <c r="HA914"/>
      <c r="HB914"/>
      <c r="HC914"/>
      <c r="HD914"/>
      <c r="HE914"/>
      <c r="HF914"/>
      <c r="HG914"/>
      <c r="HH914"/>
      <c r="HI914"/>
      <c r="HJ914"/>
      <c r="HK914"/>
      <c r="HL914"/>
      <c r="HM914"/>
      <c r="HN914"/>
      <c r="HO914"/>
      <c r="HP914"/>
      <c r="HQ914"/>
      <c r="HR914"/>
      <c r="HS914"/>
      <c r="HT914"/>
      <c r="HU914"/>
      <c r="HV914"/>
      <c r="HW914"/>
      <c r="HX914"/>
      <c r="HY914"/>
      <c r="HZ914"/>
      <c r="IA914"/>
      <c r="IB914"/>
      <c r="IC914"/>
      <c r="ID914"/>
      <c r="IE914"/>
      <c r="IF914"/>
      <c r="IG914"/>
      <c r="IH914"/>
      <c r="II914"/>
      <c r="IJ914"/>
      <c r="IK914"/>
      <c r="IL914"/>
      <c r="IM914"/>
      <c r="IN914"/>
      <c r="IO914"/>
      <c r="IP914"/>
      <c r="IQ914"/>
      <c r="IR914"/>
      <c r="IS914"/>
    </row>
    <row r="915" spans="1:253" ht="63.75" x14ac:dyDescent="0.2">
      <c r="A915" s="1493"/>
      <c r="B915" s="1494" t="s">
        <v>1995</v>
      </c>
      <c r="C915" s="890">
        <v>2200000</v>
      </c>
      <c r="D915" s="1440"/>
      <c r="E915" s="1441"/>
      <c r="F915" s="1441"/>
      <c r="G915" s="890"/>
      <c r="H915" s="1409"/>
      <c r="I915" s="1410"/>
      <c r="J915"/>
      <c r="K915"/>
      <c r="L915"/>
      <c r="M915"/>
      <c r="N915"/>
      <c r="O915"/>
      <c r="P915"/>
      <c r="Q915"/>
      <c r="R915"/>
      <c r="S915"/>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c r="EB915"/>
      <c r="EC915"/>
      <c r="ED915"/>
      <c r="EE915"/>
      <c r="EF915"/>
      <c r="EG915"/>
      <c r="EH915"/>
      <c r="EI915"/>
      <c r="EJ915"/>
      <c r="EK915"/>
      <c r="EL915"/>
      <c r="EM915"/>
      <c r="EN915"/>
      <c r="EO915"/>
      <c r="EP915"/>
      <c r="EQ915"/>
      <c r="ER915"/>
      <c r="ES915"/>
      <c r="ET915"/>
      <c r="EU915"/>
      <c r="EV915"/>
      <c r="EW915"/>
      <c r="EX915"/>
      <c r="EY915"/>
      <c r="EZ915"/>
      <c r="FA915"/>
      <c r="FB915"/>
      <c r="FC915"/>
      <c r="FD915"/>
      <c r="FE915"/>
      <c r="FF915"/>
      <c r="FG915"/>
      <c r="FH915"/>
      <c r="FI915"/>
      <c r="FJ915"/>
      <c r="FK915"/>
      <c r="FL915"/>
      <c r="FM915"/>
      <c r="FN915"/>
      <c r="FO915"/>
      <c r="FP915"/>
      <c r="FQ915"/>
      <c r="FR915"/>
      <c r="FS915"/>
      <c r="FT915"/>
      <c r="FU915"/>
      <c r="FV915"/>
      <c r="FW915"/>
      <c r="FX915"/>
      <c r="FY915"/>
      <c r="FZ915"/>
      <c r="GA915"/>
      <c r="GB915"/>
      <c r="GC915"/>
      <c r="GD915"/>
      <c r="GE915"/>
      <c r="GF915"/>
      <c r="GG915"/>
      <c r="GH915"/>
      <c r="GI915"/>
      <c r="GJ915"/>
      <c r="GK915"/>
      <c r="GL915"/>
      <c r="GM915"/>
      <c r="GN915"/>
      <c r="GO915"/>
      <c r="GP915"/>
      <c r="GQ915"/>
      <c r="GR915"/>
      <c r="GS915"/>
      <c r="GT915"/>
      <c r="GU915"/>
      <c r="GV915"/>
      <c r="GW915"/>
      <c r="GX915"/>
      <c r="GY915"/>
      <c r="GZ915"/>
      <c r="HA915"/>
      <c r="HB915"/>
      <c r="HC915"/>
      <c r="HD915"/>
      <c r="HE915"/>
      <c r="HF915"/>
      <c r="HG915"/>
      <c r="HH915"/>
      <c r="HI915"/>
      <c r="HJ915"/>
      <c r="HK915"/>
      <c r="HL915"/>
      <c r="HM915"/>
      <c r="HN915"/>
      <c r="HO915"/>
      <c r="HP915"/>
      <c r="HQ915"/>
      <c r="HR915"/>
      <c r="HS915"/>
      <c r="HT915"/>
      <c r="HU915"/>
      <c r="HV915"/>
      <c r="HW915"/>
      <c r="HX915"/>
      <c r="HY915"/>
      <c r="HZ915"/>
      <c r="IA915"/>
      <c r="IB915"/>
      <c r="IC915"/>
      <c r="ID915"/>
      <c r="IE915"/>
      <c r="IF915"/>
      <c r="IG915"/>
      <c r="IH915"/>
      <c r="II915"/>
      <c r="IJ915"/>
      <c r="IK915"/>
      <c r="IL915"/>
      <c r="IM915"/>
      <c r="IN915"/>
      <c r="IO915"/>
      <c r="IP915"/>
      <c r="IQ915"/>
      <c r="IR915"/>
      <c r="IS915"/>
    </row>
    <row r="916" spans="1:253" ht="13.5" customHeight="1" x14ac:dyDescent="0.2">
      <c r="A916" s="708"/>
      <c r="B916" s="1465" t="s">
        <v>951</v>
      </c>
      <c r="C916" s="767">
        <f>SUM(C917:C918)</f>
        <v>300000</v>
      </c>
      <c r="D916" s="1338"/>
      <c r="E916" s="738"/>
      <c r="F916" s="738"/>
      <c r="G916" s="767"/>
      <c r="H916" s="1409"/>
      <c r="I916" s="1410"/>
      <c r="J916"/>
      <c r="K916"/>
      <c r="L916"/>
      <c r="M916"/>
      <c r="N916"/>
      <c r="O916"/>
      <c r="P916"/>
      <c r="Q916"/>
      <c r="R916"/>
      <c r="S916"/>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c r="EB916"/>
      <c r="EC916"/>
      <c r="ED916"/>
      <c r="EE916"/>
      <c r="EF916"/>
      <c r="EG916"/>
      <c r="EH916"/>
      <c r="EI916"/>
      <c r="EJ916"/>
      <c r="EK916"/>
      <c r="EL916"/>
      <c r="EM916"/>
      <c r="EN916"/>
      <c r="EO916"/>
      <c r="EP916"/>
      <c r="EQ916"/>
      <c r="ER916"/>
      <c r="ES916"/>
      <c r="ET916"/>
      <c r="EU916"/>
      <c r="EV916"/>
      <c r="EW916"/>
      <c r="EX916"/>
      <c r="EY916"/>
      <c r="EZ916"/>
      <c r="FA916"/>
      <c r="FB916"/>
      <c r="FC916"/>
      <c r="FD916"/>
      <c r="FE916"/>
      <c r="FF916"/>
      <c r="FG916"/>
      <c r="FH916"/>
      <c r="FI916"/>
      <c r="FJ916"/>
      <c r="FK916"/>
      <c r="FL916"/>
      <c r="FM916"/>
      <c r="FN916"/>
      <c r="FO916"/>
      <c r="FP916"/>
      <c r="FQ916"/>
      <c r="FR916"/>
      <c r="FS916"/>
      <c r="FT916"/>
      <c r="FU916"/>
      <c r="FV916"/>
      <c r="FW916"/>
      <c r="FX916"/>
      <c r="FY916"/>
      <c r="FZ916"/>
      <c r="GA916"/>
      <c r="GB916"/>
      <c r="GC916"/>
      <c r="GD916"/>
      <c r="GE916"/>
      <c r="GF916"/>
      <c r="GG916"/>
      <c r="GH916"/>
      <c r="GI916"/>
      <c r="GJ916"/>
      <c r="GK916"/>
      <c r="GL916"/>
      <c r="GM916"/>
      <c r="GN916"/>
      <c r="GO916"/>
      <c r="GP916"/>
      <c r="GQ916"/>
      <c r="GR916"/>
      <c r="GS916"/>
      <c r="GT916"/>
      <c r="GU916"/>
      <c r="GV916"/>
      <c r="GW916"/>
      <c r="GX916"/>
      <c r="GY916"/>
      <c r="GZ916"/>
      <c r="HA916"/>
      <c r="HB916"/>
      <c r="HC916"/>
      <c r="HD916"/>
      <c r="HE916"/>
      <c r="HF916"/>
      <c r="HG916"/>
      <c r="HH916"/>
      <c r="HI916"/>
      <c r="HJ916"/>
      <c r="HK916"/>
      <c r="HL916"/>
      <c r="HM916"/>
      <c r="HN916"/>
      <c r="HO916"/>
      <c r="HP916"/>
      <c r="HQ916"/>
      <c r="HR916"/>
      <c r="HS916"/>
      <c r="HT916"/>
      <c r="HU916"/>
      <c r="HV916"/>
      <c r="HW916"/>
      <c r="HX916"/>
      <c r="HY916"/>
      <c r="HZ916"/>
      <c r="IA916"/>
      <c r="IB916"/>
      <c r="IC916"/>
      <c r="ID916"/>
      <c r="IE916"/>
      <c r="IF916"/>
      <c r="IG916"/>
      <c r="IH916"/>
      <c r="II916"/>
      <c r="IJ916"/>
      <c r="IK916"/>
      <c r="IL916"/>
      <c r="IM916"/>
      <c r="IN916"/>
      <c r="IO916"/>
      <c r="IP916"/>
      <c r="IQ916"/>
      <c r="IR916"/>
      <c r="IS916"/>
    </row>
    <row r="917" spans="1:253" ht="13.5" customHeight="1" x14ac:dyDescent="0.2">
      <c r="A917" s="748"/>
      <c r="B917" s="1495" t="s">
        <v>1996</v>
      </c>
      <c r="C917" s="772">
        <v>300000</v>
      </c>
      <c r="D917" s="1030"/>
      <c r="E917" s="750"/>
      <c r="F917" s="750"/>
      <c r="G917" s="772"/>
      <c r="H917" s="1409"/>
      <c r="I917" s="1410"/>
      <c r="J917"/>
      <c r="K917"/>
      <c r="L917"/>
      <c r="M917"/>
      <c r="N917"/>
      <c r="O917"/>
      <c r="P917"/>
      <c r="Q917"/>
      <c r="R917"/>
      <c r="S917"/>
      <c r="T917"/>
      <c r="U917"/>
      <c r="V917"/>
      <c r="W917"/>
      <c r="X917"/>
      <c r="Y917"/>
      <c r="Z917"/>
      <c r="AA917"/>
      <c r="AB917"/>
      <c r="AC917"/>
      <c r="AD917"/>
      <c r="AE917"/>
      <c r="AF917"/>
      <c r="AG917"/>
      <c r="AH917"/>
      <c r="AI917"/>
      <c r="AJ917"/>
      <c r="AK917"/>
      <c r="AL917"/>
      <c r="AM917"/>
      <c r="AN917"/>
      <c r="AO917"/>
      <c r="AP917"/>
      <c r="AQ917"/>
      <c r="AR917"/>
      <c r="AS917"/>
      <c r="AT917"/>
      <c r="AU917"/>
      <c r="AV917"/>
      <c r="AW917"/>
      <c r="AX917"/>
      <c r="AY917"/>
      <c r="AZ917"/>
      <c r="BA917"/>
      <c r="BB917"/>
      <c r="BC917"/>
      <c r="BD917"/>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c r="EB917"/>
      <c r="EC917"/>
      <c r="ED917"/>
      <c r="EE917"/>
      <c r="EF917"/>
      <c r="EG917"/>
      <c r="EH917"/>
      <c r="EI917"/>
      <c r="EJ917"/>
      <c r="EK917"/>
      <c r="EL917"/>
      <c r="EM917"/>
      <c r="EN917"/>
      <c r="EO917"/>
      <c r="EP917"/>
      <c r="EQ917"/>
      <c r="ER917"/>
      <c r="ES917"/>
      <c r="ET917"/>
      <c r="EU917"/>
      <c r="EV917"/>
      <c r="EW917"/>
      <c r="EX917"/>
      <c r="EY917"/>
      <c r="EZ917"/>
      <c r="FA917"/>
      <c r="FB917"/>
      <c r="FC917"/>
      <c r="FD917"/>
      <c r="FE917"/>
      <c r="FF917"/>
      <c r="FG917"/>
      <c r="FH917"/>
      <c r="FI917"/>
      <c r="FJ917"/>
      <c r="FK917"/>
      <c r="FL917"/>
      <c r="FM917"/>
      <c r="FN917"/>
      <c r="FO917"/>
      <c r="FP917"/>
      <c r="FQ917"/>
      <c r="FR917"/>
      <c r="FS917"/>
      <c r="FT917"/>
      <c r="FU917"/>
      <c r="FV917"/>
      <c r="FW917"/>
      <c r="FX917"/>
      <c r="FY917"/>
      <c r="FZ917"/>
      <c r="GA917"/>
      <c r="GB917"/>
      <c r="GC917"/>
      <c r="GD917"/>
      <c r="GE917"/>
      <c r="GF917"/>
      <c r="GG917"/>
      <c r="GH917"/>
      <c r="GI917"/>
      <c r="GJ917"/>
      <c r="GK917"/>
      <c r="GL917"/>
      <c r="GM917"/>
      <c r="GN917"/>
      <c r="GO917"/>
      <c r="GP917"/>
      <c r="GQ917"/>
      <c r="GR917"/>
      <c r="GS917"/>
      <c r="GT917"/>
      <c r="GU917"/>
      <c r="GV917"/>
      <c r="GW917"/>
      <c r="GX917"/>
      <c r="GY917"/>
      <c r="GZ917"/>
      <c r="HA917"/>
      <c r="HB917"/>
      <c r="HC917"/>
      <c r="HD917"/>
      <c r="HE917"/>
      <c r="HF917"/>
      <c r="HG917"/>
      <c r="HH917"/>
      <c r="HI917"/>
      <c r="HJ917"/>
      <c r="HK917"/>
      <c r="HL917"/>
      <c r="HM917"/>
      <c r="HN917"/>
      <c r="HO917"/>
      <c r="HP917"/>
      <c r="HQ917"/>
      <c r="HR917"/>
      <c r="HS917"/>
      <c r="HT917"/>
      <c r="HU917"/>
      <c r="HV917"/>
      <c r="HW917"/>
      <c r="HX917"/>
      <c r="HY917"/>
      <c r="HZ917"/>
      <c r="IA917"/>
      <c r="IB917"/>
      <c r="IC917"/>
      <c r="ID917"/>
      <c r="IE917"/>
      <c r="IF917"/>
      <c r="IG917"/>
      <c r="IH917"/>
      <c r="II917"/>
      <c r="IJ917"/>
      <c r="IK917"/>
      <c r="IL917"/>
      <c r="IM917"/>
      <c r="IN917"/>
      <c r="IO917"/>
      <c r="IP917"/>
      <c r="IQ917"/>
      <c r="IR917"/>
      <c r="IS917"/>
    </row>
    <row r="918" spans="1:253" s="488" customFormat="1" ht="13.5" customHeight="1" x14ac:dyDescent="0.2">
      <c r="A918" s="748"/>
      <c r="B918" s="1495" t="s">
        <v>1997</v>
      </c>
      <c r="C918" s="767">
        <v>0</v>
      </c>
      <c r="D918" s="1338"/>
      <c r="E918" s="738"/>
      <c r="F918" s="738"/>
      <c r="G918" s="767"/>
      <c r="H918" s="1466"/>
      <c r="I918" s="1467"/>
    </row>
    <row r="919" spans="1:253" s="488" customFormat="1" ht="13.5" customHeight="1" x14ac:dyDescent="0.2">
      <c r="A919" s="716">
        <v>4351</v>
      </c>
      <c r="B919" s="1496" t="s">
        <v>1998</v>
      </c>
      <c r="C919" s="734">
        <v>15000</v>
      </c>
      <c r="D919" s="1033"/>
      <c r="E919" s="726"/>
      <c r="F919" s="726"/>
      <c r="G919" s="734"/>
      <c r="H919" s="1466"/>
      <c r="I919" s="1467"/>
    </row>
    <row r="920" spans="1:253" s="488" customFormat="1" ht="13.5" customHeight="1" x14ac:dyDescent="0.2">
      <c r="A920" s="716">
        <v>4374</v>
      </c>
      <c r="B920" s="1496" t="s">
        <v>759</v>
      </c>
      <c r="C920" s="734">
        <f>C921</f>
        <v>940000</v>
      </c>
      <c r="D920" s="1033"/>
      <c r="E920" s="726"/>
      <c r="F920" s="726"/>
      <c r="G920" s="734"/>
      <c r="H920" s="1466"/>
      <c r="I920" s="1467"/>
    </row>
    <row r="921" spans="1:253" s="488" customFormat="1" ht="13.5" customHeight="1" x14ac:dyDescent="0.2">
      <c r="A921" s="748"/>
      <c r="B921" s="1495" t="s">
        <v>1999</v>
      </c>
      <c r="C921" s="772">
        <f>C922+C923</f>
        <v>940000</v>
      </c>
      <c r="D921" s="1030"/>
      <c r="E921" s="750"/>
      <c r="F921" s="750"/>
      <c r="G921" s="772"/>
      <c r="H921" s="1466"/>
      <c r="I921" s="1467"/>
    </row>
    <row r="922" spans="1:253" s="488" customFormat="1" ht="22.5" customHeight="1" x14ac:dyDescent="0.2">
      <c r="A922" s="748">
        <v>800</v>
      </c>
      <c r="B922" s="1495" t="s">
        <v>2000</v>
      </c>
      <c r="C922" s="767">
        <v>800000</v>
      </c>
      <c r="D922" s="1338"/>
      <c r="E922" s="738"/>
      <c r="F922" s="738"/>
      <c r="G922" s="767"/>
      <c r="H922" s="1466"/>
      <c r="I922" s="1467"/>
    </row>
    <row r="923" spans="1:253" ht="13.5" customHeight="1" x14ac:dyDescent="0.2">
      <c r="A923" s="716"/>
      <c r="B923" s="889" t="s">
        <v>2001</v>
      </c>
      <c r="C923" s="772">
        <v>140000</v>
      </c>
      <c r="D923" s="1030"/>
      <c r="E923" s="750"/>
      <c r="F923" s="750"/>
      <c r="G923" s="772"/>
      <c r="H923" s="1409"/>
      <c r="I923" s="1410"/>
      <c r="J923"/>
      <c r="K923"/>
      <c r="L923"/>
      <c r="M923"/>
      <c r="N923"/>
      <c r="O923"/>
      <c r="P923"/>
      <c r="Q923"/>
      <c r="R923"/>
      <c r="S923"/>
      <c r="T923"/>
      <c r="U923"/>
      <c r="V923"/>
      <c r="W923"/>
      <c r="X923"/>
      <c r="Y923"/>
      <c r="Z923"/>
      <c r="AA923"/>
      <c r="AB923"/>
      <c r="AC923"/>
      <c r="AD923"/>
      <c r="AE923"/>
      <c r="AF923"/>
      <c r="AG923"/>
      <c r="AH923"/>
      <c r="AI923"/>
      <c r="AJ923"/>
      <c r="AK923"/>
      <c r="AL923"/>
      <c r="AM923"/>
      <c r="AN923"/>
      <c r="AO923"/>
      <c r="AP923"/>
      <c r="AQ923"/>
      <c r="AR923"/>
      <c r="AS923"/>
      <c r="AT923"/>
      <c r="AU923"/>
      <c r="AV923"/>
      <c r="AW923"/>
      <c r="AX923"/>
      <c r="AY923"/>
      <c r="AZ923"/>
      <c r="BA923"/>
      <c r="BB923"/>
      <c r="BC923"/>
      <c r="BD923"/>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c r="EB923"/>
      <c r="EC923"/>
      <c r="ED923"/>
      <c r="EE923"/>
      <c r="EF923"/>
      <c r="EG923"/>
      <c r="EH923"/>
      <c r="EI923"/>
      <c r="EJ923"/>
      <c r="EK923"/>
      <c r="EL923"/>
      <c r="EM923"/>
      <c r="EN923"/>
      <c r="EO923"/>
      <c r="EP923"/>
      <c r="EQ923"/>
      <c r="ER923"/>
      <c r="ES923"/>
      <c r="ET923"/>
      <c r="EU923"/>
      <c r="EV923"/>
      <c r="EW923"/>
      <c r="EX923"/>
      <c r="EY923"/>
      <c r="EZ923"/>
      <c r="FA923"/>
      <c r="FB923"/>
      <c r="FC923"/>
      <c r="FD923"/>
      <c r="FE923"/>
      <c r="FF923"/>
      <c r="FG923"/>
      <c r="FH923"/>
      <c r="FI923"/>
      <c r="FJ923"/>
      <c r="FK923"/>
      <c r="FL923"/>
      <c r="FM923"/>
      <c r="FN923"/>
      <c r="FO923"/>
      <c r="FP923"/>
      <c r="FQ923"/>
      <c r="FR923"/>
      <c r="FS923"/>
      <c r="FT923"/>
      <c r="FU923"/>
      <c r="FV923"/>
      <c r="FW923"/>
      <c r="FX923"/>
      <c r="FY923"/>
      <c r="FZ923"/>
      <c r="GA923"/>
      <c r="GB923"/>
      <c r="GC923"/>
      <c r="GD923"/>
      <c r="GE923"/>
      <c r="GF923"/>
      <c r="GG923"/>
      <c r="GH923"/>
      <c r="GI923"/>
      <c r="GJ923"/>
      <c r="GK923"/>
      <c r="GL923"/>
      <c r="GM923"/>
      <c r="GN923"/>
      <c r="GO923"/>
      <c r="GP923"/>
      <c r="GQ923"/>
      <c r="GR923"/>
      <c r="GS923"/>
      <c r="GT923"/>
      <c r="GU923"/>
      <c r="GV923"/>
      <c r="GW923"/>
      <c r="GX923"/>
      <c r="GY923"/>
      <c r="GZ923"/>
      <c r="HA923"/>
      <c r="HB923"/>
      <c r="HC923"/>
      <c r="HD923"/>
      <c r="HE923"/>
      <c r="HF923"/>
      <c r="HG923"/>
      <c r="HH923"/>
      <c r="HI923"/>
      <c r="HJ923"/>
      <c r="HK923"/>
      <c r="HL923"/>
      <c r="HM923"/>
      <c r="HN923"/>
      <c r="HO923"/>
      <c r="HP923"/>
      <c r="HQ923"/>
      <c r="HR923"/>
      <c r="HS923"/>
      <c r="HT923"/>
      <c r="HU923"/>
      <c r="HV923"/>
      <c r="HW923"/>
      <c r="HX923"/>
      <c r="HY923"/>
      <c r="HZ923"/>
      <c r="IA923"/>
      <c r="IB923"/>
      <c r="IC923"/>
      <c r="ID923"/>
      <c r="IE923"/>
      <c r="IF923"/>
      <c r="IG923"/>
      <c r="IH923"/>
      <c r="II923"/>
      <c r="IJ923"/>
      <c r="IK923"/>
      <c r="IL923"/>
      <c r="IM923"/>
      <c r="IN923"/>
      <c r="IO923"/>
      <c r="IP923"/>
      <c r="IQ923"/>
      <c r="IR923"/>
      <c r="IS923"/>
    </row>
    <row r="924" spans="1:253" ht="13.5" customHeight="1" x14ac:dyDescent="0.2">
      <c r="A924" s="716">
        <v>6171</v>
      </c>
      <c r="B924" s="1497" t="s">
        <v>975</v>
      </c>
      <c r="C924" s="746">
        <f>SUM(C925:C930)</f>
        <v>1530000</v>
      </c>
      <c r="D924" s="1116"/>
      <c r="E924" s="731"/>
      <c r="F924" s="731"/>
      <c r="G924" s="746"/>
      <c r="H924" s="1409"/>
      <c r="I924" s="1410"/>
      <c r="J924"/>
      <c r="K924"/>
      <c r="L924"/>
      <c r="M924"/>
      <c r="N924"/>
      <c r="O924"/>
      <c r="P924"/>
      <c r="Q924"/>
      <c r="R924"/>
      <c r="S924"/>
      <c r="T924"/>
      <c r="U924"/>
      <c r="V924"/>
      <c r="W924"/>
      <c r="X924"/>
      <c r="Y924"/>
      <c r="Z924"/>
      <c r="AA924"/>
      <c r="AB924"/>
      <c r="AC924"/>
      <c r="AD924"/>
      <c r="AE924"/>
      <c r="AF924"/>
      <c r="AG924"/>
      <c r="AH924"/>
      <c r="AI924"/>
      <c r="AJ924"/>
      <c r="AK924"/>
      <c r="AL924"/>
      <c r="AM924"/>
      <c r="AN924"/>
      <c r="AO924"/>
      <c r="AP924"/>
      <c r="AQ924"/>
      <c r="AR924"/>
      <c r="AS924"/>
      <c r="AT924"/>
      <c r="AU924"/>
      <c r="AV924"/>
      <c r="AW924"/>
      <c r="AX924"/>
      <c r="AY924"/>
      <c r="AZ924"/>
      <c r="BA924"/>
      <c r="BB924"/>
      <c r="BC924"/>
      <c r="BD924"/>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c r="EB924"/>
      <c r="EC924"/>
      <c r="ED924"/>
      <c r="EE924"/>
      <c r="EF924"/>
      <c r="EG924"/>
      <c r="EH924"/>
      <c r="EI924"/>
      <c r="EJ924"/>
      <c r="EK924"/>
      <c r="EL924"/>
      <c r="EM924"/>
      <c r="EN924"/>
      <c r="EO924"/>
      <c r="EP924"/>
      <c r="EQ924"/>
      <c r="ER924"/>
      <c r="ES924"/>
      <c r="ET924"/>
      <c r="EU924"/>
      <c r="EV924"/>
      <c r="EW924"/>
      <c r="EX924"/>
      <c r="EY924"/>
      <c r="EZ924"/>
      <c r="FA924"/>
      <c r="FB924"/>
      <c r="FC924"/>
      <c r="FD924"/>
      <c r="FE924"/>
      <c r="FF924"/>
      <c r="FG924"/>
      <c r="FH924"/>
      <c r="FI924"/>
      <c r="FJ924"/>
      <c r="FK924"/>
      <c r="FL924"/>
      <c r="FM924"/>
      <c r="FN924"/>
      <c r="FO924"/>
      <c r="FP924"/>
      <c r="FQ924"/>
      <c r="FR924"/>
      <c r="FS924"/>
      <c r="FT924"/>
      <c r="FU924"/>
      <c r="FV924"/>
      <c r="FW924"/>
      <c r="FX924"/>
      <c r="FY924"/>
      <c r="FZ924"/>
      <c r="GA924"/>
      <c r="GB924"/>
      <c r="GC924"/>
      <c r="GD924"/>
      <c r="GE924"/>
      <c r="GF924"/>
      <c r="GG924"/>
      <c r="GH924"/>
      <c r="GI924"/>
      <c r="GJ924"/>
      <c r="GK924"/>
      <c r="GL924"/>
      <c r="GM924"/>
      <c r="GN924"/>
      <c r="GO924"/>
      <c r="GP924"/>
      <c r="GQ924"/>
      <c r="GR924"/>
      <c r="GS924"/>
      <c r="GT924"/>
      <c r="GU924"/>
      <c r="GV924"/>
      <c r="GW924"/>
      <c r="GX924"/>
      <c r="GY924"/>
      <c r="GZ924"/>
      <c r="HA924"/>
      <c r="HB924"/>
      <c r="HC924"/>
      <c r="HD924"/>
      <c r="HE924"/>
      <c r="HF924"/>
      <c r="HG924"/>
      <c r="HH924"/>
      <c r="HI924"/>
      <c r="HJ924"/>
      <c r="HK924"/>
      <c r="HL924"/>
      <c r="HM924"/>
      <c r="HN924"/>
      <c r="HO924"/>
      <c r="HP924"/>
      <c r="HQ924"/>
      <c r="HR924"/>
      <c r="HS924"/>
      <c r="HT924"/>
      <c r="HU924"/>
      <c r="HV924"/>
      <c r="HW924"/>
      <c r="HX924"/>
      <c r="HY924"/>
      <c r="HZ924"/>
      <c r="IA924"/>
      <c r="IB924"/>
      <c r="IC924"/>
      <c r="ID924"/>
      <c r="IE924"/>
      <c r="IF924"/>
      <c r="IG924"/>
      <c r="IH924"/>
      <c r="II924"/>
      <c r="IJ924"/>
      <c r="IK924"/>
      <c r="IL924"/>
      <c r="IM924"/>
      <c r="IN924"/>
      <c r="IO924"/>
      <c r="IP924"/>
      <c r="IQ924"/>
      <c r="IR924"/>
      <c r="IS924"/>
    </row>
    <row r="925" spans="1:253" s="488" customFormat="1" ht="13.5" customHeight="1" x14ac:dyDescent="0.2">
      <c r="A925" s="716"/>
      <c r="B925" s="889" t="s">
        <v>976</v>
      </c>
      <c r="C925" s="772">
        <v>0</v>
      </c>
      <c r="D925" s="1030"/>
      <c r="E925" s="750"/>
      <c r="F925" s="750"/>
      <c r="G925" s="772"/>
      <c r="H925" s="1466"/>
      <c r="I925" s="1467"/>
    </row>
    <row r="926" spans="1:253" s="488" customFormat="1" ht="25.5" x14ac:dyDescent="0.2">
      <c r="A926" s="1498"/>
      <c r="B926" s="1488" t="s">
        <v>2002</v>
      </c>
      <c r="C926" s="1499">
        <v>300000</v>
      </c>
      <c r="D926" s="1500"/>
      <c r="E926" s="1501"/>
      <c r="F926" s="1501"/>
      <c r="G926" s="1499"/>
      <c r="H926" s="1466"/>
      <c r="I926" s="1467"/>
    </row>
    <row r="927" spans="1:253" s="488" customFormat="1" ht="13.5" customHeight="1" x14ac:dyDescent="0.2">
      <c r="A927" s="1432"/>
      <c r="B927" s="1502" t="s">
        <v>2003</v>
      </c>
      <c r="C927" s="772">
        <v>180000</v>
      </c>
      <c r="D927" s="1030"/>
      <c r="E927" s="750"/>
      <c r="F927" s="750"/>
      <c r="G927" s="772"/>
      <c r="H927" s="1466"/>
      <c r="I927" s="1467"/>
    </row>
    <row r="928" spans="1:253" s="488" customFormat="1" ht="13.5" customHeight="1" x14ac:dyDescent="0.2">
      <c r="A928" s="748"/>
      <c r="B928" s="889" t="s">
        <v>2004</v>
      </c>
      <c r="C928" s="772">
        <v>500000</v>
      </c>
      <c r="D928" s="1030"/>
      <c r="E928" s="750"/>
      <c r="F928" s="750"/>
      <c r="G928" s="772"/>
      <c r="H928" s="1466"/>
      <c r="I928" s="1467"/>
    </row>
    <row r="929" spans="1:252" s="488" customFormat="1" ht="13.5" customHeight="1" x14ac:dyDescent="0.2">
      <c r="A929" s="1432"/>
      <c r="B929" s="1503" t="s">
        <v>2005</v>
      </c>
      <c r="C929" s="856">
        <v>300000</v>
      </c>
      <c r="D929" s="1041"/>
      <c r="E929" s="1042"/>
      <c r="F929" s="1042"/>
      <c r="G929" s="856"/>
      <c r="H929" s="1466"/>
      <c r="I929" s="1467"/>
    </row>
    <row r="930" spans="1:252" s="488" customFormat="1" ht="13.5" customHeight="1" x14ac:dyDescent="0.2">
      <c r="A930" s="1442"/>
      <c r="B930" s="1443" t="s">
        <v>2006</v>
      </c>
      <c r="C930" s="820">
        <v>250000</v>
      </c>
      <c r="D930" s="1445"/>
      <c r="E930" s="1045"/>
      <c r="F930" s="1045"/>
      <c r="G930" s="820"/>
      <c r="H930" s="1466"/>
      <c r="I930" s="1467"/>
    </row>
    <row r="931" spans="1:252" s="488" customFormat="1" ht="13.5" customHeight="1" x14ac:dyDescent="0.2">
      <c r="A931" s="1504"/>
      <c r="B931" s="1505"/>
      <c r="C931" s="1506"/>
      <c r="D931" s="1507"/>
      <c r="E931" s="1508"/>
      <c r="F931" s="1509"/>
      <c r="G931" s="1506"/>
      <c r="H931" s="1510"/>
      <c r="I931" s="1511"/>
    </row>
    <row r="932" spans="1:252" s="545" customFormat="1" ht="20.25" x14ac:dyDescent="0.3">
      <c r="A932" s="1212"/>
      <c r="B932" s="701" t="s">
        <v>52</v>
      </c>
      <c r="C932" s="1217">
        <f>SUM(C933+C938+C940)</f>
        <v>350000</v>
      </c>
      <c r="D932" s="648"/>
      <c r="E932" s="648"/>
      <c r="F932" s="1205"/>
      <c r="G932" s="1217"/>
      <c r="H932" s="1512"/>
      <c r="I932" s="688"/>
      <c r="IL932" s="98"/>
      <c r="IM932" s="98"/>
      <c r="IN932" s="98"/>
      <c r="IO932" s="98"/>
      <c r="IP932" s="98"/>
      <c r="IQ932" s="98"/>
      <c r="IR932" s="98"/>
    </row>
    <row r="933" spans="1:252" s="545" customFormat="1" x14ac:dyDescent="0.2">
      <c r="A933" s="764">
        <v>2169</v>
      </c>
      <c r="B933" s="709" t="s">
        <v>2007</v>
      </c>
      <c r="C933" s="731">
        <f>SUM(C934:C937)</f>
        <v>250000</v>
      </c>
      <c r="D933" s="1084"/>
      <c r="E933" s="172"/>
      <c r="F933" s="765"/>
      <c r="G933" s="731"/>
      <c r="H933" s="1513"/>
      <c r="I933" s="1514"/>
      <c r="IL933" s="98"/>
      <c r="IM933" s="98"/>
      <c r="IN933" s="98"/>
      <c r="IO933" s="98"/>
      <c r="IP933" s="98"/>
      <c r="IQ933" s="98"/>
      <c r="IR933" s="98"/>
    </row>
    <row r="934" spans="1:252" s="545" customFormat="1" x14ac:dyDescent="0.2">
      <c r="A934" s="764"/>
      <c r="B934" s="766" t="s">
        <v>982</v>
      </c>
      <c r="C934" s="738">
        <v>47000</v>
      </c>
      <c r="D934" s="178"/>
      <c r="E934" s="178"/>
      <c r="F934" s="750"/>
      <c r="G934" s="738"/>
      <c r="H934" s="1515"/>
      <c r="I934" s="1516"/>
      <c r="IL934" s="98"/>
      <c r="IM934" s="98"/>
      <c r="IN934" s="98"/>
      <c r="IO934" s="98"/>
      <c r="IP934" s="98"/>
      <c r="IQ934" s="98"/>
      <c r="IR934" s="98"/>
    </row>
    <row r="935" spans="1:252" s="545" customFormat="1" x14ac:dyDescent="0.2">
      <c r="A935" s="764"/>
      <c r="B935" s="766" t="s">
        <v>983</v>
      </c>
      <c r="C935" s="738">
        <v>200000</v>
      </c>
      <c r="D935" s="178"/>
      <c r="E935" s="178"/>
      <c r="F935" s="750"/>
      <c r="G935" s="738"/>
      <c r="H935" s="1515"/>
      <c r="I935" s="1516"/>
      <c r="IL935" s="98"/>
      <c r="IM935" s="98"/>
      <c r="IN935" s="98"/>
      <c r="IO935" s="98"/>
      <c r="IP935" s="98"/>
      <c r="IQ935" s="98"/>
      <c r="IR935" s="98"/>
    </row>
    <row r="936" spans="1:252" s="545" customFormat="1" x14ac:dyDescent="0.2">
      <c r="A936" s="764"/>
      <c r="B936" s="766" t="s">
        <v>2008</v>
      </c>
      <c r="C936" s="738">
        <v>0</v>
      </c>
      <c r="D936" s="178"/>
      <c r="E936" s="178"/>
      <c r="F936" s="750"/>
      <c r="G936" s="738"/>
      <c r="H936" s="1515"/>
      <c r="I936" s="1516"/>
      <c r="IL936" s="98"/>
      <c r="IM936" s="98"/>
      <c r="IN936" s="98"/>
      <c r="IO936" s="98"/>
      <c r="IP936" s="98"/>
      <c r="IQ936" s="98"/>
      <c r="IR936" s="98"/>
    </row>
    <row r="937" spans="1:252" s="545" customFormat="1" x14ac:dyDescent="0.2">
      <c r="A937" s="764"/>
      <c r="B937" s="766" t="s">
        <v>984</v>
      </c>
      <c r="C937" s="738">
        <v>3000</v>
      </c>
      <c r="D937" s="178"/>
      <c r="E937" s="178"/>
      <c r="F937" s="750"/>
      <c r="G937" s="738"/>
      <c r="H937" s="1515"/>
      <c r="I937" s="1516"/>
      <c r="IL937" s="98"/>
      <c r="IM937" s="98"/>
      <c r="IN937" s="98"/>
      <c r="IO937" s="98"/>
      <c r="IP937" s="98"/>
      <c r="IQ937" s="98"/>
      <c r="IR937" s="98"/>
    </row>
    <row r="938" spans="1:252" s="545" customFormat="1" x14ac:dyDescent="0.2">
      <c r="A938" s="771">
        <v>3635</v>
      </c>
      <c r="B938" s="717" t="s">
        <v>986</v>
      </c>
      <c r="C938" s="726">
        <f>SUM(C939:C939)</f>
        <v>100000</v>
      </c>
      <c r="D938" s="181"/>
      <c r="E938" s="181"/>
      <c r="F938" s="726"/>
      <c r="G938" s="726"/>
      <c r="H938" s="1515"/>
      <c r="I938" s="1516"/>
      <c r="IL938" s="98"/>
      <c r="IM938" s="98"/>
      <c r="IN938" s="98"/>
      <c r="IO938" s="98"/>
      <c r="IP938" s="98"/>
      <c r="IQ938" s="98"/>
      <c r="IR938" s="98"/>
    </row>
    <row r="939" spans="1:252" s="545" customFormat="1" x14ac:dyDescent="0.2">
      <c r="A939" s="776"/>
      <c r="B939" s="737" t="s">
        <v>2009</v>
      </c>
      <c r="C939" s="738">
        <v>100000</v>
      </c>
      <c r="D939" s="185"/>
      <c r="E939" s="185"/>
      <c r="F939" s="1517"/>
      <c r="G939" s="738"/>
      <c r="H939" s="1518"/>
      <c r="I939" s="1519"/>
      <c r="IL939" s="98"/>
      <c r="IM939" s="98"/>
      <c r="IN939" s="98"/>
      <c r="IO939" s="98"/>
      <c r="IP939" s="98"/>
      <c r="IQ939" s="98"/>
      <c r="IR939" s="98"/>
    </row>
    <row r="940" spans="1:252" s="545" customFormat="1" ht="15.75" x14ac:dyDescent="0.25">
      <c r="A940" s="1520"/>
      <c r="B940" s="763" t="s">
        <v>991</v>
      </c>
      <c r="C940" s="1521">
        <f>C941</f>
        <v>0</v>
      </c>
      <c r="D940" s="1521"/>
      <c r="E940" s="1521"/>
      <c r="F940" s="1521"/>
      <c r="G940" s="1521"/>
      <c r="H940" s="1512"/>
      <c r="I940" s="688"/>
      <c r="IL940" s="98"/>
      <c r="IM940" s="98"/>
      <c r="IN940" s="98"/>
      <c r="IO940" s="98"/>
      <c r="IP940" s="98"/>
      <c r="IQ940" s="98"/>
      <c r="IR940" s="98"/>
    </row>
    <row r="941" spans="1:252" s="545" customFormat="1" x14ac:dyDescent="0.2">
      <c r="A941" s="1147">
        <v>3699</v>
      </c>
      <c r="B941" s="709" t="s">
        <v>2010</v>
      </c>
      <c r="C941" s="731">
        <v>0</v>
      </c>
      <c r="D941" s="172"/>
      <c r="E941" s="172"/>
      <c r="F941" s="731"/>
      <c r="G941" s="731"/>
      <c r="H941" s="1513"/>
      <c r="I941" s="1514"/>
      <c r="IL941" s="98"/>
      <c r="IM941" s="98"/>
      <c r="IN941" s="98"/>
      <c r="IO941" s="98"/>
      <c r="IP941" s="98"/>
      <c r="IQ941" s="98"/>
      <c r="IR941" s="98"/>
    </row>
    <row r="942" spans="1:252" s="550" customFormat="1" x14ac:dyDescent="0.2">
      <c r="A942" s="1373"/>
      <c r="B942" s="1236"/>
      <c r="C942" s="1042"/>
      <c r="D942" s="185"/>
      <c r="E942" s="185"/>
      <c r="F942" s="1042"/>
      <c r="G942" s="1042"/>
      <c r="H942" s="1522"/>
      <c r="I942" s="1523"/>
      <c r="IL942" s="1"/>
      <c r="IM942" s="1"/>
      <c r="IN942" s="1"/>
      <c r="IO942" s="1"/>
      <c r="IP942" s="1"/>
      <c r="IQ942" s="1"/>
      <c r="IR942" s="1"/>
    </row>
    <row r="943" spans="1:252" s="244" customFormat="1" ht="20.25" x14ac:dyDescent="0.3">
      <c r="A943" s="1195"/>
      <c r="B943" s="1051" t="s">
        <v>54</v>
      </c>
      <c r="C943" s="662">
        <f t="shared" ref="C943:I943" si="23">C944+C945+C948+C949+C950+C951+C952+C953+C956+C963</f>
        <v>36990000</v>
      </c>
      <c r="D943" s="662">
        <f t="shared" si="23"/>
        <v>65886195.600000001</v>
      </c>
      <c r="E943" s="662">
        <f t="shared" si="23"/>
        <v>50092701.920000002</v>
      </c>
      <c r="F943" s="662">
        <f t="shared" si="23"/>
        <v>53910050</v>
      </c>
      <c r="G943" s="662">
        <f t="shared" si="23"/>
        <v>37880000</v>
      </c>
      <c r="H943" s="662">
        <f t="shared" si="23"/>
        <v>37830000</v>
      </c>
      <c r="I943" s="652">
        <f t="shared" si="23"/>
        <v>37830000</v>
      </c>
    </row>
    <row r="944" spans="1:252" s="553" customFormat="1" ht="25.5" x14ac:dyDescent="0.2">
      <c r="A944" s="1524" t="s">
        <v>2011</v>
      </c>
      <c r="B944" s="1208" t="s">
        <v>2012</v>
      </c>
      <c r="C944" s="765">
        <v>0</v>
      </c>
      <c r="D944" s="745">
        <v>0</v>
      </c>
      <c r="E944" s="745">
        <v>-1000</v>
      </c>
      <c r="F944" s="844">
        <v>0</v>
      </c>
      <c r="G944" s="765">
        <v>0</v>
      </c>
      <c r="H944" s="765">
        <v>0</v>
      </c>
      <c r="I944" s="765">
        <v>0</v>
      </c>
    </row>
    <row r="945" spans="1:10" s="98" customFormat="1" ht="13.5" customHeight="1" x14ac:dyDescent="0.3">
      <c r="A945" s="716" t="s">
        <v>2013</v>
      </c>
      <c r="B945" s="717" t="s">
        <v>2014</v>
      </c>
      <c r="C945" s="731">
        <f>C946+C947</f>
        <v>0</v>
      </c>
      <c r="D945" s="746"/>
      <c r="E945" s="746"/>
      <c r="F945" s="746"/>
      <c r="G945" s="731"/>
      <c r="H945" s="769"/>
      <c r="I945" s="770"/>
      <c r="J945" s="557"/>
    </row>
    <row r="946" spans="1:10" s="98" customFormat="1" ht="24.75" x14ac:dyDescent="0.3">
      <c r="A946" s="771"/>
      <c r="B946" s="1525" t="s">
        <v>2015</v>
      </c>
      <c r="C946" s="738">
        <v>0</v>
      </c>
      <c r="D946" s="968"/>
      <c r="E946" s="772"/>
      <c r="F946" s="772"/>
      <c r="G946" s="738"/>
      <c r="H946" s="769"/>
      <c r="I946" s="770"/>
      <c r="J946" s="557"/>
    </row>
    <row r="947" spans="1:10" s="98" customFormat="1" ht="20.25" x14ac:dyDescent="0.3">
      <c r="A947" s="771"/>
      <c r="B947" s="1525" t="s">
        <v>2016</v>
      </c>
      <c r="C947" s="738">
        <v>0</v>
      </c>
      <c r="D947" s="772"/>
      <c r="E947" s="772"/>
      <c r="F947" s="772"/>
      <c r="G947" s="738"/>
      <c r="H947" s="769"/>
      <c r="I947" s="770"/>
      <c r="J947" s="557"/>
    </row>
    <row r="948" spans="1:10" s="98" customFormat="1" ht="13.5" customHeight="1" x14ac:dyDescent="0.3">
      <c r="A948" s="771">
        <v>3612</v>
      </c>
      <c r="B948" s="1035" t="s">
        <v>2017</v>
      </c>
      <c r="C948" s="731">
        <v>800000</v>
      </c>
      <c r="D948" s="732">
        <v>800000</v>
      </c>
      <c r="E948" s="732">
        <v>550671.98</v>
      </c>
      <c r="F948" s="734">
        <v>800000</v>
      </c>
      <c r="G948" s="731">
        <v>700000</v>
      </c>
      <c r="H948" s="1116">
        <v>700000</v>
      </c>
      <c r="I948" s="731">
        <v>700000</v>
      </c>
      <c r="J948" s="557"/>
    </row>
    <row r="949" spans="1:10" s="98" customFormat="1" ht="13.5" customHeight="1" x14ac:dyDescent="0.3">
      <c r="A949" s="771">
        <v>3634</v>
      </c>
      <c r="B949" s="717" t="s">
        <v>2018</v>
      </c>
      <c r="C949" s="731">
        <v>0</v>
      </c>
      <c r="D949" s="972"/>
      <c r="E949" s="732"/>
      <c r="F949" s="734"/>
      <c r="G949" s="731"/>
      <c r="H949" s="769"/>
      <c r="I949" s="770"/>
      <c r="J949" s="558"/>
    </row>
    <row r="950" spans="1:10" s="553" customFormat="1" ht="13.5" customHeight="1" x14ac:dyDescent="0.2">
      <c r="A950" s="1207" t="s">
        <v>2019</v>
      </c>
      <c r="B950" s="709" t="s">
        <v>2020</v>
      </c>
      <c r="C950" s="731">
        <v>250000</v>
      </c>
      <c r="D950" s="745">
        <v>250000</v>
      </c>
      <c r="E950" s="745">
        <v>131094</v>
      </c>
      <c r="F950" s="746">
        <v>200000</v>
      </c>
      <c r="G950" s="731">
        <v>200000</v>
      </c>
      <c r="H950" s="1116">
        <v>200000</v>
      </c>
      <c r="I950" s="731">
        <v>200000</v>
      </c>
    </row>
    <row r="951" spans="1:10" ht="25.5" x14ac:dyDescent="0.2">
      <c r="A951" s="771">
        <v>6171</v>
      </c>
      <c r="B951" s="1526" t="s">
        <v>2021</v>
      </c>
      <c r="C951" s="731">
        <v>100000</v>
      </c>
      <c r="D951" s="882">
        <f>99000+1000</f>
        <v>100000</v>
      </c>
      <c r="E951" s="882">
        <f>33880+500</f>
        <v>34380</v>
      </c>
      <c r="F951" s="746">
        <f>74000+1000</f>
        <v>75000</v>
      </c>
      <c r="G951" s="731">
        <f>79000+1000</f>
        <v>80000</v>
      </c>
      <c r="H951" s="1116">
        <f>79000+1000</f>
        <v>80000</v>
      </c>
      <c r="I951" s="731">
        <f>79000+1000</f>
        <v>80000</v>
      </c>
    </row>
    <row r="952" spans="1:10" ht="13.5" customHeight="1" x14ac:dyDescent="0.2">
      <c r="A952" s="771">
        <v>6310</v>
      </c>
      <c r="B952" s="717" t="s">
        <v>2022</v>
      </c>
      <c r="C952" s="731">
        <v>400000</v>
      </c>
      <c r="D952" s="745">
        <v>400000</v>
      </c>
      <c r="E952" s="745">
        <f>324912.86+0.08</f>
        <v>324912.94</v>
      </c>
      <c r="F952" s="732">
        <v>400000</v>
      </c>
      <c r="G952" s="732">
        <v>400000</v>
      </c>
      <c r="H952" s="732">
        <v>400000</v>
      </c>
      <c r="I952" s="734">
        <v>400000</v>
      </c>
    </row>
    <row r="953" spans="1:10" ht="13.5" customHeight="1" x14ac:dyDescent="0.2">
      <c r="A953" s="771">
        <v>6399</v>
      </c>
      <c r="B953" s="717" t="s">
        <v>1005</v>
      </c>
      <c r="C953" s="726">
        <f t="shared" ref="C953:I953" si="24">SUM(C954:C955)</f>
        <v>32000000</v>
      </c>
      <c r="D953" s="726">
        <f t="shared" si="24"/>
        <v>48435050</v>
      </c>
      <c r="E953" s="726">
        <f t="shared" si="24"/>
        <v>49052643</v>
      </c>
      <c r="F953" s="726">
        <f t="shared" si="24"/>
        <v>49435050</v>
      </c>
      <c r="G953" s="726">
        <f t="shared" si="24"/>
        <v>33000000</v>
      </c>
      <c r="H953" s="1033">
        <f t="shared" si="24"/>
        <v>32950000</v>
      </c>
      <c r="I953" s="726">
        <f t="shared" si="24"/>
        <v>32950000</v>
      </c>
    </row>
    <row r="954" spans="1:10" ht="13.5" customHeight="1" x14ac:dyDescent="0.2">
      <c r="A954" s="776"/>
      <c r="B954" s="737" t="s">
        <v>2023</v>
      </c>
      <c r="C954" s="1230">
        <v>30000000</v>
      </c>
      <c r="D954" s="1527">
        <v>46435050</v>
      </c>
      <c r="E954" s="1527">
        <v>46435050</v>
      </c>
      <c r="F954" s="1527">
        <v>46435050</v>
      </c>
      <c r="G954" s="1230">
        <v>30000000</v>
      </c>
      <c r="H954" s="727">
        <v>29950000</v>
      </c>
      <c r="I954" s="727">
        <v>29950000</v>
      </c>
    </row>
    <row r="955" spans="1:10" ht="13.5" customHeight="1" x14ac:dyDescent="0.2">
      <c r="A955" s="776"/>
      <c r="B955" s="737" t="s">
        <v>2024</v>
      </c>
      <c r="C955" s="738">
        <v>2000000</v>
      </c>
      <c r="D955" s="739">
        <v>2000000</v>
      </c>
      <c r="E955" s="739">
        <v>2617593</v>
      </c>
      <c r="F955" s="767">
        <v>3000000</v>
      </c>
      <c r="G955" s="767">
        <v>3000000</v>
      </c>
      <c r="H955" s="767">
        <v>3000000</v>
      </c>
      <c r="I955" s="767">
        <v>3000000</v>
      </c>
    </row>
    <row r="956" spans="1:10" s="98" customFormat="1" ht="13.5" customHeight="1" x14ac:dyDescent="0.3">
      <c r="A956" s="771">
        <v>6402</v>
      </c>
      <c r="B956" s="717" t="s">
        <v>1008</v>
      </c>
      <c r="C956" s="726">
        <f>SUM(C957:C962)</f>
        <v>0</v>
      </c>
      <c r="D956" s="181"/>
      <c r="E956" s="181"/>
      <c r="F956" s="726"/>
      <c r="G956" s="726"/>
      <c r="H956" s="769"/>
      <c r="I956" s="770"/>
      <c r="J956" s="558"/>
    </row>
    <row r="957" spans="1:10" s="2" customFormat="1" ht="13.5" customHeight="1" x14ac:dyDescent="0.3">
      <c r="A957" s="1034"/>
      <c r="B957" s="1035" t="s">
        <v>2025</v>
      </c>
      <c r="C957" s="738">
        <v>0</v>
      </c>
      <c r="D957" s="113"/>
      <c r="E957" s="178"/>
      <c r="F957" s="750"/>
      <c r="G957" s="738"/>
      <c r="H957" s="902"/>
      <c r="I957" s="815"/>
      <c r="J957" s="558"/>
    </row>
    <row r="958" spans="1:10" s="2" customFormat="1" ht="13.5" customHeight="1" x14ac:dyDescent="0.3">
      <c r="A958" s="1034"/>
      <c r="B958" s="1035" t="s">
        <v>2026</v>
      </c>
      <c r="C958" s="738">
        <v>0</v>
      </c>
      <c r="D958" s="113"/>
      <c r="E958" s="178"/>
      <c r="F958" s="750"/>
      <c r="G958" s="738"/>
      <c r="H958" s="902"/>
      <c r="I958" s="815"/>
      <c r="J958" s="558"/>
    </row>
    <row r="959" spans="1:10" s="2" customFormat="1" ht="13.5" customHeight="1" x14ac:dyDescent="0.3">
      <c r="A959" s="1034"/>
      <c r="B959" s="1035" t="s">
        <v>2027</v>
      </c>
      <c r="C959" s="738">
        <v>0</v>
      </c>
      <c r="D959" s="113"/>
      <c r="E959" s="178"/>
      <c r="F959" s="750"/>
      <c r="G959" s="738"/>
      <c r="H959" s="902"/>
      <c r="I959" s="815"/>
      <c r="J959" s="558"/>
    </row>
    <row r="960" spans="1:10" s="2" customFormat="1" ht="13.5" customHeight="1" x14ac:dyDescent="0.3">
      <c r="A960" s="1034"/>
      <c r="B960" s="1528" t="s">
        <v>2028</v>
      </c>
      <c r="C960" s="738">
        <v>0</v>
      </c>
      <c r="D960" s="968"/>
      <c r="E960" s="739"/>
      <c r="F960" s="772"/>
      <c r="G960" s="738"/>
      <c r="H960" s="902"/>
      <c r="I960" s="815"/>
      <c r="J960" s="558"/>
    </row>
    <row r="961" spans="1:10" s="2" customFormat="1" ht="13.5" customHeight="1" x14ac:dyDescent="0.3">
      <c r="A961" s="1034"/>
      <c r="B961" s="1035" t="s">
        <v>2029</v>
      </c>
      <c r="C961" s="738">
        <v>0</v>
      </c>
      <c r="D961" s="178"/>
      <c r="E961" s="178"/>
      <c r="F961" s="750"/>
      <c r="G961" s="738"/>
      <c r="H961" s="902"/>
      <c r="I961" s="815"/>
      <c r="J961" s="558"/>
    </row>
    <row r="962" spans="1:10" s="2" customFormat="1" ht="13.5" customHeight="1" x14ac:dyDescent="0.3">
      <c r="A962" s="1034"/>
      <c r="B962" s="1035" t="s">
        <v>2030</v>
      </c>
      <c r="C962" s="738">
        <v>0</v>
      </c>
      <c r="D962" s="178"/>
      <c r="E962" s="178"/>
      <c r="F962" s="750"/>
      <c r="G962" s="738"/>
      <c r="H962" s="902"/>
      <c r="I962" s="815"/>
      <c r="J962" s="558"/>
    </row>
    <row r="963" spans="1:10" s="244" customFormat="1" ht="13.5" customHeight="1" x14ac:dyDescent="0.25">
      <c r="A963" s="771">
        <v>6409</v>
      </c>
      <c r="B963" s="717" t="s">
        <v>1014</v>
      </c>
      <c r="C963" s="726">
        <f t="shared" ref="C963:I963" si="25">SUM(C964:C966)</f>
        <v>3440000</v>
      </c>
      <c r="D963" s="726">
        <f t="shared" si="25"/>
        <v>15901145.6</v>
      </c>
      <c r="E963" s="726">
        <f t="shared" si="25"/>
        <v>0</v>
      </c>
      <c r="F963" s="726">
        <f t="shared" si="25"/>
        <v>3000000</v>
      </c>
      <c r="G963" s="726">
        <f t="shared" si="25"/>
        <v>3500000</v>
      </c>
      <c r="H963" s="726">
        <f t="shared" si="25"/>
        <v>3500000</v>
      </c>
      <c r="I963" s="726">
        <f t="shared" si="25"/>
        <v>3500000</v>
      </c>
    </row>
    <row r="964" spans="1:10" s="98" customFormat="1" ht="13.5" customHeight="1" x14ac:dyDescent="0.2">
      <c r="A964" s="1529"/>
      <c r="B964" s="1530" t="s">
        <v>2031</v>
      </c>
      <c r="C964" s="1040">
        <f>3000000+361000-361000</f>
        <v>3000000</v>
      </c>
      <c r="D964" s="185">
        <v>15901145.6</v>
      </c>
      <c r="E964" s="185">
        <v>0</v>
      </c>
      <c r="F964" s="1042">
        <v>3000000</v>
      </c>
      <c r="G964" s="1042">
        <v>3000000</v>
      </c>
      <c r="H964" s="1042">
        <v>3000000</v>
      </c>
      <c r="I964" s="1042">
        <v>3000000</v>
      </c>
    </row>
    <row r="965" spans="1:10" s="98" customFormat="1" ht="38.25" x14ac:dyDescent="0.2">
      <c r="A965" s="809"/>
      <c r="B965" s="1258" t="s">
        <v>2032</v>
      </c>
      <c r="C965" s="1077">
        <v>440000</v>
      </c>
      <c r="D965" s="814"/>
      <c r="E965" s="814"/>
      <c r="F965" s="1077"/>
      <c r="G965" s="1077">
        <v>500000</v>
      </c>
      <c r="H965" s="1077">
        <v>500000</v>
      </c>
      <c r="I965" s="1077">
        <v>500000</v>
      </c>
    </row>
    <row r="966" spans="1:10" s="98" customFormat="1" ht="13.5" customHeight="1" x14ac:dyDescent="0.2">
      <c r="A966" s="1531" t="s">
        <v>2033</v>
      </c>
      <c r="B966" s="1532" t="s">
        <v>2034</v>
      </c>
      <c r="C966" s="1040">
        <v>0</v>
      </c>
      <c r="D966" s="1533"/>
      <c r="E966" s="1534"/>
      <c r="F966" s="1077"/>
      <c r="G966" s="1040"/>
      <c r="H966" s="769"/>
      <c r="I966" s="770"/>
    </row>
    <row r="967" spans="1:10" s="98" customFormat="1" ht="13.5" customHeight="1" x14ac:dyDescent="0.2">
      <c r="A967" s="1535"/>
      <c r="B967" s="1536"/>
      <c r="C967" s="1048"/>
      <c r="D967" s="32"/>
      <c r="E967" s="387"/>
      <c r="F967" s="1158"/>
      <c r="G967" s="1048"/>
      <c r="H967" s="1537"/>
      <c r="I967" s="1538"/>
    </row>
    <row r="968" spans="1:10" s="98" customFormat="1" ht="26.25" x14ac:dyDescent="0.35">
      <c r="A968" s="691"/>
      <c r="B968" s="1539" t="s">
        <v>55</v>
      </c>
      <c r="C968" s="1540">
        <f>SUM(C245+C359+C582+C585+C591+C600+C604+C609+C694+C698+C717+C726+C758+C765+C790+C932+C943)</f>
        <v>1012540563</v>
      </c>
      <c r="D968" s="696">
        <f t="shared" ref="D968:I968" si="26">SUM(D245+D359+D582+D585+D591+D600+D604+D609+D694+D698+D717+D726+D758+D765+D790+D932+D943)</f>
        <v>65886195.600000001</v>
      </c>
      <c r="E968" s="696">
        <f t="shared" si="26"/>
        <v>50092701.920000002</v>
      </c>
      <c r="F968" s="1541">
        <f t="shared" si="26"/>
        <v>53910050</v>
      </c>
      <c r="G968" s="1541">
        <f t="shared" si="26"/>
        <v>37880000</v>
      </c>
      <c r="H968" s="1541">
        <f t="shared" si="26"/>
        <v>37830000</v>
      </c>
      <c r="I968" s="1541">
        <f t="shared" si="26"/>
        <v>37830000</v>
      </c>
    </row>
    <row r="969" spans="1:10" ht="26.25" x14ac:dyDescent="0.2">
      <c r="B969" s="1542"/>
      <c r="H969" s="1"/>
      <c r="I969" s="1"/>
    </row>
    <row r="970" spans="1:10" ht="23.25" x14ac:dyDescent="0.35">
      <c r="B970" s="1543"/>
      <c r="F970" s="29"/>
      <c r="H970" s="1"/>
      <c r="I970" s="1"/>
    </row>
    <row r="971" spans="1:10" s="98" customFormat="1" ht="23.25" x14ac:dyDescent="0.35">
      <c r="A971" s="1"/>
      <c r="B971" s="1543"/>
      <c r="C971" s="1"/>
      <c r="D971" s="1"/>
      <c r="E971" s="1"/>
      <c r="F971" s="1"/>
      <c r="G971" s="1"/>
    </row>
    <row r="972" spans="1:10" s="98" customFormat="1" x14ac:dyDescent="0.2">
      <c r="A972" s="1"/>
      <c r="B972" s="564"/>
      <c r="C972" s="1"/>
      <c r="D972" s="1"/>
      <c r="E972" s="1"/>
      <c r="F972" s="1"/>
      <c r="G972" s="1"/>
    </row>
    <row r="973" spans="1:10" x14ac:dyDescent="0.2">
      <c r="H973" s="1"/>
      <c r="I973" s="1"/>
    </row>
    <row r="974" spans="1:10" x14ac:dyDescent="0.2">
      <c r="H974" s="1"/>
      <c r="I974" s="1"/>
    </row>
    <row r="975" spans="1:10" x14ac:dyDescent="0.2">
      <c r="H975" s="1"/>
      <c r="I975" s="1"/>
    </row>
    <row r="976" spans="1:10" x14ac:dyDescent="0.2">
      <c r="H976" s="1"/>
      <c r="I976" s="1"/>
    </row>
    <row r="977" spans="8:9" x14ac:dyDescent="0.2">
      <c r="H977" s="1"/>
      <c r="I977" s="1"/>
    </row>
    <row r="978" spans="8:9" x14ac:dyDescent="0.2">
      <c r="H978" s="1"/>
      <c r="I978" s="1"/>
    </row>
    <row r="979" spans="8:9" x14ac:dyDescent="0.2">
      <c r="H979" s="1"/>
      <c r="I979" s="1"/>
    </row>
    <row r="980" spans="8:9" x14ac:dyDescent="0.2">
      <c r="H980" s="1"/>
      <c r="I980" s="1"/>
    </row>
    <row r="981" spans="8:9" x14ac:dyDescent="0.2">
      <c r="H981" s="1"/>
      <c r="I981" s="1"/>
    </row>
    <row r="982" spans="8:9" x14ac:dyDescent="0.2">
      <c r="H982" s="1"/>
      <c r="I982" s="1"/>
    </row>
    <row r="983" spans="8:9" x14ac:dyDescent="0.2">
      <c r="H983" s="1"/>
      <c r="I983" s="1"/>
    </row>
    <row r="984" spans="8:9" x14ac:dyDescent="0.2">
      <c r="H984" s="1"/>
      <c r="I984" s="1"/>
    </row>
    <row r="985" spans="8:9" x14ac:dyDescent="0.2">
      <c r="H985" s="1"/>
      <c r="I985" s="1"/>
    </row>
    <row r="986" spans="8:9" x14ac:dyDescent="0.2">
      <c r="H986" s="1"/>
      <c r="I986" s="1"/>
    </row>
    <row r="987" spans="8:9" x14ac:dyDescent="0.2">
      <c r="H987" s="1"/>
      <c r="I987" s="1"/>
    </row>
    <row r="988" spans="8:9" x14ac:dyDescent="0.2">
      <c r="H988" s="1"/>
      <c r="I988" s="1"/>
    </row>
    <row r="989" spans="8:9" x14ac:dyDescent="0.2">
      <c r="H989" s="1"/>
      <c r="I989" s="1"/>
    </row>
    <row r="990" spans="8:9" x14ac:dyDescent="0.2">
      <c r="H990" s="1"/>
      <c r="I990" s="1"/>
    </row>
    <row r="991" spans="8:9" x14ac:dyDescent="0.2">
      <c r="H991" s="1"/>
      <c r="I991" s="1"/>
    </row>
    <row r="992" spans="8:9" x14ac:dyDescent="0.2">
      <c r="H992" s="1"/>
      <c r="I992" s="1"/>
    </row>
    <row r="993" spans="8:9" x14ac:dyDescent="0.2">
      <c r="H993" s="1"/>
      <c r="I993" s="1"/>
    </row>
    <row r="994" spans="8:9" x14ac:dyDescent="0.2">
      <c r="H994" s="1"/>
      <c r="I994" s="1"/>
    </row>
    <row r="995" spans="8:9" x14ac:dyDescent="0.2">
      <c r="H995" s="1"/>
      <c r="I995" s="1"/>
    </row>
    <row r="996" spans="8:9" x14ac:dyDescent="0.2">
      <c r="H996" s="1"/>
      <c r="I996" s="1"/>
    </row>
    <row r="997" spans="8:9" x14ac:dyDescent="0.2">
      <c r="H997" s="1"/>
      <c r="I997" s="1"/>
    </row>
    <row r="998" spans="8:9" x14ac:dyDescent="0.2">
      <c r="H998" s="1"/>
      <c r="I998" s="1"/>
    </row>
    <row r="999" spans="8:9" x14ac:dyDescent="0.2">
      <c r="H999" s="1"/>
      <c r="I999" s="1"/>
    </row>
    <row r="1000" spans="8:9" x14ac:dyDescent="0.2">
      <c r="H1000" s="1"/>
      <c r="I1000" s="1"/>
    </row>
    <row r="1001" spans="8:9" x14ac:dyDescent="0.2">
      <c r="H1001" s="1"/>
      <c r="I1001" s="1"/>
    </row>
    <row r="1002" spans="8:9" x14ac:dyDescent="0.2">
      <c r="H1002" s="1"/>
      <c r="I1002" s="1"/>
    </row>
    <row r="1003" spans="8:9" x14ac:dyDescent="0.2">
      <c r="H1003" s="1"/>
      <c r="I1003" s="1"/>
    </row>
    <row r="1004" spans="8:9" x14ac:dyDescent="0.2">
      <c r="H1004" s="1"/>
      <c r="I1004" s="1"/>
    </row>
    <row r="1005" spans="8:9" x14ac:dyDescent="0.2">
      <c r="H1005" s="1"/>
      <c r="I1005" s="1"/>
    </row>
    <row r="1006" spans="8:9" x14ac:dyDescent="0.2">
      <c r="H1006" s="1"/>
      <c r="I1006" s="1"/>
    </row>
    <row r="1007" spans="8:9" x14ac:dyDescent="0.2">
      <c r="H1007" s="1"/>
      <c r="I1007" s="1"/>
    </row>
    <row r="1008" spans="8:9" x14ac:dyDescent="0.2">
      <c r="H1008" s="1"/>
      <c r="I1008" s="1"/>
    </row>
    <row r="1009" spans="8:9" x14ac:dyDescent="0.2">
      <c r="H1009" s="1"/>
      <c r="I1009" s="1"/>
    </row>
    <row r="1010" spans="8:9" x14ac:dyDescent="0.2">
      <c r="H1010" s="1"/>
      <c r="I1010" s="1"/>
    </row>
    <row r="1011" spans="8:9" x14ac:dyDescent="0.2">
      <c r="H1011" s="1"/>
      <c r="I1011" s="1"/>
    </row>
    <row r="1012" spans="8:9" x14ac:dyDescent="0.2">
      <c r="H1012" s="1"/>
      <c r="I1012" s="1"/>
    </row>
    <row r="1013" spans="8:9" x14ac:dyDescent="0.2">
      <c r="H1013" s="1"/>
      <c r="I1013" s="1"/>
    </row>
    <row r="1014" spans="8:9" x14ac:dyDescent="0.2">
      <c r="H1014" s="1"/>
      <c r="I1014" s="1"/>
    </row>
    <row r="1015" spans="8:9" x14ac:dyDescent="0.2">
      <c r="H1015" s="1"/>
      <c r="I1015" s="1"/>
    </row>
    <row r="1016" spans="8:9" x14ac:dyDescent="0.2">
      <c r="H1016" s="1"/>
      <c r="I1016" s="1"/>
    </row>
    <row r="1017" spans="8:9" x14ac:dyDescent="0.2">
      <c r="H1017" s="1"/>
      <c r="I1017" s="1"/>
    </row>
    <row r="1018" spans="8:9" x14ac:dyDescent="0.2">
      <c r="H1018" s="1"/>
      <c r="I1018" s="1"/>
    </row>
    <row r="1019" spans="8:9" x14ac:dyDescent="0.2">
      <c r="H1019" s="1"/>
      <c r="I1019" s="1"/>
    </row>
    <row r="1020" spans="8:9" x14ac:dyDescent="0.2">
      <c r="H1020" s="1"/>
      <c r="I1020" s="1"/>
    </row>
    <row r="1021" spans="8:9" x14ac:dyDescent="0.2">
      <c r="H1021" s="1"/>
      <c r="I1021" s="1"/>
    </row>
    <row r="1022" spans="8:9" x14ac:dyDescent="0.2">
      <c r="H1022" s="1"/>
      <c r="I1022" s="1"/>
    </row>
    <row r="1023" spans="8:9" x14ac:dyDescent="0.2">
      <c r="H1023" s="1"/>
      <c r="I1023" s="1"/>
    </row>
    <row r="1024" spans="8:9" x14ac:dyDescent="0.2">
      <c r="H1024" s="1"/>
      <c r="I1024" s="1"/>
    </row>
    <row r="1025" spans="8:9" x14ac:dyDescent="0.2">
      <c r="H1025" s="1"/>
      <c r="I1025" s="1"/>
    </row>
    <row r="1026" spans="8:9" x14ac:dyDescent="0.2">
      <c r="H1026" s="1"/>
      <c r="I1026" s="1"/>
    </row>
    <row r="1027" spans="8:9" x14ac:dyDescent="0.2">
      <c r="H1027" s="1"/>
      <c r="I1027" s="1"/>
    </row>
    <row r="1028" spans="8:9" x14ac:dyDescent="0.2">
      <c r="H1028" s="1"/>
      <c r="I1028" s="1"/>
    </row>
    <row r="1029" spans="8:9" x14ac:dyDescent="0.2">
      <c r="H1029" s="1"/>
      <c r="I1029" s="1"/>
    </row>
    <row r="1030" spans="8:9" x14ac:dyDescent="0.2">
      <c r="H1030" s="1"/>
      <c r="I1030" s="1"/>
    </row>
    <row r="1031" spans="8:9" x14ac:dyDescent="0.2">
      <c r="H1031" s="1"/>
      <c r="I1031" s="1"/>
    </row>
    <row r="1032" spans="8:9" x14ac:dyDescent="0.2">
      <c r="H1032" s="1"/>
      <c r="I1032" s="1"/>
    </row>
    <row r="1033" spans="8:9" x14ac:dyDescent="0.2">
      <c r="H1033" s="1"/>
      <c r="I1033" s="1"/>
    </row>
    <row r="1034" spans="8:9" x14ac:dyDescent="0.2">
      <c r="H1034" s="1"/>
      <c r="I1034" s="1"/>
    </row>
    <row r="1035" spans="8:9" x14ac:dyDescent="0.2">
      <c r="H1035" s="1"/>
      <c r="I1035" s="1"/>
    </row>
    <row r="1036" spans="8:9" x14ac:dyDescent="0.2">
      <c r="H1036" s="1"/>
      <c r="I1036" s="1"/>
    </row>
    <row r="1037" spans="8:9" x14ac:dyDescent="0.2">
      <c r="H1037" s="1"/>
      <c r="I1037" s="1"/>
    </row>
    <row r="1038" spans="8:9" x14ac:dyDescent="0.2">
      <c r="H1038" s="1"/>
      <c r="I1038" s="1"/>
    </row>
    <row r="1039" spans="8:9" x14ac:dyDescent="0.2">
      <c r="H1039" s="1"/>
      <c r="I1039" s="1"/>
    </row>
    <row r="1040" spans="8:9" x14ac:dyDescent="0.2">
      <c r="H1040" s="1"/>
      <c r="I1040" s="1"/>
    </row>
    <row r="1041" spans="8:9" x14ac:dyDescent="0.2">
      <c r="H1041" s="1"/>
      <c r="I1041" s="1"/>
    </row>
    <row r="1042" spans="8:9" x14ac:dyDescent="0.2">
      <c r="H1042" s="1"/>
      <c r="I1042" s="1"/>
    </row>
    <row r="1043" spans="8:9" x14ac:dyDescent="0.2">
      <c r="H1043" s="1"/>
      <c r="I1043" s="1"/>
    </row>
    <row r="1044" spans="8:9" x14ac:dyDescent="0.2">
      <c r="H1044" s="1"/>
      <c r="I1044" s="1"/>
    </row>
    <row r="1045" spans="8:9" x14ac:dyDescent="0.2">
      <c r="H1045" s="1"/>
      <c r="I1045" s="1"/>
    </row>
    <row r="1046" spans="8:9" x14ac:dyDescent="0.2">
      <c r="H1046" s="1"/>
      <c r="I1046" s="1"/>
    </row>
    <row r="1047" spans="8:9" x14ac:dyDescent="0.2">
      <c r="H1047" s="1"/>
      <c r="I1047" s="1"/>
    </row>
    <row r="1048" spans="8:9" x14ac:dyDescent="0.2">
      <c r="H1048" s="1"/>
      <c r="I1048" s="1"/>
    </row>
    <row r="1049" spans="8:9" x14ac:dyDescent="0.2">
      <c r="H1049" s="1"/>
      <c r="I1049" s="1"/>
    </row>
    <row r="1050" spans="8:9" x14ac:dyDescent="0.2">
      <c r="H1050" s="1"/>
      <c r="I1050" s="1"/>
    </row>
    <row r="1051" spans="8:9" x14ac:dyDescent="0.2">
      <c r="H1051" s="1"/>
      <c r="I1051" s="1"/>
    </row>
    <row r="1052" spans="8:9" x14ac:dyDescent="0.2">
      <c r="H1052" s="1"/>
      <c r="I1052" s="1"/>
    </row>
    <row r="1053" spans="8:9" x14ac:dyDescent="0.2">
      <c r="H1053" s="1"/>
      <c r="I1053" s="1"/>
    </row>
    <row r="1054" spans="8:9" x14ac:dyDescent="0.2">
      <c r="H1054" s="1"/>
      <c r="I1054" s="1"/>
    </row>
    <row r="1055" spans="8:9" x14ac:dyDescent="0.2">
      <c r="H1055" s="1"/>
      <c r="I1055" s="1"/>
    </row>
    <row r="1056" spans="8:9" x14ac:dyDescent="0.2">
      <c r="H1056" s="1"/>
      <c r="I1056" s="1"/>
    </row>
    <row r="1057" spans="8:9" x14ac:dyDescent="0.2">
      <c r="H1057" s="1"/>
      <c r="I1057" s="1"/>
    </row>
    <row r="1058" spans="8:9" x14ac:dyDescent="0.2">
      <c r="H1058" s="1"/>
      <c r="I1058" s="1"/>
    </row>
    <row r="1059" spans="8:9" x14ac:dyDescent="0.2">
      <c r="H1059" s="1"/>
      <c r="I1059" s="1"/>
    </row>
    <row r="1060" spans="8:9" x14ac:dyDescent="0.2">
      <c r="H1060" s="1"/>
      <c r="I1060" s="1"/>
    </row>
    <row r="1061" spans="8:9" x14ac:dyDescent="0.2">
      <c r="H1061" s="1"/>
      <c r="I1061" s="1"/>
    </row>
    <row r="1062" spans="8:9" x14ac:dyDescent="0.2">
      <c r="H1062" s="1"/>
      <c r="I1062" s="1"/>
    </row>
    <row r="1063" spans="8:9" x14ac:dyDescent="0.2">
      <c r="H1063" s="1"/>
      <c r="I1063" s="1"/>
    </row>
    <row r="1064" spans="8:9" x14ac:dyDescent="0.2">
      <c r="H1064" s="1"/>
      <c r="I1064" s="1"/>
    </row>
    <row r="1065" spans="8:9" x14ac:dyDescent="0.2">
      <c r="H1065" s="1"/>
      <c r="I1065" s="1"/>
    </row>
    <row r="1066" spans="8:9" x14ac:dyDescent="0.2">
      <c r="H1066" s="1"/>
      <c r="I1066" s="1"/>
    </row>
    <row r="1067" spans="8:9" x14ac:dyDescent="0.2">
      <c r="H1067" s="1"/>
      <c r="I1067" s="1"/>
    </row>
    <row r="1068" spans="8:9" x14ac:dyDescent="0.2">
      <c r="H1068" s="1"/>
      <c r="I1068" s="1"/>
    </row>
    <row r="1069" spans="8:9" x14ac:dyDescent="0.2">
      <c r="H1069" s="1"/>
      <c r="I1069" s="1"/>
    </row>
    <row r="1070" spans="8:9" x14ac:dyDescent="0.2">
      <c r="H1070" s="1"/>
      <c r="I1070" s="1"/>
    </row>
    <row r="1071" spans="8:9" x14ac:dyDescent="0.2">
      <c r="H1071" s="1"/>
      <c r="I1071" s="1"/>
    </row>
    <row r="1072" spans="8:9" x14ac:dyDescent="0.2">
      <c r="H1072" s="1"/>
      <c r="I1072" s="1"/>
    </row>
    <row r="1073" spans="8:9" x14ac:dyDescent="0.2">
      <c r="H1073" s="1"/>
      <c r="I1073" s="1"/>
    </row>
    <row r="1074" spans="8:9" x14ac:dyDescent="0.2">
      <c r="H1074" s="1"/>
      <c r="I1074" s="1"/>
    </row>
    <row r="1075" spans="8:9" x14ac:dyDescent="0.2">
      <c r="H1075" s="1"/>
      <c r="I1075" s="1"/>
    </row>
    <row r="1076" spans="8:9" x14ac:dyDescent="0.2">
      <c r="H1076" s="1"/>
      <c r="I1076" s="1"/>
    </row>
    <row r="1077" spans="8:9" x14ac:dyDescent="0.2">
      <c r="H1077" s="1"/>
      <c r="I1077" s="1"/>
    </row>
    <row r="1078" spans="8:9" x14ac:dyDescent="0.2">
      <c r="H1078" s="1"/>
      <c r="I1078" s="1"/>
    </row>
    <row r="1079" spans="8:9" x14ac:dyDescent="0.2">
      <c r="H1079" s="1"/>
      <c r="I1079" s="1"/>
    </row>
    <row r="1080" spans="8:9" x14ac:dyDescent="0.2">
      <c r="H1080" s="1"/>
      <c r="I1080" s="1"/>
    </row>
    <row r="1081" spans="8:9" x14ac:dyDescent="0.2">
      <c r="H1081" s="1"/>
      <c r="I1081" s="1"/>
    </row>
    <row r="1082" spans="8:9" x14ac:dyDescent="0.2">
      <c r="H1082" s="1"/>
      <c r="I1082" s="1"/>
    </row>
    <row r="1083" spans="8:9" x14ac:dyDescent="0.2">
      <c r="H1083" s="1"/>
      <c r="I1083" s="1"/>
    </row>
    <row r="1084" spans="8:9" x14ac:dyDescent="0.2">
      <c r="H1084" s="1"/>
      <c r="I1084" s="1"/>
    </row>
    <row r="1085" spans="8:9" x14ac:dyDescent="0.2">
      <c r="H1085" s="1"/>
      <c r="I1085" s="1"/>
    </row>
    <row r="1086" spans="8:9" x14ac:dyDescent="0.2">
      <c r="H1086" s="1"/>
      <c r="I1086" s="1"/>
    </row>
    <row r="1087" spans="8:9" x14ac:dyDescent="0.2">
      <c r="H1087" s="1"/>
      <c r="I1087" s="1"/>
    </row>
    <row r="1088" spans="8:9" x14ac:dyDescent="0.2">
      <c r="H1088" s="1"/>
      <c r="I1088" s="1"/>
    </row>
    <row r="1089" spans="8:9" x14ac:dyDescent="0.2">
      <c r="H1089" s="1"/>
      <c r="I1089" s="1"/>
    </row>
    <row r="1090" spans="8:9" x14ac:dyDescent="0.2">
      <c r="H1090" s="1"/>
      <c r="I1090" s="1"/>
    </row>
    <row r="1091" spans="8:9" x14ac:dyDescent="0.2">
      <c r="H1091" s="1"/>
      <c r="I1091" s="1"/>
    </row>
    <row r="1092" spans="8:9" x14ac:dyDescent="0.2">
      <c r="H1092" s="1"/>
      <c r="I1092" s="1"/>
    </row>
    <row r="1093" spans="8:9" x14ac:dyDescent="0.2">
      <c r="H1093" s="1"/>
      <c r="I1093" s="1"/>
    </row>
    <row r="1094" spans="8:9" x14ac:dyDescent="0.2">
      <c r="H1094" s="1"/>
      <c r="I1094" s="1"/>
    </row>
    <row r="1095" spans="8:9" x14ac:dyDescent="0.2">
      <c r="H1095" s="1"/>
      <c r="I1095" s="1"/>
    </row>
    <row r="1096" spans="8:9" x14ac:dyDescent="0.2">
      <c r="H1096" s="1"/>
      <c r="I1096" s="1"/>
    </row>
    <row r="1097" spans="8:9" x14ac:dyDescent="0.2">
      <c r="H1097" s="1"/>
      <c r="I1097" s="1"/>
    </row>
    <row r="1098" spans="8:9" x14ac:dyDescent="0.2">
      <c r="H1098" s="1"/>
      <c r="I1098" s="1"/>
    </row>
    <row r="1099" spans="8:9" x14ac:dyDescent="0.2">
      <c r="H1099" s="1"/>
      <c r="I1099" s="1"/>
    </row>
    <row r="1100" spans="8:9" x14ac:dyDescent="0.2">
      <c r="H1100" s="1"/>
      <c r="I1100" s="1"/>
    </row>
    <row r="1101" spans="8:9" x14ac:dyDescent="0.2">
      <c r="H1101" s="1"/>
      <c r="I1101" s="1"/>
    </row>
    <row r="1102" spans="8:9" x14ac:dyDescent="0.2">
      <c r="H1102" s="1"/>
      <c r="I1102" s="1"/>
    </row>
    <row r="1103" spans="8:9" x14ac:dyDescent="0.2">
      <c r="H1103" s="1"/>
      <c r="I1103" s="1"/>
    </row>
    <row r="1104" spans="8:9" x14ac:dyDescent="0.2">
      <c r="H1104" s="1"/>
      <c r="I1104" s="1"/>
    </row>
    <row r="1105" spans="8:9" x14ac:dyDescent="0.2">
      <c r="H1105" s="1"/>
      <c r="I1105" s="1"/>
    </row>
    <row r="1106" spans="8:9" x14ac:dyDescent="0.2">
      <c r="H1106" s="1"/>
      <c r="I1106" s="1"/>
    </row>
    <row r="1107" spans="8:9" x14ac:dyDescent="0.2">
      <c r="H1107" s="1"/>
      <c r="I1107" s="1"/>
    </row>
    <row r="1108" spans="8:9" x14ac:dyDescent="0.2">
      <c r="H1108" s="1"/>
      <c r="I1108" s="1"/>
    </row>
    <row r="1109" spans="8:9" x14ac:dyDescent="0.2">
      <c r="H1109" s="1"/>
      <c r="I1109" s="1"/>
    </row>
    <row r="1110" spans="8:9" x14ac:dyDescent="0.2">
      <c r="H1110" s="1"/>
      <c r="I1110" s="1"/>
    </row>
    <row r="1111" spans="8:9" x14ac:dyDescent="0.2">
      <c r="H1111" s="1"/>
      <c r="I1111" s="1"/>
    </row>
    <row r="1112" spans="8:9" x14ac:dyDescent="0.2">
      <c r="H1112" s="1"/>
      <c r="I1112" s="1"/>
    </row>
    <row r="1113" spans="8:9" x14ac:dyDescent="0.2">
      <c r="H1113" s="1"/>
      <c r="I1113" s="1"/>
    </row>
    <row r="1114" spans="8:9" x14ac:dyDescent="0.2">
      <c r="H1114" s="1"/>
      <c r="I1114" s="1"/>
    </row>
    <row r="1115" spans="8:9" x14ac:dyDescent="0.2">
      <c r="H1115" s="1"/>
      <c r="I1115" s="1"/>
    </row>
    <row r="1116" spans="8:9" x14ac:dyDescent="0.2">
      <c r="H1116" s="1"/>
      <c r="I1116" s="1"/>
    </row>
    <row r="1117" spans="8:9" x14ac:dyDescent="0.2">
      <c r="H1117" s="1"/>
      <c r="I1117" s="1"/>
    </row>
    <row r="1118" spans="8:9" x14ac:dyDescent="0.2">
      <c r="H1118" s="1"/>
      <c r="I1118" s="1"/>
    </row>
    <row r="1119" spans="8:9" x14ac:dyDescent="0.2">
      <c r="H1119" s="1"/>
      <c r="I1119" s="1"/>
    </row>
    <row r="1120" spans="8:9" x14ac:dyDescent="0.2">
      <c r="H1120" s="1"/>
      <c r="I1120" s="1"/>
    </row>
    <row r="1121" spans="8:9" x14ac:dyDescent="0.2">
      <c r="H1121" s="1"/>
      <c r="I1121" s="1"/>
    </row>
    <row r="1122" spans="8:9" x14ac:dyDescent="0.2">
      <c r="H1122" s="1"/>
      <c r="I1122" s="1"/>
    </row>
    <row r="1123" spans="8:9" x14ac:dyDescent="0.2">
      <c r="H1123" s="1"/>
      <c r="I1123" s="1"/>
    </row>
    <row r="1124" spans="8:9" x14ac:dyDescent="0.2">
      <c r="H1124" s="1"/>
      <c r="I1124" s="1"/>
    </row>
    <row r="1125" spans="8:9" x14ac:dyDescent="0.2">
      <c r="H1125" s="1"/>
      <c r="I1125" s="1"/>
    </row>
    <row r="1126" spans="8:9" x14ac:dyDescent="0.2">
      <c r="H1126" s="1"/>
      <c r="I1126" s="1"/>
    </row>
    <row r="1127" spans="8:9" x14ac:dyDescent="0.2">
      <c r="H1127" s="1"/>
      <c r="I1127" s="1"/>
    </row>
    <row r="1128" spans="8:9" x14ac:dyDescent="0.2">
      <c r="H1128" s="1"/>
      <c r="I1128" s="1"/>
    </row>
    <row r="1129" spans="8:9" x14ac:dyDescent="0.2">
      <c r="H1129" s="1"/>
      <c r="I1129" s="1"/>
    </row>
    <row r="1130" spans="8:9" x14ac:dyDescent="0.2">
      <c r="H1130" s="1"/>
      <c r="I1130" s="1"/>
    </row>
    <row r="1131" spans="8:9" x14ac:dyDescent="0.2">
      <c r="H1131" s="1"/>
      <c r="I1131" s="1"/>
    </row>
    <row r="1132" spans="8:9" x14ac:dyDescent="0.2">
      <c r="H1132" s="1"/>
      <c r="I1132" s="1"/>
    </row>
    <row r="1133" spans="8:9" x14ac:dyDescent="0.2">
      <c r="H1133" s="1"/>
      <c r="I1133" s="1"/>
    </row>
    <row r="1134" spans="8:9" x14ac:dyDescent="0.2">
      <c r="H1134" s="1"/>
      <c r="I1134" s="1"/>
    </row>
    <row r="1135" spans="8:9" x14ac:dyDescent="0.2">
      <c r="H1135" s="1"/>
      <c r="I1135" s="1"/>
    </row>
    <row r="1136" spans="8:9" x14ac:dyDescent="0.2">
      <c r="H1136" s="1"/>
      <c r="I1136" s="1"/>
    </row>
    <row r="1137" spans="8:9" x14ac:dyDescent="0.2">
      <c r="H1137" s="1"/>
      <c r="I1137" s="1"/>
    </row>
    <row r="1138" spans="8:9" x14ac:dyDescent="0.2">
      <c r="H1138" s="1"/>
      <c r="I1138" s="1"/>
    </row>
    <row r="1139" spans="8:9" x14ac:dyDescent="0.2">
      <c r="H1139" s="1"/>
      <c r="I1139" s="1"/>
    </row>
    <row r="1140" spans="8:9" x14ac:dyDescent="0.2">
      <c r="H1140" s="1"/>
      <c r="I1140" s="1"/>
    </row>
    <row r="1141" spans="8:9" x14ac:dyDescent="0.2">
      <c r="H1141" s="1"/>
      <c r="I1141" s="1"/>
    </row>
    <row r="1142" spans="8:9" x14ac:dyDescent="0.2">
      <c r="H1142" s="1"/>
      <c r="I1142" s="1"/>
    </row>
    <row r="1143" spans="8:9" x14ac:dyDescent="0.2">
      <c r="H1143" s="1"/>
      <c r="I1143" s="1"/>
    </row>
    <row r="1144" spans="8:9" x14ac:dyDescent="0.2">
      <c r="H1144" s="1"/>
      <c r="I1144" s="1"/>
    </row>
    <row r="1145" spans="8:9" x14ac:dyDescent="0.2">
      <c r="H1145" s="1"/>
      <c r="I1145" s="1"/>
    </row>
    <row r="1146" spans="8:9" x14ac:dyDescent="0.2">
      <c r="H1146" s="1"/>
      <c r="I1146" s="1"/>
    </row>
    <row r="1147" spans="8:9" x14ac:dyDescent="0.2">
      <c r="H1147" s="1"/>
      <c r="I1147" s="1"/>
    </row>
    <row r="1148" spans="8:9" x14ac:dyDescent="0.2">
      <c r="H1148" s="1"/>
      <c r="I1148" s="1"/>
    </row>
    <row r="1149" spans="8:9" x14ac:dyDescent="0.2">
      <c r="H1149" s="1"/>
      <c r="I1149" s="1"/>
    </row>
    <row r="1150" spans="8:9" x14ac:dyDescent="0.2">
      <c r="H1150" s="1"/>
      <c r="I1150" s="1"/>
    </row>
    <row r="1151" spans="8:9" x14ac:dyDescent="0.2">
      <c r="H1151" s="1"/>
      <c r="I1151" s="1"/>
    </row>
    <row r="1152" spans="8:9" x14ac:dyDescent="0.2">
      <c r="H1152" s="1"/>
      <c r="I1152" s="1"/>
    </row>
    <row r="1153" spans="8:9" x14ac:dyDescent="0.2">
      <c r="H1153" s="1"/>
      <c r="I1153" s="1"/>
    </row>
    <row r="1154" spans="8:9" x14ac:dyDescent="0.2">
      <c r="H1154" s="1"/>
      <c r="I1154" s="1"/>
    </row>
    <row r="1155" spans="8:9" x14ac:dyDescent="0.2">
      <c r="H1155" s="1"/>
      <c r="I1155" s="1"/>
    </row>
    <row r="1156" spans="8:9" x14ac:dyDescent="0.2">
      <c r="H1156" s="1"/>
      <c r="I1156" s="1"/>
    </row>
    <row r="1157" spans="8:9" x14ac:dyDescent="0.2">
      <c r="H1157" s="1"/>
      <c r="I1157" s="1"/>
    </row>
    <row r="1158" spans="8:9" x14ac:dyDescent="0.2">
      <c r="H1158" s="1"/>
      <c r="I1158" s="1"/>
    </row>
    <row r="1159" spans="8:9" x14ac:dyDescent="0.2">
      <c r="H1159" s="1"/>
      <c r="I1159" s="1"/>
    </row>
    <row r="1160" spans="8:9" x14ac:dyDescent="0.2">
      <c r="H1160" s="1"/>
      <c r="I1160" s="1"/>
    </row>
    <row r="1161" spans="8:9" x14ac:dyDescent="0.2">
      <c r="H1161" s="1"/>
      <c r="I1161" s="1"/>
    </row>
    <row r="1162" spans="8:9" x14ac:dyDescent="0.2">
      <c r="H1162" s="1"/>
      <c r="I1162" s="1"/>
    </row>
    <row r="1163" spans="8:9" x14ac:dyDescent="0.2">
      <c r="H1163" s="1"/>
      <c r="I1163" s="1"/>
    </row>
    <row r="1164" spans="8:9" x14ac:dyDescent="0.2">
      <c r="H1164" s="1"/>
      <c r="I1164" s="1"/>
    </row>
    <row r="1165" spans="8:9" x14ac:dyDescent="0.2">
      <c r="H1165" s="1"/>
      <c r="I1165" s="1"/>
    </row>
    <row r="1166" spans="8:9" x14ac:dyDescent="0.2">
      <c r="H1166" s="1"/>
      <c r="I1166" s="1"/>
    </row>
    <row r="1167" spans="8:9" x14ac:dyDescent="0.2">
      <c r="H1167" s="1"/>
      <c r="I1167" s="1"/>
    </row>
    <row r="1168" spans="8:9" x14ac:dyDescent="0.2">
      <c r="H1168" s="1"/>
      <c r="I1168" s="1"/>
    </row>
    <row r="1169" spans="8:9" x14ac:dyDescent="0.2">
      <c r="H1169" s="1"/>
      <c r="I1169" s="1"/>
    </row>
    <row r="1170" spans="8:9" x14ac:dyDescent="0.2">
      <c r="H1170" s="1"/>
      <c r="I1170" s="1"/>
    </row>
    <row r="1171" spans="8:9" x14ac:dyDescent="0.2">
      <c r="H1171" s="1"/>
      <c r="I1171" s="1"/>
    </row>
    <row r="1172" spans="8:9" x14ac:dyDescent="0.2">
      <c r="H1172" s="1"/>
      <c r="I1172" s="1"/>
    </row>
    <row r="1173" spans="8:9" x14ac:dyDescent="0.2">
      <c r="H1173" s="1"/>
      <c r="I1173" s="1"/>
    </row>
    <row r="1174" spans="8:9" x14ac:dyDescent="0.2">
      <c r="H1174" s="1"/>
      <c r="I1174" s="1"/>
    </row>
    <row r="1175" spans="8:9" x14ac:dyDescent="0.2">
      <c r="H1175" s="1"/>
      <c r="I1175" s="1"/>
    </row>
    <row r="1176" spans="8:9" x14ac:dyDescent="0.2">
      <c r="H1176" s="1"/>
      <c r="I1176" s="1"/>
    </row>
    <row r="1177" spans="8:9" x14ac:dyDescent="0.2">
      <c r="H1177" s="1"/>
      <c r="I1177" s="1"/>
    </row>
    <row r="1178" spans="8:9" x14ac:dyDescent="0.2">
      <c r="H1178" s="1"/>
      <c r="I1178" s="1"/>
    </row>
    <row r="1179" spans="8:9" x14ac:dyDescent="0.2">
      <c r="H1179" s="1"/>
      <c r="I1179" s="1"/>
    </row>
    <row r="1180" spans="8:9" x14ac:dyDescent="0.2">
      <c r="H1180" s="1"/>
      <c r="I1180" s="1"/>
    </row>
    <row r="1181" spans="8:9" x14ac:dyDescent="0.2">
      <c r="H1181" s="1"/>
      <c r="I1181" s="1"/>
    </row>
    <row r="1182" spans="8:9" x14ac:dyDescent="0.2">
      <c r="H1182" s="1"/>
      <c r="I1182" s="1"/>
    </row>
    <row r="1183" spans="8:9" x14ac:dyDescent="0.2">
      <c r="H1183" s="1"/>
      <c r="I1183" s="1"/>
    </row>
    <row r="1184" spans="8:9" x14ac:dyDescent="0.2">
      <c r="H1184" s="1"/>
      <c r="I1184" s="1"/>
    </row>
    <row r="1185" spans="8:9" x14ac:dyDescent="0.2">
      <c r="H1185" s="1"/>
      <c r="I1185" s="1"/>
    </row>
    <row r="1186" spans="8:9" x14ac:dyDescent="0.2">
      <c r="H1186" s="1"/>
      <c r="I1186" s="1"/>
    </row>
    <row r="1187" spans="8:9" x14ac:dyDescent="0.2">
      <c r="H1187" s="1"/>
      <c r="I1187" s="1"/>
    </row>
    <row r="1188" spans="8:9" x14ac:dyDescent="0.2">
      <c r="H1188" s="1"/>
      <c r="I1188" s="1"/>
    </row>
    <row r="1189" spans="8:9" x14ac:dyDescent="0.2">
      <c r="H1189" s="1"/>
      <c r="I1189" s="1"/>
    </row>
    <row r="1190" spans="8:9" x14ac:dyDescent="0.2">
      <c r="H1190" s="1"/>
      <c r="I1190" s="1"/>
    </row>
    <row r="1191" spans="8:9" x14ac:dyDescent="0.2">
      <c r="H1191" s="1"/>
      <c r="I1191" s="1"/>
    </row>
    <row r="1192" spans="8:9" x14ac:dyDescent="0.2">
      <c r="H1192" s="1"/>
      <c r="I1192" s="1"/>
    </row>
    <row r="1193" spans="8:9" x14ac:dyDescent="0.2">
      <c r="H1193" s="1"/>
      <c r="I1193" s="1"/>
    </row>
    <row r="1194" spans="8:9" x14ac:dyDescent="0.2">
      <c r="H1194" s="1"/>
      <c r="I1194" s="1"/>
    </row>
    <row r="1195" spans="8:9" x14ac:dyDescent="0.2">
      <c r="H1195" s="1"/>
      <c r="I1195" s="1"/>
    </row>
    <row r="1196" spans="8:9" x14ac:dyDescent="0.2">
      <c r="H1196" s="1"/>
      <c r="I1196" s="1"/>
    </row>
    <row r="1197" spans="8:9" x14ac:dyDescent="0.2">
      <c r="H1197" s="1"/>
      <c r="I1197" s="1"/>
    </row>
    <row r="1198" spans="8:9" x14ac:dyDescent="0.2">
      <c r="H1198" s="1"/>
      <c r="I1198" s="1"/>
    </row>
    <row r="1199" spans="8:9" x14ac:dyDescent="0.2">
      <c r="H1199" s="1"/>
      <c r="I1199" s="1"/>
    </row>
    <row r="1200" spans="8:9" x14ac:dyDescent="0.2">
      <c r="H1200" s="1"/>
      <c r="I1200" s="1"/>
    </row>
    <row r="1201" spans="8:9" x14ac:dyDescent="0.2">
      <c r="H1201" s="1"/>
      <c r="I1201" s="1"/>
    </row>
    <row r="1202" spans="8:9" x14ac:dyDescent="0.2">
      <c r="H1202" s="1"/>
      <c r="I1202" s="1"/>
    </row>
    <row r="1203" spans="8:9" x14ac:dyDescent="0.2">
      <c r="H1203" s="1"/>
      <c r="I1203" s="1"/>
    </row>
    <row r="1204" spans="8:9" x14ac:dyDescent="0.2">
      <c r="H1204" s="1"/>
      <c r="I1204" s="1"/>
    </row>
    <row r="1205" spans="8:9" x14ac:dyDescent="0.2">
      <c r="H1205" s="1"/>
      <c r="I1205" s="1"/>
    </row>
    <row r="1206" spans="8:9" x14ac:dyDescent="0.2">
      <c r="H1206" s="1"/>
      <c r="I1206" s="1"/>
    </row>
    <row r="1207" spans="8:9" x14ac:dyDescent="0.2">
      <c r="H1207" s="1"/>
      <c r="I1207" s="1"/>
    </row>
    <row r="1208" spans="8:9" x14ac:dyDescent="0.2">
      <c r="H1208" s="1"/>
      <c r="I1208" s="1"/>
    </row>
    <row r="1209" spans="8:9" x14ac:dyDescent="0.2">
      <c r="H1209" s="1"/>
      <c r="I1209" s="1"/>
    </row>
    <row r="1210" spans="8:9" x14ac:dyDescent="0.2">
      <c r="H1210" s="1"/>
      <c r="I1210" s="1"/>
    </row>
    <row r="1211" spans="8:9" x14ac:dyDescent="0.2">
      <c r="H1211" s="1"/>
      <c r="I1211" s="1"/>
    </row>
    <row r="1212" spans="8:9" x14ac:dyDescent="0.2">
      <c r="H1212" s="1"/>
      <c r="I1212" s="1"/>
    </row>
    <row r="1213" spans="8:9" x14ac:dyDescent="0.2">
      <c r="H1213" s="1"/>
      <c r="I1213" s="1"/>
    </row>
    <row r="1214" spans="8:9" x14ac:dyDescent="0.2">
      <c r="H1214" s="1"/>
      <c r="I1214" s="1"/>
    </row>
    <row r="1215" spans="8:9" x14ac:dyDescent="0.2">
      <c r="H1215" s="1"/>
      <c r="I1215" s="1"/>
    </row>
    <row r="1216" spans="8:9" x14ac:dyDescent="0.2">
      <c r="H1216" s="1"/>
      <c r="I1216" s="1"/>
    </row>
    <row r="1217" spans="8:9" x14ac:dyDescent="0.2">
      <c r="H1217" s="1"/>
      <c r="I1217" s="1"/>
    </row>
    <row r="1218" spans="8:9" x14ac:dyDescent="0.2">
      <c r="H1218" s="1"/>
      <c r="I1218" s="1"/>
    </row>
    <row r="1219" spans="8:9" x14ac:dyDescent="0.2">
      <c r="H1219" s="1"/>
      <c r="I1219" s="1"/>
    </row>
    <row r="1220" spans="8:9" x14ac:dyDescent="0.2">
      <c r="H1220" s="1"/>
      <c r="I1220" s="1"/>
    </row>
    <row r="1221" spans="8:9" x14ac:dyDescent="0.2">
      <c r="H1221" s="1"/>
      <c r="I1221" s="1"/>
    </row>
    <row r="1222" spans="8:9" x14ac:dyDescent="0.2">
      <c r="H1222" s="1"/>
      <c r="I1222" s="1"/>
    </row>
    <row r="1223" spans="8:9" x14ac:dyDescent="0.2">
      <c r="H1223" s="1"/>
      <c r="I1223" s="1"/>
    </row>
    <row r="1224" spans="8:9" x14ac:dyDescent="0.2">
      <c r="H1224" s="1"/>
      <c r="I1224" s="1"/>
    </row>
    <row r="1225" spans="8:9" x14ac:dyDescent="0.2">
      <c r="H1225" s="1"/>
      <c r="I1225" s="1"/>
    </row>
    <row r="1226" spans="8:9" x14ac:dyDescent="0.2">
      <c r="H1226" s="1"/>
      <c r="I1226" s="1"/>
    </row>
    <row r="1227" spans="8:9" x14ac:dyDescent="0.2">
      <c r="H1227" s="1"/>
      <c r="I1227" s="1"/>
    </row>
    <row r="1228" spans="8:9" x14ac:dyDescent="0.2">
      <c r="H1228" s="1"/>
      <c r="I1228" s="1"/>
    </row>
    <row r="1229" spans="8:9" x14ac:dyDescent="0.2">
      <c r="H1229" s="1"/>
      <c r="I1229" s="1"/>
    </row>
    <row r="1230" spans="8:9" x14ac:dyDescent="0.2">
      <c r="H1230" s="1"/>
      <c r="I1230" s="1"/>
    </row>
    <row r="1231" spans="8:9" x14ac:dyDescent="0.2">
      <c r="H1231" s="1"/>
      <c r="I1231" s="1"/>
    </row>
    <row r="1232" spans="8:9" x14ac:dyDescent="0.2">
      <c r="H1232" s="1"/>
      <c r="I1232" s="1"/>
    </row>
    <row r="1233" spans="8:9" x14ac:dyDescent="0.2">
      <c r="H1233" s="1"/>
      <c r="I1233" s="1"/>
    </row>
    <row r="1234" spans="8:9" x14ac:dyDescent="0.2">
      <c r="H1234" s="1"/>
      <c r="I1234" s="1"/>
    </row>
    <row r="1235" spans="8:9" x14ac:dyDescent="0.2">
      <c r="H1235" s="1"/>
      <c r="I1235" s="1"/>
    </row>
    <row r="1236" spans="8:9" x14ac:dyDescent="0.2">
      <c r="H1236" s="1"/>
      <c r="I1236" s="1"/>
    </row>
    <row r="1237" spans="8:9" x14ac:dyDescent="0.2">
      <c r="H1237" s="1"/>
      <c r="I1237" s="1"/>
    </row>
    <row r="1238" spans="8:9" x14ac:dyDescent="0.2">
      <c r="H1238" s="1"/>
      <c r="I1238" s="1"/>
    </row>
    <row r="1239" spans="8:9" x14ac:dyDescent="0.2">
      <c r="H1239" s="1"/>
      <c r="I1239" s="1"/>
    </row>
    <row r="1240" spans="8:9" x14ac:dyDescent="0.2">
      <c r="H1240" s="1"/>
      <c r="I1240" s="1"/>
    </row>
    <row r="1241" spans="8:9" x14ac:dyDescent="0.2">
      <c r="H1241" s="1"/>
      <c r="I1241" s="1"/>
    </row>
    <row r="1242" spans="8:9" x14ac:dyDescent="0.2">
      <c r="H1242" s="1"/>
      <c r="I1242" s="1"/>
    </row>
    <row r="1243" spans="8:9" x14ac:dyDescent="0.2">
      <c r="H1243" s="1"/>
      <c r="I1243" s="1"/>
    </row>
    <row r="1244" spans="8:9" x14ac:dyDescent="0.2">
      <c r="H1244" s="1"/>
      <c r="I1244" s="1"/>
    </row>
    <row r="1245" spans="8:9" x14ac:dyDescent="0.2">
      <c r="H1245" s="1"/>
      <c r="I1245" s="1"/>
    </row>
    <row r="1246" spans="8:9" x14ac:dyDescent="0.2">
      <c r="H1246" s="1"/>
      <c r="I1246" s="1"/>
    </row>
    <row r="1247" spans="8:9" x14ac:dyDescent="0.2">
      <c r="H1247" s="1"/>
      <c r="I1247" s="1"/>
    </row>
    <row r="1248" spans="8:9" x14ac:dyDescent="0.2">
      <c r="H1248" s="1"/>
      <c r="I1248" s="1"/>
    </row>
    <row r="1249" spans="8:9" x14ac:dyDescent="0.2">
      <c r="H1249" s="1"/>
      <c r="I1249" s="1"/>
    </row>
    <row r="1250" spans="8:9" x14ac:dyDescent="0.2">
      <c r="H1250" s="1"/>
      <c r="I1250" s="1"/>
    </row>
    <row r="1251" spans="8:9" x14ac:dyDescent="0.2">
      <c r="H1251" s="1"/>
      <c r="I1251" s="1"/>
    </row>
    <row r="1252" spans="8:9" x14ac:dyDescent="0.2">
      <c r="H1252" s="1"/>
      <c r="I1252" s="1"/>
    </row>
    <row r="1253" spans="8:9" x14ac:dyDescent="0.2">
      <c r="H1253" s="1"/>
      <c r="I1253" s="1"/>
    </row>
    <row r="1254" spans="8:9" x14ac:dyDescent="0.2">
      <c r="H1254" s="1"/>
      <c r="I1254" s="1"/>
    </row>
    <row r="1255" spans="8:9" x14ac:dyDescent="0.2">
      <c r="H1255" s="1"/>
      <c r="I1255" s="1"/>
    </row>
    <row r="1256" spans="8:9" x14ac:dyDescent="0.2">
      <c r="H1256" s="1"/>
      <c r="I1256" s="1"/>
    </row>
    <row r="1257" spans="8:9" x14ac:dyDescent="0.2">
      <c r="H1257" s="1"/>
      <c r="I1257" s="1"/>
    </row>
    <row r="1258" spans="8:9" x14ac:dyDescent="0.2">
      <c r="H1258" s="1"/>
      <c r="I1258" s="1"/>
    </row>
    <row r="1259" spans="8:9" x14ac:dyDescent="0.2">
      <c r="H1259" s="1"/>
      <c r="I1259" s="1"/>
    </row>
    <row r="1260" spans="8:9" x14ac:dyDescent="0.2">
      <c r="H1260" s="1"/>
      <c r="I1260" s="1"/>
    </row>
    <row r="1261" spans="8:9" x14ac:dyDescent="0.2">
      <c r="H1261" s="1"/>
      <c r="I1261" s="1"/>
    </row>
    <row r="1262" spans="8:9" x14ac:dyDescent="0.2">
      <c r="H1262" s="1"/>
      <c r="I1262" s="1"/>
    </row>
    <row r="1263" spans="8:9" x14ac:dyDescent="0.2">
      <c r="H1263" s="1"/>
      <c r="I1263" s="1"/>
    </row>
    <row r="1264" spans="8:9" x14ac:dyDescent="0.2">
      <c r="H1264" s="1"/>
      <c r="I1264" s="1"/>
    </row>
    <row r="1265" spans="8:9" x14ac:dyDescent="0.2">
      <c r="H1265" s="1"/>
      <c r="I1265" s="1"/>
    </row>
    <row r="1266" spans="8:9" x14ac:dyDescent="0.2">
      <c r="H1266" s="1"/>
      <c r="I1266" s="1"/>
    </row>
    <row r="1267" spans="8:9" x14ac:dyDescent="0.2">
      <c r="H1267" s="1"/>
      <c r="I1267" s="1"/>
    </row>
    <row r="1268" spans="8:9" x14ac:dyDescent="0.2">
      <c r="H1268" s="1"/>
      <c r="I1268" s="1"/>
    </row>
    <row r="1269" spans="8:9" x14ac:dyDescent="0.2">
      <c r="H1269" s="1"/>
      <c r="I1269" s="1"/>
    </row>
    <row r="1270" spans="8:9" x14ac:dyDescent="0.2">
      <c r="H1270" s="1"/>
      <c r="I1270" s="1"/>
    </row>
    <row r="1271" spans="8:9" x14ac:dyDescent="0.2">
      <c r="H1271" s="1"/>
      <c r="I1271" s="1"/>
    </row>
    <row r="1272" spans="8:9" x14ac:dyDescent="0.2">
      <c r="H1272" s="1"/>
      <c r="I1272" s="1"/>
    </row>
    <row r="1273" spans="8:9" x14ac:dyDescent="0.2">
      <c r="H1273" s="1"/>
      <c r="I1273" s="1"/>
    </row>
    <row r="1274" spans="8:9" x14ac:dyDescent="0.2">
      <c r="H1274" s="1"/>
      <c r="I1274" s="1"/>
    </row>
    <row r="1275" spans="8:9" x14ac:dyDescent="0.2">
      <c r="H1275" s="1"/>
      <c r="I1275" s="1"/>
    </row>
    <row r="1276" spans="8:9" x14ac:dyDescent="0.2">
      <c r="H1276" s="1"/>
      <c r="I1276" s="1"/>
    </row>
    <row r="1277" spans="8:9" x14ac:dyDescent="0.2">
      <c r="H1277" s="1"/>
      <c r="I1277" s="1"/>
    </row>
    <row r="1278" spans="8:9" x14ac:dyDescent="0.2">
      <c r="H1278" s="1"/>
      <c r="I1278" s="1"/>
    </row>
    <row r="1279" spans="8:9" x14ac:dyDescent="0.2">
      <c r="H1279" s="1"/>
      <c r="I1279" s="1"/>
    </row>
    <row r="1280" spans="8:9" x14ac:dyDescent="0.2">
      <c r="H1280" s="1"/>
      <c r="I1280" s="1"/>
    </row>
    <row r="1281" spans="8:9" x14ac:dyDescent="0.2">
      <c r="H1281" s="1"/>
      <c r="I1281" s="1"/>
    </row>
    <row r="1282" spans="8:9" x14ac:dyDescent="0.2">
      <c r="H1282" s="1"/>
      <c r="I1282" s="1"/>
    </row>
    <row r="1283" spans="8:9" x14ac:dyDescent="0.2">
      <c r="H1283" s="1"/>
      <c r="I1283" s="1"/>
    </row>
    <row r="1284" spans="8:9" x14ac:dyDescent="0.2">
      <c r="H1284" s="1"/>
      <c r="I1284" s="1"/>
    </row>
    <row r="1285" spans="8:9" x14ac:dyDescent="0.2">
      <c r="H1285" s="1"/>
      <c r="I1285" s="1"/>
    </row>
    <row r="1286" spans="8:9" x14ac:dyDescent="0.2">
      <c r="H1286" s="1"/>
      <c r="I1286" s="1"/>
    </row>
    <row r="1287" spans="8:9" x14ac:dyDescent="0.2">
      <c r="H1287" s="1"/>
      <c r="I1287" s="1"/>
    </row>
    <row r="1288" spans="8:9" x14ac:dyDescent="0.2">
      <c r="H1288" s="1"/>
      <c r="I1288" s="1"/>
    </row>
    <row r="1289" spans="8:9" x14ac:dyDescent="0.2">
      <c r="H1289" s="1"/>
      <c r="I1289" s="1"/>
    </row>
    <row r="1290" spans="8:9" x14ac:dyDescent="0.2">
      <c r="H1290" s="1"/>
      <c r="I1290" s="1"/>
    </row>
    <row r="1291" spans="8:9" x14ac:dyDescent="0.2">
      <c r="H1291" s="1"/>
      <c r="I1291" s="1"/>
    </row>
    <row r="1292" spans="8:9" x14ac:dyDescent="0.2">
      <c r="H1292" s="1"/>
      <c r="I1292" s="1"/>
    </row>
    <row r="1293" spans="8:9" x14ac:dyDescent="0.2">
      <c r="H1293" s="1"/>
      <c r="I1293" s="1"/>
    </row>
    <row r="1294" spans="8:9" x14ac:dyDescent="0.2">
      <c r="H1294" s="1"/>
      <c r="I1294" s="1"/>
    </row>
    <row r="1295" spans="8:9" x14ac:dyDescent="0.2">
      <c r="H1295" s="1"/>
      <c r="I1295" s="1"/>
    </row>
    <row r="1296" spans="8:9" x14ac:dyDescent="0.2">
      <c r="H1296" s="1"/>
      <c r="I1296" s="1"/>
    </row>
    <row r="1297" spans="8:9" x14ac:dyDescent="0.2">
      <c r="H1297" s="1"/>
      <c r="I1297" s="1"/>
    </row>
    <row r="1298" spans="8:9" x14ac:dyDescent="0.2">
      <c r="H1298" s="1"/>
      <c r="I1298" s="1"/>
    </row>
    <row r="1299" spans="8:9" x14ac:dyDescent="0.2">
      <c r="H1299" s="1"/>
      <c r="I1299" s="1"/>
    </row>
    <row r="1300" spans="8:9" x14ac:dyDescent="0.2">
      <c r="H1300" s="1"/>
      <c r="I1300" s="1"/>
    </row>
    <row r="1301" spans="8:9" x14ac:dyDescent="0.2">
      <c r="H1301" s="1"/>
      <c r="I1301" s="1"/>
    </row>
    <row r="1302" spans="8:9" x14ac:dyDescent="0.2">
      <c r="H1302" s="1"/>
      <c r="I1302" s="1"/>
    </row>
    <row r="1303" spans="8:9" x14ac:dyDescent="0.2">
      <c r="H1303" s="1"/>
      <c r="I1303" s="1"/>
    </row>
    <row r="1304" spans="8:9" x14ac:dyDescent="0.2">
      <c r="H1304" s="1"/>
      <c r="I1304" s="1"/>
    </row>
    <row r="1305" spans="8:9" x14ac:dyDescent="0.2">
      <c r="H1305" s="1"/>
      <c r="I1305" s="1"/>
    </row>
    <row r="1306" spans="8:9" x14ac:dyDescent="0.2">
      <c r="H1306" s="1"/>
      <c r="I1306" s="1"/>
    </row>
    <row r="1307" spans="8:9" x14ac:dyDescent="0.2">
      <c r="H1307" s="1"/>
      <c r="I1307" s="1"/>
    </row>
    <row r="1308" spans="8:9" x14ac:dyDescent="0.2">
      <c r="H1308" s="1"/>
      <c r="I1308" s="1"/>
    </row>
    <row r="1309" spans="8:9" x14ac:dyDescent="0.2">
      <c r="H1309" s="1"/>
      <c r="I1309" s="1"/>
    </row>
    <row r="1310" spans="8:9" x14ac:dyDescent="0.2">
      <c r="H1310" s="1"/>
      <c r="I1310" s="1"/>
    </row>
    <row r="1311" spans="8:9" x14ac:dyDescent="0.2">
      <c r="H1311" s="1"/>
      <c r="I1311" s="1"/>
    </row>
    <row r="1312" spans="8:9" x14ac:dyDescent="0.2">
      <c r="H1312" s="1"/>
      <c r="I1312" s="1"/>
    </row>
    <row r="1313" spans="8:9" x14ac:dyDescent="0.2">
      <c r="H1313" s="1"/>
      <c r="I1313" s="1"/>
    </row>
    <row r="1314" spans="8:9" x14ac:dyDescent="0.2">
      <c r="H1314" s="1"/>
      <c r="I1314" s="1"/>
    </row>
    <row r="1315" spans="8:9" x14ac:dyDescent="0.2">
      <c r="H1315" s="1"/>
      <c r="I1315" s="1"/>
    </row>
    <row r="1316" spans="8:9" x14ac:dyDescent="0.2">
      <c r="H1316" s="1"/>
      <c r="I1316" s="1"/>
    </row>
    <row r="1317" spans="8:9" x14ac:dyDescent="0.2">
      <c r="H1317" s="1"/>
      <c r="I1317" s="1"/>
    </row>
    <row r="1318" spans="8:9" x14ac:dyDescent="0.2">
      <c r="H1318" s="1"/>
      <c r="I1318" s="1"/>
    </row>
    <row r="1319" spans="8:9" x14ac:dyDescent="0.2">
      <c r="H1319" s="1"/>
      <c r="I1319" s="1"/>
    </row>
    <row r="1320" spans="8:9" x14ac:dyDescent="0.2">
      <c r="H1320" s="1"/>
      <c r="I1320" s="1"/>
    </row>
    <row r="1321" spans="8:9" x14ac:dyDescent="0.2">
      <c r="H1321" s="1"/>
      <c r="I1321" s="1"/>
    </row>
    <row r="1322" spans="8:9" x14ac:dyDescent="0.2">
      <c r="H1322" s="1"/>
      <c r="I1322" s="1"/>
    </row>
    <row r="1323" spans="8:9" x14ac:dyDescent="0.2">
      <c r="H1323" s="1"/>
      <c r="I1323" s="1"/>
    </row>
    <row r="1324" spans="8:9" x14ac:dyDescent="0.2">
      <c r="H1324" s="1"/>
      <c r="I1324" s="1"/>
    </row>
    <row r="1325" spans="8:9" x14ac:dyDescent="0.2">
      <c r="H1325" s="1"/>
      <c r="I1325" s="1"/>
    </row>
    <row r="1326" spans="8:9" x14ac:dyDescent="0.2">
      <c r="H1326" s="1"/>
      <c r="I1326" s="1"/>
    </row>
    <row r="1327" spans="8:9" x14ac:dyDescent="0.2">
      <c r="H1327" s="1"/>
      <c r="I1327" s="1"/>
    </row>
    <row r="1328" spans="8:9" x14ac:dyDescent="0.2">
      <c r="H1328" s="1"/>
      <c r="I1328" s="1"/>
    </row>
    <row r="1329" spans="8:9" x14ac:dyDescent="0.2">
      <c r="H1329" s="1"/>
      <c r="I1329" s="1"/>
    </row>
    <row r="1330" spans="8:9" x14ac:dyDescent="0.2">
      <c r="H1330" s="1"/>
      <c r="I1330" s="1"/>
    </row>
    <row r="1331" spans="8:9" x14ac:dyDescent="0.2">
      <c r="H1331" s="1"/>
      <c r="I1331" s="1"/>
    </row>
    <row r="1332" spans="8:9" x14ac:dyDescent="0.2">
      <c r="H1332" s="1"/>
      <c r="I1332" s="1"/>
    </row>
    <row r="1333" spans="8:9" x14ac:dyDescent="0.2">
      <c r="H1333" s="1"/>
      <c r="I1333" s="1"/>
    </row>
    <row r="1334" spans="8:9" x14ac:dyDescent="0.2">
      <c r="H1334" s="1"/>
      <c r="I1334" s="1"/>
    </row>
    <row r="1335" spans="8:9" x14ac:dyDescent="0.2">
      <c r="H1335" s="1"/>
      <c r="I1335" s="1"/>
    </row>
    <row r="1336" spans="8:9" x14ac:dyDescent="0.2">
      <c r="H1336" s="1"/>
      <c r="I1336" s="1"/>
    </row>
    <row r="1337" spans="8:9" x14ac:dyDescent="0.2">
      <c r="H1337" s="1"/>
      <c r="I1337" s="1"/>
    </row>
    <row r="1338" spans="8:9" x14ac:dyDescent="0.2">
      <c r="H1338" s="1"/>
      <c r="I1338" s="1"/>
    </row>
    <row r="1339" spans="8:9" x14ac:dyDescent="0.2">
      <c r="H1339" s="1"/>
      <c r="I1339" s="1"/>
    </row>
    <row r="1340" spans="8:9" x14ac:dyDescent="0.2">
      <c r="H1340" s="1"/>
      <c r="I1340" s="1"/>
    </row>
    <row r="1341" spans="8:9" x14ac:dyDescent="0.2">
      <c r="H1341" s="1"/>
      <c r="I1341" s="1"/>
    </row>
    <row r="1342" spans="8:9" x14ac:dyDescent="0.2">
      <c r="H1342" s="1"/>
      <c r="I1342" s="1"/>
    </row>
    <row r="1343" spans="8:9" x14ac:dyDescent="0.2">
      <c r="H1343" s="1"/>
      <c r="I1343" s="1"/>
    </row>
    <row r="1344" spans="8:9" x14ac:dyDescent="0.2">
      <c r="H1344" s="1"/>
      <c r="I1344" s="1"/>
    </row>
    <row r="1345" spans="8:9" x14ac:dyDescent="0.2">
      <c r="H1345" s="1"/>
      <c r="I1345" s="1"/>
    </row>
    <row r="1346" spans="8:9" x14ac:dyDescent="0.2">
      <c r="H1346" s="1"/>
      <c r="I1346" s="1"/>
    </row>
    <row r="1347" spans="8:9" x14ac:dyDescent="0.2">
      <c r="H1347" s="1"/>
      <c r="I1347" s="1"/>
    </row>
    <row r="1348" spans="8:9" x14ac:dyDescent="0.2">
      <c r="H1348" s="1"/>
      <c r="I1348" s="1"/>
    </row>
    <row r="1349" spans="8:9" x14ac:dyDescent="0.2">
      <c r="H1349" s="1"/>
      <c r="I1349" s="1"/>
    </row>
    <row r="1350" spans="8:9" x14ac:dyDescent="0.2">
      <c r="H1350" s="1"/>
      <c r="I1350" s="1"/>
    </row>
    <row r="1351" spans="8:9" x14ac:dyDescent="0.2">
      <c r="H1351" s="1"/>
      <c r="I1351" s="1"/>
    </row>
    <row r="1352" spans="8:9" x14ac:dyDescent="0.2">
      <c r="H1352" s="1"/>
      <c r="I1352" s="1"/>
    </row>
    <row r="1353" spans="8:9" x14ac:dyDescent="0.2">
      <c r="H1353" s="1"/>
      <c r="I1353" s="1"/>
    </row>
    <row r="1354" spans="8:9" x14ac:dyDescent="0.2">
      <c r="H1354" s="1"/>
      <c r="I1354" s="1"/>
    </row>
    <row r="1355" spans="8:9" x14ac:dyDescent="0.2">
      <c r="H1355" s="1"/>
      <c r="I1355" s="1"/>
    </row>
    <row r="1356" spans="8:9" x14ac:dyDescent="0.2">
      <c r="H1356" s="1"/>
      <c r="I1356" s="1"/>
    </row>
    <row r="1357" spans="8:9" x14ac:dyDescent="0.2">
      <c r="H1357" s="1"/>
      <c r="I1357" s="1"/>
    </row>
    <row r="1358" spans="8:9" x14ac:dyDescent="0.2">
      <c r="H1358" s="1"/>
      <c r="I1358" s="1"/>
    </row>
    <row r="1359" spans="8:9" x14ac:dyDescent="0.2">
      <c r="H1359" s="1"/>
      <c r="I1359" s="1"/>
    </row>
    <row r="1360" spans="8:9" x14ac:dyDescent="0.2">
      <c r="H1360" s="1"/>
      <c r="I1360" s="1"/>
    </row>
    <row r="1361" spans="8:9" x14ac:dyDescent="0.2">
      <c r="H1361" s="1"/>
      <c r="I1361" s="1"/>
    </row>
    <row r="1362" spans="8:9" x14ac:dyDescent="0.2">
      <c r="H1362" s="1"/>
      <c r="I1362" s="1"/>
    </row>
    <row r="1363" spans="8:9" x14ac:dyDescent="0.2">
      <c r="H1363" s="1"/>
      <c r="I1363" s="1"/>
    </row>
    <row r="1364" spans="8:9" x14ac:dyDescent="0.2">
      <c r="H1364" s="1"/>
      <c r="I1364" s="1"/>
    </row>
    <row r="1365" spans="8:9" x14ac:dyDescent="0.2">
      <c r="H1365" s="1"/>
      <c r="I1365" s="1"/>
    </row>
    <row r="1366" spans="8:9" x14ac:dyDescent="0.2">
      <c r="H1366" s="1"/>
      <c r="I1366" s="1"/>
    </row>
    <row r="1367" spans="8:9" x14ac:dyDescent="0.2">
      <c r="H1367" s="1"/>
      <c r="I1367" s="1"/>
    </row>
    <row r="1368" spans="8:9" x14ac:dyDescent="0.2">
      <c r="H1368" s="1"/>
      <c r="I1368" s="1"/>
    </row>
    <row r="1369" spans="8:9" x14ac:dyDescent="0.2">
      <c r="H1369" s="1"/>
      <c r="I1369" s="1"/>
    </row>
    <row r="1370" spans="8:9" x14ac:dyDescent="0.2">
      <c r="H1370" s="1"/>
      <c r="I1370" s="1"/>
    </row>
    <row r="1371" spans="8:9" x14ac:dyDescent="0.2">
      <c r="H1371" s="1"/>
      <c r="I1371" s="1"/>
    </row>
    <row r="1372" spans="8:9" x14ac:dyDescent="0.2">
      <c r="H1372" s="1"/>
      <c r="I1372" s="1"/>
    </row>
    <row r="1373" spans="8:9" x14ac:dyDescent="0.2">
      <c r="H1373" s="1"/>
      <c r="I1373" s="1"/>
    </row>
    <row r="1374" spans="8:9" x14ac:dyDescent="0.2">
      <c r="H1374" s="1"/>
      <c r="I1374" s="1"/>
    </row>
    <row r="1375" spans="8:9" x14ac:dyDescent="0.2">
      <c r="H1375" s="1"/>
      <c r="I1375" s="1"/>
    </row>
    <row r="1376" spans="8:9" x14ac:dyDescent="0.2">
      <c r="H1376" s="1"/>
      <c r="I1376" s="1"/>
    </row>
    <row r="1377" spans="8:9" x14ac:dyDescent="0.2">
      <c r="H1377" s="1"/>
      <c r="I1377" s="1"/>
    </row>
    <row r="1378" spans="8:9" x14ac:dyDescent="0.2">
      <c r="H1378" s="1"/>
      <c r="I1378" s="1"/>
    </row>
    <row r="1379" spans="8:9" x14ac:dyDescent="0.2">
      <c r="H1379" s="1"/>
      <c r="I1379" s="1"/>
    </row>
    <row r="1380" spans="8:9" x14ac:dyDescent="0.2">
      <c r="H1380" s="1"/>
      <c r="I1380" s="1"/>
    </row>
    <row r="1381" spans="8:9" x14ac:dyDescent="0.2">
      <c r="H1381" s="1"/>
      <c r="I1381" s="1"/>
    </row>
    <row r="1382" spans="8:9" x14ac:dyDescent="0.2">
      <c r="H1382" s="1"/>
      <c r="I1382" s="1"/>
    </row>
    <row r="1383" spans="8:9" x14ac:dyDescent="0.2">
      <c r="H1383" s="1"/>
      <c r="I1383" s="1"/>
    </row>
    <row r="1384" spans="8:9" x14ac:dyDescent="0.2">
      <c r="H1384" s="1"/>
      <c r="I1384" s="1"/>
    </row>
    <row r="1385" spans="8:9" x14ac:dyDescent="0.2">
      <c r="H1385" s="1"/>
      <c r="I1385" s="1"/>
    </row>
    <row r="1386" spans="8:9" x14ac:dyDescent="0.2">
      <c r="H1386" s="1"/>
      <c r="I1386" s="1"/>
    </row>
    <row r="1387" spans="8:9" x14ac:dyDescent="0.2">
      <c r="H1387" s="1"/>
      <c r="I1387" s="1"/>
    </row>
    <row r="1388" spans="8:9" x14ac:dyDescent="0.2">
      <c r="H1388" s="1"/>
      <c r="I1388" s="1"/>
    </row>
    <row r="1389" spans="8:9" x14ac:dyDescent="0.2">
      <c r="H1389" s="1"/>
      <c r="I1389" s="1"/>
    </row>
    <row r="1390" spans="8:9" x14ac:dyDescent="0.2">
      <c r="H1390" s="1"/>
      <c r="I1390" s="1"/>
    </row>
    <row r="1391" spans="8:9" x14ac:dyDescent="0.2">
      <c r="H1391" s="1"/>
      <c r="I1391" s="1"/>
    </row>
    <row r="1392" spans="8:9" x14ac:dyDescent="0.2">
      <c r="H1392" s="1"/>
      <c r="I1392" s="1"/>
    </row>
    <row r="1393" spans="8:9" x14ac:dyDescent="0.2">
      <c r="H1393" s="1"/>
      <c r="I1393" s="1"/>
    </row>
    <row r="1394" spans="8:9" x14ac:dyDescent="0.2">
      <c r="H1394" s="1"/>
      <c r="I1394" s="1"/>
    </row>
    <row r="1395" spans="8:9" x14ac:dyDescent="0.2">
      <c r="H1395" s="1"/>
      <c r="I1395" s="1"/>
    </row>
    <row r="1396" spans="8:9" x14ac:dyDescent="0.2">
      <c r="H1396" s="1"/>
      <c r="I1396" s="1"/>
    </row>
    <row r="1397" spans="8:9" x14ac:dyDescent="0.2">
      <c r="H1397" s="1"/>
      <c r="I1397" s="1"/>
    </row>
    <row r="1398" spans="8:9" x14ac:dyDescent="0.2">
      <c r="H1398" s="1"/>
      <c r="I1398" s="1"/>
    </row>
    <row r="1399" spans="8:9" x14ac:dyDescent="0.2">
      <c r="H1399" s="1"/>
      <c r="I1399" s="1"/>
    </row>
    <row r="1400" spans="8:9" x14ac:dyDescent="0.2">
      <c r="H1400" s="1"/>
      <c r="I1400" s="1"/>
    </row>
    <row r="1401" spans="8:9" x14ac:dyDescent="0.2">
      <c r="H1401" s="1"/>
      <c r="I1401" s="1"/>
    </row>
    <row r="1402" spans="8:9" x14ac:dyDescent="0.2">
      <c r="H1402" s="1"/>
      <c r="I1402" s="1"/>
    </row>
    <row r="1403" spans="8:9" x14ac:dyDescent="0.2">
      <c r="H1403" s="1"/>
      <c r="I1403" s="1"/>
    </row>
    <row r="1404" spans="8:9" x14ac:dyDescent="0.2">
      <c r="H1404" s="1"/>
      <c r="I1404" s="1"/>
    </row>
    <row r="1405" spans="8:9" x14ac:dyDescent="0.2">
      <c r="H1405" s="1"/>
      <c r="I1405" s="1"/>
    </row>
    <row r="1406" spans="8:9" x14ac:dyDescent="0.2">
      <c r="H1406" s="1"/>
      <c r="I1406" s="1"/>
    </row>
    <row r="1407" spans="8:9" x14ac:dyDescent="0.2">
      <c r="H1407" s="1"/>
      <c r="I1407" s="1"/>
    </row>
    <row r="1408" spans="8:9" x14ac:dyDescent="0.2">
      <c r="H1408" s="1"/>
      <c r="I1408" s="1"/>
    </row>
    <row r="1409" spans="8:9" x14ac:dyDescent="0.2">
      <c r="H1409" s="1"/>
      <c r="I1409" s="1"/>
    </row>
    <row r="1410" spans="8:9" x14ac:dyDescent="0.2">
      <c r="H1410" s="1"/>
      <c r="I1410" s="1"/>
    </row>
    <row r="1411" spans="8:9" x14ac:dyDescent="0.2">
      <c r="H1411" s="1"/>
      <c r="I1411" s="1"/>
    </row>
    <row r="1412" spans="8:9" x14ac:dyDescent="0.2">
      <c r="H1412" s="1"/>
      <c r="I1412" s="1"/>
    </row>
    <row r="1413" spans="8:9" x14ac:dyDescent="0.2">
      <c r="H1413" s="1"/>
      <c r="I1413" s="1"/>
    </row>
    <row r="1414" spans="8:9" x14ac:dyDescent="0.2">
      <c r="H1414" s="1"/>
      <c r="I1414" s="1"/>
    </row>
    <row r="1415" spans="8:9" x14ac:dyDescent="0.2">
      <c r="H1415" s="1"/>
      <c r="I1415" s="1"/>
    </row>
    <row r="1416" spans="8:9" x14ac:dyDescent="0.2">
      <c r="H1416" s="1"/>
      <c r="I1416" s="1"/>
    </row>
    <row r="1417" spans="8:9" x14ac:dyDescent="0.2">
      <c r="H1417" s="1"/>
      <c r="I1417" s="1"/>
    </row>
    <row r="1418" spans="8:9" x14ac:dyDescent="0.2">
      <c r="H1418" s="1"/>
      <c r="I1418" s="1"/>
    </row>
    <row r="1419" spans="8:9" x14ac:dyDescent="0.2">
      <c r="H1419" s="1"/>
      <c r="I1419" s="1"/>
    </row>
    <row r="1420" spans="8:9" x14ac:dyDescent="0.2">
      <c r="H1420" s="1"/>
      <c r="I1420" s="1"/>
    </row>
    <row r="1421" spans="8:9" x14ac:dyDescent="0.2">
      <c r="H1421" s="1"/>
      <c r="I1421" s="1"/>
    </row>
    <row r="1422" spans="8:9" x14ac:dyDescent="0.2">
      <c r="H1422" s="1"/>
      <c r="I1422" s="1"/>
    </row>
    <row r="1423" spans="8:9" x14ac:dyDescent="0.2">
      <c r="H1423" s="1"/>
      <c r="I1423" s="1"/>
    </row>
    <row r="1424" spans="8:9" x14ac:dyDescent="0.2">
      <c r="H1424" s="1"/>
      <c r="I1424" s="1"/>
    </row>
    <row r="1425" spans="8:9" x14ac:dyDescent="0.2">
      <c r="H1425" s="1"/>
      <c r="I1425" s="1"/>
    </row>
    <row r="1426" spans="8:9" x14ac:dyDescent="0.2">
      <c r="H1426" s="1"/>
      <c r="I1426" s="1"/>
    </row>
    <row r="1427" spans="8:9" x14ac:dyDescent="0.2">
      <c r="H1427" s="1"/>
      <c r="I1427" s="1"/>
    </row>
    <row r="1428" spans="8:9" x14ac:dyDescent="0.2">
      <c r="H1428" s="1"/>
      <c r="I1428" s="1"/>
    </row>
    <row r="1429" spans="8:9" x14ac:dyDescent="0.2">
      <c r="H1429" s="1"/>
      <c r="I1429" s="1"/>
    </row>
    <row r="1430" spans="8:9" x14ac:dyDescent="0.2">
      <c r="H1430" s="1"/>
      <c r="I1430" s="1"/>
    </row>
    <row r="1431" spans="8:9" x14ac:dyDescent="0.2">
      <c r="H1431" s="1"/>
      <c r="I1431" s="1"/>
    </row>
    <row r="1432" spans="8:9" x14ac:dyDescent="0.2">
      <c r="H1432" s="1"/>
      <c r="I1432" s="1"/>
    </row>
    <row r="1433" spans="8:9" x14ac:dyDescent="0.2">
      <c r="H1433" s="1"/>
      <c r="I1433" s="1"/>
    </row>
    <row r="1434" spans="8:9" x14ac:dyDescent="0.2">
      <c r="H1434" s="1"/>
      <c r="I1434" s="1"/>
    </row>
    <row r="1435" spans="8:9" x14ac:dyDescent="0.2">
      <c r="H1435" s="1"/>
      <c r="I1435" s="1"/>
    </row>
    <row r="1436" spans="8:9" x14ac:dyDescent="0.2">
      <c r="H1436" s="1"/>
      <c r="I1436" s="1"/>
    </row>
    <row r="1437" spans="8:9" x14ac:dyDescent="0.2">
      <c r="H1437" s="1"/>
      <c r="I1437" s="1"/>
    </row>
    <row r="1438" spans="8:9" x14ac:dyDescent="0.2">
      <c r="H1438" s="1"/>
      <c r="I1438" s="1"/>
    </row>
    <row r="1439" spans="8:9" x14ac:dyDescent="0.2">
      <c r="H1439" s="1"/>
      <c r="I1439" s="1"/>
    </row>
    <row r="1440" spans="8:9" x14ac:dyDescent="0.2">
      <c r="H1440" s="1"/>
      <c r="I1440" s="1"/>
    </row>
    <row r="1441" spans="8:9" x14ac:dyDescent="0.2">
      <c r="H1441" s="1"/>
      <c r="I1441" s="1"/>
    </row>
    <row r="1442" spans="8:9" x14ac:dyDescent="0.2">
      <c r="H1442" s="1"/>
      <c r="I1442" s="1"/>
    </row>
    <row r="1443" spans="8:9" x14ac:dyDescent="0.2">
      <c r="H1443" s="1"/>
      <c r="I1443" s="1"/>
    </row>
    <row r="1444" spans="8:9" x14ac:dyDescent="0.2">
      <c r="H1444" s="1"/>
      <c r="I1444" s="1"/>
    </row>
    <row r="1445" spans="8:9" x14ac:dyDescent="0.2">
      <c r="H1445" s="1"/>
      <c r="I1445" s="1"/>
    </row>
    <row r="1446" spans="8:9" x14ac:dyDescent="0.2">
      <c r="H1446" s="1"/>
      <c r="I1446" s="1"/>
    </row>
    <row r="1447" spans="8:9" x14ac:dyDescent="0.2">
      <c r="H1447" s="1"/>
      <c r="I1447" s="1"/>
    </row>
    <row r="1448" spans="8:9" x14ac:dyDescent="0.2">
      <c r="H1448" s="1"/>
      <c r="I1448" s="1"/>
    </row>
    <row r="1449" spans="8:9" x14ac:dyDescent="0.2">
      <c r="H1449" s="1"/>
      <c r="I1449" s="1"/>
    </row>
    <row r="1450" spans="8:9" x14ac:dyDescent="0.2">
      <c r="H1450" s="1"/>
      <c r="I1450" s="1"/>
    </row>
    <row r="1451" spans="8:9" x14ac:dyDescent="0.2">
      <c r="H1451" s="1"/>
      <c r="I1451" s="1"/>
    </row>
    <row r="1452" spans="8:9" x14ac:dyDescent="0.2">
      <c r="H1452" s="1"/>
      <c r="I1452" s="1"/>
    </row>
    <row r="1453" spans="8:9" x14ac:dyDescent="0.2">
      <c r="H1453" s="1"/>
      <c r="I1453" s="1"/>
    </row>
    <row r="1454" spans="8:9" x14ac:dyDescent="0.2">
      <c r="H1454" s="1"/>
      <c r="I1454" s="1"/>
    </row>
    <row r="1455" spans="8:9" x14ac:dyDescent="0.2">
      <c r="H1455" s="1"/>
      <c r="I1455" s="1"/>
    </row>
    <row r="1456" spans="8:9" x14ac:dyDescent="0.2">
      <c r="H1456" s="1"/>
      <c r="I1456" s="1"/>
    </row>
    <row r="1457" spans="8:9" x14ac:dyDescent="0.2">
      <c r="H1457" s="1"/>
      <c r="I1457" s="1"/>
    </row>
    <row r="1458" spans="8:9" x14ac:dyDescent="0.2">
      <c r="H1458" s="1"/>
      <c r="I1458" s="1"/>
    </row>
    <row r="1459" spans="8:9" x14ac:dyDescent="0.2">
      <c r="H1459" s="1"/>
      <c r="I1459" s="1"/>
    </row>
    <row r="1460" spans="8:9" x14ac:dyDescent="0.2">
      <c r="H1460" s="1"/>
      <c r="I1460" s="1"/>
    </row>
    <row r="1461" spans="8:9" x14ac:dyDescent="0.2">
      <c r="H1461" s="1"/>
      <c r="I1461" s="1"/>
    </row>
    <row r="1462" spans="8:9" x14ac:dyDescent="0.2">
      <c r="H1462" s="1"/>
      <c r="I1462" s="1"/>
    </row>
    <row r="1463" spans="8:9" x14ac:dyDescent="0.2">
      <c r="H1463" s="1"/>
      <c r="I1463" s="1"/>
    </row>
    <row r="1464" spans="8:9" x14ac:dyDescent="0.2">
      <c r="H1464" s="1"/>
      <c r="I1464" s="1"/>
    </row>
    <row r="1465" spans="8:9" x14ac:dyDescent="0.2">
      <c r="H1465" s="1"/>
      <c r="I1465" s="1"/>
    </row>
    <row r="1466" spans="8:9" x14ac:dyDescent="0.2">
      <c r="H1466" s="1"/>
      <c r="I1466" s="1"/>
    </row>
    <row r="1467" spans="8:9" x14ac:dyDescent="0.2">
      <c r="H1467" s="1"/>
      <c r="I1467" s="1"/>
    </row>
    <row r="1468" spans="8:9" x14ac:dyDescent="0.2">
      <c r="H1468" s="1"/>
      <c r="I1468" s="1"/>
    </row>
    <row r="1469" spans="8:9" x14ac:dyDescent="0.2">
      <c r="H1469" s="1"/>
      <c r="I1469" s="1"/>
    </row>
    <row r="1470" spans="8:9" x14ac:dyDescent="0.2">
      <c r="H1470" s="1"/>
      <c r="I1470" s="1"/>
    </row>
    <row r="1471" spans="8:9" x14ac:dyDescent="0.2">
      <c r="H1471" s="1"/>
      <c r="I1471" s="1"/>
    </row>
    <row r="1472" spans="8:9" x14ac:dyDescent="0.2">
      <c r="H1472" s="1"/>
      <c r="I1472" s="1"/>
    </row>
    <row r="1473" spans="8:9" x14ac:dyDescent="0.2">
      <c r="H1473" s="1"/>
      <c r="I1473" s="1"/>
    </row>
    <row r="1474" spans="8:9" x14ac:dyDescent="0.2">
      <c r="H1474" s="1"/>
      <c r="I1474" s="1"/>
    </row>
    <row r="1475" spans="8:9" x14ac:dyDescent="0.2">
      <c r="H1475" s="1"/>
      <c r="I1475" s="1"/>
    </row>
    <row r="1476" spans="8:9" x14ac:dyDescent="0.2">
      <c r="H1476" s="1"/>
      <c r="I1476" s="1"/>
    </row>
    <row r="1477" spans="8:9" x14ac:dyDescent="0.2">
      <c r="H1477" s="1"/>
      <c r="I1477" s="1"/>
    </row>
    <row r="1478" spans="8:9" x14ac:dyDescent="0.2">
      <c r="H1478" s="1"/>
      <c r="I1478" s="1"/>
    </row>
    <row r="1479" spans="8:9" x14ac:dyDescent="0.2">
      <c r="H1479" s="1"/>
      <c r="I1479" s="1"/>
    </row>
    <row r="1480" spans="8:9" x14ac:dyDescent="0.2">
      <c r="H1480" s="1"/>
      <c r="I1480" s="1"/>
    </row>
    <row r="1481" spans="8:9" x14ac:dyDescent="0.2">
      <c r="H1481" s="1"/>
      <c r="I1481" s="1"/>
    </row>
    <row r="1482" spans="8:9" x14ac:dyDescent="0.2">
      <c r="H1482" s="1"/>
      <c r="I1482" s="1"/>
    </row>
    <row r="1483" spans="8:9" x14ac:dyDescent="0.2">
      <c r="H1483" s="1"/>
      <c r="I1483" s="1"/>
    </row>
    <row r="1484" spans="8:9" x14ac:dyDescent="0.2">
      <c r="H1484" s="1"/>
      <c r="I1484" s="1"/>
    </row>
    <row r="1485" spans="8:9" x14ac:dyDescent="0.2">
      <c r="H1485" s="1"/>
      <c r="I1485" s="1"/>
    </row>
    <row r="1486" spans="8:9" x14ac:dyDescent="0.2">
      <c r="H1486" s="1"/>
      <c r="I1486" s="1"/>
    </row>
    <row r="1487" spans="8:9" x14ac:dyDescent="0.2">
      <c r="H1487" s="1"/>
      <c r="I1487" s="1"/>
    </row>
    <row r="1488" spans="8:9" x14ac:dyDescent="0.2">
      <c r="H1488" s="1"/>
      <c r="I1488" s="1"/>
    </row>
    <row r="1489" spans="8:9" x14ac:dyDescent="0.2">
      <c r="H1489" s="1"/>
      <c r="I1489" s="1"/>
    </row>
    <row r="1490" spans="8:9" x14ac:dyDescent="0.2">
      <c r="H1490" s="1"/>
      <c r="I1490" s="1"/>
    </row>
    <row r="1491" spans="8:9" x14ac:dyDescent="0.2">
      <c r="H1491" s="1"/>
      <c r="I1491" s="1"/>
    </row>
    <row r="1492" spans="8:9" x14ac:dyDescent="0.2">
      <c r="H1492" s="1"/>
      <c r="I1492" s="1"/>
    </row>
    <row r="1493" spans="8:9" x14ac:dyDescent="0.2">
      <c r="H1493" s="1"/>
      <c r="I1493" s="1"/>
    </row>
    <row r="1494" spans="8:9" x14ac:dyDescent="0.2">
      <c r="H1494" s="1"/>
      <c r="I1494" s="1"/>
    </row>
    <row r="1495" spans="8:9" x14ac:dyDescent="0.2">
      <c r="H1495" s="1"/>
      <c r="I1495" s="1"/>
    </row>
    <row r="1496" spans="8:9" x14ac:dyDescent="0.2">
      <c r="H1496" s="1"/>
      <c r="I1496" s="1"/>
    </row>
    <row r="1497" spans="8:9" x14ac:dyDescent="0.2">
      <c r="H1497" s="1"/>
      <c r="I1497" s="1"/>
    </row>
    <row r="1498" spans="8:9" x14ac:dyDescent="0.2">
      <c r="H1498" s="1"/>
      <c r="I1498" s="1"/>
    </row>
    <row r="1499" spans="8:9" x14ac:dyDescent="0.2">
      <c r="H1499" s="1"/>
      <c r="I1499" s="1"/>
    </row>
    <row r="1500" spans="8:9" x14ac:dyDescent="0.2">
      <c r="H1500" s="1"/>
      <c r="I1500" s="1"/>
    </row>
    <row r="1501" spans="8:9" x14ac:dyDescent="0.2">
      <c r="H1501" s="1"/>
      <c r="I1501" s="1"/>
    </row>
    <row r="1502" spans="8:9" x14ac:dyDescent="0.2">
      <c r="H1502" s="1"/>
      <c r="I1502" s="1"/>
    </row>
    <row r="1503" spans="8:9" x14ac:dyDescent="0.2">
      <c r="H1503" s="1"/>
      <c r="I1503" s="1"/>
    </row>
    <row r="1504" spans="8:9" x14ac:dyDescent="0.2">
      <c r="H1504" s="1"/>
      <c r="I1504" s="1"/>
    </row>
    <row r="1505" spans="8:9" x14ac:dyDescent="0.2">
      <c r="H1505" s="1"/>
      <c r="I1505" s="1"/>
    </row>
    <row r="1506" spans="8:9" x14ac:dyDescent="0.2">
      <c r="H1506" s="1"/>
      <c r="I1506" s="1"/>
    </row>
    <row r="1507" spans="8:9" x14ac:dyDescent="0.2">
      <c r="H1507" s="1"/>
      <c r="I1507" s="1"/>
    </row>
    <row r="1508" spans="8:9" x14ac:dyDescent="0.2">
      <c r="H1508" s="1"/>
      <c r="I1508" s="1"/>
    </row>
    <row r="1509" spans="8:9" x14ac:dyDescent="0.2">
      <c r="H1509" s="1"/>
      <c r="I1509" s="1"/>
    </row>
    <row r="1510" spans="8:9" x14ac:dyDescent="0.2">
      <c r="H1510" s="1"/>
      <c r="I1510" s="1"/>
    </row>
    <row r="1511" spans="8:9" x14ac:dyDescent="0.2">
      <c r="H1511" s="1"/>
      <c r="I1511" s="1"/>
    </row>
    <row r="1512" spans="8:9" x14ac:dyDescent="0.2">
      <c r="H1512" s="1"/>
      <c r="I1512" s="1"/>
    </row>
    <row r="1513" spans="8:9" x14ac:dyDescent="0.2">
      <c r="H1513" s="1"/>
      <c r="I1513" s="1"/>
    </row>
    <row r="1514" spans="8:9" x14ac:dyDescent="0.2">
      <c r="H1514" s="1"/>
      <c r="I1514" s="1"/>
    </row>
    <row r="1515" spans="8:9" x14ac:dyDescent="0.2">
      <c r="H1515" s="1"/>
      <c r="I1515" s="1"/>
    </row>
    <row r="1516" spans="8:9" x14ac:dyDescent="0.2">
      <c r="H1516" s="1"/>
      <c r="I1516" s="1"/>
    </row>
    <row r="1517" spans="8:9" x14ac:dyDescent="0.2">
      <c r="H1517" s="1"/>
      <c r="I1517" s="1"/>
    </row>
    <row r="1518" spans="8:9" x14ac:dyDescent="0.2">
      <c r="H1518" s="1"/>
      <c r="I1518" s="1"/>
    </row>
    <row r="1519" spans="8:9" x14ac:dyDescent="0.2">
      <c r="H1519" s="1"/>
      <c r="I1519" s="1"/>
    </row>
    <row r="1520" spans="8:9" x14ac:dyDescent="0.2">
      <c r="H1520" s="1"/>
      <c r="I1520" s="1"/>
    </row>
    <row r="1521" spans="8:9" x14ac:dyDescent="0.2">
      <c r="H1521" s="1"/>
      <c r="I1521" s="1"/>
    </row>
    <row r="1522" spans="8:9" x14ac:dyDescent="0.2">
      <c r="H1522" s="1"/>
      <c r="I1522" s="1"/>
    </row>
    <row r="1523" spans="8:9" x14ac:dyDescent="0.2">
      <c r="H1523" s="1"/>
      <c r="I1523" s="1"/>
    </row>
    <row r="1524" spans="8:9" x14ac:dyDescent="0.2">
      <c r="H1524" s="1"/>
      <c r="I1524" s="1"/>
    </row>
    <row r="1525" spans="8:9" x14ac:dyDescent="0.2">
      <c r="H1525" s="1"/>
      <c r="I1525" s="1"/>
    </row>
    <row r="1526" spans="8:9" x14ac:dyDescent="0.2">
      <c r="H1526" s="1"/>
      <c r="I1526" s="1"/>
    </row>
    <row r="1527" spans="8:9" x14ac:dyDescent="0.2">
      <c r="H1527" s="1"/>
      <c r="I1527" s="1"/>
    </row>
    <row r="1528" spans="8:9" x14ac:dyDescent="0.2">
      <c r="H1528" s="1"/>
      <c r="I1528" s="1"/>
    </row>
    <row r="1529" spans="8:9" x14ac:dyDescent="0.2">
      <c r="H1529" s="1"/>
      <c r="I1529" s="1"/>
    </row>
    <row r="1530" spans="8:9" x14ac:dyDescent="0.2">
      <c r="H1530" s="1"/>
      <c r="I1530" s="1"/>
    </row>
    <row r="1531" spans="8:9" x14ac:dyDescent="0.2">
      <c r="H1531" s="1"/>
      <c r="I1531" s="1"/>
    </row>
    <row r="1532" spans="8:9" x14ac:dyDescent="0.2">
      <c r="H1532" s="1"/>
      <c r="I1532" s="1"/>
    </row>
    <row r="1533" spans="8:9" x14ac:dyDescent="0.2">
      <c r="H1533" s="1"/>
      <c r="I1533" s="1"/>
    </row>
    <row r="1534" spans="8:9" x14ac:dyDescent="0.2">
      <c r="H1534" s="1"/>
      <c r="I1534" s="1"/>
    </row>
    <row r="1535" spans="8:9" x14ac:dyDescent="0.2">
      <c r="H1535" s="1"/>
      <c r="I1535" s="1"/>
    </row>
    <row r="1536" spans="8:9" x14ac:dyDescent="0.2">
      <c r="H1536" s="1"/>
      <c r="I1536" s="1"/>
    </row>
    <row r="1537" spans="8:9" x14ac:dyDescent="0.2">
      <c r="H1537" s="1"/>
      <c r="I1537" s="1"/>
    </row>
    <row r="1538" spans="8:9" x14ac:dyDescent="0.2">
      <c r="H1538" s="1"/>
      <c r="I1538" s="1"/>
    </row>
    <row r="1539" spans="8:9" x14ac:dyDescent="0.2">
      <c r="H1539" s="1"/>
      <c r="I1539" s="1"/>
    </row>
    <row r="1540" spans="8:9" x14ac:dyDescent="0.2">
      <c r="H1540" s="1"/>
      <c r="I1540" s="1"/>
    </row>
    <row r="1541" spans="8:9" x14ac:dyDescent="0.2">
      <c r="H1541" s="1"/>
      <c r="I1541" s="1"/>
    </row>
    <row r="1542" spans="8:9" x14ac:dyDescent="0.2">
      <c r="H1542" s="1"/>
      <c r="I1542" s="1"/>
    </row>
    <row r="1543" spans="8:9" x14ac:dyDescent="0.2">
      <c r="H1543" s="1"/>
      <c r="I1543" s="1"/>
    </row>
    <row r="1544" spans="8:9" x14ac:dyDescent="0.2">
      <c r="H1544" s="1"/>
      <c r="I1544" s="1"/>
    </row>
    <row r="1545" spans="8:9" x14ac:dyDescent="0.2">
      <c r="H1545" s="1"/>
      <c r="I1545" s="1"/>
    </row>
    <row r="1546" spans="8:9" x14ac:dyDescent="0.2">
      <c r="H1546" s="1"/>
      <c r="I1546" s="1"/>
    </row>
    <row r="1547" spans="8:9" x14ac:dyDescent="0.2">
      <c r="H1547" s="1"/>
      <c r="I1547" s="1"/>
    </row>
    <row r="1548" spans="8:9" x14ac:dyDescent="0.2">
      <c r="H1548" s="1"/>
      <c r="I1548" s="1"/>
    </row>
    <row r="1549" spans="8:9" x14ac:dyDescent="0.2">
      <c r="H1549" s="1"/>
      <c r="I1549" s="1"/>
    </row>
    <row r="1550" spans="8:9" x14ac:dyDescent="0.2">
      <c r="H1550" s="1"/>
      <c r="I1550" s="1"/>
    </row>
    <row r="1551" spans="8:9" x14ac:dyDescent="0.2">
      <c r="H1551" s="1"/>
      <c r="I1551" s="1"/>
    </row>
    <row r="1552" spans="8:9" x14ac:dyDescent="0.2">
      <c r="H1552" s="1"/>
      <c r="I1552" s="1"/>
    </row>
    <row r="1553" spans="8:9" x14ac:dyDescent="0.2">
      <c r="H1553" s="1"/>
      <c r="I1553" s="1"/>
    </row>
    <row r="1554" spans="8:9" x14ac:dyDescent="0.2">
      <c r="H1554" s="1"/>
      <c r="I1554" s="1"/>
    </row>
    <row r="1555" spans="8:9" x14ac:dyDescent="0.2">
      <c r="H1555" s="1"/>
      <c r="I1555" s="1"/>
    </row>
    <row r="1556" spans="8:9" x14ac:dyDescent="0.2">
      <c r="H1556" s="1"/>
      <c r="I1556" s="1"/>
    </row>
    <row r="1557" spans="8:9" x14ac:dyDescent="0.2">
      <c r="H1557" s="1"/>
      <c r="I1557" s="1"/>
    </row>
    <row r="1558" spans="8:9" x14ac:dyDescent="0.2">
      <c r="H1558" s="1"/>
      <c r="I1558" s="1"/>
    </row>
    <row r="1559" spans="8:9" x14ac:dyDescent="0.2">
      <c r="H1559" s="1"/>
      <c r="I1559" s="1"/>
    </row>
    <row r="1560" spans="8:9" x14ac:dyDescent="0.2">
      <c r="H1560" s="1"/>
      <c r="I1560" s="1"/>
    </row>
    <row r="1561" spans="8:9" x14ac:dyDescent="0.2">
      <c r="H1561" s="1"/>
      <c r="I1561" s="1"/>
    </row>
    <row r="1562" spans="8:9" x14ac:dyDescent="0.2">
      <c r="H1562" s="1"/>
      <c r="I1562" s="1"/>
    </row>
    <row r="1563" spans="8:9" x14ac:dyDescent="0.2">
      <c r="H1563" s="1"/>
      <c r="I1563" s="1"/>
    </row>
    <row r="1564" spans="8:9" x14ac:dyDescent="0.2">
      <c r="H1564" s="1"/>
      <c r="I1564" s="1"/>
    </row>
    <row r="1565" spans="8:9" x14ac:dyDescent="0.2">
      <c r="H1565" s="1"/>
      <c r="I1565" s="1"/>
    </row>
    <row r="1566" spans="8:9" x14ac:dyDescent="0.2">
      <c r="H1566" s="1"/>
      <c r="I1566" s="1"/>
    </row>
    <row r="1567" spans="8:9" x14ac:dyDescent="0.2">
      <c r="H1567" s="1"/>
      <c r="I1567" s="1"/>
    </row>
    <row r="1568" spans="8:9" x14ac:dyDescent="0.2">
      <c r="H1568" s="1"/>
      <c r="I1568" s="1"/>
    </row>
    <row r="1569" spans="8:9" x14ac:dyDescent="0.2">
      <c r="H1569" s="1"/>
      <c r="I1569" s="1"/>
    </row>
    <row r="1570" spans="8:9" x14ac:dyDescent="0.2">
      <c r="H1570" s="1"/>
      <c r="I1570" s="1"/>
    </row>
    <row r="1571" spans="8:9" x14ac:dyDescent="0.2">
      <c r="H1571" s="1"/>
      <c r="I1571" s="1"/>
    </row>
    <row r="1572" spans="8:9" x14ac:dyDescent="0.2">
      <c r="H1572" s="1"/>
      <c r="I1572" s="1"/>
    </row>
    <row r="1573" spans="8:9" x14ac:dyDescent="0.2">
      <c r="H1573" s="1"/>
      <c r="I1573" s="1"/>
    </row>
    <row r="1574" spans="8:9" x14ac:dyDescent="0.2">
      <c r="H1574" s="1"/>
      <c r="I1574" s="1"/>
    </row>
    <row r="1575" spans="8:9" x14ac:dyDescent="0.2">
      <c r="H1575" s="1"/>
      <c r="I1575" s="1"/>
    </row>
    <row r="1576" spans="8:9" x14ac:dyDescent="0.2">
      <c r="H1576" s="1"/>
      <c r="I1576" s="1"/>
    </row>
    <row r="1577" spans="8:9" x14ac:dyDescent="0.2">
      <c r="H1577" s="1"/>
      <c r="I1577" s="1"/>
    </row>
    <row r="1578" spans="8:9" x14ac:dyDescent="0.2">
      <c r="H1578" s="1"/>
      <c r="I1578" s="1"/>
    </row>
    <row r="1579" spans="8:9" x14ac:dyDescent="0.2">
      <c r="H1579" s="1"/>
      <c r="I1579" s="1"/>
    </row>
    <row r="1580" spans="8:9" x14ac:dyDescent="0.2">
      <c r="H1580" s="1"/>
      <c r="I1580" s="1"/>
    </row>
    <row r="1581" spans="8:9" x14ac:dyDescent="0.2">
      <c r="H1581" s="1"/>
      <c r="I1581" s="1"/>
    </row>
    <row r="1582" spans="8:9" x14ac:dyDescent="0.2">
      <c r="H1582" s="1"/>
      <c r="I1582" s="1"/>
    </row>
    <row r="1583" spans="8:9" x14ac:dyDescent="0.2">
      <c r="H1583" s="1"/>
      <c r="I1583" s="1"/>
    </row>
    <row r="1584" spans="8:9" x14ac:dyDescent="0.2">
      <c r="H1584" s="1"/>
      <c r="I1584" s="1"/>
    </row>
    <row r="1585" spans="8:9" x14ac:dyDescent="0.2">
      <c r="H1585" s="1"/>
      <c r="I1585" s="1"/>
    </row>
    <row r="1586" spans="8:9" x14ac:dyDescent="0.2">
      <c r="H1586" s="1"/>
      <c r="I1586" s="1"/>
    </row>
    <row r="1587" spans="8:9" x14ac:dyDescent="0.2">
      <c r="H1587" s="1"/>
      <c r="I1587" s="1"/>
    </row>
    <row r="1588" spans="8:9" x14ac:dyDescent="0.2">
      <c r="H1588" s="1"/>
      <c r="I1588" s="1"/>
    </row>
    <row r="1589" spans="8:9" x14ac:dyDescent="0.2">
      <c r="H1589" s="1"/>
      <c r="I1589" s="1"/>
    </row>
    <row r="1590" spans="8:9" x14ac:dyDescent="0.2">
      <c r="H1590" s="1"/>
      <c r="I1590" s="1"/>
    </row>
    <row r="1591" spans="8:9" x14ac:dyDescent="0.2">
      <c r="H1591" s="1"/>
      <c r="I1591" s="1"/>
    </row>
    <row r="1592" spans="8:9" x14ac:dyDescent="0.2">
      <c r="H1592" s="1"/>
      <c r="I1592" s="1"/>
    </row>
    <row r="1593" spans="8:9" x14ac:dyDescent="0.2">
      <c r="H1593" s="1"/>
      <c r="I1593" s="1"/>
    </row>
    <row r="1594" spans="8:9" x14ac:dyDescent="0.2">
      <c r="H1594" s="1"/>
      <c r="I1594" s="1"/>
    </row>
    <row r="1595" spans="8:9" x14ac:dyDescent="0.2">
      <c r="H1595" s="1"/>
      <c r="I1595" s="1"/>
    </row>
    <row r="1596" spans="8:9" x14ac:dyDescent="0.2">
      <c r="H1596" s="1"/>
      <c r="I1596" s="1"/>
    </row>
    <row r="1597" spans="8:9" x14ac:dyDescent="0.2">
      <c r="H1597" s="1"/>
      <c r="I1597" s="1"/>
    </row>
    <row r="1598" spans="8:9" x14ac:dyDescent="0.2">
      <c r="H1598" s="1"/>
      <c r="I1598" s="1"/>
    </row>
    <row r="1599" spans="8:9" x14ac:dyDescent="0.2">
      <c r="H1599" s="1"/>
      <c r="I1599" s="1"/>
    </row>
    <row r="1600" spans="8:9" x14ac:dyDescent="0.2">
      <c r="H1600" s="1"/>
      <c r="I1600" s="1"/>
    </row>
    <row r="1601" spans="8:9" x14ac:dyDescent="0.2">
      <c r="H1601" s="1"/>
      <c r="I1601" s="1"/>
    </row>
    <row r="1602" spans="8:9" x14ac:dyDescent="0.2">
      <c r="H1602" s="1"/>
      <c r="I1602" s="1"/>
    </row>
    <row r="1603" spans="8:9" x14ac:dyDescent="0.2">
      <c r="H1603" s="1"/>
      <c r="I1603" s="1"/>
    </row>
    <row r="1604" spans="8:9" x14ac:dyDescent="0.2">
      <c r="H1604" s="1"/>
      <c r="I1604" s="1"/>
    </row>
    <row r="1605" spans="8:9" x14ac:dyDescent="0.2">
      <c r="H1605" s="1"/>
      <c r="I1605" s="1"/>
    </row>
    <row r="1606" spans="8:9" x14ac:dyDescent="0.2">
      <c r="H1606" s="1"/>
      <c r="I1606" s="1"/>
    </row>
    <row r="1607" spans="8:9" x14ac:dyDescent="0.2">
      <c r="H1607" s="1"/>
      <c r="I1607" s="1"/>
    </row>
    <row r="1608" spans="8:9" x14ac:dyDescent="0.2">
      <c r="H1608" s="1"/>
      <c r="I1608" s="1"/>
    </row>
    <row r="1609" spans="8:9" x14ac:dyDescent="0.2">
      <c r="H1609" s="1"/>
      <c r="I1609" s="1"/>
    </row>
    <row r="1610" spans="8:9" x14ac:dyDescent="0.2">
      <c r="H1610" s="1"/>
      <c r="I1610" s="1"/>
    </row>
    <row r="1611" spans="8:9" x14ac:dyDescent="0.2">
      <c r="H1611" s="1"/>
      <c r="I1611" s="1"/>
    </row>
    <row r="1612" spans="8:9" x14ac:dyDescent="0.2">
      <c r="H1612" s="1"/>
      <c r="I1612" s="1"/>
    </row>
    <row r="1613" spans="8:9" x14ac:dyDescent="0.2">
      <c r="H1613" s="1"/>
      <c r="I1613" s="1"/>
    </row>
    <row r="1614" spans="8:9" x14ac:dyDescent="0.2">
      <c r="H1614" s="1"/>
      <c r="I1614" s="1"/>
    </row>
    <row r="1615" spans="8:9" x14ac:dyDescent="0.2">
      <c r="H1615" s="1"/>
      <c r="I1615" s="1"/>
    </row>
    <row r="1616" spans="8:9" x14ac:dyDescent="0.2">
      <c r="H1616" s="1"/>
      <c r="I1616" s="1"/>
    </row>
    <row r="1617" spans="8:9" x14ac:dyDescent="0.2">
      <c r="H1617" s="1"/>
      <c r="I1617" s="1"/>
    </row>
    <row r="1618" spans="8:9" x14ac:dyDescent="0.2">
      <c r="H1618" s="1"/>
      <c r="I1618" s="1"/>
    </row>
    <row r="1619" spans="8:9" x14ac:dyDescent="0.2">
      <c r="H1619" s="1"/>
      <c r="I1619" s="1"/>
    </row>
    <row r="1620" spans="8:9" x14ac:dyDescent="0.2">
      <c r="H1620" s="1"/>
      <c r="I1620" s="1"/>
    </row>
    <row r="1621" spans="8:9" x14ac:dyDescent="0.2">
      <c r="H1621" s="1"/>
      <c r="I1621" s="1"/>
    </row>
    <row r="1622" spans="8:9" x14ac:dyDescent="0.2">
      <c r="H1622" s="1"/>
      <c r="I1622" s="1"/>
    </row>
    <row r="1623" spans="8:9" x14ac:dyDescent="0.2">
      <c r="H1623" s="1"/>
      <c r="I1623" s="1"/>
    </row>
    <row r="1624" spans="8:9" x14ac:dyDescent="0.2">
      <c r="H1624" s="1"/>
      <c r="I1624" s="1"/>
    </row>
    <row r="1625" spans="8:9" x14ac:dyDescent="0.2">
      <c r="H1625" s="1"/>
      <c r="I1625" s="1"/>
    </row>
    <row r="1626" spans="8:9" x14ac:dyDescent="0.2">
      <c r="H1626" s="1"/>
      <c r="I1626" s="1"/>
    </row>
    <row r="1627" spans="8:9" x14ac:dyDescent="0.2">
      <c r="H1627" s="1"/>
      <c r="I1627" s="1"/>
    </row>
    <row r="1628" spans="8:9" x14ac:dyDescent="0.2">
      <c r="H1628" s="1"/>
      <c r="I1628" s="1"/>
    </row>
    <row r="1629" spans="8:9" x14ac:dyDescent="0.2">
      <c r="H1629" s="1"/>
      <c r="I1629" s="1"/>
    </row>
    <row r="1630" spans="8:9" x14ac:dyDescent="0.2">
      <c r="H1630" s="1"/>
      <c r="I1630" s="1"/>
    </row>
    <row r="1631" spans="8:9" x14ac:dyDescent="0.2">
      <c r="H1631" s="1"/>
      <c r="I1631" s="1"/>
    </row>
    <row r="1632" spans="8:9" x14ac:dyDescent="0.2">
      <c r="H1632" s="1"/>
      <c r="I1632" s="1"/>
    </row>
    <row r="1633" spans="8:9" x14ac:dyDescent="0.2">
      <c r="H1633" s="1"/>
      <c r="I1633" s="1"/>
    </row>
    <row r="1634" spans="8:9" x14ac:dyDescent="0.2">
      <c r="H1634" s="1"/>
      <c r="I1634" s="1"/>
    </row>
    <row r="1635" spans="8:9" x14ac:dyDescent="0.2">
      <c r="H1635" s="1"/>
      <c r="I1635" s="1"/>
    </row>
    <row r="1636" spans="8:9" x14ac:dyDescent="0.2">
      <c r="H1636" s="1"/>
      <c r="I1636" s="1"/>
    </row>
    <row r="1637" spans="8:9" x14ac:dyDescent="0.2">
      <c r="H1637" s="1"/>
      <c r="I1637" s="1"/>
    </row>
    <row r="1638" spans="8:9" x14ac:dyDescent="0.2">
      <c r="H1638" s="1"/>
      <c r="I1638" s="1"/>
    </row>
    <row r="1639" spans="8:9" x14ac:dyDescent="0.2">
      <c r="H1639" s="1"/>
      <c r="I1639" s="1"/>
    </row>
    <row r="1640" spans="8:9" x14ac:dyDescent="0.2">
      <c r="H1640" s="1"/>
      <c r="I1640" s="1"/>
    </row>
    <row r="1641" spans="8:9" x14ac:dyDescent="0.2">
      <c r="H1641" s="1"/>
      <c r="I1641" s="1"/>
    </row>
    <row r="1642" spans="8:9" x14ac:dyDescent="0.2">
      <c r="H1642" s="1"/>
      <c r="I1642" s="1"/>
    </row>
    <row r="1643" spans="8:9" x14ac:dyDescent="0.2">
      <c r="H1643" s="1"/>
      <c r="I1643" s="1"/>
    </row>
    <row r="1644" spans="8:9" x14ac:dyDescent="0.2">
      <c r="H1644" s="1"/>
      <c r="I1644" s="1"/>
    </row>
    <row r="1645" spans="8:9" x14ac:dyDescent="0.2">
      <c r="H1645" s="1"/>
      <c r="I1645" s="1"/>
    </row>
    <row r="1646" spans="8:9" x14ac:dyDescent="0.2">
      <c r="H1646" s="1"/>
      <c r="I1646" s="1"/>
    </row>
    <row r="1647" spans="8:9" x14ac:dyDescent="0.2">
      <c r="H1647" s="1"/>
      <c r="I1647" s="1"/>
    </row>
    <row r="1648" spans="8:9" x14ac:dyDescent="0.2">
      <c r="H1648" s="1"/>
      <c r="I1648" s="1"/>
    </row>
    <row r="1649" spans="8:9" x14ac:dyDescent="0.2">
      <c r="H1649" s="1"/>
      <c r="I1649" s="1"/>
    </row>
    <row r="1650" spans="8:9" x14ac:dyDescent="0.2">
      <c r="H1650" s="1"/>
      <c r="I1650" s="1"/>
    </row>
    <row r="1651" spans="8:9" x14ac:dyDescent="0.2">
      <c r="H1651" s="1"/>
      <c r="I1651" s="1"/>
    </row>
    <row r="1652" spans="8:9" x14ac:dyDescent="0.2">
      <c r="H1652" s="1"/>
      <c r="I1652" s="1"/>
    </row>
    <row r="1653" spans="8:9" x14ac:dyDescent="0.2">
      <c r="H1653" s="1"/>
      <c r="I1653" s="1"/>
    </row>
    <row r="1654" spans="8:9" x14ac:dyDescent="0.2">
      <c r="H1654" s="1"/>
      <c r="I1654" s="1"/>
    </row>
    <row r="1655" spans="8:9" x14ac:dyDescent="0.2">
      <c r="H1655" s="1"/>
      <c r="I1655" s="1"/>
    </row>
    <row r="1656" spans="8:9" x14ac:dyDescent="0.2">
      <c r="H1656" s="1"/>
      <c r="I1656" s="1"/>
    </row>
    <row r="1657" spans="8:9" x14ac:dyDescent="0.2">
      <c r="H1657" s="1"/>
      <c r="I1657" s="1"/>
    </row>
    <row r="1658" spans="8:9" x14ac:dyDescent="0.2">
      <c r="H1658" s="1"/>
      <c r="I1658" s="1"/>
    </row>
    <row r="1659" spans="8:9" x14ac:dyDescent="0.2">
      <c r="H1659" s="1"/>
      <c r="I1659" s="1"/>
    </row>
    <row r="1660" spans="8:9" x14ac:dyDescent="0.2">
      <c r="H1660" s="1"/>
      <c r="I1660" s="1"/>
    </row>
    <row r="1661" spans="8:9" x14ac:dyDescent="0.2">
      <c r="H1661" s="1"/>
      <c r="I1661" s="1"/>
    </row>
    <row r="1662" spans="8:9" x14ac:dyDescent="0.2">
      <c r="H1662" s="1"/>
      <c r="I1662" s="1"/>
    </row>
    <row r="1663" spans="8:9" x14ac:dyDescent="0.2">
      <c r="H1663" s="1"/>
      <c r="I1663" s="1"/>
    </row>
    <row r="1664" spans="8:9" x14ac:dyDescent="0.2">
      <c r="H1664" s="1"/>
      <c r="I1664" s="1"/>
    </row>
    <row r="1665" spans="8:9" x14ac:dyDescent="0.2">
      <c r="H1665" s="1"/>
      <c r="I1665" s="1"/>
    </row>
    <row r="1666" spans="8:9" x14ac:dyDescent="0.2">
      <c r="H1666" s="1"/>
      <c r="I1666" s="1"/>
    </row>
    <row r="1667" spans="8:9" x14ac:dyDescent="0.2">
      <c r="H1667" s="1"/>
      <c r="I1667" s="1"/>
    </row>
    <row r="1668" spans="8:9" x14ac:dyDescent="0.2">
      <c r="H1668" s="1"/>
      <c r="I1668" s="1"/>
    </row>
    <row r="1669" spans="8:9" x14ac:dyDescent="0.2">
      <c r="H1669" s="1"/>
      <c r="I1669" s="1"/>
    </row>
    <row r="1670" spans="8:9" x14ac:dyDescent="0.2">
      <c r="H1670" s="1"/>
      <c r="I1670" s="1"/>
    </row>
    <row r="1671" spans="8:9" x14ac:dyDescent="0.2">
      <c r="H1671" s="1"/>
      <c r="I1671" s="1"/>
    </row>
    <row r="1672" spans="8:9" x14ac:dyDescent="0.2">
      <c r="H1672" s="1"/>
      <c r="I1672" s="1"/>
    </row>
    <row r="1673" spans="8:9" x14ac:dyDescent="0.2">
      <c r="H1673" s="1"/>
      <c r="I1673" s="1"/>
    </row>
    <row r="1674" spans="8:9" x14ac:dyDescent="0.2">
      <c r="H1674" s="1"/>
      <c r="I1674" s="1"/>
    </row>
    <row r="1675" spans="8:9" x14ac:dyDescent="0.2">
      <c r="H1675" s="1"/>
      <c r="I1675" s="1"/>
    </row>
    <row r="1676" spans="8:9" x14ac:dyDescent="0.2">
      <c r="H1676" s="1"/>
      <c r="I1676" s="1"/>
    </row>
    <row r="1677" spans="8:9" x14ac:dyDescent="0.2">
      <c r="H1677" s="1"/>
      <c r="I1677" s="1"/>
    </row>
    <row r="1678" spans="8:9" x14ac:dyDescent="0.2">
      <c r="H1678" s="1"/>
      <c r="I1678" s="1"/>
    </row>
    <row r="1679" spans="8:9" x14ac:dyDescent="0.2">
      <c r="H1679" s="1"/>
      <c r="I1679" s="1"/>
    </row>
    <row r="1680" spans="8:9" x14ac:dyDescent="0.2">
      <c r="H1680" s="1"/>
      <c r="I1680" s="1"/>
    </row>
    <row r="1681" spans="8:9" x14ac:dyDescent="0.2">
      <c r="H1681" s="1"/>
      <c r="I1681" s="1"/>
    </row>
    <row r="1682" spans="8:9" x14ac:dyDescent="0.2">
      <c r="H1682" s="1"/>
      <c r="I1682" s="1"/>
    </row>
    <row r="1683" spans="8:9" x14ac:dyDescent="0.2">
      <c r="H1683" s="1"/>
      <c r="I1683" s="1"/>
    </row>
    <row r="1684" spans="8:9" x14ac:dyDescent="0.2">
      <c r="H1684" s="1"/>
      <c r="I1684" s="1"/>
    </row>
    <row r="1685" spans="8:9" x14ac:dyDescent="0.2">
      <c r="H1685" s="1"/>
      <c r="I1685" s="1"/>
    </row>
    <row r="1686" spans="8:9" x14ac:dyDescent="0.2">
      <c r="H1686" s="1"/>
      <c r="I1686" s="1"/>
    </row>
    <row r="1687" spans="8:9" x14ac:dyDescent="0.2">
      <c r="H1687" s="1"/>
      <c r="I1687" s="1"/>
    </row>
    <row r="1688" spans="8:9" x14ac:dyDescent="0.2">
      <c r="H1688" s="1"/>
      <c r="I1688" s="1"/>
    </row>
    <row r="1689" spans="8:9" x14ac:dyDescent="0.2">
      <c r="H1689" s="1"/>
      <c r="I1689" s="1"/>
    </row>
    <row r="1690" spans="8:9" x14ac:dyDescent="0.2">
      <c r="H1690" s="1"/>
      <c r="I1690" s="1"/>
    </row>
    <row r="1691" spans="8:9" x14ac:dyDescent="0.2">
      <c r="H1691" s="1"/>
      <c r="I1691" s="1"/>
    </row>
    <row r="1692" spans="8:9" x14ac:dyDescent="0.2">
      <c r="H1692" s="1"/>
      <c r="I1692" s="1"/>
    </row>
    <row r="1693" spans="8:9" x14ac:dyDescent="0.2">
      <c r="H1693" s="1"/>
      <c r="I1693" s="1"/>
    </row>
    <row r="1694" spans="8:9" x14ac:dyDescent="0.2">
      <c r="H1694" s="1"/>
      <c r="I1694" s="1"/>
    </row>
    <row r="1695" spans="8:9" x14ac:dyDescent="0.2">
      <c r="H1695" s="1"/>
      <c r="I1695" s="1"/>
    </row>
    <row r="1696" spans="8:9" x14ac:dyDescent="0.2">
      <c r="H1696" s="1"/>
      <c r="I1696" s="1"/>
    </row>
    <row r="1697" spans="8:9" x14ac:dyDescent="0.2">
      <c r="H1697" s="1"/>
      <c r="I1697" s="1"/>
    </row>
    <row r="1698" spans="8:9" x14ac:dyDescent="0.2">
      <c r="H1698" s="1"/>
      <c r="I1698" s="1"/>
    </row>
    <row r="1699" spans="8:9" x14ac:dyDescent="0.2">
      <c r="H1699" s="1"/>
      <c r="I1699" s="1"/>
    </row>
    <row r="1700" spans="8:9" x14ac:dyDescent="0.2">
      <c r="H1700" s="1"/>
      <c r="I1700" s="1"/>
    </row>
    <row r="1701" spans="8:9" x14ac:dyDescent="0.2">
      <c r="H1701" s="1"/>
      <c r="I1701" s="1"/>
    </row>
    <row r="1702" spans="8:9" x14ac:dyDescent="0.2">
      <c r="H1702" s="1"/>
      <c r="I1702" s="1"/>
    </row>
    <row r="1703" spans="8:9" x14ac:dyDescent="0.2">
      <c r="H1703" s="1"/>
      <c r="I1703" s="1"/>
    </row>
    <row r="1704" spans="8:9" x14ac:dyDescent="0.2">
      <c r="H1704" s="1"/>
      <c r="I1704" s="1"/>
    </row>
    <row r="1705" spans="8:9" x14ac:dyDescent="0.2">
      <c r="H1705" s="1"/>
      <c r="I1705" s="1"/>
    </row>
    <row r="1706" spans="8:9" x14ac:dyDescent="0.2">
      <c r="H1706" s="1"/>
      <c r="I1706" s="1"/>
    </row>
    <row r="1707" spans="8:9" x14ac:dyDescent="0.2">
      <c r="H1707" s="1"/>
      <c r="I1707" s="1"/>
    </row>
    <row r="1708" spans="8:9" x14ac:dyDescent="0.2">
      <c r="H1708" s="1"/>
      <c r="I1708" s="1"/>
    </row>
    <row r="1709" spans="8:9" x14ac:dyDescent="0.2">
      <c r="H1709" s="1"/>
      <c r="I1709" s="1"/>
    </row>
    <row r="1710" spans="8:9" x14ac:dyDescent="0.2">
      <c r="H1710" s="1"/>
      <c r="I1710" s="1"/>
    </row>
    <row r="1711" spans="8:9" x14ac:dyDescent="0.2">
      <c r="H1711" s="1"/>
      <c r="I1711" s="1"/>
    </row>
    <row r="1712" spans="8:9" x14ac:dyDescent="0.2">
      <c r="H1712" s="1"/>
      <c r="I1712" s="1"/>
    </row>
    <row r="1713" spans="8:9" x14ac:dyDescent="0.2">
      <c r="H1713" s="1"/>
      <c r="I1713" s="1"/>
    </row>
    <row r="1714" spans="8:9" x14ac:dyDescent="0.2">
      <c r="H1714" s="1"/>
      <c r="I1714" s="1"/>
    </row>
    <row r="1715" spans="8:9" x14ac:dyDescent="0.2">
      <c r="H1715" s="1"/>
      <c r="I1715" s="1"/>
    </row>
    <row r="1716" spans="8:9" x14ac:dyDescent="0.2">
      <c r="H1716" s="1"/>
      <c r="I1716" s="1"/>
    </row>
    <row r="1717" spans="8:9" x14ac:dyDescent="0.2">
      <c r="H1717" s="1"/>
      <c r="I1717" s="1"/>
    </row>
    <row r="1718" spans="8:9" x14ac:dyDescent="0.2">
      <c r="H1718" s="1"/>
      <c r="I1718" s="1"/>
    </row>
    <row r="1719" spans="8:9" x14ac:dyDescent="0.2">
      <c r="H1719" s="1"/>
      <c r="I1719" s="1"/>
    </row>
    <row r="1720" spans="8:9" x14ac:dyDescent="0.2">
      <c r="H1720" s="1"/>
      <c r="I1720" s="1"/>
    </row>
    <row r="1721" spans="8:9" x14ac:dyDescent="0.2">
      <c r="H1721" s="1"/>
      <c r="I1721" s="1"/>
    </row>
    <row r="1722" spans="8:9" x14ac:dyDescent="0.2">
      <c r="H1722" s="1"/>
      <c r="I1722" s="1"/>
    </row>
    <row r="1723" spans="8:9" x14ac:dyDescent="0.2">
      <c r="H1723" s="1"/>
      <c r="I1723" s="1"/>
    </row>
    <row r="1724" spans="8:9" x14ac:dyDescent="0.2">
      <c r="H1724" s="1"/>
      <c r="I1724" s="1"/>
    </row>
    <row r="1725" spans="8:9" x14ac:dyDescent="0.2">
      <c r="H1725" s="1"/>
      <c r="I1725" s="1"/>
    </row>
    <row r="1726" spans="8:9" x14ac:dyDescent="0.2">
      <c r="H1726" s="1"/>
      <c r="I1726" s="1"/>
    </row>
    <row r="1727" spans="8:9" x14ac:dyDescent="0.2">
      <c r="H1727" s="1"/>
      <c r="I1727" s="1"/>
    </row>
    <row r="1728" spans="8:9" x14ac:dyDescent="0.2">
      <c r="H1728" s="1"/>
      <c r="I1728" s="1"/>
    </row>
    <row r="1729" spans="8:9" x14ac:dyDescent="0.2">
      <c r="H1729" s="1"/>
      <c r="I1729" s="1"/>
    </row>
    <row r="1730" spans="8:9" x14ac:dyDescent="0.2">
      <c r="H1730" s="1"/>
      <c r="I1730" s="1"/>
    </row>
    <row r="1731" spans="8:9" x14ac:dyDescent="0.2">
      <c r="H1731" s="1"/>
      <c r="I1731" s="1"/>
    </row>
    <row r="1732" spans="8:9" x14ac:dyDescent="0.2">
      <c r="H1732" s="1"/>
      <c r="I1732" s="1"/>
    </row>
    <row r="1733" spans="8:9" x14ac:dyDescent="0.2">
      <c r="H1733" s="1"/>
      <c r="I1733" s="1"/>
    </row>
    <row r="1734" spans="8:9" x14ac:dyDescent="0.2">
      <c r="H1734" s="1"/>
      <c r="I1734" s="1"/>
    </row>
    <row r="1735" spans="8:9" x14ac:dyDescent="0.2">
      <c r="H1735" s="1"/>
      <c r="I1735" s="1"/>
    </row>
    <row r="1736" spans="8:9" x14ac:dyDescent="0.2">
      <c r="H1736" s="1"/>
      <c r="I1736" s="1"/>
    </row>
    <row r="1737" spans="8:9" x14ac:dyDescent="0.2">
      <c r="H1737" s="1"/>
      <c r="I1737" s="1"/>
    </row>
    <row r="1738" spans="8:9" x14ac:dyDescent="0.2">
      <c r="H1738" s="1"/>
      <c r="I1738" s="1"/>
    </row>
    <row r="1739" spans="8:9" x14ac:dyDescent="0.2">
      <c r="H1739" s="1"/>
      <c r="I1739" s="1"/>
    </row>
    <row r="1740" spans="8:9" x14ac:dyDescent="0.2">
      <c r="H1740" s="1"/>
      <c r="I1740" s="1"/>
    </row>
    <row r="1741" spans="8:9" x14ac:dyDescent="0.2">
      <c r="H1741" s="1"/>
      <c r="I1741" s="1"/>
    </row>
    <row r="1742" spans="8:9" x14ac:dyDescent="0.2">
      <c r="H1742" s="1"/>
      <c r="I1742" s="1"/>
    </row>
    <row r="1743" spans="8:9" x14ac:dyDescent="0.2">
      <c r="H1743" s="1"/>
      <c r="I1743" s="1"/>
    </row>
    <row r="1744" spans="8:9" x14ac:dyDescent="0.2">
      <c r="H1744" s="1"/>
      <c r="I1744" s="1"/>
    </row>
    <row r="1745" spans="8:9" x14ac:dyDescent="0.2">
      <c r="H1745" s="1"/>
      <c r="I1745" s="1"/>
    </row>
    <row r="1746" spans="8:9" x14ac:dyDescent="0.2">
      <c r="H1746" s="1"/>
      <c r="I1746" s="1"/>
    </row>
    <row r="1747" spans="8:9" x14ac:dyDescent="0.2">
      <c r="H1747" s="1"/>
      <c r="I1747" s="1"/>
    </row>
    <row r="1748" spans="8:9" x14ac:dyDescent="0.2">
      <c r="H1748" s="1"/>
      <c r="I1748" s="1"/>
    </row>
    <row r="1749" spans="8:9" x14ac:dyDescent="0.2">
      <c r="H1749" s="1"/>
      <c r="I1749" s="1"/>
    </row>
    <row r="1750" spans="8:9" x14ac:dyDescent="0.2">
      <c r="H1750" s="1"/>
      <c r="I1750" s="1"/>
    </row>
    <row r="1751" spans="8:9" x14ac:dyDescent="0.2">
      <c r="H1751" s="1"/>
      <c r="I1751" s="1"/>
    </row>
    <row r="1752" spans="8:9" x14ac:dyDescent="0.2">
      <c r="H1752" s="1"/>
      <c r="I1752" s="1"/>
    </row>
    <row r="1753" spans="8:9" x14ac:dyDescent="0.2">
      <c r="H1753" s="1"/>
      <c r="I1753" s="1"/>
    </row>
    <row r="1754" spans="8:9" x14ac:dyDescent="0.2">
      <c r="H1754" s="1"/>
      <c r="I1754" s="1"/>
    </row>
    <row r="1755" spans="8:9" x14ac:dyDescent="0.2">
      <c r="H1755" s="1"/>
      <c r="I1755" s="1"/>
    </row>
    <row r="1756" spans="8:9" x14ac:dyDescent="0.2">
      <c r="H1756" s="1"/>
      <c r="I1756" s="1"/>
    </row>
    <row r="1757" spans="8:9" x14ac:dyDescent="0.2">
      <c r="H1757" s="1"/>
      <c r="I1757" s="1"/>
    </row>
    <row r="1758" spans="8:9" x14ac:dyDescent="0.2">
      <c r="H1758" s="1"/>
      <c r="I1758" s="1"/>
    </row>
    <row r="1759" spans="8:9" x14ac:dyDescent="0.2">
      <c r="H1759" s="1"/>
      <c r="I1759" s="1"/>
    </row>
    <row r="1760" spans="8:9" x14ac:dyDescent="0.2">
      <c r="H1760" s="1"/>
      <c r="I1760" s="1"/>
    </row>
    <row r="1761" spans="8:9" x14ac:dyDescent="0.2">
      <c r="H1761" s="1"/>
      <c r="I1761" s="1"/>
    </row>
    <row r="1762" spans="8:9" x14ac:dyDescent="0.2">
      <c r="H1762" s="1"/>
      <c r="I1762" s="1"/>
    </row>
    <row r="1763" spans="8:9" x14ac:dyDescent="0.2">
      <c r="H1763" s="1"/>
      <c r="I1763" s="1"/>
    </row>
    <row r="1764" spans="8:9" x14ac:dyDescent="0.2">
      <c r="H1764" s="1"/>
      <c r="I1764" s="1"/>
    </row>
    <row r="1765" spans="8:9" x14ac:dyDescent="0.2">
      <c r="H1765" s="1"/>
      <c r="I1765" s="1"/>
    </row>
    <row r="1766" spans="8:9" x14ac:dyDescent="0.2">
      <c r="H1766" s="1"/>
      <c r="I1766" s="1"/>
    </row>
    <row r="1767" spans="8:9" x14ac:dyDescent="0.2">
      <c r="H1767" s="1"/>
      <c r="I1767" s="1"/>
    </row>
    <row r="1768" spans="8:9" x14ac:dyDescent="0.2">
      <c r="H1768" s="1"/>
      <c r="I1768" s="1"/>
    </row>
    <row r="1769" spans="8:9" x14ac:dyDescent="0.2">
      <c r="H1769" s="1"/>
      <c r="I1769" s="1"/>
    </row>
    <row r="1770" spans="8:9" x14ac:dyDescent="0.2">
      <c r="H1770" s="1"/>
      <c r="I1770" s="1"/>
    </row>
    <row r="1771" spans="8:9" x14ac:dyDescent="0.2">
      <c r="H1771" s="1"/>
      <c r="I1771" s="1"/>
    </row>
    <row r="1772" spans="8:9" x14ac:dyDescent="0.2">
      <c r="H1772" s="1"/>
      <c r="I1772" s="1"/>
    </row>
    <row r="1773" spans="8:9" x14ac:dyDescent="0.2">
      <c r="H1773" s="1"/>
      <c r="I1773" s="1"/>
    </row>
    <row r="1774" spans="8:9" x14ac:dyDescent="0.2">
      <c r="H1774" s="1"/>
      <c r="I1774" s="1"/>
    </row>
    <row r="1775" spans="8:9" x14ac:dyDescent="0.2">
      <c r="H1775" s="1"/>
      <c r="I1775" s="1"/>
    </row>
    <row r="1776" spans="8:9" x14ac:dyDescent="0.2">
      <c r="H1776" s="1"/>
      <c r="I1776" s="1"/>
    </row>
    <row r="1777" spans="8:9" x14ac:dyDescent="0.2">
      <c r="H1777" s="1"/>
      <c r="I1777" s="1"/>
    </row>
    <row r="1778" spans="8:9" x14ac:dyDescent="0.2">
      <c r="H1778" s="1"/>
      <c r="I1778" s="1"/>
    </row>
    <row r="1779" spans="8:9" x14ac:dyDescent="0.2">
      <c r="H1779" s="1"/>
      <c r="I1779" s="1"/>
    </row>
    <row r="1780" spans="8:9" x14ac:dyDescent="0.2">
      <c r="H1780" s="1"/>
      <c r="I1780" s="1"/>
    </row>
    <row r="1781" spans="8:9" x14ac:dyDescent="0.2">
      <c r="H1781" s="1"/>
      <c r="I1781" s="1"/>
    </row>
    <row r="1782" spans="8:9" x14ac:dyDescent="0.2">
      <c r="H1782" s="1"/>
      <c r="I1782" s="1"/>
    </row>
    <row r="1783" spans="8:9" x14ac:dyDescent="0.2">
      <c r="H1783" s="1"/>
      <c r="I1783" s="1"/>
    </row>
    <row r="1784" spans="8:9" x14ac:dyDescent="0.2">
      <c r="H1784" s="1"/>
      <c r="I1784" s="1"/>
    </row>
    <row r="1785" spans="8:9" x14ac:dyDescent="0.2">
      <c r="H1785" s="1"/>
      <c r="I1785" s="1"/>
    </row>
    <row r="1786" spans="8:9" x14ac:dyDescent="0.2">
      <c r="H1786" s="1"/>
      <c r="I1786" s="1"/>
    </row>
    <row r="1787" spans="8:9" x14ac:dyDescent="0.2">
      <c r="H1787" s="1"/>
      <c r="I1787" s="1"/>
    </row>
    <row r="1788" spans="8:9" x14ac:dyDescent="0.2">
      <c r="H1788" s="1"/>
      <c r="I1788" s="1"/>
    </row>
    <row r="1789" spans="8:9" x14ac:dyDescent="0.2">
      <c r="H1789" s="1"/>
      <c r="I1789" s="1"/>
    </row>
    <row r="1790" spans="8:9" x14ac:dyDescent="0.2">
      <c r="H1790" s="1"/>
      <c r="I1790" s="1"/>
    </row>
    <row r="1791" spans="8:9" x14ac:dyDescent="0.2">
      <c r="H1791" s="1"/>
      <c r="I1791" s="1"/>
    </row>
    <row r="1792" spans="8:9" x14ac:dyDescent="0.2">
      <c r="H1792" s="1"/>
      <c r="I1792" s="1"/>
    </row>
    <row r="1793" spans="8:9" x14ac:dyDescent="0.2">
      <c r="H1793" s="1"/>
      <c r="I1793" s="1"/>
    </row>
    <row r="1794" spans="8:9" x14ac:dyDescent="0.2">
      <c r="H1794" s="1"/>
      <c r="I1794" s="1"/>
    </row>
    <row r="1795" spans="8:9" x14ac:dyDescent="0.2">
      <c r="H1795" s="1"/>
      <c r="I1795" s="1"/>
    </row>
    <row r="1796" spans="8:9" x14ac:dyDescent="0.2">
      <c r="H1796" s="1"/>
      <c r="I1796" s="1"/>
    </row>
    <row r="1797" spans="8:9" x14ac:dyDescent="0.2">
      <c r="H1797" s="1"/>
      <c r="I1797" s="1"/>
    </row>
    <row r="1798" spans="8:9" x14ac:dyDescent="0.2">
      <c r="H1798" s="1"/>
      <c r="I1798" s="1"/>
    </row>
    <row r="1799" spans="8:9" x14ac:dyDescent="0.2">
      <c r="H1799" s="1"/>
      <c r="I1799" s="1"/>
    </row>
    <row r="1800" spans="8:9" x14ac:dyDescent="0.2">
      <c r="H1800" s="1"/>
      <c r="I1800" s="1"/>
    </row>
    <row r="1801" spans="8:9" x14ac:dyDescent="0.2">
      <c r="H1801" s="1"/>
      <c r="I1801" s="1"/>
    </row>
    <row r="1802" spans="8:9" x14ac:dyDescent="0.2">
      <c r="H1802" s="1"/>
      <c r="I1802" s="1"/>
    </row>
    <row r="1803" spans="8:9" x14ac:dyDescent="0.2">
      <c r="H1803" s="1"/>
      <c r="I1803" s="1"/>
    </row>
    <row r="1804" spans="8:9" x14ac:dyDescent="0.2">
      <c r="H1804" s="1"/>
      <c r="I1804" s="1"/>
    </row>
    <row r="1805" spans="8:9" x14ac:dyDescent="0.2">
      <c r="H1805" s="1"/>
      <c r="I1805" s="1"/>
    </row>
    <row r="1806" spans="8:9" x14ac:dyDescent="0.2">
      <c r="H1806" s="1"/>
      <c r="I1806" s="1"/>
    </row>
    <row r="1807" spans="8:9" x14ac:dyDescent="0.2">
      <c r="H1807" s="1"/>
      <c r="I1807" s="1"/>
    </row>
    <row r="1808" spans="8:9" x14ac:dyDescent="0.2">
      <c r="H1808" s="1"/>
      <c r="I1808" s="1"/>
    </row>
    <row r="1809" spans="8:9" x14ac:dyDescent="0.2">
      <c r="H1809" s="1"/>
      <c r="I1809" s="1"/>
    </row>
    <row r="1810" spans="8:9" x14ac:dyDescent="0.2">
      <c r="H1810" s="1"/>
      <c r="I1810" s="1"/>
    </row>
    <row r="1811" spans="8:9" x14ac:dyDescent="0.2">
      <c r="H1811" s="1"/>
      <c r="I1811" s="1"/>
    </row>
    <row r="1812" spans="8:9" x14ac:dyDescent="0.2">
      <c r="H1812" s="1"/>
      <c r="I1812" s="1"/>
    </row>
    <row r="1813" spans="8:9" x14ac:dyDescent="0.2">
      <c r="H1813" s="1"/>
      <c r="I1813" s="1"/>
    </row>
    <row r="1814" spans="8:9" x14ac:dyDescent="0.2">
      <c r="H1814" s="1"/>
      <c r="I1814" s="1"/>
    </row>
    <row r="1815" spans="8:9" x14ac:dyDescent="0.2">
      <c r="H1815" s="1"/>
      <c r="I1815" s="1"/>
    </row>
    <row r="1816" spans="8:9" x14ac:dyDescent="0.2">
      <c r="H1816" s="1"/>
      <c r="I1816" s="1"/>
    </row>
    <row r="1817" spans="8:9" x14ac:dyDescent="0.2">
      <c r="H1817" s="1"/>
      <c r="I1817" s="1"/>
    </row>
    <row r="1818" spans="8:9" x14ac:dyDescent="0.2">
      <c r="H1818" s="1"/>
      <c r="I1818" s="1"/>
    </row>
    <row r="1819" spans="8:9" x14ac:dyDescent="0.2">
      <c r="H1819" s="1"/>
      <c r="I1819" s="1"/>
    </row>
    <row r="1820" spans="8:9" x14ac:dyDescent="0.2">
      <c r="H1820" s="1"/>
      <c r="I1820" s="1"/>
    </row>
    <row r="1821" spans="8:9" x14ac:dyDescent="0.2">
      <c r="H1821" s="1"/>
      <c r="I1821" s="1"/>
    </row>
    <row r="1822" spans="8:9" x14ac:dyDescent="0.2">
      <c r="H1822" s="1"/>
      <c r="I1822" s="1"/>
    </row>
    <row r="1823" spans="8:9" x14ac:dyDescent="0.2">
      <c r="H1823" s="1"/>
      <c r="I1823" s="1"/>
    </row>
    <row r="1824" spans="8:9" x14ac:dyDescent="0.2">
      <c r="H1824" s="1"/>
      <c r="I1824" s="1"/>
    </row>
    <row r="1825" spans="8:9" x14ac:dyDescent="0.2">
      <c r="H1825" s="1"/>
      <c r="I1825" s="1"/>
    </row>
    <row r="1826" spans="8:9" x14ac:dyDescent="0.2">
      <c r="H1826" s="1"/>
      <c r="I1826" s="1"/>
    </row>
    <row r="1827" spans="8:9" x14ac:dyDescent="0.2">
      <c r="H1827" s="1"/>
      <c r="I1827" s="1"/>
    </row>
    <row r="1828" spans="8:9" x14ac:dyDescent="0.2">
      <c r="H1828" s="1"/>
      <c r="I1828" s="1"/>
    </row>
    <row r="1829" spans="8:9" x14ac:dyDescent="0.2">
      <c r="H1829" s="1"/>
      <c r="I1829" s="1"/>
    </row>
    <row r="1830" spans="8:9" x14ac:dyDescent="0.2">
      <c r="H1830" s="1"/>
      <c r="I1830" s="1"/>
    </row>
    <row r="1831" spans="8:9" x14ac:dyDescent="0.2">
      <c r="H1831" s="1"/>
      <c r="I1831" s="1"/>
    </row>
    <row r="1832" spans="8:9" x14ac:dyDescent="0.2">
      <c r="H1832" s="1"/>
      <c r="I1832" s="1"/>
    </row>
    <row r="1833" spans="8:9" x14ac:dyDescent="0.2">
      <c r="H1833" s="1"/>
      <c r="I1833" s="1"/>
    </row>
    <row r="1834" spans="8:9" x14ac:dyDescent="0.2">
      <c r="H1834" s="1"/>
      <c r="I1834" s="1"/>
    </row>
    <row r="1835" spans="8:9" x14ac:dyDescent="0.2">
      <c r="H1835" s="1"/>
      <c r="I1835" s="1"/>
    </row>
    <row r="1836" spans="8:9" x14ac:dyDescent="0.2">
      <c r="H1836" s="1"/>
      <c r="I1836" s="1"/>
    </row>
    <row r="1837" spans="8:9" x14ac:dyDescent="0.2">
      <c r="H1837" s="1"/>
      <c r="I1837" s="1"/>
    </row>
    <row r="1838" spans="8:9" x14ac:dyDescent="0.2">
      <c r="H1838" s="1"/>
      <c r="I1838" s="1"/>
    </row>
    <row r="1839" spans="8:9" x14ac:dyDescent="0.2">
      <c r="H1839" s="1"/>
      <c r="I1839" s="1"/>
    </row>
    <row r="1840" spans="8:9" x14ac:dyDescent="0.2">
      <c r="H1840" s="1"/>
      <c r="I1840" s="1"/>
    </row>
    <row r="1841" spans="8:9" x14ac:dyDescent="0.2">
      <c r="H1841" s="1"/>
      <c r="I1841" s="1"/>
    </row>
    <row r="1842" spans="8:9" x14ac:dyDescent="0.2">
      <c r="H1842" s="1"/>
      <c r="I1842" s="1"/>
    </row>
    <row r="1843" spans="8:9" x14ac:dyDescent="0.2">
      <c r="H1843" s="1"/>
      <c r="I1843" s="1"/>
    </row>
    <row r="1844" spans="8:9" x14ac:dyDescent="0.2">
      <c r="H1844" s="1"/>
      <c r="I1844" s="1"/>
    </row>
    <row r="1845" spans="8:9" x14ac:dyDescent="0.2">
      <c r="H1845" s="1"/>
      <c r="I1845" s="1"/>
    </row>
    <row r="1846" spans="8:9" x14ac:dyDescent="0.2">
      <c r="H1846" s="1"/>
      <c r="I1846" s="1"/>
    </row>
    <row r="1847" spans="8:9" x14ac:dyDescent="0.2">
      <c r="H1847" s="1"/>
      <c r="I1847" s="1"/>
    </row>
    <row r="1848" spans="8:9" x14ac:dyDescent="0.2">
      <c r="H1848" s="1"/>
      <c r="I1848" s="1"/>
    </row>
    <row r="1849" spans="8:9" x14ac:dyDescent="0.2">
      <c r="H1849" s="1"/>
      <c r="I1849" s="1"/>
    </row>
    <row r="1850" spans="8:9" x14ac:dyDescent="0.2">
      <c r="H1850" s="1"/>
      <c r="I1850" s="1"/>
    </row>
    <row r="1851" spans="8:9" x14ac:dyDescent="0.2">
      <c r="H1851" s="1"/>
      <c r="I1851" s="1"/>
    </row>
    <row r="1852" spans="8:9" x14ac:dyDescent="0.2">
      <c r="H1852" s="1"/>
      <c r="I1852" s="1"/>
    </row>
    <row r="1853" spans="8:9" x14ac:dyDescent="0.2">
      <c r="H1853" s="1"/>
      <c r="I1853" s="1"/>
    </row>
    <row r="1854" spans="8:9" x14ac:dyDescent="0.2">
      <c r="H1854" s="1"/>
      <c r="I1854" s="1"/>
    </row>
    <row r="1855" spans="8:9" x14ac:dyDescent="0.2">
      <c r="H1855" s="1"/>
      <c r="I1855" s="1"/>
    </row>
    <row r="1856" spans="8:9" x14ac:dyDescent="0.2">
      <c r="H1856" s="1"/>
      <c r="I1856" s="1"/>
    </row>
    <row r="1857" spans="8:9" x14ac:dyDescent="0.2">
      <c r="H1857" s="1"/>
      <c r="I1857" s="1"/>
    </row>
    <row r="1858" spans="8:9" x14ac:dyDescent="0.2">
      <c r="H1858" s="1"/>
      <c r="I1858" s="1"/>
    </row>
    <row r="1859" spans="8:9" x14ac:dyDescent="0.2">
      <c r="H1859" s="1"/>
      <c r="I1859" s="1"/>
    </row>
    <row r="1860" spans="8:9" x14ac:dyDescent="0.2">
      <c r="H1860" s="1"/>
      <c r="I1860" s="1"/>
    </row>
    <row r="1861" spans="8:9" x14ac:dyDescent="0.2">
      <c r="H1861" s="1"/>
      <c r="I1861" s="1"/>
    </row>
    <row r="1862" spans="8:9" x14ac:dyDescent="0.2">
      <c r="H1862" s="1"/>
      <c r="I1862" s="1"/>
    </row>
    <row r="1863" spans="8:9" x14ac:dyDescent="0.2">
      <c r="H1863" s="1"/>
      <c r="I1863" s="1"/>
    </row>
    <row r="1864" spans="8:9" x14ac:dyDescent="0.2">
      <c r="H1864" s="1"/>
      <c r="I1864" s="1"/>
    </row>
    <row r="1865" spans="8:9" x14ac:dyDescent="0.2">
      <c r="H1865" s="1"/>
      <c r="I1865" s="1"/>
    </row>
    <row r="1866" spans="8:9" x14ac:dyDescent="0.2">
      <c r="H1866" s="1"/>
      <c r="I1866" s="1"/>
    </row>
    <row r="1867" spans="8:9" x14ac:dyDescent="0.2">
      <c r="H1867" s="1"/>
      <c r="I1867" s="1"/>
    </row>
    <row r="1868" spans="8:9" x14ac:dyDescent="0.2">
      <c r="H1868" s="1"/>
      <c r="I1868" s="1"/>
    </row>
    <row r="1869" spans="8:9" x14ac:dyDescent="0.2">
      <c r="H1869" s="1"/>
      <c r="I1869" s="1"/>
    </row>
    <row r="1870" spans="8:9" x14ac:dyDescent="0.2">
      <c r="H1870" s="1"/>
      <c r="I1870" s="1"/>
    </row>
    <row r="1871" spans="8:9" x14ac:dyDescent="0.2">
      <c r="H1871" s="1"/>
      <c r="I1871" s="1"/>
    </row>
    <row r="1872" spans="8:9" x14ac:dyDescent="0.2">
      <c r="H1872" s="1"/>
      <c r="I1872" s="1"/>
    </row>
    <row r="1873" spans="8:9" x14ac:dyDescent="0.2">
      <c r="H1873" s="1"/>
      <c r="I1873" s="1"/>
    </row>
    <row r="1874" spans="8:9" x14ac:dyDescent="0.2">
      <c r="H1874" s="1"/>
      <c r="I1874" s="1"/>
    </row>
    <row r="1875" spans="8:9" x14ac:dyDescent="0.2">
      <c r="H1875" s="1"/>
      <c r="I1875" s="1"/>
    </row>
    <row r="1876" spans="8:9" x14ac:dyDescent="0.2">
      <c r="H1876" s="1"/>
      <c r="I1876" s="1"/>
    </row>
    <row r="1877" spans="8:9" x14ac:dyDescent="0.2">
      <c r="H1877" s="1"/>
      <c r="I1877" s="1"/>
    </row>
    <row r="1878" spans="8:9" x14ac:dyDescent="0.2">
      <c r="H1878" s="1"/>
      <c r="I1878" s="1"/>
    </row>
    <row r="1879" spans="8:9" x14ac:dyDescent="0.2">
      <c r="H1879" s="1"/>
      <c r="I1879" s="1"/>
    </row>
    <row r="1880" spans="8:9" x14ac:dyDescent="0.2">
      <c r="H1880" s="1"/>
      <c r="I1880" s="1"/>
    </row>
    <row r="1881" spans="8:9" x14ac:dyDescent="0.2">
      <c r="H1881" s="1"/>
      <c r="I1881" s="1"/>
    </row>
    <row r="1882" spans="8:9" x14ac:dyDescent="0.2">
      <c r="H1882" s="1"/>
      <c r="I1882" s="1"/>
    </row>
    <row r="1883" spans="8:9" x14ac:dyDescent="0.2">
      <c r="H1883" s="1"/>
      <c r="I1883" s="1"/>
    </row>
    <row r="1884" spans="8:9" x14ac:dyDescent="0.2">
      <c r="H1884" s="1"/>
      <c r="I1884" s="1"/>
    </row>
    <row r="1885" spans="8:9" x14ac:dyDescent="0.2">
      <c r="H1885" s="1"/>
      <c r="I1885" s="1"/>
    </row>
    <row r="1886" spans="8:9" x14ac:dyDescent="0.2">
      <c r="H1886" s="1"/>
      <c r="I1886" s="1"/>
    </row>
    <row r="1887" spans="8:9" x14ac:dyDescent="0.2">
      <c r="H1887" s="1"/>
      <c r="I1887" s="1"/>
    </row>
    <row r="1888" spans="8:9" x14ac:dyDescent="0.2">
      <c r="H1888" s="1"/>
      <c r="I1888" s="1"/>
    </row>
    <row r="1889" spans="8:9" x14ac:dyDescent="0.2">
      <c r="H1889" s="1"/>
      <c r="I1889" s="1"/>
    </row>
    <row r="1890" spans="8:9" x14ac:dyDescent="0.2">
      <c r="H1890" s="1"/>
      <c r="I1890" s="1"/>
    </row>
    <row r="1891" spans="8:9" x14ac:dyDescent="0.2">
      <c r="H1891" s="1"/>
      <c r="I1891" s="1"/>
    </row>
    <row r="1892" spans="8:9" x14ac:dyDescent="0.2">
      <c r="H1892" s="1"/>
      <c r="I1892" s="1"/>
    </row>
    <row r="1893" spans="8:9" x14ac:dyDescent="0.2">
      <c r="H1893" s="1"/>
      <c r="I1893" s="1"/>
    </row>
    <row r="1894" spans="8:9" x14ac:dyDescent="0.2">
      <c r="H1894" s="1"/>
      <c r="I1894" s="1"/>
    </row>
    <row r="1895" spans="8:9" x14ac:dyDescent="0.2">
      <c r="H1895" s="1"/>
      <c r="I1895" s="1"/>
    </row>
    <row r="1896" spans="8:9" x14ac:dyDescent="0.2">
      <c r="H1896" s="1"/>
      <c r="I1896" s="1"/>
    </row>
    <row r="1897" spans="8:9" x14ac:dyDescent="0.2">
      <c r="H1897" s="1"/>
      <c r="I1897" s="1"/>
    </row>
    <row r="1898" spans="8:9" x14ac:dyDescent="0.2">
      <c r="H1898" s="1"/>
      <c r="I1898" s="1"/>
    </row>
    <row r="1899" spans="8:9" x14ac:dyDescent="0.2">
      <c r="H1899" s="1"/>
      <c r="I1899" s="1"/>
    </row>
    <row r="1900" spans="8:9" x14ac:dyDescent="0.2">
      <c r="H1900" s="1"/>
      <c r="I1900" s="1"/>
    </row>
    <row r="1901" spans="8:9" x14ac:dyDescent="0.2">
      <c r="H1901" s="1"/>
      <c r="I1901" s="1"/>
    </row>
    <row r="1902" spans="8:9" x14ac:dyDescent="0.2">
      <c r="H1902" s="1"/>
      <c r="I1902" s="1"/>
    </row>
    <row r="1903" spans="8:9" x14ac:dyDescent="0.2">
      <c r="H1903" s="1"/>
      <c r="I1903" s="1"/>
    </row>
    <row r="1904" spans="8:9" x14ac:dyDescent="0.2">
      <c r="H1904" s="1"/>
      <c r="I1904" s="1"/>
    </row>
    <row r="1905" spans="8:9" x14ac:dyDescent="0.2">
      <c r="H1905" s="1"/>
      <c r="I1905" s="1"/>
    </row>
    <row r="1906" spans="8:9" x14ac:dyDescent="0.2">
      <c r="H1906" s="1"/>
      <c r="I1906" s="1"/>
    </row>
    <row r="1907" spans="8:9" x14ac:dyDescent="0.2">
      <c r="H1907" s="1"/>
      <c r="I1907" s="1"/>
    </row>
    <row r="1908" spans="8:9" x14ac:dyDescent="0.2">
      <c r="H1908" s="1"/>
      <c r="I1908" s="1"/>
    </row>
    <row r="1909" spans="8:9" x14ac:dyDescent="0.2">
      <c r="H1909" s="1"/>
      <c r="I1909" s="1"/>
    </row>
    <row r="1910" spans="8:9" x14ac:dyDescent="0.2">
      <c r="H1910" s="1"/>
      <c r="I1910" s="1"/>
    </row>
    <row r="1911" spans="8:9" x14ac:dyDescent="0.2">
      <c r="H1911" s="1"/>
      <c r="I1911" s="1"/>
    </row>
    <row r="1912" spans="8:9" x14ac:dyDescent="0.2">
      <c r="H1912" s="1"/>
      <c r="I1912" s="1"/>
    </row>
    <row r="1913" spans="8:9" x14ac:dyDescent="0.2">
      <c r="H1913" s="1"/>
      <c r="I1913" s="1"/>
    </row>
    <row r="1914" spans="8:9" x14ac:dyDescent="0.2">
      <c r="H1914" s="1"/>
      <c r="I1914" s="1"/>
    </row>
    <row r="1915" spans="8:9" x14ac:dyDescent="0.2">
      <c r="H1915" s="1"/>
      <c r="I1915" s="1"/>
    </row>
    <row r="1916" spans="8:9" x14ac:dyDescent="0.2">
      <c r="H1916" s="1"/>
      <c r="I1916" s="1"/>
    </row>
    <row r="1917" spans="8:9" x14ac:dyDescent="0.2">
      <c r="H1917" s="1"/>
      <c r="I1917" s="1"/>
    </row>
    <row r="1918" spans="8:9" x14ac:dyDescent="0.2">
      <c r="H1918" s="1"/>
      <c r="I1918" s="1"/>
    </row>
    <row r="1919" spans="8:9" x14ac:dyDescent="0.2">
      <c r="H1919" s="1"/>
      <c r="I1919" s="1"/>
    </row>
    <row r="1920" spans="8:9" x14ac:dyDescent="0.2">
      <c r="H1920" s="1"/>
      <c r="I1920" s="1"/>
    </row>
    <row r="1921" spans="8:9" x14ac:dyDescent="0.2">
      <c r="H1921" s="1"/>
      <c r="I1921" s="1"/>
    </row>
    <row r="1922" spans="8:9" x14ac:dyDescent="0.2">
      <c r="H1922" s="1"/>
      <c r="I1922" s="1"/>
    </row>
    <row r="1923" spans="8:9" x14ac:dyDescent="0.2">
      <c r="H1923" s="1"/>
      <c r="I1923" s="1"/>
    </row>
    <row r="1924" spans="8:9" x14ac:dyDescent="0.2">
      <c r="H1924" s="1"/>
      <c r="I1924" s="1"/>
    </row>
    <row r="1925" spans="8:9" x14ac:dyDescent="0.2">
      <c r="H1925" s="1"/>
      <c r="I1925" s="1"/>
    </row>
    <row r="1926" spans="8:9" x14ac:dyDescent="0.2">
      <c r="H1926" s="1"/>
      <c r="I1926" s="1"/>
    </row>
    <row r="1927" spans="8:9" x14ac:dyDescent="0.2">
      <c r="H1927" s="1"/>
      <c r="I1927" s="1"/>
    </row>
    <row r="1928" spans="8:9" x14ac:dyDescent="0.2">
      <c r="H1928" s="1"/>
      <c r="I1928" s="1"/>
    </row>
    <row r="1929" spans="8:9" x14ac:dyDescent="0.2">
      <c r="H1929" s="1"/>
      <c r="I1929" s="1"/>
    </row>
    <row r="1930" spans="8:9" x14ac:dyDescent="0.2">
      <c r="H1930" s="1"/>
      <c r="I1930" s="1"/>
    </row>
    <row r="1931" spans="8:9" x14ac:dyDescent="0.2">
      <c r="H1931" s="1"/>
      <c r="I1931" s="1"/>
    </row>
    <row r="1932" spans="8:9" x14ac:dyDescent="0.2">
      <c r="H1932" s="1"/>
      <c r="I1932" s="1"/>
    </row>
    <row r="1933" spans="8:9" x14ac:dyDescent="0.2">
      <c r="H1933" s="1"/>
      <c r="I1933" s="1"/>
    </row>
    <row r="1934" spans="8:9" x14ac:dyDescent="0.2">
      <c r="H1934" s="1"/>
      <c r="I1934" s="1"/>
    </row>
    <row r="1935" spans="8:9" x14ac:dyDescent="0.2">
      <c r="H1935" s="1"/>
      <c r="I1935" s="1"/>
    </row>
    <row r="1936" spans="8:9" x14ac:dyDescent="0.2">
      <c r="H1936" s="1"/>
      <c r="I1936" s="1"/>
    </row>
    <row r="1937" spans="8:9" x14ac:dyDescent="0.2">
      <c r="H1937" s="1"/>
      <c r="I1937" s="1"/>
    </row>
    <row r="1938" spans="8:9" x14ac:dyDescent="0.2">
      <c r="H1938" s="1"/>
      <c r="I1938" s="1"/>
    </row>
    <row r="1939" spans="8:9" x14ac:dyDescent="0.2">
      <c r="H1939" s="1"/>
      <c r="I1939" s="1"/>
    </row>
    <row r="1940" spans="8:9" x14ac:dyDescent="0.2">
      <c r="H1940" s="1"/>
      <c r="I1940" s="1"/>
    </row>
    <row r="1941" spans="8:9" x14ac:dyDescent="0.2">
      <c r="H1941" s="1"/>
      <c r="I1941" s="1"/>
    </row>
    <row r="1942" spans="8:9" x14ac:dyDescent="0.2">
      <c r="H1942" s="1"/>
      <c r="I1942" s="1"/>
    </row>
    <row r="1943" spans="8:9" x14ac:dyDescent="0.2">
      <c r="H1943" s="1"/>
      <c r="I1943" s="1"/>
    </row>
    <row r="1944" spans="8:9" x14ac:dyDescent="0.2">
      <c r="H1944" s="1"/>
      <c r="I1944" s="1"/>
    </row>
    <row r="1945" spans="8:9" x14ac:dyDescent="0.2">
      <c r="H1945" s="1"/>
      <c r="I1945" s="1"/>
    </row>
    <row r="1946" spans="8:9" x14ac:dyDescent="0.2">
      <c r="H1946" s="1"/>
      <c r="I1946" s="1"/>
    </row>
    <row r="1947" spans="8:9" x14ac:dyDescent="0.2">
      <c r="H1947" s="1"/>
      <c r="I1947" s="1"/>
    </row>
    <row r="1948" spans="8:9" x14ac:dyDescent="0.2">
      <c r="H1948" s="1"/>
      <c r="I1948" s="1"/>
    </row>
    <row r="1949" spans="8:9" x14ac:dyDescent="0.2">
      <c r="H1949" s="1"/>
      <c r="I1949" s="1"/>
    </row>
    <row r="1950" spans="8:9" x14ac:dyDescent="0.2">
      <c r="H1950" s="1"/>
      <c r="I1950" s="1"/>
    </row>
    <row r="1951" spans="8:9" x14ac:dyDescent="0.2">
      <c r="H1951" s="1"/>
      <c r="I1951" s="1"/>
    </row>
    <row r="1952" spans="8:9" x14ac:dyDescent="0.2">
      <c r="H1952" s="1"/>
      <c r="I1952" s="1"/>
    </row>
    <row r="1953" spans="8:9" x14ac:dyDescent="0.2">
      <c r="H1953" s="1"/>
      <c r="I1953" s="1"/>
    </row>
    <row r="1954" spans="8:9" x14ac:dyDescent="0.2">
      <c r="H1954" s="1"/>
      <c r="I1954" s="1"/>
    </row>
    <row r="1955" spans="8:9" x14ac:dyDescent="0.2">
      <c r="H1955" s="1"/>
      <c r="I1955" s="1"/>
    </row>
    <row r="1956" spans="8:9" x14ac:dyDescent="0.2">
      <c r="H1956" s="1"/>
      <c r="I1956" s="1"/>
    </row>
    <row r="1957" spans="8:9" x14ac:dyDescent="0.2">
      <c r="H1957" s="1"/>
      <c r="I1957" s="1"/>
    </row>
    <row r="1958" spans="8:9" x14ac:dyDescent="0.2">
      <c r="H1958" s="1"/>
      <c r="I1958" s="1"/>
    </row>
    <row r="1959" spans="8:9" x14ac:dyDescent="0.2">
      <c r="H1959" s="1"/>
      <c r="I1959" s="1"/>
    </row>
    <row r="1960" spans="8:9" x14ac:dyDescent="0.2">
      <c r="H1960" s="1"/>
      <c r="I1960" s="1"/>
    </row>
    <row r="1961" spans="8:9" x14ac:dyDescent="0.2">
      <c r="H1961" s="1"/>
      <c r="I1961" s="1"/>
    </row>
    <row r="1962" spans="8:9" x14ac:dyDescent="0.2">
      <c r="H1962" s="1"/>
      <c r="I1962" s="1"/>
    </row>
    <row r="1963" spans="8:9" x14ac:dyDescent="0.2">
      <c r="H1963" s="1"/>
      <c r="I1963" s="1"/>
    </row>
    <row r="1964" spans="8:9" x14ac:dyDescent="0.2">
      <c r="H1964" s="1"/>
      <c r="I1964" s="1"/>
    </row>
    <row r="1965" spans="8:9" x14ac:dyDescent="0.2">
      <c r="H1965" s="1"/>
      <c r="I1965" s="1"/>
    </row>
    <row r="1966" spans="8:9" x14ac:dyDescent="0.2">
      <c r="H1966" s="1"/>
      <c r="I1966" s="1"/>
    </row>
    <row r="1967" spans="8:9" x14ac:dyDescent="0.2">
      <c r="H1967" s="1"/>
      <c r="I1967" s="1"/>
    </row>
    <row r="1968" spans="8:9" x14ac:dyDescent="0.2">
      <c r="H1968" s="1"/>
      <c r="I1968" s="1"/>
    </row>
    <row r="1969" spans="8:9" x14ac:dyDescent="0.2">
      <c r="H1969" s="1"/>
      <c r="I1969" s="1"/>
    </row>
    <row r="1970" spans="8:9" x14ac:dyDescent="0.2">
      <c r="H1970" s="1"/>
      <c r="I1970" s="1"/>
    </row>
    <row r="1971" spans="8:9" x14ac:dyDescent="0.2">
      <c r="H1971" s="1"/>
      <c r="I1971" s="1"/>
    </row>
    <row r="1972" spans="8:9" x14ac:dyDescent="0.2">
      <c r="H1972" s="1"/>
      <c r="I1972" s="1"/>
    </row>
    <row r="1973" spans="8:9" x14ac:dyDescent="0.2">
      <c r="H1973" s="1"/>
      <c r="I1973" s="1"/>
    </row>
    <row r="1974" spans="8:9" x14ac:dyDescent="0.2">
      <c r="H1974" s="1"/>
      <c r="I1974" s="1"/>
    </row>
    <row r="1975" spans="8:9" x14ac:dyDescent="0.2">
      <c r="H1975" s="1"/>
      <c r="I1975" s="1"/>
    </row>
    <row r="1976" spans="8:9" x14ac:dyDescent="0.2">
      <c r="H1976" s="1"/>
      <c r="I1976" s="1"/>
    </row>
    <row r="1977" spans="8:9" x14ac:dyDescent="0.2">
      <c r="H1977" s="1"/>
      <c r="I1977" s="1"/>
    </row>
    <row r="1978" spans="8:9" x14ac:dyDescent="0.2">
      <c r="H1978" s="1"/>
      <c r="I1978" s="1"/>
    </row>
    <row r="1979" spans="8:9" x14ac:dyDescent="0.2">
      <c r="H1979" s="1"/>
      <c r="I1979" s="1"/>
    </row>
    <row r="1980" spans="8:9" x14ac:dyDescent="0.2">
      <c r="H1980" s="1"/>
      <c r="I1980" s="1"/>
    </row>
    <row r="1981" spans="8:9" x14ac:dyDescent="0.2">
      <c r="H1981" s="1"/>
      <c r="I1981" s="1"/>
    </row>
    <row r="1982" spans="8:9" x14ac:dyDescent="0.2">
      <c r="H1982" s="1"/>
      <c r="I1982" s="1"/>
    </row>
    <row r="1983" spans="8:9" x14ac:dyDescent="0.2">
      <c r="H1983" s="1"/>
      <c r="I1983" s="1"/>
    </row>
    <row r="1984" spans="8:9" x14ac:dyDescent="0.2">
      <c r="H1984" s="1"/>
      <c r="I1984" s="1"/>
    </row>
    <row r="1985" spans="8:9" x14ac:dyDescent="0.2">
      <c r="H1985" s="1"/>
      <c r="I1985" s="1"/>
    </row>
    <row r="1986" spans="8:9" x14ac:dyDescent="0.2">
      <c r="H1986" s="1"/>
      <c r="I1986" s="1"/>
    </row>
    <row r="1987" spans="8:9" x14ac:dyDescent="0.2">
      <c r="H1987" s="1"/>
      <c r="I1987" s="1"/>
    </row>
    <row r="1988" spans="8:9" x14ac:dyDescent="0.2">
      <c r="H1988" s="1"/>
      <c r="I1988" s="1"/>
    </row>
    <row r="1989" spans="8:9" x14ac:dyDescent="0.2">
      <c r="H1989" s="1"/>
      <c r="I1989" s="1"/>
    </row>
    <row r="1990" spans="8:9" x14ac:dyDescent="0.2">
      <c r="H1990" s="1"/>
      <c r="I1990" s="1"/>
    </row>
    <row r="1991" spans="8:9" x14ac:dyDescent="0.2">
      <c r="H1991" s="1"/>
      <c r="I1991" s="1"/>
    </row>
    <row r="1992" spans="8:9" x14ac:dyDescent="0.2">
      <c r="H1992" s="1"/>
      <c r="I1992" s="1"/>
    </row>
    <row r="1993" spans="8:9" x14ac:dyDescent="0.2">
      <c r="H1993" s="1"/>
      <c r="I1993" s="1"/>
    </row>
    <row r="1994" spans="8:9" x14ac:dyDescent="0.2">
      <c r="H1994" s="1"/>
      <c r="I1994" s="1"/>
    </row>
    <row r="1995" spans="8:9" x14ac:dyDescent="0.2">
      <c r="H1995" s="1"/>
      <c r="I1995" s="1"/>
    </row>
    <row r="1996" spans="8:9" x14ac:dyDescent="0.2">
      <c r="H1996" s="1"/>
      <c r="I1996" s="1"/>
    </row>
    <row r="1997" spans="8:9" x14ac:dyDescent="0.2">
      <c r="H1997" s="1"/>
      <c r="I1997" s="1"/>
    </row>
    <row r="1998" spans="8:9" x14ac:dyDescent="0.2">
      <c r="H1998" s="1"/>
      <c r="I1998" s="1"/>
    </row>
    <row r="1999" spans="8:9" x14ac:dyDescent="0.2">
      <c r="H1999" s="1"/>
      <c r="I1999" s="1"/>
    </row>
    <row r="2000" spans="8:9" x14ac:dyDescent="0.2">
      <c r="H2000" s="1"/>
      <c r="I2000" s="1"/>
    </row>
    <row r="2001" spans="8:9" x14ac:dyDescent="0.2">
      <c r="H2001" s="1"/>
      <c r="I2001" s="1"/>
    </row>
    <row r="2002" spans="8:9" x14ac:dyDescent="0.2">
      <c r="H2002" s="1"/>
      <c r="I2002" s="1"/>
    </row>
    <row r="2003" spans="8:9" x14ac:dyDescent="0.2">
      <c r="H2003" s="1"/>
      <c r="I2003" s="1"/>
    </row>
    <row r="2004" spans="8:9" x14ac:dyDescent="0.2">
      <c r="H2004" s="1"/>
      <c r="I2004" s="1"/>
    </row>
    <row r="2005" spans="8:9" x14ac:dyDescent="0.2">
      <c r="H2005" s="1"/>
      <c r="I2005" s="1"/>
    </row>
    <row r="2006" spans="8:9" x14ac:dyDescent="0.2">
      <c r="H2006" s="1"/>
      <c r="I2006" s="1"/>
    </row>
    <row r="2007" spans="8:9" x14ac:dyDescent="0.2">
      <c r="H2007" s="1"/>
      <c r="I2007" s="1"/>
    </row>
    <row r="2008" spans="8:9" x14ac:dyDescent="0.2">
      <c r="H2008" s="1"/>
      <c r="I2008" s="1"/>
    </row>
    <row r="2009" spans="8:9" x14ac:dyDescent="0.2">
      <c r="H2009" s="1"/>
      <c r="I2009" s="1"/>
    </row>
    <row r="2010" spans="8:9" x14ac:dyDescent="0.2">
      <c r="H2010" s="1"/>
      <c r="I2010" s="1"/>
    </row>
    <row r="2011" spans="8:9" x14ac:dyDescent="0.2">
      <c r="H2011" s="1"/>
      <c r="I2011" s="1"/>
    </row>
    <row r="2012" spans="8:9" x14ac:dyDescent="0.2">
      <c r="H2012" s="1"/>
      <c r="I2012" s="1"/>
    </row>
    <row r="2013" spans="8:9" x14ac:dyDescent="0.2">
      <c r="H2013" s="1"/>
      <c r="I2013" s="1"/>
    </row>
    <row r="2014" spans="8:9" x14ac:dyDescent="0.2">
      <c r="H2014" s="1"/>
      <c r="I2014" s="1"/>
    </row>
    <row r="2015" spans="8:9" x14ac:dyDescent="0.2">
      <c r="H2015" s="1"/>
      <c r="I2015" s="1"/>
    </row>
    <row r="2016" spans="8:9" x14ac:dyDescent="0.2">
      <c r="H2016" s="1"/>
      <c r="I2016" s="1"/>
    </row>
    <row r="2017" spans="8:9" x14ac:dyDescent="0.2">
      <c r="H2017" s="1"/>
      <c r="I2017" s="1"/>
    </row>
    <row r="2018" spans="8:9" x14ac:dyDescent="0.2">
      <c r="H2018" s="1"/>
      <c r="I2018" s="1"/>
    </row>
    <row r="2019" spans="8:9" x14ac:dyDescent="0.2">
      <c r="H2019" s="1"/>
      <c r="I2019" s="1"/>
    </row>
    <row r="2020" spans="8:9" x14ac:dyDescent="0.2">
      <c r="H2020" s="1"/>
      <c r="I2020" s="1"/>
    </row>
    <row r="2021" spans="8:9" x14ac:dyDescent="0.2">
      <c r="H2021" s="1"/>
      <c r="I2021" s="1"/>
    </row>
    <row r="2022" spans="8:9" x14ac:dyDescent="0.2">
      <c r="H2022" s="1"/>
      <c r="I2022" s="1"/>
    </row>
    <row r="2023" spans="8:9" x14ac:dyDescent="0.2">
      <c r="H2023" s="1"/>
      <c r="I2023" s="1"/>
    </row>
    <row r="2024" spans="8:9" x14ac:dyDescent="0.2">
      <c r="H2024" s="1"/>
      <c r="I2024" s="1"/>
    </row>
    <row r="2025" spans="8:9" x14ac:dyDescent="0.2">
      <c r="H2025" s="1"/>
      <c r="I2025" s="1"/>
    </row>
    <row r="2026" spans="8:9" x14ac:dyDescent="0.2">
      <c r="H2026" s="1"/>
      <c r="I2026" s="1"/>
    </row>
    <row r="2027" spans="8:9" x14ac:dyDescent="0.2">
      <c r="H2027" s="1"/>
      <c r="I2027" s="1"/>
    </row>
    <row r="2028" spans="8:9" x14ac:dyDescent="0.2">
      <c r="H2028" s="1"/>
      <c r="I2028" s="1"/>
    </row>
    <row r="2029" spans="8:9" x14ac:dyDescent="0.2">
      <c r="H2029" s="1"/>
      <c r="I2029" s="1"/>
    </row>
    <row r="2030" spans="8:9" x14ac:dyDescent="0.2">
      <c r="H2030" s="1"/>
      <c r="I2030" s="1"/>
    </row>
    <row r="2031" spans="8:9" x14ac:dyDescent="0.2">
      <c r="H2031" s="1"/>
      <c r="I2031" s="1"/>
    </row>
    <row r="2032" spans="8:9" x14ac:dyDescent="0.2">
      <c r="H2032" s="1"/>
      <c r="I2032" s="1"/>
    </row>
    <row r="2033" spans="8:9" x14ac:dyDescent="0.2">
      <c r="H2033" s="1"/>
      <c r="I2033" s="1"/>
    </row>
    <row r="2034" spans="8:9" x14ac:dyDescent="0.2">
      <c r="H2034" s="1"/>
      <c r="I2034" s="1"/>
    </row>
    <row r="2035" spans="8:9" x14ac:dyDescent="0.2">
      <c r="H2035" s="1"/>
      <c r="I2035" s="1"/>
    </row>
    <row r="2036" spans="8:9" x14ac:dyDescent="0.2">
      <c r="H2036" s="1"/>
      <c r="I2036" s="1"/>
    </row>
    <row r="2037" spans="8:9" x14ac:dyDescent="0.2">
      <c r="H2037" s="1"/>
      <c r="I2037" s="1"/>
    </row>
    <row r="2038" spans="8:9" x14ac:dyDescent="0.2">
      <c r="H2038" s="1"/>
      <c r="I2038" s="1"/>
    </row>
    <row r="2039" spans="8:9" x14ac:dyDescent="0.2">
      <c r="H2039" s="1"/>
      <c r="I2039" s="1"/>
    </row>
    <row r="2040" spans="8:9" x14ac:dyDescent="0.2">
      <c r="H2040" s="1"/>
      <c r="I2040" s="1"/>
    </row>
    <row r="2041" spans="8:9" x14ac:dyDescent="0.2">
      <c r="H2041" s="1"/>
      <c r="I2041" s="1"/>
    </row>
    <row r="2042" spans="8:9" x14ac:dyDescent="0.2">
      <c r="H2042" s="1"/>
      <c r="I2042" s="1"/>
    </row>
    <row r="2043" spans="8:9" x14ac:dyDescent="0.2">
      <c r="H2043" s="1"/>
      <c r="I2043" s="1"/>
    </row>
    <row r="2044" spans="8:9" x14ac:dyDescent="0.2">
      <c r="H2044" s="1"/>
      <c r="I2044" s="1"/>
    </row>
    <row r="2045" spans="8:9" x14ac:dyDescent="0.2">
      <c r="H2045" s="1"/>
      <c r="I2045" s="1"/>
    </row>
    <row r="2046" spans="8:9" x14ac:dyDescent="0.2">
      <c r="H2046" s="1"/>
      <c r="I2046" s="1"/>
    </row>
    <row r="2047" spans="8:9" x14ac:dyDescent="0.2">
      <c r="H2047" s="1"/>
      <c r="I2047" s="1"/>
    </row>
    <row r="2048" spans="8:9" x14ac:dyDescent="0.2">
      <c r="H2048" s="1"/>
      <c r="I2048" s="1"/>
    </row>
    <row r="2049" spans="8:9" x14ac:dyDescent="0.2">
      <c r="H2049" s="1"/>
      <c r="I2049" s="1"/>
    </row>
    <row r="2050" spans="8:9" x14ac:dyDescent="0.2">
      <c r="H2050" s="1"/>
      <c r="I2050" s="1"/>
    </row>
    <row r="2051" spans="8:9" x14ac:dyDescent="0.2">
      <c r="H2051" s="1"/>
      <c r="I2051" s="1"/>
    </row>
    <row r="2052" spans="8:9" x14ac:dyDescent="0.2">
      <c r="H2052" s="1"/>
      <c r="I2052" s="1"/>
    </row>
    <row r="2053" spans="8:9" x14ac:dyDescent="0.2">
      <c r="H2053" s="1"/>
      <c r="I2053" s="1"/>
    </row>
    <row r="2054" spans="8:9" x14ac:dyDescent="0.2">
      <c r="H2054" s="1"/>
      <c r="I2054" s="1"/>
    </row>
    <row r="2055" spans="8:9" x14ac:dyDescent="0.2">
      <c r="H2055" s="1"/>
      <c r="I2055" s="1"/>
    </row>
    <row r="2056" spans="8:9" x14ac:dyDescent="0.2">
      <c r="H2056" s="1"/>
      <c r="I2056" s="1"/>
    </row>
    <row r="2057" spans="8:9" x14ac:dyDescent="0.2">
      <c r="H2057" s="1"/>
      <c r="I2057" s="1"/>
    </row>
    <row r="2058" spans="8:9" x14ac:dyDescent="0.2">
      <c r="H2058" s="1"/>
      <c r="I2058" s="1"/>
    </row>
    <row r="2059" spans="8:9" x14ac:dyDescent="0.2">
      <c r="H2059" s="1"/>
      <c r="I2059" s="1"/>
    </row>
    <row r="2060" spans="8:9" x14ac:dyDescent="0.2">
      <c r="H2060" s="1"/>
      <c r="I2060" s="1"/>
    </row>
    <row r="2061" spans="8:9" x14ac:dyDescent="0.2">
      <c r="H2061" s="1"/>
      <c r="I2061" s="1"/>
    </row>
    <row r="2062" spans="8:9" x14ac:dyDescent="0.2">
      <c r="H2062" s="1"/>
      <c r="I2062" s="1"/>
    </row>
    <row r="2063" spans="8:9" x14ac:dyDescent="0.2">
      <c r="H2063" s="1"/>
      <c r="I2063" s="1"/>
    </row>
    <row r="2064" spans="8:9" x14ac:dyDescent="0.2">
      <c r="H2064" s="1"/>
      <c r="I2064" s="1"/>
    </row>
    <row r="2065" spans="8:9" x14ac:dyDescent="0.2">
      <c r="H2065" s="1"/>
      <c r="I2065" s="1"/>
    </row>
    <row r="2066" spans="8:9" x14ac:dyDescent="0.2">
      <c r="H2066" s="1"/>
      <c r="I2066" s="1"/>
    </row>
    <row r="2067" spans="8:9" x14ac:dyDescent="0.2">
      <c r="H2067" s="1"/>
      <c r="I2067" s="1"/>
    </row>
    <row r="2068" spans="8:9" x14ac:dyDescent="0.2">
      <c r="H2068" s="1"/>
      <c r="I2068" s="1"/>
    </row>
    <row r="2069" spans="8:9" x14ac:dyDescent="0.2">
      <c r="H2069" s="1"/>
      <c r="I2069" s="1"/>
    </row>
    <row r="2070" spans="8:9" x14ac:dyDescent="0.2">
      <c r="H2070" s="1"/>
      <c r="I2070" s="1"/>
    </row>
    <row r="2071" spans="8:9" x14ac:dyDescent="0.2">
      <c r="H2071" s="1"/>
      <c r="I2071" s="1"/>
    </row>
    <row r="2072" spans="8:9" x14ac:dyDescent="0.2">
      <c r="H2072" s="1"/>
      <c r="I2072" s="1"/>
    </row>
    <row r="2073" spans="8:9" x14ac:dyDescent="0.2">
      <c r="H2073" s="1"/>
      <c r="I2073" s="1"/>
    </row>
    <row r="2074" spans="8:9" x14ac:dyDescent="0.2">
      <c r="H2074" s="1"/>
      <c r="I2074" s="1"/>
    </row>
    <row r="2075" spans="8:9" x14ac:dyDescent="0.2">
      <c r="H2075" s="1"/>
      <c r="I2075" s="1"/>
    </row>
    <row r="2076" spans="8:9" x14ac:dyDescent="0.2">
      <c r="H2076" s="1"/>
      <c r="I2076" s="1"/>
    </row>
    <row r="2077" spans="8:9" x14ac:dyDescent="0.2">
      <c r="H2077" s="1"/>
      <c r="I2077" s="1"/>
    </row>
    <row r="2078" spans="8:9" x14ac:dyDescent="0.2">
      <c r="H2078" s="1"/>
      <c r="I2078" s="1"/>
    </row>
    <row r="2079" spans="8:9" x14ac:dyDescent="0.2">
      <c r="H2079" s="1"/>
      <c r="I2079" s="1"/>
    </row>
    <row r="2080" spans="8:9" x14ac:dyDescent="0.2">
      <c r="H2080" s="1"/>
      <c r="I2080" s="1"/>
    </row>
    <row r="2081" spans="8:9" x14ac:dyDescent="0.2">
      <c r="H2081" s="1"/>
      <c r="I2081" s="1"/>
    </row>
    <row r="2082" spans="8:9" x14ac:dyDescent="0.2">
      <c r="H2082" s="1"/>
      <c r="I2082" s="1"/>
    </row>
    <row r="2083" spans="8:9" x14ac:dyDescent="0.2">
      <c r="H2083" s="1"/>
      <c r="I2083" s="1"/>
    </row>
    <row r="2084" spans="8:9" x14ac:dyDescent="0.2">
      <c r="H2084" s="1"/>
      <c r="I2084" s="1"/>
    </row>
    <row r="2085" spans="8:9" x14ac:dyDescent="0.2">
      <c r="H2085" s="1"/>
      <c r="I2085" s="1"/>
    </row>
    <row r="2086" spans="8:9" x14ac:dyDescent="0.2">
      <c r="H2086" s="1"/>
      <c r="I2086" s="1"/>
    </row>
    <row r="2087" spans="8:9" x14ac:dyDescent="0.2">
      <c r="H2087" s="1"/>
      <c r="I2087" s="1"/>
    </row>
    <row r="2088" spans="8:9" x14ac:dyDescent="0.2">
      <c r="H2088" s="1"/>
      <c r="I2088" s="1"/>
    </row>
    <row r="2089" spans="8:9" x14ac:dyDescent="0.2">
      <c r="H2089" s="1"/>
      <c r="I2089" s="1"/>
    </row>
    <row r="2090" spans="8:9" x14ac:dyDescent="0.2">
      <c r="H2090" s="1"/>
      <c r="I2090" s="1"/>
    </row>
    <row r="2091" spans="8:9" x14ac:dyDescent="0.2">
      <c r="H2091" s="1"/>
      <c r="I2091" s="1"/>
    </row>
    <row r="2092" spans="8:9" x14ac:dyDescent="0.2">
      <c r="H2092" s="1"/>
      <c r="I2092" s="1"/>
    </row>
    <row r="2093" spans="8:9" x14ac:dyDescent="0.2">
      <c r="H2093" s="1"/>
      <c r="I2093" s="1"/>
    </row>
    <row r="2094" spans="8:9" x14ac:dyDescent="0.2">
      <c r="H2094" s="1"/>
      <c r="I2094" s="1"/>
    </row>
    <row r="2095" spans="8:9" x14ac:dyDescent="0.2">
      <c r="H2095" s="1"/>
      <c r="I2095" s="1"/>
    </row>
    <row r="2096" spans="8:9" x14ac:dyDescent="0.2">
      <c r="H2096" s="1"/>
      <c r="I2096" s="1"/>
    </row>
    <row r="2097" spans="8:9" x14ac:dyDescent="0.2">
      <c r="H2097" s="1"/>
      <c r="I2097" s="1"/>
    </row>
    <row r="2098" spans="8:9" x14ac:dyDescent="0.2">
      <c r="H2098" s="1"/>
      <c r="I2098" s="1"/>
    </row>
    <row r="2099" spans="8:9" x14ac:dyDescent="0.2">
      <c r="H2099" s="1"/>
      <c r="I2099" s="1"/>
    </row>
    <row r="2100" spans="8:9" x14ac:dyDescent="0.2">
      <c r="H2100" s="1"/>
      <c r="I2100" s="1"/>
    </row>
    <row r="2101" spans="8:9" x14ac:dyDescent="0.2">
      <c r="H2101" s="1"/>
      <c r="I2101" s="1"/>
    </row>
    <row r="2102" spans="8:9" x14ac:dyDescent="0.2">
      <c r="H2102" s="1"/>
      <c r="I2102" s="1"/>
    </row>
    <row r="2103" spans="8:9" x14ac:dyDescent="0.2">
      <c r="H2103" s="1"/>
      <c r="I2103" s="1"/>
    </row>
    <row r="2104" spans="8:9" x14ac:dyDescent="0.2">
      <c r="H2104" s="1"/>
      <c r="I2104" s="1"/>
    </row>
    <row r="2105" spans="8:9" x14ac:dyDescent="0.2">
      <c r="H2105" s="1"/>
      <c r="I2105" s="1"/>
    </row>
    <row r="2106" spans="8:9" x14ac:dyDescent="0.2">
      <c r="H2106" s="1"/>
      <c r="I2106" s="1"/>
    </row>
    <row r="2107" spans="8:9" x14ac:dyDescent="0.2">
      <c r="H2107" s="1"/>
      <c r="I2107" s="1"/>
    </row>
    <row r="2108" spans="8:9" x14ac:dyDescent="0.2">
      <c r="H2108" s="1"/>
      <c r="I2108" s="1"/>
    </row>
    <row r="2109" spans="8:9" x14ac:dyDescent="0.2">
      <c r="H2109" s="1"/>
      <c r="I2109" s="1"/>
    </row>
    <row r="2110" spans="8:9" x14ac:dyDescent="0.2">
      <c r="H2110" s="1"/>
      <c r="I2110" s="1"/>
    </row>
    <row r="2111" spans="8:9" x14ac:dyDescent="0.2">
      <c r="H2111" s="1"/>
      <c r="I2111" s="1"/>
    </row>
    <row r="2112" spans="8:9" x14ac:dyDescent="0.2">
      <c r="H2112" s="1"/>
      <c r="I2112" s="1"/>
    </row>
    <row r="2113" spans="8:9" x14ac:dyDescent="0.2">
      <c r="H2113" s="1"/>
      <c r="I2113" s="1"/>
    </row>
    <row r="2114" spans="8:9" x14ac:dyDescent="0.2">
      <c r="H2114" s="1"/>
      <c r="I2114" s="1"/>
    </row>
    <row r="2115" spans="8:9" x14ac:dyDescent="0.2">
      <c r="H2115" s="1"/>
      <c r="I2115" s="1"/>
    </row>
    <row r="2116" spans="8:9" x14ac:dyDescent="0.2">
      <c r="H2116" s="1"/>
      <c r="I2116" s="1"/>
    </row>
    <row r="2117" spans="8:9" x14ac:dyDescent="0.2">
      <c r="H2117" s="1"/>
      <c r="I2117" s="1"/>
    </row>
    <row r="2118" spans="8:9" x14ac:dyDescent="0.2">
      <c r="H2118" s="1"/>
      <c r="I2118" s="1"/>
    </row>
    <row r="2119" spans="8:9" x14ac:dyDescent="0.2">
      <c r="H2119" s="1"/>
      <c r="I2119" s="1"/>
    </row>
    <row r="2120" spans="8:9" x14ac:dyDescent="0.2">
      <c r="H2120" s="1"/>
      <c r="I2120" s="1"/>
    </row>
    <row r="2121" spans="8:9" x14ac:dyDescent="0.2">
      <c r="H2121" s="1"/>
      <c r="I2121" s="1"/>
    </row>
    <row r="2122" spans="8:9" x14ac:dyDescent="0.2">
      <c r="H2122" s="1"/>
      <c r="I2122" s="1"/>
    </row>
    <row r="2123" spans="8:9" x14ac:dyDescent="0.2">
      <c r="H2123" s="1"/>
      <c r="I2123" s="1"/>
    </row>
    <row r="2124" spans="8:9" x14ac:dyDescent="0.2">
      <c r="H2124" s="1"/>
      <c r="I2124" s="1"/>
    </row>
    <row r="2125" spans="8:9" x14ac:dyDescent="0.2">
      <c r="H2125" s="1"/>
      <c r="I2125" s="1"/>
    </row>
    <row r="2126" spans="8:9" x14ac:dyDescent="0.2">
      <c r="H2126" s="1"/>
      <c r="I2126" s="1"/>
    </row>
    <row r="2127" spans="8:9" x14ac:dyDescent="0.2">
      <c r="H2127" s="1"/>
      <c r="I2127" s="1"/>
    </row>
    <row r="2128" spans="8:9" x14ac:dyDescent="0.2">
      <c r="H2128" s="1"/>
      <c r="I2128" s="1"/>
    </row>
    <row r="2129" spans="8:9" x14ac:dyDescent="0.2">
      <c r="H2129" s="1"/>
      <c r="I2129" s="1"/>
    </row>
    <row r="2130" spans="8:9" x14ac:dyDescent="0.2">
      <c r="H2130" s="1"/>
      <c r="I2130" s="1"/>
    </row>
    <row r="2131" spans="8:9" x14ac:dyDescent="0.2">
      <c r="H2131" s="1"/>
      <c r="I2131" s="1"/>
    </row>
    <row r="2132" spans="8:9" x14ac:dyDescent="0.2">
      <c r="H2132" s="1"/>
      <c r="I2132" s="1"/>
    </row>
    <row r="2133" spans="8:9" x14ac:dyDescent="0.2">
      <c r="H2133" s="1"/>
      <c r="I2133" s="1"/>
    </row>
    <row r="2134" spans="8:9" x14ac:dyDescent="0.2">
      <c r="H2134" s="1"/>
      <c r="I2134" s="1"/>
    </row>
    <row r="2135" spans="8:9" x14ac:dyDescent="0.2">
      <c r="H2135" s="1"/>
      <c r="I2135" s="1"/>
    </row>
    <row r="2136" spans="8:9" x14ac:dyDescent="0.2">
      <c r="H2136" s="1"/>
      <c r="I2136" s="1"/>
    </row>
    <row r="2137" spans="8:9" x14ac:dyDescent="0.2">
      <c r="H2137" s="1"/>
      <c r="I2137" s="1"/>
    </row>
    <row r="2138" spans="8:9" x14ac:dyDescent="0.2">
      <c r="H2138" s="1"/>
      <c r="I2138" s="1"/>
    </row>
    <row r="2139" spans="8:9" x14ac:dyDescent="0.2">
      <c r="H2139" s="1"/>
      <c r="I2139" s="1"/>
    </row>
    <row r="2140" spans="8:9" x14ac:dyDescent="0.2">
      <c r="H2140" s="1"/>
      <c r="I2140" s="1"/>
    </row>
    <row r="2141" spans="8:9" x14ac:dyDescent="0.2">
      <c r="H2141" s="1"/>
      <c r="I2141" s="1"/>
    </row>
    <row r="2142" spans="8:9" x14ac:dyDescent="0.2">
      <c r="H2142" s="1"/>
      <c r="I2142" s="1"/>
    </row>
    <row r="2143" spans="8:9" x14ac:dyDescent="0.2">
      <c r="H2143" s="1"/>
      <c r="I2143" s="1"/>
    </row>
    <row r="2144" spans="8:9" x14ac:dyDescent="0.2">
      <c r="H2144" s="1"/>
      <c r="I2144" s="1"/>
    </row>
    <row r="2145" spans="8:9" x14ac:dyDescent="0.2">
      <c r="H2145" s="1"/>
      <c r="I2145" s="1"/>
    </row>
    <row r="2146" spans="8:9" x14ac:dyDescent="0.2">
      <c r="H2146" s="1"/>
      <c r="I2146" s="1"/>
    </row>
    <row r="2147" spans="8:9" x14ac:dyDescent="0.2">
      <c r="H2147" s="1"/>
      <c r="I2147" s="1"/>
    </row>
    <row r="2148" spans="8:9" x14ac:dyDescent="0.2">
      <c r="H2148" s="1"/>
      <c r="I2148" s="1"/>
    </row>
    <row r="2149" spans="8:9" x14ac:dyDescent="0.2">
      <c r="H2149" s="1"/>
      <c r="I2149" s="1"/>
    </row>
    <row r="2150" spans="8:9" x14ac:dyDescent="0.2">
      <c r="H2150" s="1"/>
      <c r="I2150" s="1"/>
    </row>
    <row r="2151" spans="8:9" x14ac:dyDescent="0.2">
      <c r="H2151" s="1"/>
      <c r="I2151" s="1"/>
    </row>
    <row r="2152" spans="8:9" x14ac:dyDescent="0.2">
      <c r="H2152" s="1"/>
      <c r="I2152" s="1"/>
    </row>
    <row r="2153" spans="8:9" x14ac:dyDescent="0.2">
      <c r="H2153" s="1"/>
      <c r="I2153" s="1"/>
    </row>
    <row r="2154" spans="8:9" x14ac:dyDescent="0.2">
      <c r="H2154" s="1"/>
      <c r="I2154" s="1"/>
    </row>
    <row r="2155" spans="8:9" x14ac:dyDescent="0.2">
      <c r="H2155" s="1"/>
      <c r="I2155" s="1"/>
    </row>
    <row r="2156" spans="8:9" x14ac:dyDescent="0.2">
      <c r="H2156" s="1"/>
      <c r="I2156" s="1"/>
    </row>
    <row r="2157" spans="8:9" x14ac:dyDescent="0.2">
      <c r="H2157" s="1"/>
      <c r="I2157" s="1"/>
    </row>
    <row r="2158" spans="8:9" x14ac:dyDescent="0.2">
      <c r="H2158" s="1"/>
      <c r="I2158" s="1"/>
    </row>
    <row r="2159" spans="8:9" x14ac:dyDescent="0.2">
      <c r="H2159" s="1"/>
      <c r="I2159" s="1"/>
    </row>
    <row r="2160" spans="8:9" x14ac:dyDescent="0.2">
      <c r="H2160" s="1"/>
      <c r="I2160" s="1"/>
    </row>
    <row r="2161" spans="8:9" x14ac:dyDescent="0.2">
      <c r="H2161" s="1"/>
      <c r="I2161" s="1"/>
    </row>
    <row r="2162" spans="8:9" x14ac:dyDescent="0.2">
      <c r="H2162" s="1"/>
      <c r="I2162" s="1"/>
    </row>
    <row r="2163" spans="8:9" x14ac:dyDescent="0.2">
      <c r="H2163" s="1"/>
      <c r="I2163" s="1"/>
    </row>
    <row r="2164" spans="8:9" x14ac:dyDescent="0.2">
      <c r="H2164" s="1"/>
      <c r="I2164" s="1"/>
    </row>
    <row r="2165" spans="8:9" x14ac:dyDescent="0.2">
      <c r="H2165" s="1"/>
      <c r="I2165" s="1"/>
    </row>
    <row r="2166" spans="8:9" x14ac:dyDescent="0.2">
      <c r="H2166" s="1"/>
      <c r="I2166" s="1"/>
    </row>
    <row r="2167" spans="8:9" x14ac:dyDescent="0.2">
      <c r="H2167" s="1"/>
      <c r="I2167" s="1"/>
    </row>
    <row r="2168" spans="8:9" x14ac:dyDescent="0.2">
      <c r="H2168" s="1"/>
      <c r="I2168" s="1"/>
    </row>
    <row r="2169" spans="8:9" x14ac:dyDescent="0.2">
      <c r="H2169" s="1"/>
      <c r="I2169" s="1"/>
    </row>
    <row r="2170" spans="8:9" x14ac:dyDescent="0.2">
      <c r="H2170" s="1"/>
      <c r="I2170" s="1"/>
    </row>
    <row r="2171" spans="8:9" x14ac:dyDescent="0.2">
      <c r="H2171" s="1"/>
      <c r="I2171" s="1"/>
    </row>
    <row r="2172" spans="8:9" x14ac:dyDescent="0.2">
      <c r="H2172" s="1"/>
      <c r="I2172" s="1"/>
    </row>
    <row r="2173" spans="8:9" x14ac:dyDescent="0.2">
      <c r="H2173" s="1"/>
      <c r="I2173" s="1"/>
    </row>
    <row r="2174" spans="8:9" x14ac:dyDescent="0.2">
      <c r="H2174" s="1"/>
      <c r="I2174" s="1"/>
    </row>
    <row r="2175" spans="8:9" x14ac:dyDescent="0.2">
      <c r="H2175" s="1"/>
      <c r="I2175" s="1"/>
    </row>
    <row r="2176" spans="8:9" x14ac:dyDescent="0.2">
      <c r="H2176" s="1"/>
      <c r="I2176" s="1"/>
    </row>
    <row r="2177" spans="8:9" x14ac:dyDescent="0.2">
      <c r="H2177" s="1"/>
      <c r="I2177" s="1"/>
    </row>
    <row r="2178" spans="8:9" x14ac:dyDescent="0.2">
      <c r="H2178" s="1"/>
      <c r="I2178" s="1"/>
    </row>
    <row r="2179" spans="8:9" x14ac:dyDescent="0.2">
      <c r="H2179" s="1"/>
      <c r="I2179" s="1"/>
    </row>
    <row r="2180" spans="8:9" x14ac:dyDescent="0.2">
      <c r="H2180" s="1"/>
      <c r="I2180" s="1"/>
    </row>
    <row r="2181" spans="8:9" x14ac:dyDescent="0.2">
      <c r="H2181" s="1"/>
      <c r="I2181" s="1"/>
    </row>
    <row r="2182" spans="8:9" x14ac:dyDescent="0.2">
      <c r="H2182" s="1"/>
      <c r="I2182" s="1"/>
    </row>
    <row r="2183" spans="8:9" x14ac:dyDescent="0.2">
      <c r="H2183" s="1"/>
      <c r="I2183" s="1"/>
    </row>
    <row r="2184" spans="8:9" x14ac:dyDescent="0.2">
      <c r="H2184" s="1"/>
      <c r="I2184" s="1"/>
    </row>
    <row r="2185" spans="8:9" x14ac:dyDescent="0.2">
      <c r="H2185" s="1"/>
      <c r="I2185" s="1"/>
    </row>
    <row r="2186" spans="8:9" x14ac:dyDescent="0.2">
      <c r="H2186" s="1"/>
      <c r="I2186" s="1"/>
    </row>
    <row r="2187" spans="8:9" x14ac:dyDescent="0.2">
      <c r="H2187" s="1"/>
      <c r="I2187" s="1"/>
    </row>
    <row r="2188" spans="8:9" x14ac:dyDescent="0.2">
      <c r="H2188" s="1"/>
      <c r="I2188" s="1"/>
    </row>
    <row r="2189" spans="8:9" x14ac:dyDescent="0.2">
      <c r="H2189" s="1"/>
      <c r="I2189" s="1"/>
    </row>
    <row r="2190" spans="8:9" x14ac:dyDescent="0.2">
      <c r="H2190" s="1"/>
      <c r="I2190" s="1"/>
    </row>
    <row r="2191" spans="8:9" x14ac:dyDescent="0.2">
      <c r="H2191" s="1"/>
      <c r="I2191" s="1"/>
    </row>
    <row r="2192" spans="8:9" x14ac:dyDescent="0.2">
      <c r="H2192" s="1"/>
      <c r="I2192" s="1"/>
    </row>
    <row r="2193" spans="8:9" x14ac:dyDescent="0.2">
      <c r="H2193" s="1"/>
      <c r="I2193" s="1"/>
    </row>
    <row r="2194" spans="8:9" x14ac:dyDescent="0.2">
      <c r="H2194" s="1"/>
      <c r="I2194" s="1"/>
    </row>
    <row r="2195" spans="8:9" x14ac:dyDescent="0.2">
      <c r="H2195" s="1"/>
      <c r="I2195" s="1"/>
    </row>
    <row r="2196" spans="8:9" x14ac:dyDescent="0.2">
      <c r="H2196" s="1"/>
      <c r="I2196" s="1"/>
    </row>
    <row r="2197" spans="8:9" x14ac:dyDescent="0.2">
      <c r="H2197" s="1"/>
      <c r="I2197" s="1"/>
    </row>
    <row r="2198" spans="8:9" x14ac:dyDescent="0.2">
      <c r="H2198" s="1"/>
      <c r="I2198" s="1"/>
    </row>
    <row r="2199" spans="8:9" x14ac:dyDescent="0.2">
      <c r="H2199" s="1"/>
      <c r="I2199" s="1"/>
    </row>
    <row r="2200" spans="8:9" x14ac:dyDescent="0.2">
      <c r="H2200" s="1"/>
      <c r="I2200" s="1"/>
    </row>
    <row r="2201" spans="8:9" x14ac:dyDescent="0.2">
      <c r="H2201" s="1"/>
      <c r="I2201" s="1"/>
    </row>
    <row r="2202" spans="8:9" x14ac:dyDescent="0.2">
      <c r="H2202" s="1"/>
      <c r="I2202" s="1"/>
    </row>
    <row r="2203" spans="8:9" x14ac:dyDescent="0.2">
      <c r="H2203" s="1"/>
      <c r="I2203" s="1"/>
    </row>
    <row r="2204" spans="8:9" x14ac:dyDescent="0.2">
      <c r="H2204" s="1"/>
      <c r="I2204" s="1"/>
    </row>
    <row r="2205" spans="8:9" x14ac:dyDescent="0.2">
      <c r="H2205" s="1"/>
      <c r="I2205" s="1"/>
    </row>
    <row r="2206" spans="8:9" x14ac:dyDescent="0.2">
      <c r="H2206" s="1"/>
      <c r="I2206" s="1"/>
    </row>
    <row r="2207" spans="8:9" x14ac:dyDescent="0.2">
      <c r="H2207" s="1"/>
      <c r="I2207" s="1"/>
    </row>
    <row r="2208" spans="8:9" x14ac:dyDescent="0.2">
      <c r="H2208" s="1"/>
      <c r="I2208" s="1"/>
    </row>
    <row r="2209" spans="8:9" x14ac:dyDescent="0.2">
      <c r="H2209" s="1"/>
      <c r="I2209" s="1"/>
    </row>
    <row r="2210" spans="8:9" x14ac:dyDescent="0.2">
      <c r="H2210" s="1"/>
      <c r="I2210" s="1"/>
    </row>
    <row r="2211" spans="8:9" x14ac:dyDescent="0.2">
      <c r="H2211" s="1"/>
      <c r="I2211" s="1"/>
    </row>
    <row r="2212" spans="8:9" x14ac:dyDescent="0.2">
      <c r="H2212" s="1"/>
      <c r="I2212" s="1"/>
    </row>
    <row r="2213" spans="8:9" x14ac:dyDescent="0.2">
      <c r="H2213" s="1"/>
      <c r="I2213" s="1"/>
    </row>
    <row r="2214" spans="8:9" x14ac:dyDescent="0.2">
      <c r="H2214" s="1"/>
      <c r="I2214" s="1"/>
    </row>
    <row r="2215" spans="8:9" x14ac:dyDescent="0.2">
      <c r="H2215" s="1"/>
      <c r="I2215" s="1"/>
    </row>
    <row r="2216" spans="8:9" x14ac:dyDescent="0.2">
      <c r="H2216" s="1"/>
      <c r="I2216" s="1"/>
    </row>
    <row r="2217" spans="8:9" x14ac:dyDescent="0.2">
      <c r="H2217" s="1"/>
      <c r="I2217" s="1"/>
    </row>
    <row r="2218" spans="8:9" x14ac:dyDescent="0.2">
      <c r="H2218" s="1"/>
      <c r="I2218" s="1"/>
    </row>
    <row r="2219" spans="8:9" x14ac:dyDescent="0.2">
      <c r="H2219" s="1"/>
      <c r="I2219" s="1"/>
    </row>
    <row r="2220" spans="8:9" x14ac:dyDescent="0.2">
      <c r="H2220" s="1"/>
      <c r="I2220" s="1"/>
    </row>
    <row r="2221" spans="8:9" x14ac:dyDescent="0.2">
      <c r="H2221" s="1"/>
      <c r="I2221" s="1"/>
    </row>
    <row r="2222" spans="8:9" x14ac:dyDescent="0.2">
      <c r="H2222" s="1"/>
      <c r="I2222" s="1"/>
    </row>
    <row r="2223" spans="8:9" x14ac:dyDescent="0.2">
      <c r="H2223" s="1"/>
      <c r="I2223" s="1"/>
    </row>
    <row r="2224" spans="8:9" x14ac:dyDescent="0.2">
      <c r="H2224" s="1"/>
      <c r="I2224" s="1"/>
    </row>
    <row r="2225" spans="8:9" x14ac:dyDescent="0.2">
      <c r="H2225" s="1"/>
      <c r="I2225" s="1"/>
    </row>
    <row r="2226" spans="8:9" x14ac:dyDescent="0.2">
      <c r="H2226" s="1"/>
      <c r="I2226" s="1"/>
    </row>
    <row r="2227" spans="8:9" x14ac:dyDescent="0.2">
      <c r="H2227" s="1"/>
      <c r="I2227" s="1"/>
    </row>
    <row r="2228" spans="8:9" x14ac:dyDescent="0.2">
      <c r="H2228" s="1"/>
      <c r="I2228" s="1"/>
    </row>
    <row r="2229" spans="8:9" x14ac:dyDescent="0.2">
      <c r="H2229" s="1"/>
      <c r="I2229" s="1"/>
    </row>
    <row r="2230" spans="8:9" x14ac:dyDescent="0.2">
      <c r="H2230" s="1"/>
      <c r="I2230" s="1"/>
    </row>
    <row r="2231" spans="8:9" x14ac:dyDescent="0.2">
      <c r="H2231" s="1"/>
      <c r="I2231" s="1"/>
    </row>
    <row r="2232" spans="8:9" x14ac:dyDescent="0.2">
      <c r="H2232" s="1"/>
      <c r="I2232" s="1"/>
    </row>
    <row r="2233" spans="8:9" x14ac:dyDescent="0.2">
      <c r="H2233" s="1"/>
      <c r="I2233" s="1"/>
    </row>
    <row r="2234" spans="8:9" x14ac:dyDescent="0.2">
      <c r="H2234" s="1"/>
      <c r="I2234" s="1"/>
    </row>
    <row r="2235" spans="8:9" x14ac:dyDescent="0.2">
      <c r="H2235" s="1"/>
      <c r="I2235" s="1"/>
    </row>
    <row r="2236" spans="8:9" x14ac:dyDescent="0.2">
      <c r="H2236" s="1"/>
      <c r="I2236" s="1"/>
    </row>
    <row r="2237" spans="8:9" x14ac:dyDescent="0.2">
      <c r="H2237" s="1"/>
      <c r="I2237" s="1"/>
    </row>
    <row r="2238" spans="8:9" x14ac:dyDescent="0.2">
      <c r="H2238" s="1"/>
      <c r="I2238" s="1"/>
    </row>
    <row r="2239" spans="8:9" x14ac:dyDescent="0.2">
      <c r="H2239" s="1"/>
      <c r="I2239" s="1"/>
    </row>
    <row r="2240" spans="8:9" x14ac:dyDescent="0.2">
      <c r="H2240" s="1"/>
      <c r="I2240" s="1"/>
    </row>
    <row r="2241" spans="8:9" x14ac:dyDescent="0.2">
      <c r="H2241" s="1"/>
      <c r="I2241" s="1"/>
    </row>
    <row r="2242" spans="8:9" x14ac:dyDescent="0.2">
      <c r="H2242" s="1"/>
      <c r="I2242" s="1"/>
    </row>
    <row r="2243" spans="8:9" x14ac:dyDescent="0.2">
      <c r="H2243" s="1"/>
      <c r="I2243" s="1"/>
    </row>
    <row r="2244" spans="8:9" x14ac:dyDescent="0.2">
      <c r="H2244" s="1"/>
      <c r="I2244" s="1"/>
    </row>
    <row r="2245" spans="8:9" x14ac:dyDescent="0.2">
      <c r="H2245" s="1"/>
      <c r="I2245" s="1"/>
    </row>
    <row r="2246" spans="8:9" x14ac:dyDescent="0.2">
      <c r="H2246" s="1"/>
      <c r="I2246" s="1"/>
    </row>
    <row r="2247" spans="8:9" x14ac:dyDescent="0.2">
      <c r="H2247" s="1"/>
      <c r="I2247" s="1"/>
    </row>
    <row r="2248" spans="8:9" x14ac:dyDescent="0.2">
      <c r="H2248" s="1"/>
      <c r="I2248" s="1"/>
    </row>
    <row r="2249" spans="8:9" x14ac:dyDescent="0.2">
      <c r="H2249" s="1"/>
      <c r="I2249" s="1"/>
    </row>
    <row r="2250" spans="8:9" x14ac:dyDescent="0.2">
      <c r="H2250" s="1"/>
      <c r="I2250" s="1"/>
    </row>
    <row r="2251" spans="8:9" x14ac:dyDescent="0.2">
      <c r="H2251" s="1"/>
      <c r="I2251" s="1"/>
    </row>
    <row r="2252" spans="8:9" x14ac:dyDescent="0.2">
      <c r="H2252" s="1"/>
      <c r="I2252" s="1"/>
    </row>
    <row r="2253" spans="8:9" x14ac:dyDescent="0.2">
      <c r="H2253" s="1"/>
      <c r="I2253" s="1"/>
    </row>
    <row r="2254" spans="8:9" x14ac:dyDescent="0.2">
      <c r="H2254" s="1"/>
      <c r="I2254" s="1"/>
    </row>
    <row r="2255" spans="8:9" x14ac:dyDescent="0.2">
      <c r="H2255" s="1"/>
      <c r="I2255" s="1"/>
    </row>
    <row r="2256" spans="8:9" x14ac:dyDescent="0.2">
      <c r="H2256" s="1"/>
      <c r="I2256" s="1"/>
    </row>
    <row r="2257" spans="8:9" x14ac:dyDescent="0.2">
      <c r="H2257" s="1"/>
      <c r="I2257" s="1"/>
    </row>
    <row r="2258" spans="8:9" x14ac:dyDescent="0.2">
      <c r="H2258" s="1"/>
      <c r="I2258" s="1"/>
    </row>
    <row r="2259" spans="8:9" x14ac:dyDescent="0.2">
      <c r="H2259" s="1"/>
      <c r="I2259" s="1"/>
    </row>
    <row r="2260" spans="8:9" x14ac:dyDescent="0.2">
      <c r="H2260" s="1"/>
      <c r="I2260" s="1"/>
    </row>
    <row r="2261" spans="8:9" x14ac:dyDescent="0.2">
      <c r="H2261" s="1"/>
      <c r="I2261" s="1"/>
    </row>
    <row r="2262" spans="8:9" x14ac:dyDescent="0.2">
      <c r="H2262" s="1"/>
      <c r="I2262" s="1"/>
    </row>
    <row r="2263" spans="8:9" x14ac:dyDescent="0.2">
      <c r="H2263" s="1"/>
      <c r="I2263" s="1"/>
    </row>
    <row r="2264" spans="8:9" x14ac:dyDescent="0.2">
      <c r="H2264" s="1"/>
      <c r="I2264" s="1"/>
    </row>
    <row r="2265" spans="8:9" x14ac:dyDescent="0.2">
      <c r="H2265" s="1"/>
      <c r="I2265" s="1"/>
    </row>
    <row r="2266" spans="8:9" x14ac:dyDescent="0.2">
      <c r="H2266" s="1"/>
      <c r="I2266" s="1"/>
    </row>
    <row r="2267" spans="8:9" x14ac:dyDescent="0.2">
      <c r="H2267" s="1"/>
      <c r="I2267" s="1"/>
    </row>
    <row r="2268" spans="8:9" x14ac:dyDescent="0.2">
      <c r="H2268" s="1"/>
      <c r="I2268" s="1"/>
    </row>
    <row r="2269" spans="8:9" x14ac:dyDescent="0.2">
      <c r="H2269" s="1"/>
      <c r="I2269" s="1"/>
    </row>
    <row r="2270" spans="8:9" x14ac:dyDescent="0.2">
      <c r="H2270" s="1"/>
      <c r="I2270" s="1"/>
    </row>
    <row r="2271" spans="8:9" x14ac:dyDescent="0.2">
      <c r="H2271" s="1"/>
      <c r="I2271" s="1"/>
    </row>
    <row r="2272" spans="8:9" x14ac:dyDescent="0.2">
      <c r="H2272" s="1"/>
      <c r="I2272" s="1"/>
    </row>
    <row r="2273" spans="8:9" x14ac:dyDescent="0.2">
      <c r="H2273" s="1"/>
      <c r="I2273" s="1"/>
    </row>
    <row r="2274" spans="8:9" x14ac:dyDescent="0.2">
      <c r="H2274" s="1"/>
      <c r="I2274" s="1"/>
    </row>
    <row r="2275" spans="8:9" x14ac:dyDescent="0.2">
      <c r="H2275" s="1"/>
      <c r="I2275" s="1"/>
    </row>
    <row r="2276" spans="8:9" x14ac:dyDescent="0.2">
      <c r="H2276" s="1"/>
      <c r="I2276" s="1"/>
    </row>
    <row r="2277" spans="8:9" x14ac:dyDescent="0.2">
      <c r="H2277" s="1"/>
      <c r="I2277" s="1"/>
    </row>
    <row r="2278" spans="8:9" x14ac:dyDescent="0.2">
      <c r="H2278" s="1"/>
      <c r="I2278" s="1"/>
    </row>
    <row r="2279" spans="8:9" x14ac:dyDescent="0.2">
      <c r="H2279" s="1"/>
      <c r="I2279" s="1"/>
    </row>
    <row r="2280" spans="8:9" x14ac:dyDescent="0.2">
      <c r="H2280" s="1"/>
      <c r="I2280" s="1"/>
    </row>
    <row r="2281" spans="8:9" x14ac:dyDescent="0.2">
      <c r="H2281" s="1"/>
      <c r="I2281" s="1"/>
    </row>
    <row r="2282" spans="8:9" x14ac:dyDescent="0.2">
      <c r="H2282" s="1"/>
      <c r="I2282" s="1"/>
    </row>
    <row r="2283" spans="8:9" x14ac:dyDescent="0.2">
      <c r="H2283" s="1"/>
      <c r="I2283" s="1"/>
    </row>
    <row r="2284" spans="8:9" x14ac:dyDescent="0.2">
      <c r="H2284" s="1"/>
      <c r="I2284" s="1"/>
    </row>
    <row r="2285" spans="8:9" x14ac:dyDescent="0.2">
      <c r="H2285" s="1"/>
      <c r="I2285" s="1"/>
    </row>
    <row r="2286" spans="8:9" x14ac:dyDescent="0.2">
      <c r="H2286" s="1"/>
      <c r="I2286" s="1"/>
    </row>
    <row r="2287" spans="8:9" x14ac:dyDescent="0.2">
      <c r="H2287" s="1"/>
      <c r="I2287" s="1"/>
    </row>
    <row r="2288" spans="8:9" x14ac:dyDescent="0.2">
      <c r="H2288" s="1"/>
      <c r="I2288" s="1"/>
    </row>
    <row r="2289" spans="8:9" x14ac:dyDescent="0.2">
      <c r="H2289" s="1"/>
      <c r="I2289" s="1"/>
    </row>
    <row r="2290" spans="8:9" x14ac:dyDescent="0.2">
      <c r="H2290" s="1"/>
      <c r="I2290" s="1"/>
    </row>
    <row r="2291" spans="8:9" x14ac:dyDescent="0.2">
      <c r="H2291" s="1"/>
      <c r="I2291" s="1"/>
    </row>
    <row r="2292" spans="8:9" x14ac:dyDescent="0.2">
      <c r="H2292" s="1"/>
      <c r="I2292" s="1"/>
    </row>
    <row r="2293" spans="8:9" x14ac:dyDescent="0.2">
      <c r="H2293" s="1"/>
      <c r="I2293" s="1"/>
    </row>
    <row r="2294" spans="8:9" x14ac:dyDescent="0.2">
      <c r="H2294" s="1"/>
      <c r="I2294" s="1"/>
    </row>
    <row r="2295" spans="8:9" x14ac:dyDescent="0.2">
      <c r="H2295" s="1"/>
      <c r="I2295" s="1"/>
    </row>
    <row r="2296" spans="8:9" x14ac:dyDescent="0.2">
      <c r="H2296" s="1"/>
      <c r="I2296" s="1"/>
    </row>
    <row r="2297" spans="8:9" x14ac:dyDescent="0.2">
      <c r="H2297" s="1"/>
      <c r="I2297" s="1"/>
    </row>
    <row r="2298" spans="8:9" x14ac:dyDescent="0.2">
      <c r="H2298" s="1"/>
      <c r="I2298" s="1"/>
    </row>
    <row r="2299" spans="8:9" x14ac:dyDescent="0.2">
      <c r="H2299" s="1"/>
      <c r="I2299" s="1"/>
    </row>
    <row r="2300" spans="8:9" x14ac:dyDescent="0.2">
      <c r="H2300" s="1"/>
      <c r="I2300" s="1"/>
    </row>
    <row r="2301" spans="8:9" x14ac:dyDescent="0.2">
      <c r="H2301" s="1"/>
      <c r="I2301" s="1"/>
    </row>
    <row r="2302" spans="8:9" x14ac:dyDescent="0.2">
      <c r="H2302" s="1"/>
      <c r="I2302" s="1"/>
    </row>
    <row r="2303" spans="8:9" x14ac:dyDescent="0.2">
      <c r="H2303" s="1"/>
      <c r="I2303" s="1"/>
    </row>
    <row r="2304" spans="8:9" x14ac:dyDescent="0.2">
      <c r="H2304" s="1"/>
      <c r="I2304" s="1"/>
    </row>
    <row r="2305" spans="8:9" x14ac:dyDescent="0.2">
      <c r="H2305" s="1"/>
      <c r="I2305" s="1"/>
    </row>
    <row r="2306" spans="8:9" x14ac:dyDescent="0.2">
      <c r="H2306" s="1"/>
      <c r="I2306" s="1"/>
    </row>
    <row r="2307" spans="8:9" x14ac:dyDescent="0.2">
      <c r="H2307" s="1"/>
      <c r="I2307" s="1"/>
    </row>
    <row r="2308" spans="8:9" x14ac:dyDescent="0.2">
      <c r="H2308" s="1"/>
      <c r="I2308" s="1"/>
    </row>
    <row r="2309" spans="8:9" x14ac:dyDescent="0.2">
      <c r="H2309" s="1"/>
      <c r="I2309" s="1"/>
    </row>
    <row r="2310" spans="8:9" x14ac:dyDescent="0.2">
      <c r="H2310" s="1"/>
      <c r="I2310" s="1"/>
    </row>
    <row r="2311" spans="8:9" x14ac:dyDescent="0.2">
      <c r="H2311" s="1"/>
      <c r="I2311" s="1"/>
    </row>
    <row r="2312" spans="8:9" x14ac:dyDescent="0.2">
      <c r="H2312" s="1"/>
      <c r="I2312" s="1"/>
    </row>
    <row r="2313" spans="8:9" x14ac:dyDescent="0.2">
      <c r="H2313" s="1"/>
      <c r="I2313" s="1"/>
    </row>
    <row r="2314" spans="8:9" x14ac:dyDescent="0.2">
      <c r="H2314" s="1"/>
      <c r="I2314" s="1"/>
    </row>
    <row r="2315" spans="8:9" x14ac:dyDescent="0.2">
      <c r="H2315" s="1"/>
      <c r="I2315" s="1"/>
    </row>
    <row r="2316" spans="8:9" x14ac:dyDescent="0.2">
      <c r="H2316" s="1"/>
      <c r="I2316" s="1"/>
    </row>
    <row r="2317" spans="8:9" x14ac:dyDescent="0.2">
      <c r="H2317" s="1"/>
      <c r="I2317" s="1"/>
    </row>
    <row r="2318" spans="8:9" x14ac:dyDescent="0.2">
      <c r="H2318" s="1"/>
      <c r="I2318" s="1"/>
    </row>
    <row r="2319" spans="8:9" x14ac:dyDescent="0.2">
      <c r="H2319" s="1"/>
      <c r="I2319" s="1"/>
    </row>
    <row r="2320" spans="8:9" x14ac:dyDescent="0.2">
      <c r="H2320" s="1"/>
      <c r="I2320" s="1"/>
    </row>
    <row r="2321" spans="8:9" x14ac:dyDescent="0.2">
      <c r="H2321" s="1"/>
      <c r="I2321" s="1"/>
    </row>
    <row r="2322" spans="8:9" x14ac:dyDescent="0.2">
      <c r="H2322" s="1"/>
      <c r="I2322" s="1"/>
    </row>
    <row r="2323" spans="8:9" x14ac:dyDescent="0.2">
      <c r="H2323" s="1"/>
      <c r="I2323" s="1"/>
    </row>
    <row r="2324" spans="8:9" x14ac:dyDescent="0.2">
      <c r="H2324" s="1"/>
      <c r="I2324" s="1"/>
    </row>
    <row r="2325" spans="8:9" x14ac:dyDescent="0.2">
      <c r="H2325" s="1"/>
      <c r="I2325" s="1"/>
    </row>
    <row r="2326" spans="8:9" x14ac:dyDescent="0.2">
      <c r="H2326" s="1"/>
      <c r="I2326" s="1"/>
    </row>
    <row r="2327" spans="8:9" x14ac:dyDescent="0.2">
      <c r="H2327" s="1"/>
      <c r="I2327" s="1"/>
    </row>
    <row r="2328" spans="8:9" x14ac:dyDescent="0.2">
      <c r="H2328" s="1"/>
      <c r="I2328" s="1"/>
    </row>
    <row r="2329" spans="8:9" x14ac:dyDescent="0.2">
      <c r="H2329" s="1"/>
      <c r="I2329" s="1"/>
    </row>
    <row r="2330" spans="8:9" x14ac:dyDescent="0.2">
      <c r="H2330" s="1"/>
      <c r="I2330" s="1"/>
    </row>
    <row r="2331" spans="8:9" x14ac:dyDescent="0.2">
      <c r="H2331" s="1"/>
      <c r="I2331" s="1"/>
    </row>
    <row r="2332" spans="8:9" x14ac:dyDescent="0.2">
      <c r="H2332" s="1"/>
      <c r="I2332" s="1"/>
    </row>
    <row r="2333" spans="8:9" x14ac:dyDescent="0.2">
      <c r="H2333" s="1"/>
      <c r="I2333" s="1"/>
    </row>
    <row r="2334" spans="8:9" x14ac:dyDescent="0.2">
      <c r="H2334" s="1"/>
      <c r="I2334" s="1"/>
    </row>
    <row r="2335" spans="8:9" x14ac:dyDescent="0.2">
      <c r="H2335" s="1"/>
      <c r="I2335" s="1"/>
    </row>
    <row r="2336" spans="8:9" x14ac:dyDescent="0.2">
      <c r="H2336" s="1"/>
      <c r="I2336" s="1"/>
    </row>
    <row r="2337" spans="8:9" x14ac:dyDescent="0.2">
      <c r="H2337" s="1"/>
      <c r="I2337" s="1"/>
    </row>
    <row r="2338" spans="8:9" x14ac:dyDescent="0.2">
      <c r="H2338" s="1"/>
      <c r="I2338" s="1"/>
    </row>
    <row r="2339" spans="8:9" x14ac:dyDescent="0.2">
      <c r="H2339" s="1"/>
      <c r="I2339" s="1"/>
    </row>
    <row r="2340" spans="8:9" x14ac:dyDescent="0.2">
      <c r="H2340" s="1"/>
      <c r="I2340" s="1"/>
    </row>
    <row r="2341" spans="8:9" x14ac:dyDescent="0.2">
      <c r="H2341" s="1"/>
      <c r="I2341" s="1"/>
    </row>
    <row r="2342" spans="8:9" x14ac:dyDescent="0.2">
      <c r="H2342" s="1"/>
      <c r="I2342" s="1"/>
    </row>
    <row r="2343" spans="8:9" x14ac:dyDescent="0.2">
      <c r="H2343" s="1"/>
      <c r="I2343" s="1"/>
    </row>
    <row r="2344" spans="8:9" x14ac:dyDescent="0.2">
      <c r="H2344" s="1"/>
      <c r="I2344" s="1"/>
    </row>
    <row r="2345" spans="8:9" x14ac:dyDescent="0.2">
      <c r="H2345" s="1"/>
      <c r="I2345" s="1"/>
    </row>
    <row r="2346" spans="8:9" x14ac:dyDescent="0.2">
      <c r="H2346" s="1"/>
      <c r="I2346" s="1"/>
    </row>
    <row r="2347" spans="8:9" x14ac:dyDescent="0.2">
      <c r="H2347" s="1"/>
      <c r="I2347" s="1"/>
    </row>
    <row r="2348" spans="8:9" x14ac:dyDescent="0.2">
      <c r="H2348" s="1"/>
      <c r="I2348" s="1"/>
    </row>
    <row r="2349" spans="8:9" x14ac:dyDescent="0.2">
      <c r="H2349" s="1"/>
      <c r="I2349" s="1"/>
    </row>
    <row r="2350" spans="8:9" x14ac:dyDescent="0.2">
      <c r="H2350" s="1"/>
      <c r="I2350" s="1"/>
    </row>
    <row r="2351" spans="8:9" x14ac:dyDescent="0.2">
      <c r="H2351" s="1"/>
      <c r="I2351" s="1"/>
    </row>
    <row r="2352" spans="8:9" x14ac:dyDescent="0.2">
      <c r="H2352" s="1"/>
      <c r="I2352" s="1"/>
    </row>
    <row r="2353" spans="8:9" x14ac:dyDescent="0.2">
      <c r="H2353" s="1"/>
      <c r="I2353" s="1"/>
    </row>
    <row r="2354" spans="8:9" x14ac:dyDescent="0.2">
      <c r="H2354" s="1"/>
      <c r="I2354" s="1"/>
    </row>
    <row r="2355" spans="8:9" x14ac:dyDescent="0.2">
      <c r="H2355" s="1"/>
      <c r="I2355" s="1"/>
    </row>
    <row r="2356" spans="8:9" x14ac:dyDescent="0.2">
      <c r="H2356" s="1"/>
      <c r="I2356" s="1"/>
    </row>
    <row r="2357" spans="8:9" x14ac:dyDescent="0.2">
      <c r="H2357" s="1"/>
      <c r="I2357" s="1"/>
    </row>
    <row r="2358" spans="8:9" x14ac:dyDescent="0.2">
      <c r="H2358" s="1"/>
      <c r="I2358" s="1"/>
    </row>
    <row r="2359" spans="8:9" x14ac:dyDescent="0.2">
      <c r="H2359" s="1"/>
      <c r="I2359" s="1"/>
    </row>
    <row r="2360" spans="8:9" x14ac:dyDescent="0.2">
      <c r="H2360" s="1"/>
      <c r="I2360" s="1"/>
    </row>
    <row r="2361" spans="8:9" x14ac:dyDescent="0.2">
      <c r="H2361" s="1"/>
      <c r="I2361" s="1"/>
    </row>
    <row r="2362" spans="8:9" x14ac:dyDescent="0.2">
      <c r="H2362" s="1"/>
      <c r="I2362" s="1"/>
    </row>
    <row r="2363" spans="8:9" x14ac:dyDescent="0.2">
      <c r="H2363" s="1"/>
      <c r="I2363" s="1"/>
    </row>
    <row r="2364" spans="8:9" x14ac:dyDescent="0.2">
      <c r="H2364" s="1"/>
      <c r="I2364" s="1"/>
    </row>
    <row r="2365" spans="8:9" x14ac:dyDescent="0.2">
      <c r="H2365" s="1"/>
      <c r="I2365" s="1"/>
    </row>
    <row r="2366" spans="8:9" x14ac:dyDescent="0.2">
      <c r="H2366" s="1"/>
      <c r="I2366" s="1"/>
    </row>
    <row r="2367" spans="8:9" x14ac:dyDescent="0.2">
      <c r="H2367" s="1"/>
      <c r="I2367" s="1"/>
    </row>
    <row r="2368" spans="8:9" x14ac:dyDescent="0.2">
      <c r="H2368" s="1"/>
      <c r="I2368" s="1"/>
    </row>
    <row r="2369" spans="8:9" x14ac:dyDescent="0.2">
      <c r="H2369" s="1"/>
      <c r="I2369" s="1"/>
    </row>
    <row r="2370" spans="8:9" x14ac:dyDescent="0.2">
      <c r="H2370" s="1"/>
      <c r="I2370" s="1"/>
    </row>
    <row r="2371" spans="8:9" x14ac:dyDescent="0.2">
      <c r="H2371" s="1"/>
      <c r="I2371" s="1"/>
    </row>
    <row r="2372" spans="8:9" x14ac:dyDescent="0.2">
      <c r="H2372" s="1"/>
      <c r="I2372" s="1"/>
    </row>
    <row r="2373" spans="8:9" x14ac:dyDescent="0.2">
      <c r="H2373" s="1"/>
      <c r="I2373" s="1"/>
    </row>
    <row r="2374" spans="8:9" x14ac:dyDescent="0.2">
      <c r="H2374" s="1"/>
      <c r="I2374" s="1"/>
    </row>
    <row r="2375" spans="8:9" x14ac:dyDescent="0.2">
      <c r="H2375" s="1"/>
      <c r="I2375" s="1"/>
    </row>
    <row r="2376" spans="8:9" x14ac:dyDescent="0.2">
      <c r="H2376" s="1"/>
      <c r="I2376" s="1"/>
    </row>
    <row r="2377" spans="8:9" x14ac:dyDescent="0.2">
      <c r="H2377" s="1"/>
      <c r="I2377" s="1"/>
    </row>
    <row r="2378" spans="8:9" x14ac:dyDescent="0.2">
      <c r="H2378" s="1"/>
      <c r="I2378" s="1"/>
    </row>
    <row r="2379" spans="8:9" x14ac:dyDescent="0.2">
      <c r="H2379" s="1"/>
      <c r="I2379" s="1"/>
    </row>
    <row r="2380" spans="8:9" x14ac:dyDescent="0.2">
      <c r="H2380" s="1"/>
      <c r="I2380" s="1"/>
    </row>
    <row r="2381" spans="8:9" x14ac:dyDescent="0.2">
      <c r="H2381" s="1"/>
      <c r="I2381" s="1"/>
    </row>
    <row r="2382" spans="8:9" x14ac:dyDescent="0.2">
      <c r="H2382" s="1"/>
      <c r="I2382" s="1"/>
    </row>
    <row r="2383" spans="8:9" x14ac:dyDescent="0.2">
      <c r="H2383" s="1"/>
      <c r="I2383" s="1"/>
    </row>
    <row r="2384" spans="8:9" x14ac:dyDescent="0.2">
      <c r="H2384" s="1"/>
      <c r="I2384" s="1"/>
    </row>
    <row r="2385" spans="8:9" x14ac:dyDescent="0.2">
      <c r="H2385" s="1"/>
      <c r="I2385" s="1"/>
    </row>
    <row r="2386" spans="8:9" x14ac:dyDescent="0.2">
      <c r="H2386" s="1"/>
      <c r="I2386" s="1"/>
    </row>
    <row r="2387" spans="8:9" x14ac:dyDescent="0.2">
      <c r="H2387" s="1"/>
      <c r="I2387" s="1"/>
    </row>
    <row r="2388" spans="8:9" x14ac:dyDescent="0.2">
      <c r="H2388" s="1"/>
      <c r="I2388" s="1"/>
    </row>
    <row r="2389" spans="8:9" x14ac:dyDescent="0.2">
      <c r="H2389" s="1"/>
      <c r="I2389" s="1"/>
    </row>
    <row r="2390" spans="8:9" x14ac:dyDescent="0.2">
      <c r="H2390" s="1"/>
      <c r="I2390" s="1"/>
    </row>
    <row r="2391" spans="8:9" x14ac:dyDescent="0.2">
      <c r="H2391" s="1"/>
      <c r="I2391" s="1"/>
    </row>
    <row r="2392" spans="8:9" x14ac:dyDescent="0.2">
      <c r="H2392" s="1"/>
      <c r="I2392" s="1"/>
    </row>
    <row r="2393" spans="8:9" x14ac:dyDescent="0.2">
      <c r="H2393" s="1"/>
      <c r="I2393" s="1"/>
    </row>
    <row r="2394" spans="8:9" x14ac:dyDescent="0.2">
      <c r="H2394" s="1"/>
      <c r="I2394" s="1"/>
    </row>
    <row r="2395" spans="8:9" x14ac:dyDescent="0.2">
      <c r="H2395" s="1"/>
      <c r="I2395" s="1"/>
    </row>
    <row r="2396" spans="8:9" x14ac:dyDescent="0.2">
      <c r="H2396" s="1"/>
      <c r="I2396" s="1"/>
    </row>
    <row r="2397" spans="8:9" x14ac:dyDescent="0.2">
      <c r="H2397" s="1"/>
      <c r="I2397" s="1"/>
    </row>
    <row r="2398" spans="8:9" x14ac:dyDescent="0.2">
      <c r="H2398" s="1"/>
      <c r="I2398" s="1"/>
    </row>
    <row r="2399" spans="8:9" x14ac:dyDescent="0.2">
      <c r="H2399" s="1"/>
      <c r="I2399" s="1"/>
    </row>
    <row r="2400" spans="8:9" x14ac:dyDescent="0.2">
      <c r="H2400" s="1"/>
      <c r="I2400" s="1"/>
    </row>
    <row r="2401" spans="8:9" x14ac:dyDescent="0.2">
      <c r="H2401" s="1"/>
      <c r="I2401" s="1"/>
    </row>
    <row r="2402" spans="8:9" x14ac:dyDescent="0.2">
      <c r="H2402" s="1"/>
      <c r="I2402" s="1"/>
    </row>
    <row r="2403" spans="8:9" x14ac:dyDescent="0.2">
      <c r="H2403" s="1"/>
      <c r="I2403" s="1"/>
    </row>
    <row r="2404" spans="8:9" x14ac:dyDescent="0.2">
      <c r="H2404" s="1"/>
      <c r="I2404" s="1"/>
    </row>
    <row r="2405" spans="8:9" x14ac:dyDescent="0.2">
      <c r="H2405" s="1"/>
      <c r="I2405" s="1"/>
    </row>
    <row r="2406" spans="8:9" x14ac:dyDescent="0.2">
      <c r="H2406" s="1"/>
      <c r="I2406" s="1"/>
    </row>
    <row r="2407" spans="8:9" x14ac:dyDescent="0.2">
      <c r="H2407" s="1"/>
      <c r="I2407" s="1"/>
    </row>
    <row r="2408" spans="8:9" x14ac:dyDescent="0.2">
      <c r="H2408" s="1"/>
      <c r="I2408" s="1"/>
    </row>
    <row r="2409" spans="8:9" x14ac:dyDescent="0.2">
      <c r="H2409" s="1"/>
      <c r="I2409" s="1"/>
    </row>
    <row r="2410" spans="8:9" x14ac:dyDescent="0.2">
      <c r="H2410" s="1"/>
      <c r="I2410" s="1"/>
    </row>
    <row r="2411" spans="8:9" x14ac:dyDescent="0.2">
      <c r="H2411" s="1"/>
      <c r="I2411" s="1"/>
    </row>
    <row r="2412" spans="8:9" x14ac:dyDescent="0.2">
      <c r="H2412" s="1"/>
      <c r="I2412" s="1"/>
    </row>
    <row r="2413" spans="8:9" x14ac:dyDescent="0.2">
      <c r="H2413" s="1"/>
      <c r="I2413" s="1"/>
    </row>
    <row r="2414" spans="8:9" x14ac:dyDescent="0.2">
      <c r="H2414" s="1"/>
      <c r="I2414" s="1"/>
    </row>
    <row r="2415" spans="8:9" x14ac:dyDescent="0.2">
      <c r="H2415" s="1"/>
      <c r="I2415" s="1"/>
    </row>
    <row r="2416" spans="8:9" x14ac:dyDescent="0.2">
      <c r="H2416" s="1"/>
      <c r="I2416" s="1"/>
    </row>
    <row r="2417" spans="8:9" x14ac:dyDescent="0.2">
      <c r="H2417" s="1"/>
      <c r="I2417" s="1"/>
    </row>
    <row r="2418" spans="8:9" x14ac:dyDescent="0.2">
      <c r="H2418" s="1"/>
      <c r="I2418" s="1"/>
    </row>
    <row r="2419" spans="8:9" x14ac:dyDescent="0.2">
      <c r="H2419" s="1"/>
      <c r="I2419" s="1"/>
    </row>
    <row r="2420" spans="8:9" x14ac:dyDescent="0.2">
      <c r="H2420" s="1"/>
      <c r="I2420" s="1"/>
    </row>
    <row r="2421" spans="8:9" x14ac:dyDescent="0.2">
      <c r="H2421" s="1"/>
      <c r="I2421" s="1"/>
    </row>
    <row r="2422" spans="8:9" x14ac:dyDescent="0.2">
      <c r="H2422" s="1"/>
      <c r="I2422" s="1"/>
    </row>
    <row r="2423" spans="8:9" x14ac:dyDescent="0.2">
      <c r="H2423" s="1"/>
      <c r="I2423" s="1"/>
    </row>
    <row r="2424" spans="8:9" x14ac:dyDescent="0.2">
      <c r="H2424" s="1"/>
      <c r="I2424" s="1"/>
    </row>
    <row r="2425" spans="8:9" x14ac:dyDescent="0.2">
      <c r="H2425" s="1"/>
      <c r="I2425" s="1"/>
    </row>
    <row r="2426" spans="8:9" x14ac:dyDescent="0.2">
      <c r="H2426" s="1"/>
      <c r="I2426" s="1"/>
    </row>
    <row r="2427" spans="8:9" x14ac:dyDescent="0.2">
      <c r="H2427" s="1"/>
      <c r="I2427" s="1"/>
    </row>
    <row r="2428" spans="8:9" x14ac:dyDescent="0.2">
      <c r="H2428" s="1"/>
      <c r="I2428" s="1"/>
    </row>
    <row r="2429" spans="8:9" x14ac:dyDescent="0.2">
      <c r="H2429" s="1"/>
      <c r="I2429" s="1"/>
    </row>
    <row r="2430" spans="8:9" x14ac:dyDescent="0.2">
      <c r="H2430" s="1"/>
      <c r="I2430" s="1"/>
    </row>
    <row r="2431" spans="8:9" x14ac:dyDescent="0.2">
      <c r="H2431" s="1"/>
      <c r="I2431" s="1"/>
    </row>
    <row r="2432" spans="8:9" x14ac:dyDescent="0.2">
      <c r="H2432" s="1"/>
      <c r="I2432" s="1"/>
    </row>
    <row r="2433" spans="8:9" x14ac:dyDescent="0.2">
      <c r="H2433" s="1"/>
      <c r="I2433" s="1"/>
    </row>
    <row r="2434" spans="8:9" x14ac:dyDescent="0.2">
      <c r="H2434" s="1"/>
      <c r="I2434" s="1"/>
    </row>
    <row r="2435" spans="8:9" x14ac:dyDescent="0.2">
      <c r="H2435" s="1"/>
      <c r="I2435" s="1"/>
    </row>
    <row r="2436" spans="8:9" x14ac:dyDescent="0.2">
      <c r="H2436" s="1"/>
      <c r="I2436" s="1"/>
    </row>
    <row r="2437" spans="8:9" x14ac:dyDescent="0.2">
      <c r="H2437" s="1"/>
      <c r="I2437" s="1"/>
    </row>
    <row r="2438" spans="8:9" x14ac:dyDescent="0.2">
      <c r="H2438" s="1"/>
      <c r="I2438" s="1"/>
    </row>
    <row r="2439" spans="8:9" x14ac:dyDescent="0.2">
      <c r="H2439" s="1"/>
      <c r="I2439" s="1"/>
    </row>
    <row r="2440" spans="8:9" x14ac:dyDescent="0.2">
      <c r="H2440" s="1"/>
      <c r="I2440" s="1"/>
    </row>
    <row r="2441" spans="8:9" x14ac:dyDescent="0.2">
      <c r="H2441" s="1"/>
      <c r="I2441" s="1"/>
    </row>
    <row r="2442" spans="8:9" x14ac:dyDescent="0.2">
      <c r="H2442" s="1"/>
      <c r="I2442" s="1"/>
    </row>
    <row r="2443" spans="8:9" x14ac:dyDescent="0.2">
      <c r="H2443" s="1"/>
      <c r="I2443" s="1"/>
    </row>
    <row r="2444" spans="8:9" x14ac:dyDescent="0.2">
      <c r="H2444" s="1"/>
      <c r="I2444" s="1"/>
    </row>
    <row r="2445" spans="8:9" x14ac:dyDescent="0.2">
      <c r="H2445" s="1"/>
      <c r="I2445" s="1"/>
    </row>
    <row r="2446" spans="8:9" x14ac:dyDescent="0.2">
      <c r="H2446" s="1"/>
      <c r="I2446" s="1"/>
    </row>
    <row r="2447" spans="8:9" x14ac:dyDescent="0.2">
      <c r="H2447" s="1"/>
      <c r="I2447" s="1"/>
    </row>
    <row r="2448" spans="8:9" x14ac:dyDescent="0.2">
      <c r="H2448" s="1"/>
      <c r="I2448" s="1"/>
    </row>
    <row r="2449" spans="8:9" x14ac:dyDescent="0.2">
      <c r="H2449" s="1"/>
      <c r="I2449" s="1"/>
    </row>
    <row r="2450" spans="8:9" x14ac:dyDescent="0.2">
      <c r="H2450" s="1"/>
      <c r="I2450" s="1"/>
    </row>
    <row r="2451" spans="8:9" x14ac:dyDescent="0.2">
      <c r="H2451" s="1"/>
      <c r="I2451" s="1"/>
    </row>
    <row r="2452" spans="8:9" x14ac:dyDescent="0.2">
      <c r="H2452" s="1"/>
      <c r="I2452" s="1"/>
    </row>
    <row r="2453" spans="8:9" x14ac:dyDescent="0.2">
      <c r="H2453" s="1"/>
      <c r="I2453" s="1"/>
    </row>
    <row r="2454" spans="8:9" x14ac:dyDescent="0.2">
      <c r="H2454" s="1"/>
      <c r="I2454" s="1"/>
    </row>
    <row r="2455" spans="8:9" x14ac:dyDescent="0.2">
      <c r="H2455" s="1"/>
      <c r="I2455" s="1"/>
    </row>
    <row r="2456" spans="8:9" x14ac:dyDescent="0.2">
      <c r="H2456" s="1"/>
      <c r="I2456" s="1"/>
    </row>
    <row r="2457" spans="8:9" x14ac:dyDescent="0.2">
      <c r="H2457" s="1"/>
      <c r="I2457" s="1"/>
    </row>
    <row r="2458" spans="8:9" x14ac:dyDescent="0.2">
      <c r="H2458" s="1"/>
      <c r="I2458" s="1"/>
    </row>
    <row r="2459" spans="8:9" x14ac:dyDescent="0.2">
      <c r="H2459" s="1"/>
      <c r="I2459" s="1"/>
    </row>
    <row r="2460" spans="8:9" x14ac:dyDescent="0.2">
      <c r="H2460" s="1"/>
      <c r="I2460" s="1"/>
    </row>
    <row r="2461" spans="8:9" x14ac:dyDescent="0.2">
      <c r="H2461" s="1"/>
      <c r="I2461" s="1"/>
    </row>
    <row r="2462" spans="8:9" x14ac:dyDescent="0.2">
      <c r="H2462" s="1"/>
      <c r="I2462" s="1"/>
    </row>
    <row r="2463" spans="8:9" x14ac:dyDescent="0.2">
      <c r="H2463" s="1"/>
      <c r="I2463" s="1"/>
    </row>
    <row r="2464" spans="8:9" x14ac:dyDescent="0.2">
      <c r="H2464" s="1"/>
      <c r="I2464" s="1"/>
    </row>
    <row r="2465" spans="8:9" x14ac:dyDescent="0.2">
      <c r="H2465" s="1"/>
      <c r="I2465" s="1"/>
    </row>
    <row r="2466" spans="8:9" x14ac:dyDescent="0.2">
      <c r="H2466" s="1"/>
      <c r="I2466" s="1"/>
    </row>
    <row r="2467" spans="8:9" x14ac:dyDescent="0.2">
      <c r="H2467" s="1"/>
      <c r="I2467" s="1"/>
    </row>
    <row r="2468" spans="8:9" x14ac:dyDescent="0.2">
      <c r="H2468" s="1"/>
      <c r="I2468" s="1"/>
    </row>
    <row r="2469" spans="8:9" x14ac:dyDescent="0.2">
      <c r="H2469" s="1"/>
      <c r="I2469" s="1"/>
    </row>
    <row r="2470" spans="8:9" x14ac:dyDescent="0.2">
      <c r="H2470" s="1"/>
      <c r="I2470" s="1"/>
    </row>
    <row r="2471" spans="8:9" x14ac:dyDescent="0.2">
      <c r="H2471" s="1"/>
      <c r="I2471" s="1"/>
    </row>
    <row r="2472" spans="8:9" x14ac:dyDescent="0.2">
      <c r="H2472" s="1"/>
      <c r="I2472" s="1"/>
    </row>
    <row r="2473" spans="8:9" x14ac:dyDescent="0.2">
      <c r="H2473" s="1"/>
      <c r="I2473" s="1"/>
    </row>
    <row r="2474" spans="8:9" x14ac:dyDescent="0.2">
      <c r="H2474" s="1"/>
      <c r="I2474" s="1"/>
    </row>
    <row r="2475" spans="8:9" x14ac:dyDescent="0.2">
      <c r="H2475" s="1"/>
      <c r="I2475" s="1"/>
    </row>
    <row r="2476" spans="8:9" x14ac:dyDescent="0.2">
      <c r="H2476" s="1"/>
      <c r="I2476" s="1"/>
    </row>
    <row r="2477" spans="8:9" x14ac:dyDescent="0.2">
      <c r="H2477" s="1"/>
      <c r="I2477" s="1"/>
    </row>
    <row r="2478" spans="8:9" x14ac:dyDescent="0.2">
      <c r="H2478" s="1"/>
      <c r="I2478" s="1"/>
    </row>
    <row r="2479" spans="8:9" x14ac:dyDescent="0.2">
      <c r="H2479" s="1"/>
      <c r="I2479" s="1"/>
    </row>
    <row r="2480" spans="8:9" x14ac:dyDescent="0.2">
      <c r="H2480" s="1"/>
      <c r="I2480" s="1"/>
    </row>
    <row r="2481" spans="8:9" x14ac:dyDescent="0.2">
      <c r="H2481" s="1"/>
      <c r="I2481" s="1"/>
    </row>
    <row r="2482" spans="8:9" x14ac:dyDescent="0.2">
      <c r="H2482" s="1"/>
      <c r="I2482" s="1"/>
    </row>
    <row r="2483" spans="8:9" x14ac:dyDescent="0.2">
      <c r="H2483" s="1"/>
      <c r="I2483" s="1"/>
    </row>
    <row r="2484" spans="8:9" x14ac:dyDescent="0.2">
      <c r="H2484" s="1"/>
      <c r="I2484" s="1"/>
    </row>
    <row r="2485" spans="8:9" x14ac:dyDescent="0.2">
      <c r="H2485" s="1"/>
      <c r="I2485" s="1"/>
    </row>
    <row r="2486" spans="8:9" x14ac:dyDescent="0.2">
      <c r="H2486" s="1"/>
      <c r="I2486" s="1"/>
    </row>
    <row r="2487" spans="8:9" x14ac:dyDescent="0.2">
      <c r="H2487" s="1"/>
      <c r="I2487" s="1"/>
    </row>
    <row r="2488" spans="8:9" x14ac:dyDescent="0.2">
      <c r="H2488" s="1"/>
      <c r="I2488" s="1"/>
    </row>
    <row r="2489" spans="8:9" x14ac:dyDescent="0.2">
      <c r="H2489" s="1"/>
      <c r="I2489" s="1"/>
    </row>
    <row r="2490" spans="8:9" x14ac:dyDescent="0.2">
      <c r="H2490" s="1"/>
      <c r="I2490" s="1"/>
    </row>
    <row r="2491" spans="8:9" x14ac:dyDescent="0.2">
      <c r="H2491" s="1"/>
      <c r="I2491" s="1"/>
    </row>
    <row r="2492" spans="8:9" x14ac:dyDescent="0.2">
      <c r="H2492" s="1"/>
      <c r="I2492" s="1"/>
    </row>
    <row r="2493" spans="8:9" x14ac:dyDescent="0.2">
      <c r="H2493" s="1"/>
      <c r="I2493" s="1"/>
    </row>
    <row r="2494" spans="8:9" x14ac:dyDescent="0.2">
      <c r="H2494" s="1"/>
      <c r="I2494" s="1"/>
    </row>
    <row r="2495" spans="8:9" x14ac:dyDescent="0.2">
      <c r="H2495" s="1"/>
      <c r="I2495" s="1"/>
    </row>
    <row r="2496" spans="8:9" x14ac:dyDescent="0.2">
      <c r="H2496" s="1"/>
      <c r="I2496" s="1"/>
    </row>
    <row r="2497" spans="8:9" x14ac:dyDescent="0.2">
      <c r="H2497" s="1"/>
      <c r="I2497" s="1"/>
    </row>
    <row r="2498" spans="8:9" x14ac:dyDescent="0.2">
      <c r="H2498" s="1"/>
      <c r="I2498" s="1"/>
    </row>
    <row r="2499" spans="8:9" x14ac:dyDescent="0.2">
      <c r="H2499" s="1"/>
      <c r="I2499" s="1"/>
    </row>
    <row r="2500" spans="8:9" x14ac:dyDescent="0.2">
      <c r="H2500" s="1"/>
      <c r="I2500" s="1"/>
    </row>
    <row r="2501" spans="8:9" x14ac:dyDescent="0.2">
      <c r="H2501" s="1"/>
      <c r="I2501" s="1"/>
    </row>
    <row r="2502" spans="8:9" x14ac:dyDescent="0.2">
      <c r="H2502" s="1"/>
      <c r="I2502" s="1"/>
    </row>
    <row r="2503" spans="8:9" x14ac:dyDescent="0.2">
      <c r="H2503" s="1"/>
      <c r="I2503" s="1"/>
    </row>
    <row r="2504" spans="8:9" x14ac:dyDescent="0.2">
      <c r="H2504" s="1"/>
      <c r="I2504" s="1"/>
    </row>
    <row r="2505" spans="8:9" x14ac:dyDescent="0.2">
      <c r="H2505" s="1"/>
      <c r="I2505" s="1"/>
    </row>
    <row r="2506" spans="8:9" x14ac:dyDescent="0.2">
      <c r="H2506" s="1"/>
      <c r="I2506" s="1"/>
    </row>
    <row r="2507" spans="8:9" x14ac:dyDescent="0.2">
      <c r="H2507" s="1"/>
      <c r="I2507" s="1"/>
    </row>
    <row r="2508" spans="8:9" x14ac:dyDescent="0.2">
      <c r="H2508" s="1"/>
      <c r="I2508" s="1"/>
    </row>
    <row r="2509" spans="8:9" x14ac:dyDescent="0.2">
      <c r="H2509" s="1"/>
      <c r="I2509" s="1"/>
    </row>
    <row r="2510" spans="8:9" x14ac:dyDescent="0.2">
      <c r="H2510" s="1"/>
      <c r="I2510" s="1"/>
    </row>
    <row r="2511" spans="8:9" x14ac:dyDescent="0.2">
      <c r="H2511" s="1"/>
      <c r="I2511" s="1"/>
    </row>
    <row r="2512" spans="8:9" x14ac:dyDescent="0.2">
      <c r="H2512" s="1"/>
      <c r="I2512" s="1"/>
    </row>
    <row r="2513" spans="8:9" x14ac:dyDescent="0.2">
      <c r="H2513" s="1"/>
      <c r="I2513" s="1"/>
    </row>
    <row r="2514" spans="8:9" x14ac:dyDescent="0.2">
      <c r="H2514" s="1"/>
      <c r="I2514" s="1"/>
    </row>
    <row r="2515" spans="8:9" x14ac:dyDescent="0.2">
      <c r="H2515" s="1"/>
      <c r="I2515" s="1"/>
    </row>
    <row r="2516" spans="8:9" x14ac:dyDescent="0.2">
      <c r="H2516" s="1"/>
      <c r="I2516" s="1"/>
    </row>
    <row r="2517" spans="8:9" x14ac:dyDescent="0.2">
      <c r="H2517" s="1"/>
      <c r="I2517" s="1"/>
    </row>
    <row r="2518" spans="8:9" x14ac:dyDescent="0.2">
      <c r="H2518" s="1"/>
      <c r="I2518" s="1"/>
    </row>
    <row r="2519" spans="8:9" x14ac:dyDescent="0.2">
      <c r="H2519" s="1"/>
      <c r="I2519" s="1"/>
    </row>
    <row r="2520" spans="8:9" x14ac:dyDescent="0.2">
      <c r="H2520" s="1"/>
      <c r="I2520" s="1"/>
    </row>
    <row r="2521" spans="8:9" x14ac:dyDescent="0.2">
      <c r="H2521" s="1"/>
      <c r="I2521" s="1"/>
    </row>
    <row r="2522" spans="8:9" x14ac:dyDescent="0.2">
      <c r="H2522" s="1"/>
      <c r="I2522" s="1"/>
    </row>
    <row r="2523" spans="8:9" x14ac:dyDescent="0.2">
      <c r="H2523" s="1"/>
      <c r="I2523" s="1"/>
    </row>
    <row r="2524" spans="8:9" x14ac:dyDescent="0.2">
      <c r="H2524" s="1"/>
      <c r="I2524" s="1"/>
    </row>
    <row r="2525" spans="8:9" x14ac:dyDescent="0.2">
      <c r="H2525" s="1"/>
      <c r="I2525" s="1"/>
    </row>
    <row r="2526" spans="8:9" x14ac:dyDescent="0.2">
      <c r="H2526" s="1"/>
      <c r="I2526" s="1"/>
    </row>
    <row r="2527" spans="8:9" x14ac:dyDescent="0.2">
      <c r="H2527" s="1"/>
      <c r="I2527" s="1"/>
    </row>
    <row r="2528" spans="8:9" x14ac:dyDescent="0.2">
      <c r="H2528" s="1"/>
      <c r="I2528" s="1"/>
    </row>
    <row r="2529" spans="8:9" x14ac:dyDescent="0.2">
      <c r="H2529" s="1"/>
      <c r="I2529" s="1"/>
    </row>
    <row r="2530" spans="8:9" x14ac:dyDescent="0.2">
      <c r="H2530" s="1"/>
      <c r="I2530" s="1"/>
    </row>
    <row r="2531" spans="8:9" x14ac:dyDescent="0.2">
      <c r="H2531" s="1"/>
      <c r="I2531" s="1"/>
    </row>
    <row r="2532" spans="8:9" x14ac:dyDescent="0.2">
      <c r="H2532" s="1"/>
      <c r="I2532" s="1"/>
    </row>
    <row r="2533" spans="8:9" x14ac:dyDescent="0.2">
      <c r="H2533" s="1"/>
      <c r="I2533" s="1"/>
    </row>
    <row r="2534" spans="8:9" x14ac:dyDescent="0.2">
      <c r="H2534" s="1"/>
      <c r="I2534" s="1"/>
    </row>
    <row r="2535" spans="8:9" x14ac:dyDescent="0.2">
      <c r="H2535" s="1"/>
      <c r="I2535" s="1"/>
    </row>
    <row r="2536" spans="8:9" x14ac:dyDescent="0.2">
      <c r="H2536" s="1"/>
      <c r="I2536" s="1"/>
    </row>
    <row r="2537" spans="8:9" x14ac:dyDescent="0.2">
      <c r="H2537" s="1"/>
      <c r="I2537" s="1"/>
    </row>
    <row r="2538" spans="8:9" x14ac:dyDescent="0.2">
      <c r="H2538" s="1"/>
      <c r="I2538" s="1"/>
    </row>
    <row r="2539" spans="8:9" x14ac:dyDescent="0.2">
      <c r="H2539" s="1"/>
      <c r="I2539" s="1"/>
    </row>
    <row r="2540" spans="8:9" x14ac:dyDescent="0.2">
      <c r="H2540" s="1"/>
      <c r="I2540" s="1"/>
    </row>
    <row r="2541" spans="8:9" x14ac:dyDescent="0.2">
      <c r="H2541" s="1"/>
      <c r="I2541" s="1"/>
    </row>
    <row r="2542" spans="8:9" x14ac:dyDescent="0.2">
      <c r="H2542" s="1"/>
      <c r="I2542" s="1"/>
    </row>
    <row r="2543" spans="8:9" x14ac:dyDescent="0.2">
      <c r="H2543" s="1"/>
      <c r="I2543" s="1"/>
    </row>
    <row r="2544" spans="8:9" x14ac:dyDescent="0.2">
      <c r="H2544" s="1"/>
      <c r="I2544" s="1"/>
    </row>
    <row r="2545" spans="8:9" x14ac:dyDescent="0.2">
      <c r="H2545" s="1"/>
      <c r="I2545" s="1"/>
    </row>
    <row r="2546" spans="8:9" x14ac:dyDescent="0.2">
      <c r="H2546" s="1"/>
      <c r="I2546" s="1"/>
    </row>
    <row r="2547" spans="8:9" x14ac:dyDescent="0.2">
      <c r="H2547" s="1"/>
      <c r="I2547" s="1"/>
    </row>
    <row r="2548" spans="8:9" x14ac:dyDescent="0.2">
      <c r="H2548" s="1"/>
      <c r="I2548" s="1"/>
    </row>
    <row r="2549" spans="8:9" x14ac:dyDescent="0.2">
      <c r="H2549" s="1"/>
      <c r="I2549" s="1"/>
    </row>
    <row r="2550" spans="8:9" x14ac:dyDescent="0.2">
      <c r="H2550" s="1"/>
      <c r="I2550" s="1"/>
    </row>
    <row r="2551" spans="8:9" x14ac:dyDescent="0.2">
      <c r="H2551" s="1"/>
      <c r="I2551" s="1"/>
    </row>
    <row r="2552" spans="8:9" x14ac:dyDescent="0.2">
      <c r="H2552" s="1"/>
      <c r="I2552" s="1"/>
    </row>
    <row r="2553" spans="8:9" x14ac:dyDescent="0.2">
      <c r="H2553" s="1"/>
      <c r="I2553" s="1"/>
    </row>
    <row r="2554" spans="8:9" x14ac:dyDescent="0.2">
      <c r="H2554" s="1"/>
      <c r="I2554" s="1"/>
    </row>
    <row r="2555" spans="8:9" x14ac:dyDescent="0.2">
      <c r="H2555" s="1"/>
      <c r="I2555" s="1"/>
    </row>
    <row r="2556" spans="8:9" x14ac:dyDescent="0.2">
      <c r="H2556" s="1"/>
      <c r="I2556" s="1"/>
    </row>
    <row r="2557" spans="8:9" x14ac:dyDescent="0.2">
      <c r="H2557" s="1"/>
      <c r="I2557" s="1"/>
    </row>
    <row r="2558" spans="8:9" x14ac:dyDescent="0.2">
      <c r="H2558" s="1"/>
      <c r="I2558" s="1"/>
    </row>
    <row r="2559" spans="8:9" x14ac:dyDescent="0.2">
      <c r="H2559" s="1"/>
      <c r="I2559" s="1"/>
    </row>
    <row r="2560" spans="8:9" x14ac:dyDescent="0.2">
      <c r="H2560" s="1"/>
      <c r="I2560" s="1"/>
    </row>
    <row r="2561" spans="8:9" x14ac:dyDescent="0.2">
      <c r="H2561" s="1"/>
      <c r="I2561" s="1"/>
    </row>
    <row r="2562" spans="8:9" x14ac:dyDescent="0.2">
      <c r="H2562" s="1"/>
      <c r="I2562" s="1"/>
    </row>
    <row r="2563" spans="8:9" x14ac:dyDescent="0.2">
      <c r="H2563" s="1"/>
      <c r="I2563" s="1"/>
    </row>
    <row r="2564" spans="8:9" x14ac:dyDescent="0.2">
      <c r="H2564" s="1"/>
      <c r="I2564" s="1"/>
    </row>
    <row r="2565" spans="8:9" x14ac:dyDescent="0.2">
      <c r="H2565" s="1"/>
      <c r="I2565" s="1"/>
    </row>
    <row r="2566" spans="8:9" x14ac:dyDescent="0.2">
      <c r="H2566" s="1"/>
      <c r="I2566" s="1"/>
    </row>
    <row r="2567" spans="8:9" x14ac:dyDescent="0.2">
      <c r="H2567" s="1"/>
      <c r="I2567" s="1"/>
    </row>
    <row r="2568" spans="8:9" x14ac:dyDescent="0.2">
      <c r="H2568" s="1"/>
      <c r="I2568" s="1"/>
    </row>
    <row r="2569" spans="8:9" x14ac:dyDescent="0.2">
      <c r="H2569" s="1"/>
      <c r="I2569" s="1"/>
    </row>
    <row r="2570" spans="8:9" x14ac:dyDescent="0.2">
      <c r="H2570" s="1"/>
      <c r="I2570" s="1"/>
    </row>
    <row r="2571" spans="8:9" x14ac:dyDescent="0.2">
      <c r="H2571" s="1"/>
      <c r="I2571" s="1"/>
    </row>
    <row r="2572" spans="8:9" x14ac:dyDescent="0.2">
      <c r="H2572" s="1"/>
      <c r="I2572" s="1"/>
    </row>
    <row r="2573" spans="8:9" x14ac:dyDescent="0.2">
      <c r="H2573" s="1"/>
      <c r="I2573" s="1"/>
    </row>
    <row r="2574" spans="8:9" x14ac:dyDescent="0.2">
      <c r="H2574" s="1"/>
      <c r="I2574" s="1"/>
    </row>
    <row r="2575" spans="8:9" x14ac:dyDescent="0.2">
      <c r="H2575" s="1"/>
      <c r="I2575" s="1"/>
    </row>
    <row r="2576" spans="8:9" x14ac:dyDescent="0.2">
      <c r="H2576" s="1"/>
      <c r="I2576" s="1"/>
    </row>
    <row r="2577" spans="8:9" x14ac:dyDescent="0.2">
      <c r="H2577" s="1"/>
      <c r="I2577" s="1"/>
    </row>
    <row r="2578" spans="8:9" x14ac:dyDescent="0.2">
      <c r="H2578" s="1"/>
      <c r="I2578" s="1"/>
    </row>
    <row r="2579" spans="8:9" x14ac:dyDescent="0.2">
      <c r="H2579" s="1"/>
      <c r="I2579" s="1"/>
    </row>
    <row r="2580" spans="8:9" x14ac:dyDescent="0.2">
      <c r="H2580" s="1"/>
      <c r="I2580" s="1"/>
    </row>
    <row r="2581" spans="8:9" x14ac:dyDescent="0.2">
      <c r="H2581" s="1"/>
      <c r="I2581" s="1"/>
    </row>
    <row r="2582" spans="8:9" x14ac:dyDescent="0.2">
      <c r="H2582" s="1"/>
      <c r="I2582" s="1"/>
    </row>
    <row r="2583" spans="8:9" x14ac:dyDescent="0.2">
      <c r="H2583" s="1"/>
      <c r="I2583" s="1"/>
    </row>
    <row r="2584" spans="8:9" x14ac:dyDescent="0.2">
      <c r="H2584" s="1"/>
      <c r="I2584" s="1"/>
    </row>
    <row r="2585" spans="8:9" x14ac:dyDescent="0.2">
      <c r="H2585" s="1"/>
      <c r="I2585" s="1"/>
    </row>
    <row r="2586" spans="8:9" x14ac:dyDescent="0.2">
      <c r="H2586" s="1"/>
      <c r="I2586" s="1"/>
    </row>
    <row r="2587" spans="8:9" x14ac:dyDescent="0.2">
      <c r="H2587" s="1"/>
      <c r="I2587" s="1"/>
    </row>
    <row r="2588" spans="8:9" x14ac:dyDescent="0.2">
      <c r="H2588" s="1"/>
      <c r="I2588" s="1"/>
    </row>
    <row r="2589" spans="8:9" x14ac:dyDescent="0.2">
      <c r="H2589" s="1"/>
      <c r="I2589" s="1"/>
    </row>
    <row r="2590" spans="8:9" x14ac:dyDescent="0.2">
      <c r="H2590" s="1"/>
      <c r="I2590" s="1"/>
    </row>
    <row r="2591" spans="8:9" x14ac:dyDescent="0.2">
      <c r="H2591" s="1"/>
      <c r="I2591" s="1"/>
    </row>
    <row r="2592" spans="8:9" x14ac:dyDescent="0.2">
      <c r="H2592" s="1"/>
      <c r="I2592" s="1"/>
    </row>
    <row r="2593" spans="8:9" x14ac:dyDescent="0.2">
      <c r="H2593" s="1"/>
      <c r="I2593" s="1"/>
    </row>
    <row r="2594" spans="8:9" x14ac:dyDescent="0.2">
      <c r="H2594" s="1"/>
      <c r="I2594" s="1"/>
    </row>
    <row r="2595" spans="8:9" x14ac:dyDescent="0.2">
      <c r="H2595" s="1"/>
      <c r="I2595" s="1"/>
    </row>
    <row r="2596" spans="8:9" x14ac:dyDescent="0.2">
      <c r="H2596" s="1"/>
      <c r="I2596" s="1"/>
    </row>
    <row r="2597" spans="8:9" x14ac:dyDescent="0.2">
      <c r="H2597" s="1"/>
      <c r="I2597" s="1"/>
    </row>
    <row r="2598" spans="8:9" x14ac:dyDescent="0.2">
      <c r="H2598" s="1"/>
      <c r="I2598" s="1"/>
    </row>
    <row r="2599" spans="8:9" x14ac:dyDescent="0.2">
      <c r="H2599" s="1"/>
      <c r="I2599" s="1"/>
    </row>
    <row r="2600" spans="8:9" x14ac:dyDescent="0.2">
      <c r="H2600" s="1"/>
      <c r="I2600" s="1"/>
    </row>
    <row r="2601" spans="8:9" x14ac:dyDescent="0.2">
      <c r="H2601" s="1"/>
      <c r="I2601" s="1"/>
    </row>
    <row r="2602" spans="8:9" x14ac:dyDescent="0.2">
      <c r="H2602" s="1"/>
      <c r="I2602" s="1"/>
    </row>
    <row r="2603" spans="8:9" x14ac:dyDescent="0.2">
      <c r="H2603" s="1"/>
      <c r="I2603" s="1"/>
    </row>
    <row r="2604" spans="8:9" x14ac:dyDescent="0.2">
      <c r="H2604" s="1"/>
      <c r="I2604" s="1"/>
    </row>
    <row r="2605" spans="8:9" x14ac:dyDescent="0.2">
      <c r="H2605" s="1"/>
      <c r="I2605" s="1"/>
    </row>
    <row r="2606" spans="8:9" x14ac:dyDescent="0.2">
      <c r="H2606" s="1"/>
      <c r="I2606" s="1"/>
    </row>
    <row r="2607" spans="8:9" x14ac:dyDescent="0.2">
      <c r="H2607" s="1"/>
      <c r="I2607" s="1"/>
    </row>
    <row r="2608" spans="8:9" x14ac:dyDescent="0.2">
      <c r="H2608" s="1"/>
      <c r="I2608" s="1"/>
    </row>
    <row r="2609" spans="8:9" x14ac:dyDescent="0.2">
      <c r="H2609" s="1"/>
      <c r="I2609" s="1"/>
    </row>
    <row r="2610" spans="8:9" x14ac:dyDescent="0.2">
      <c r="H2610" s="1"/>
      <c r="I2610" s="1"/>
    </row>
    <row r="2611" spans="8:9" x14ac:dyDescent="0.2">
      <c r="H2611" s="1"/>
      <c r="I2611" s="1"/>
    </row>
    <row r="2612" spans="8:9" x14ac:dyDescent="0.2">
      <c r="H2612" s="1"/>
      <c r="I2612" s="1"/>
    </row>
    <row r="2613" spans="8:9" x14ac:dyDescent="0.2">
      <c r="H2613" s="1"/>
      <c r="I2613" s="1"/>
    </row>
    <row r="2614" spans="8:9" x14ac:dyDescent="0.2">
      <c r="H2614" s="1"/>
      <c r="I2614" s="1"/>
    </row>
    <row r="2615" spans="8:9" x14ac:dyDescent="0.2">
      <c r="H2615" s="1"/>
      <c r="I2615" s="1"/>
    </row>
    <row r="2616" spans="8:9" x14ac:dyDescent="0.2">
      <c r="H2616" s="1"/>
      <c r="I2616" s="1"/>
    </row>
    <row r="2617" spans="8:9" x14ac:dyDescent="0.2">
      <c r="H2617" s="1"/>
      <c r="I2617" s="1"/>
    </row>
    <row r="2618" spans="8:9" x14ac:dyDescent="0.2">
      <c r="H2618" s="1"/>
      <c r="I2618" s="1"/>
    </row>
    <row r="2619" spans="8:9" x14ac:dyDescent="0.2">
      <c r="H2619" s="1"/>
      <c r="I2619" s="1"/>
    </row>
    <row r="2620" spans="8:9" x14ac:dyDescent="0.2">
      <c r="H2620" s="1"/>
      <c r="I2620" s="1"/>
    </row>
    <row r="2621" spans="8:9" x14ac:dyDescent="0.2">
      <c r="H2621" s="1"/>
      <c r="I2621" s="1"/>
    </row>
    <row r="2622" spans="8:9" x14ac:dyDescent="0.2">
      <c r="H2622" s="1"/>
      <c r="I2622" s="1"/>
    </row>
    <row r="2623" spans="8:9" x14ac:dyDescent="0.2">
      <c r="H2623" s="1"/>
      <c r="I2623" s="1"/>
    </row>
    <row r="2624" spans="8:9" x14ac:dyDescent="0.2">
      <c r="H2624" s="1"/>
      <c r="I2624" s="1"/>
    </row>
    <row r="2625" spans="8:9" x14ac:dyDescent="0.2">
      <c r="H2625" s="1"/>
      <c r="I2625" s="1"/>
    </row>
    <row r="2626" spans="8:9" x14ac:dyDescent="0.2">
      <c r="H2626" s="1"/>
      <c r="I2626" s="1"/>
    </row>
    <row r="2627" spans="8:9" x14ac:dyDescent="0.2">
      <c r="H2627" s="1"/>
      <c r="I2627" s="1"/>
    </row>
    <row r="2628" spans="8:9" x14ac:dyDescent="0.2">
      <c r="H2628" s="1"/>
      <c r="I2628" s="1"/>
    </row>
    <row r="2629" spans="8:9" x14ac:dyDescent="0.2">
      <c r="H2629" s="1"/>
      <c r="I2629" s="1"/>
    </row>
    <row r="2630" spans="8:9" x14ac:dyDescent="0.2">
      <c r="H2630" s="1"/>
      <c r="I2630" s="1"/>
    </row>
    <row r="2631" spans="8:9" x14ac:dyDescent="0.2">
      <c r="H2631" s="1"/>
      <c r="I2631" s="1"/>
    </row>
    <row r="2632" spans="8:9" x14ac:dyDescent="0.2">
      <c r="H2632" s="1"/>
      <c r="I2632" s="1"/>
    </row>
    <row r="2633" spans="8:9" x14ac:dyDescent="0.2">
      <c r="H2633" s="1"/>
      <c r="I2633" s="1"/>
    </row>
    <row r="2634" spans="8:9" x14ac:dyDescent="0.2">
      <c r="H2634" s="1"/>
      <c r="I2634" s="1"/>
    </row>
    <row r="2635" spans="8:9" x14ac:dyDescent="0.2">
      <c r="H2635" s="1"/>
      <c r="I2635" s="1"/>
    </row>
    <row r="2636" spans="8:9" x14ac:dyDescent="0.2">
      <c r="H2636" s="1"/>
      <c r="I2636" s="1"/>
    </row>
    <row r="2637" spans="8:9" x14ac:dyDescent="0.2">
      <c r="H2637" s="1"/>
      <c r="I2637" s="1"/>
    </row>
    <row r="2638" spans="8:9" x14ac:dyDescent="0.2">
      <c r="H2638" s="1"/>
      <c r="I2638" s="1"/>
    </row>
    <row r="2639" spans="8:9" x14ac:dyDescent="0.2">
      <c r="H2639" s="1"/>
      <c r="I2639" s="1"/>
    </row>
    <row r="2640" spans="8:9" x14ac:dyDescent="0.2">
      <c r="H2640" s="1"/>
      <c r="I2640" s="1"/>
    </row>
    <row r="2641" spans="8:9" x14ac:dyDescent="0.2">
      <c r="H2641" s="1"/>
      <c r="I2641" s="1"/>
    </row>
    <row r="2642" spans="8:9" x14ac:dyDescent="0.2">
      <c r="H2642" s="1"/>
      <c r="I2642" s="1"/>
    </row>
    <row r="2643" spans="8:9" x14ac:dyDescent="0.2">
      <c r="H2643" s="1"/>
      <c r="I2643" s="1"/>
    </row>
    <row r="2644" spans="8:9" x14ac:dyDescent="0.2">
      <c r="H2644" s="1"/>
      <c r="I2644" s="1"/>
    </row>
    <row r="2645" spans="8:9" x14ac:dyDescent="0.2">
      <c r="H2645" s="1"/>
      <c r="I2645" s="1"/>
    </row>
    <row r="2646" spans="8:9" x14ac:dyDescent="0.2">
      <c r="H2646" s="1"/>
      <c r="I2646" s="1"/>
    </row>
    <row r="2647" spans="8:9" x14ac:dyDescent="0.2">
      <c r="H2647" s="1"/>
      <c r="I2647" s="1"/>
    </row>
    <row r="2648" spans="8:9" x14ac:dyDescent="0.2">
      <c r="H2648" s="1"/>
      <c r="I2648" s="1"/>
    </row>
    <row r="2649" spans="8:9" x14ac:dyDescent="0.2">
      <c r="H2649" s="1"/>
      <c r="I2649" s="1"/>
    </row>
    <row r="2650" spans="8:9" x14ac:dyDescent="0.2">
      <c r="H2650" s="1"/>
      <c r="I2650" s="1"/>
    </row>
    <row r="2651" spans="8:9" x14ac:dyDescent="0.2">
      <c r="H2651" s="1"/>
      <c r="I2651" s="1"/>
    </row>
    <row r="2652" spans="8:9" x14ac:dyDescent="0.2">
      <c r="H2652" s="1"/>
      <c r="I2652" s="1"/>
    </row>
    <row r="2653" spans="8:9" x14ac:dyDescent="0.2">
      <c r="H2653" s="1"/>
      <c r="I2653" s="1"/>
    </row>
    <row r="2654" spans="8:9" x14ac:dyDescent="0.2">
      <c r="H2654" s="1"/>
      <c r="I2654" s="1"/>
    </row>
    <row r="2655" spans="8:9" x14ac:dyDescent="0.2">
      <c r="H2655" s="1"/>
      <c r="I2655" s="1"/>
    </row>
    <row r="2656" spans="8:9" x14ac:dyDescent="0.2">
      <c r="H2656" s="1"/>
      <c r="I2656" s="1"/>
    </row>
    <row r="2657" spans="8:9" x14ac:dyDescent="0.2">
      <c r="H2657" s="1"/>
      <c r="I2657" s="1"/>
    </row>
    <row r="2658" spans="8:9" x14ac:dyDescent="0.2">
      <c r="H2658" s="1"/>
      <c r="I2658" s="1"/>
    </row>
    <row r="2659" spans="8:9" x14ac:dyDescent="0.2">
      <c r="H2659" s="1"/>
      <c r="I2659" s="1"/>
    </row>
    <row r="2660" spans="8:9" x14ac:dyDescent="0.2">
      <c r="H2660" s="1"/>
      <c r="I2660" s="1"/>
    </row>
    <row r="2661" spans="8:9" x14ac:dyDescent="0.2">
      <c r="H2661" s="1"/>
      <c r="I2661" s="1"/>
    </row>
    <row r="2662" spans="8:9" x14ac:dyDescent="0.2">
      <c r="H2662" s="1"/>
      <c r="I2662" s="1"/>
    </row>
    <row r="2663" spans="8:9" x14ac:dyDescent="0.2">
      <c r="H2663" s="1"/>
      <c r="I2663" s="1"/>
    </row>
    <row r="2664" spans="8:9" x14ac:dyDescent="0.2">
      <c r="H2664" s="1"/>
      <c r="I2664" s="1"/>
    </row>
    <row r="2665" spans="8:9" x14ac:dyDescent="0.2">
      <c r="H2665" s="1"/>
      <c r="I2665" s="1"/>
    </row>
    <row r="2666" spans="8:9" x14ac:dyDescent="0.2">
      <c r="H2666" s="1"/>
      <c r="I2666" s="1"/>
    </row>
    <row r="2667" spans="8:9" x14ac:dyDescent="0.2">
      <c r="H2667" s="1"/>
      <c r="I2667" s="1"/>
    </row>
    <row r="2668" spans="8:9" x14ac:dyDescent="0.2">
      <c r="H2668" s="1"/>
      <c r="I2668" s="1"/>
    </row>
    <row r="2669" spans="8:9" x14ac:dyDescent="0.2">
      <c r="H2669" s="1"/>
      <c r="I2669" s="1"/>
    </row>
    <row r="2670" spans="8:9" x14ac:dyDescent="0.2">
      <c r="H2670" s="1"/>
      <c r="I2670" s="1"/>
    </row>
    <row r="2671" spans="8:9" x14ac:dyDescent="0.2">
      <c r="H2671" s="1"/>
      <c r="I2671" s="1"/>
    </row>
    <row r="2672" spans="8:9" x14ac:dyDescent="0.2">
      <c r="H2672" s="1"/>
      <c r="I2672" s="1"/>
    </row>
    <row r="2673" spans="8:9" x14ac:dyDescent="0.2">
      <c r="H2673" s="1"/>
      <c r="I2673" s="1"/>
    </row>
    <row r="2674" spans="8:9" x14ac:dyDescent="0.2">
      <c r="H2674" s="1"/>
      <c r="I2674" s="1"/>
    </row>
    <row r="2675" spans="8:9" x14ac:dyDescent="0.2">
      <c r="H2675" s="1"/>
      <c r="I2675" s="1"/>
    </row>
    <row r="2676" spans="8:9" x14ac:dyDescent="0.2">
      <c r="H2676" s="1"/>
      <c r="I2676" s="1"/>
    </row>
    <row r="2677" spans="8:9" x14ac:dyDescent="0.2">
      <c r="H2677" s="1"/>
      <c r="I2677" s="1"/>
    </row>
    <row r="2678" spans="8:9" x14ac:dyDescent="0.2">
      <c r="H2678" s="1"/>
      <c r="I2678" s="1"/>
    </row>
    <row r="2679" spans="8:9" x14ac:dyDescent="0.2">
      <c r="H2679" s="1"/>
      <c r="I2679" s="1"/>
    </row>
    <row r="2680" spans="8:9" x14ac:dyDescent="0.2">
      <c r="H2680" s="1"/>
      <c r="I2680" s="1"/>
    </row>
    <row r="2681" spans="8:9" x14ac:dyDescent="0.2">
      <c r="H2681" s="1"/>
      <c r="I2681" s="1"/>
    </row>
    <row r="2682" spans="8:9" x14ac:dyDescent="0.2">
      <c r="H2682" s="1"/>
      <c r="I2682" s="1"/>
    </row>
    <row r="2683" spans="8:9" x14ac:dyDescent="0.2">
      <c r="H2683" s="1"/>
      <c r="I2683" s="1"/>
    </row>
    <row r="2684" spans="8:9" x14ac:dyDescent="0.2">
      <c r="H2684" s="1"/>
      <c r="I2684" s="1"/>
    </row>
    <row r="2685" spans="8:9" x14ac:dyDescent="0.2">
      <c r="H2685" s="1"/>
      <c r="I2685" s="1"/>
    </row>
    <row r="2686" spans="8:9" x14ac:dyDescent="0.2">
      <c r="H2686" s="1"/>
      <c r="I2686" s="1"/>
    </row>
    <row r="2687" spans="8:9" x14ac:dyDescent="0.2">
      <c r="H2687" s="1"/>
      <c r="I2687" s="1"/>
    </row>
    <row r="2688" spans="8:9" x14ac:dyDescent="0.2">
      <c r="H2688" s="1"/>
      <c r="I2688" s="1"/>
    </row>
    <row r="2689" spans="8:9" x14ac:dyDescent="0.2">
      <c r="H2689" s="1"/>
      <c r="I2689" s="1"/>
    </row>
    <row r="2690" spans="8:9" x14ac:dyDescent="0.2">
      <c r="H2690" s="1"/>
      <c r="I2690" s="1"/>
    </row>
    <row r="2691" spans="8:9" x14ac:dyDescent="0.2">
      <c r="H2691" s="1"/>
      <c r="I2691" s="1"/>
    </row>
    <row r="2692" spans="8:9" x14ac:dyDescent="0.2">
      <c r="H2692" s="1"/>
      <c r="I2692" s="1"/>
    </row>
    <row r="2693" spans="8:9" x14ac:dyDescent="0.2">
      <c r="H2693" s="1"/>
      <c r="I2693" s="1"/>
    </row>
    <row r="2694" spans="8:9" x14ac:dyDescent="0.2">
      <c r="H2694" s="1"/>
      <c r="I2694" s="1"/>
    </row>
    <row r="2695" spans="8:9" x14ac:dyDescent="0.2">
      <c r="H2695" s="1"/>
      <c r="I2695" s="1"/>
    </row>
    <row r="2696" spans="8:9" x14ac:dyDescent="0.2">
      <c r="H2696" s="1"/>
      <c r="I2696" s="1"/>
    </row>
    <row r="2697" spans="8:9" x14ac:dyDescent="0.2">
      <c r="H2697" s="1"/>
      <c r="I2697" s="1"/>
    </row>
    <row r="2698" spans="8:9" x14ac:dyDescent="0.2">
      <c r="H2698" s="1"/>
      <c r="I2698" s="1"/>
    </row>
    <row r="2699" spans="8:9" x14ac:dyDescent="0.2">
      <c r="H2699" s="1"/>
      <c r="I2699" s="1"/>
    </row>
    <row r="2700" spans="8:9" x14ac:dyDescent="0.2">
      <c r="H2700" s="1"/>
      <c r="I2700" s="1"/>
    </row>
    <row r="2701" spans="8:9" x14ac:dyDescent="0.2">
      <c r="H2701" s="1"/>
      <c r="I2701" s="1"/>
    </row>
    <row r="2702" spans="8:9" x14ac:dyDescent="0.2">
      <c r="H2702" s="1"/>
      <c r="I2702" s="1"/>
    </row>
    <row r="2703" spans="8:9" x14ac:dyDescent="0.2">
      <c r="H2703" s="1"/>
      <c r="I2703" s="1"/>
    </row>
    <row r="2704" spans="8:9" x14ac:dyDescent="0.2">
      <c r="H2704" s="1"/>
      <c r="I2704" s="1"/>
    </row>
    <row r="2705" spans="8:9" x14ac:dyDescent="0.2">
      <c r="H2705" s="1"/>
      <c r="I2705" s="1"/>
    </row>
    <row r="2706" spans="8:9" x14ac:dyDescent="0.2">
      <c r="H2706" s="1"/>
      <c r="I2706" s="1"/>
    </row>
    <row r="2707" spans="8:9" x14ac:dyDescent="0.2">
      <c r="H2707" s="1"/>
      <c r="I2707" s="1"/>
    </row>
    <row r="2708" spans="8:9" x14ac:dyDescent="0.2">
      <c r="H2708" s="1"/>
      <c r="I2708" s="1"/>
    </row>
    <row r="2709" spans="8:9" x14ac:dyDescent="0.2">
      <c r="H2709" s="1"/>
      <c r="I2709" s="1"/>
    </row>
    <row r="2710" spans="8:9" x14ac:dyDescent="0.2">
      <c r="H2710" s="1"/>
      <c r="I2710" s="1"/>
    </row>
    <row r="2711" spans="8:9" x14ac:dyDescent="0.2">
      <c r="H2711" s="1"/>
      <c r="I2711" s="1"/>
    </row>
    <row r="2712" spans="8:9" x14ac:dyDescent="0.2">
      <c r="H2712" s="1"/>
      <c r="I2712" s="1"/>
    </row>
    <row r="2713" spans="8:9" x14ac:dyDescent="0.2">
      <c r="H2713" s="1"/>
      <c r="I2713" s="1"/>
    </row>
    <row r="2714" spans="8:9" x14ac:dyDescent="0.2">
      <c r="H2714" s="1"/>
      <c r="I2714" s="1"/>
    </row>
    <row r="2715" spans="8:9" x14ac:dyDescent="0.2">
      <c r="H2715" s="1"/>
      <c r="I2715" s="1"/>
    </row>
    <row r="2716" spans="8:9" x14ac:dyDescent="0.2">
      <c r="H2716" s="1"/>
      <c r="I2716" s="1"/>
    </row>
    <row r="2717" spans="8:9" x14ac:dyDescent="0.2">
      <c r="H2717" s="1"/>
      <c r="I2717" s="1"/>
    </row>
    <row r="2718" spans="8:9" x14ac:dyDescent="0.2">
      <c r="H2718" s="1"/>
      <c r="I2718" s="1"/>
    </row>
    <row r="2719" spans="8:9" x14ac:dyDescent="0.2">
      <c r="H2719" s="1"/>
      <c r="I2719" s="1"/>
    </row>
    <row r="2720" spans="8:9" x14ac:dyDescent="0.2">
      <c r="H2720" s="1"/>
      <c r="I2720" s="1"/>
    </row>
    <row r="2721" spans="8:9" x14ac:dyDescent="0.2">
      <c r="H2721" s="1"/>
      <c r="I2721" s="1"/>
    </row>
    <row r="2722" spans="8:9" x14ac:dyDescent="0.2">
      <c r="H2722" s="1"/>
      <c r="I2722" s="1"/>
    </row>
    <row r="2723" spans="8:9" x14ac:dyDescent="0.2">
      <c r="H2723" s="1"/>
      <c r="I2723" s="1"/>
    </row>
    <row r="2724" spans="8:9" x14ac:dyDescent="0.2">
      <c r="H2724" s="1"/>
      <c r="I2724" s="1"/>
    </row>
    <row r="2725" spans="8:9" x14ac:dyDescent="0.2">
      <c r="H2725" s="1"/>
      <c r="I2725" s="1"/>
    </row>
    <row r="2726" spans="8:9" x14ac:dyDescent="0.2">
      <c r="H2726" s="1"/>
      <c r="I2726" s="1"/>
    </row>
    <row r="2727" spans="8:9" x14ac:dyDescent="0.2">
      <c r="H2727" s="1"/>
      <c r="I2727" s="1"/>
    </row>
    <row r="2728" spans="8:9" x14ac:dyDescent="0.2">
      <c r="H2728" s="1"/>
      <c r="I2728" s="1"/>
    </row>
    <row r="2729" spans="8:9" x14ac:dyDescent="0.2">
      <c r="H2729" s="1"/>
      <c r="I2729" s="1"/>
    </row>
    <row r="2730" spans="8:9" x14ac:dyDescent="0.2">
      <c r="H2730" s="1"/>
      <c r="I2730" s="1"/>
    </row>
    <row r="2731" spans="8:9" x14ac:dyDescent="0.2">
      <c r="H2731" s="1"/>
      <c r="I2731" s="1"/>
    </row>
    <row r="2732" spans="8:9" x14ac:dyDescent="0.2">
      <c r="H2732" s="1"/>
      <c r="I2732" s="1"/>
    </row>
    <row r="2733" spans="8:9" x14ac:dyDescent="0.2">
      <c r="H2733" s="1"/>
      <c r="I2733" s="1"/>
    </row>
    <row r="2734" spans="8:9" x14ac:dyDescent="0.2">
      <c r="H2734" s="1"/>
      <c r="I2734" s="1"/>
    </row>
    <row r="2735" spans="8:9" x14ac:dyDescent="0.2">
      <c r="H2735" s="1"/>
      <c r="I2735" s="1"/>
    </row>
    <row r="2736" spans="8:9" x14ac:dyDescent="0.2">
      <c r="H2736" s="1"/>
      <c r="I2736" s="1"/>
    </row>
    <row r="2737" spans="8:9" x14ac:dyDescent="0.2">
      <c r="H2737" s="1"/>
      <c r="I2737" s="1"/>
    </row>
    <row r="2738" spans="8:9" x14ac:dyDescent="0.2">
      <c r="H2738" s="1"/>
      <c r="I2738" s="1"/>
    </row>
    <row r="2739" spans="8:9" x14ac:dyDescent="0.2">
      <c r="H2739" s="1"/>
      <c r="I2739" s="1"/>
    </row>
    <row r="2740" spans="8:9" x14ac:dyDescent="0.2">
      <c r="H2740" s="1"/>
      <c r="I2740" s="1"/>
    </row>
    <row r="2741" spans="8:9" x14ac:dyDescent="0.2">
      <c r="H2741" s="1"/>
      <c r="I2741" s="1"/>
    </row>
    <row r="2742" spans="8:9" x14ac:dyDescent="0.2">
      <c r="H2742" s="1"/>
      <c r="I2742" s="1"/>
    </row>
    <row r="2743" spans="8:9" x14ac:dyDescent="0.2">
      <c r="H2743" s="1"/>
      <c r="I2743" s="1"/>
    </row>
    <row r="2744" spans="8:9" x14ac:dyDescent="0.2">
      <c r="H2744" s="1"/>
      <c r="I2744" s="1"/>
    </row>
    <row r="2745" spans="8:9" x14ac:dyDescent="0.2">
      <c r="H2745" s="1"/>
      <c r="I2745" s="1"/>
    </row>
    <row r="2746" spans="8:9" x14ac:dyDescent="0.2">
      <c r="H2746" s="1"/>
      <c r="I2746" s="1"/>
    </row>
    <row r="2747" spans="8:9" x14ac:dyDescent="0.2">
      <c r="H2747" s="1"/>
      <c r="I2747" s="1"/>
    </row>
    <row r="2748" spans="8:9" x14ac:dyDescent="0.2">
      <c r="H2748" s="1"/>
      <c r="I2748" s="1"/>
    </row>
    <row r="2749" spans="8:9" x14ac:dyDescent="0.2">
      <c r="H2749" s="1"/>
      <c r="I2749" s="1"/>
    </row>
    <row r="2750" spans="8:9" x14ac:dyDescent="0.2">
      <c r="H2750" s="1"/>
      <c r="I2750" s="1"/>
    </row>
    <row r="2751" spans="8:9" x14ac:dyDescent="0.2">
      <c r="H2751" s="1"/>
      <c r="I2751" s="1"/>
    </row>
    <row r="2752" spans="8:9" x14ac:dyDescent="0.2">
      <c r="H2752" s="1"/>
      <c r="I2752" s="1"/>
    </row>
    <row r="2753" spans="8:9" x14ac:dyDescent="0.2">
      <c r="H2753" s="1"/>
      <c r="I2753" s="1"/>
    </row>
    <row r="2754" spans="8:9" x14ac:dyDescent="0.2">
      <c r="H2754" s="1"/>
      <c r="I2754" s="1"/>
    </row>
    <row r="2755" spans="8:9" x14ac:dyDescent="0.2">
      <c r="H2755" s="1"/>
      <c r="I2755" s="1"/>
    </row>
    <row r="2756" spans="8:9" x14ac:dyDescent="0.2">
      <c r="H2756" s="1"/>
      <c r="I2756" s="1"/>
    </row>
    <row r="2757" spans="8:9" x14ac:dyDescent="0.2">
      <c r="H2757" s="1"/>
      <c r="I2757" s="1"/>
    </row>
    <row r="2758" spans="8:9" x14ac:dyDescent="0.2">
      <c r="H2758" s="1"/>
      <c r="I2758" s="1"/>
    </row>
    <row r="2759" spans="8:9" x14ac:dyDescent="0.2">
      <c r="H2759" s="1"/>
      <c r="I2759" s="1"/>
    </row>
    <row r="2760" spans="8:9" x14ac:dyDescent="0.2">
      <c r="H2760" s="1"/>
      <c r="I2760" s="1"/>
    </row>
    <row r="2761" spans="8:9" x14ac:dyDescent="0.2">
      <c r="H2761" s="1"/>
      <c r="I2761" s="1"/>
    </row>
    <row r="2762" spans="8:9" x14ac:dyDescent="0.2">
      <c r="H2762" s="1"/>
      <c r="I2762" s="1"/>
    </row>
    <row r="2763" spans="8:9" x14ac:dyDescent="0.2">
      <c r="H2763" s="1"/>
      <c r="I2763" s="1"/>
    </row>
    <row r="2764" spans="8:9" x14ac:dyDescent="0.2">
      <c r="H2764" s="1"/>
      <c r="I2764" s="1"/>
    </row>
    <row r="2765" spans="8:9" x14ac:dyDescent="0.2">
      <c r="H2765" s="1"/>
      <c r="I2765" s="1"/>
    </row>
    <row r="2766" spans="8:9" x14ac:dyDescent="0.2">
      <c r="H2766" s="1"/>
      <c r="I2766" s="1"/>
    </row>
    <row r="2767" spans="8:9" x14ac:dyDescent="0.2">
      <c r="H2767" s="1"/>
      <c r="I2767" s="1"/>
    </row>
    <row r="2768" spans="8:9" x14ac:dyDescent="0.2">
      <c r="H2768" s="1"/>
      <c r="I2768" s="1"/>
    </row>
    <row r="2769" spans="8:9" x14ac:dyDescent="0.2">
      <c r="H2769" s="1"/>
      <c r="I2769" s="1"/>
    </row>
    <row r="2770" spans="8:9" x14ac:dyDescent="0.2">
      <c r="H2770" s="1"/>
      <c r="I2770" s="1"/>
    </row>
    <row r="2771" spans="8:9" x14ac:dyDescent="0.2">
      <c r="H2771" s="1"/>
      <c r="I2771" s="1"/>
    </row>
    <row r="2772" spans="8:9" x14ac:dyDescent="0.2">
      <c r="H2772" s="1"/>
      <c r="I2772" s="1"/>
    </row>
    <row r="2773" spans="8:9" x14ac:dyDescent="0.2">
      <c r="H2773" s="1"/>
      <c r="I2773" s="1"/>
    </row>
    <row r="2774" spans="8:9" x14ac:dyDescent="0.2">
      <c r="H2774" s="1"/>
      <c r="I2774" s="1"/>
    </row>
    <row r="2775" spans="8:9" x14ac:dyDescent="0.2">
      <c r="H2775" s="1"/>
      <c r="I2775" s="1"/>
    </row>
    <row r="2776" spans="8:9" x14ac:dyDescent="0.2">
      <c r="H2776" s="1"/>
      <c r="I2776" s="1"/>
    </row>
    <row r="2777" spans="8:9" x14ac:dyDescent="0.2">
      <c r="H2777" s="1"/>
      <c r="I2777" s="1"/>
    </row>
    <row r="2778" spans="8:9" x14ac:dyDescent="0.2">
      <c r="H2778" s="1"/>
      <c r="I2778" s="1"/>
    </row>
    <row r="2779" spans="8:9" x14ac:dyDescent="0.2">
      <c r="H2779" s="1"/>
      <c r="I2779" s="1"/>
    </row>
    <row r="2780" spans="8:9" x14ac:dyDescent="0.2">
      <c r="H2780" s="1"/>
      <c r="I2780" s="1"/>
    </row>
    <row r="2781" spans="8:9" x14ac:dyDescent="0.2">
      <c r="H2781" s="1"/>
      <c r="I2781" s="1"/>
    </row>
    <row r="2782" spans="8:9" x14ac:dyDescent="0.2">
      <c r="H2782" s="1"/>
      <c r="I2782" s="1"/>
    </row>
    <row r="2783" spans="8:9" x14ac:dyDescent="0.2">
      <c r="H2783" s="1"/>
      <c r="I2783" s="1"/>
    </row>
    <row r="2784" spans="8:9" x14ac:dyDescent="0.2">
      <c r="H2784" s="1"/>
      <c r="I2784" s="1"/>
    </row>
    <row r="2785" spans="8:9" x14ac:dyDescent="0.2">
      <c r="H2785" s="1"/>
      <c r="I2785" s="1"/>
    </row>
    <row r="2786" spans="8:9" x14ac:dyDescent="0.2">
      <c r="H2786" s="1"/>
      <c r="I2786" s="1"/>
    </row>
    <row r="2787" spans="8:9" x14ac:dyDescent="0.2">
      <c r="H2787" s="1"/>
      <c r="I2787" s="1"/>
    </row>
    <row r="2788" spans="8:9" x14ac:dyDescent="0.2">
      <c r="H2788" s="1"/>
      <c r="I2788" s="1"/>
    </row>
    <row r="2789" spans="8:9" x14ac:dyDescent="0.2">
      <c r="H2789" s="1"/>
      <c r="I2789" s="1"/>
    </row>
    <row r="2790" spans="8:9" x14ac:dyDescent="0.2">
      <c r="H2790" s="1"/>
      <c r="I2790" s="1"/>
    </row>
    <row r="2791" spans="8:9" x14ac:dyDescent="0.2">
      <c r="H2791" s="1"/>
      <c r="I2791" s="1"/>
    </row>
    <row r="2792" spans="8:9" x14ac:dyDescent="0.2">
      <c r="H2792" s="1"/>
      <c r="I2792" s="1"/>
    </row>
    <row r="2793" spans="8:9" x14ac:dyDescent="0.2">
      <c r="H2793" s="1"/>
      <c r="I2793" s="1"/>
    </row>
    <row r="2794" spans="8:9" x14ac:dyDescent="0.2">
      <c r="H2794" s="1"/>
      <c r="I2794" s="1"/>
    </row>
    <row r="2795" spans="8:9" x14ac:dyDescent="0.2">
      <c r="H2795" s="1"/>
      <c r="I2795" s="1"/>
    </row>
    <row r="2796" spans="8:9" x14ac:dyDescent="0.2">
      <c r="H2796" s="1"/>
      <c r="I2796" s="1"/>
    </row>
    <row r="2797" spans="8:9" x14ac:dyDescent="0.2">
      <c r="H2797" s="1"/>
      <c r="I2797" s="1"/>
    </row>
    <row r="2798" spans="8:9" x14ac:dyDescent="0.2">
      <c r="H2798" s="1"/>
      <c r="I2798" s="1"/>
    </row>
    <row r="2799" spans="8:9" x14ac:dyDescent="0.2">
      <c r="H2799" s="1"/>
      <c r="I2799" s="1"/>
    </row>
    <row r="2800" spans="8:9" x14ac:dyDescent="0.2">
      <c r="H2800" s="1"/>
      <c r="I2800" s="1"/>
    </row>
    <row r="2801" spans="8:9" x14ac:dyDescent="0.2">
      <c r="H2801" s="1"/>
      <c r="I2801" s="1"/>
    </row>
    <row r="2802" spans="8:9" x14ac:dyDescent="0.2">
      <c r="H2802" s="1"/>
      <c r="I2802" s="1"/>
    </row>
    <row r="2803" spans="8:9" x14ac:dyDescent="0.2">
      <c r="H2803" s="1"/>
      <c r="I2803" s="1"/>
    </row>
    <row r="2804" spans="8:9" x14ac:dyDescent="0.2">
      <c r="H2804" s="1"/>
      <c r="I2804" s="1"/>
    </row>
    <row r="2805" spans="8:9" x14ac:dyDescent="0.2">
      <c r="H2805" s="1"/>
      <c r="I2805" s="1"/>
    </row>
    <row r="2806" spans="8:9" x14ac:dyDescent="0.2">
      <c r="H2806" s="1"/>
      <c r="I2806" s="1"/>
    </row>
    <row r="2807" spans="8:9" x14ac:dyDescent="0.2">
      <c r="H2807" s="1"/>
      <c r="I2807" s="1"/>
    </row>
    <row r="2808" spans="8:9" x14ac:dyDescent="0.2">
      <c r="H2808" s="1"/>
      <c r="I2808" s="1"/>
    </row>
    <row r="2809" spans="8:9" x14ac:dyDescent="0.2">
      <c r="H2809" s="1"/>
      <c r="I2809" s="1"/>
    </row>
    <row r="2810" spans="8:9" x14ac:dyDescent="0.2">
      <c r="H2810" s="1"/>
      <c r="I2810" s="1"/>
    </row>
    <row r="2811" spans="8:9" x14ac:dyDescent="0.2">
      <c r="H2811" s="1"/>
      <c r="I2811" s="1"/>
    </row>
    <row r="2812" spans="8:9" x14ac:dyDescent="0.2">
      <c r="H2812" s="1"/>
      <c r="I2812" s="1"/>
    </row>
    <row r="2813" spans="8:9" x14ac:dyDescent="0.2">
      <c r="H2813" s="1"/>
      <c r="I2813" s="1"/>
    </row>
    <row r="2814" spans="8:9" x14ac:dyDescent="0.2">
      <c r="H2814" s="1"/>
      <c r="I2814" s="1"/>
    </row>
    <row r="2815" spans="8:9" x14ac:dyDescent="0.2">
      <c r="H2815" s="1"/>
      <c r="I2815" s="1"/>
    </row>
    <row r="2816" spans="8:9" x14ac:dyDescent="0.2">
      <c r="H2816" s="1"/>
      <c r="I2816" s="1"/>
    </row>
    <row r="2817" spans="8:9" x14ac:dyDescent="0.2">
      <c r="H2817" s="1"/>
      <c r="I2817" s="1"/>
    </row>
    <row r="2818" spans="8:9" x14ac:dyDescent="0.2">
      <c r="H2818" s="1"/>
      <c r="I2818" s="1"/>
    </row>
    <row r="2819" spans="8:9" x14ac:dyDescent="0.2">
      <c r="H2819" s="1"/>
      <c r="I2819" s="1"/>
    </row>
    <row r="2820" spans="8:9" x14ac:dyDescent="0.2">
      <c r="H2820" s="1"/>
      <c r="I2820" s="1"/>
    </row>
    <row r="2821" spans="8:9" x14ac:dyDescent="0.2">
      <c r="H2821" s="1"/>
      <c r="I2821" s="1"/>
    </row>
    <row r="2822" spans="8:9" x14ac:dyDescent="0.2">
      <c r="H2822" s="1"/>
      <c r="I2822" s="1"/>
    </row>
    <row r="2823" spans="8:9" x14ac:dyDescent="0.2">
      <c r="H2823" s="1"/>
      <c r="I2823" s="1"/>
    </row>
    <row r="2824" spans="8:9" x14ac:dyDescent="0.2">
      <c r="H2824" s="1"/>
      <c r="I2824" s="1"/>
    </row>
    <row r="2825" spans="8:9" x14ac:dyDescent="0.2">
      <c r="H2825" s="1"/>
      <c r="I2825" s="1"/>
    </row>
    <row r="2826" spans="8:9" x14ac:dyDescent="0.2">
      <c r="H2826" s="1"/>
      <c r="I2826" s="1"/>
    </row>
    <row r="2827" spans="8:9" x14ac:dyDescent="0.2">
      <c r="H2827" s="1"/>
      <c r="I2827" s="1"/>
    </row>
    <row r="2828" spans="8:9" x14ac:dyDescent="0.2">
      <c r="H2828" s="1"/>
      <c r="I2828" s="1"/>
    </row>
    <row r="2829" spans="8:9" x14ac:dyDescent="0.2">
      <c r="H2829" s="1"/>
      <c r="I2829" s="1"/>
    </row>
    <row r="2830" spans="8:9" x14ac:dyDescent="0.2">
      <c r="H2830" s="1"/>
      <c r="I2830" s="1"/>
    </row>
    <row r="2831" spans="8:9" x14ac:dyDescent="0.2">
      <c r="H2831" s="1"/>
      <c r="I2831" s="1"/>
    </row>
    <row r="2832" spans="8:9" x14ac:dyDescent="0.2">
      <c r="H2832" s="1"/>
      <c r="I2832" s="1"/>
    </row>
    <row r="2833" spans="8:9" x14ac:dyDescent="0.2">
      <c r="H2833" s="1"/>
      <c r="I2833" s="1"/>
    </row>
    <row r="2834" spans="8:9" x14ac:dyDescent="0.2">
      <c r="H2834" s="1"/>
      <c r="I2834" s="1"/>
    </row>
    <row r="2835" spans="8:9" x14ac:dyDescent="0.2">
      <c r="H2835" s="1"/>
      <c r="I2835" s="1"/>
    </row>
    <row r="2836" spans="8:9" x14ac:dyDescent="0.2">
      <c r="H2836" s="1"/>
      <c r="I2836" s="1"/>
    </row>
    <row r="2837" spans="8:9" x14ac:dyDescent="0.2">
      <c r="H2837" s="1"/>
      <c r="I2837" s="1"/>
    </row>
    <row r="2838" spans="8:9" x14ac:dyDescent="0.2">
      <c r="H2838" s="1"/>
      <c r="I2838" s="1"/>
    </row>
    <row r="2839" spans="8:9" x14ac:dyDescent="0.2">
      <c r="H2839" s="1"/>
      <c r="I2839" s="1"/>
    </row>
    <row r="2840" spans="8:9" x14ac:dyDescent="0.2">
      <c r="H2840" s="1"/>
      <c r="I2840" s="1"/>
    </row>
    <row r="2841" spans="8:9" x14ac:dyDescent="0.2">
      <c r="H2841" s="1"/>
      <c r="I2841" s="1"/>
    </row>
    <row r="2842" spans="8:9" x14ac:dyDescent="0.2">
      <c r="H2842" s="1"/>
      <c r="I2842" s="1"/>
    </row>
    <row r="2843" spans="8:9" x14ac:dyDescent="0.2">
      <c r="H2843" s="1"/>
      <c r="I2843" s="1"/>
    </row>
    <row r="2844" spans="8:9" x14ac:dyDescent="0.2">
      <c r="H2844" s="1"/>
      <c r="I2844" s="1"/>
    </row>
    <row r="2845" spans="8:9" x14ac:dyDescent="0.2">
      <c r="H2845" s="1"/>
      <c r="I2845" s="1"/>
    </row>
    <row r="2846" spans="8:9" x14ac:dyDescent="0.2">
      <c r="H2846" s="1"/>
      <c r="I2846" s="1"/>
    </row>
    <row r="2847" spans="8:9" x14ac:dyDescent="0.2">
      <c r="H2847" s="1"/>
      <c r="I2847" s="1"/>
    </row>
    <row r="2848" spans="8:9" x14ac:dyDescent="0.2">
      <c r="H2848" s="1"/>
      <c r="I2848" s="1"/>
    </row>
    <row r="2849" spans="8:9" x14ac:dyDescent="0.2">
      <c r="H2849" s="1"/>
      <c r="I2849" s="1"/>
    </row>
    <row r="2850" spans="8:9" x14ac:dyDescent="0.2">
      <c r="H2850" s="1"/>
      <c r="I2850" s="1"/>
    </row>
    <row r="2851" spans="8:9" x14ac:dyDescent="0.2">
      <c r="H2851" s="1"/>
      <c r="I2851" s="1"/>
    </row>
    <row r="2852" spans="8:9" x14ac:dyDescent="0.2">
      <c r="H2852" s="1"/>
      <c r="I2852" s="1"/>
    </row>
    <row r="2853" spans="8:9" x14ac:dyDescent="0.2">
      <c r="H2853" s="1"/>
      <c r="I2853" s="1"/>
    </row>
    <row r="2854" spans="8:9" x14ac:dyDescent="0.2">
      <c r="H2854" s="1"/>
      <c r="I2854" s="1"/>
    </row>
    <row r="2855" spans="8:9" x14ac:dyDescent="0.2">
      <c r="H2855" s="1"/>
      <c r="I2855" s="1"/>
    </row>
    <row r="2856" spans="8:9" x14ac:dyDescent="0.2">
      <c r="H2856" s="1"/>
      <c r="I2856" s="1"/>
    </row>
    <row r="2857" spans="8:9" x14ac:dyDescent="0.2">
      <c r="H2857" s="1"/>
      <c r="I2857" s="1"/>
    </row>
    <row r="2858" spans="8:9" x14ac:dyDescent="0.2">
      <c r="H2858" s="1"/>
      <c r="I2858" s="1"/>
    </row>
    <row r="2859" spans="8:9" x14ac:dyDescent="0.2">
      <c r="H2859" s="1"/>
      <c r="I2859" s="1"/>
    </row>
    <row r="2860" spans="8:9" x14ac:dyDescent="0.2">
      <c r="H2860" s="1"/>
      <c r="I2860" s="1"/>
    </row>
    <row r="2861" spans="8:9" x14ac:dyDescent="0.2">
      <c r="H2861" s="1"/>
      <c r="I2861" s="1"/>
    </row>
    <row r="2862" spans="8:9" x14ac:dyDescent="0.2">
      <c r="H2862" s="1"/>
      <c r="I2862" s="1"/>
    </row>
    <row r="2863" spans="8:9" x14ac:dyDescent="0.2">
      <c r="H2863" s="1"/>
      <c r="I2863" s="1"/>
    </row>
    <row r="2864" spans="8:9" x14ac:dyDescent="0.2">
      <c r="H2864" s="1"/>
      <c r="I2864" s="1"/>
    </row>
    <row r="2865" spans="8:9" x14ac:dyDescent="0.2">
      <c r="H2865" s="1"/>
      <c r="I2865" s="1"/>
    </row>
    <row r="2866" spans="8:9" x14ac:dyDescent="0.2">
      <c r="H2866" s="1"/>
      <c r="I2866" s="1"/>
    </row>
    <row r="2867" spans="8:9" x14ac:dyDescent="0.2">
      <c r="H2867" s="1"/>
      <c r="I2867" s="1"/>
    </row>
    <row r="2868" spans="8:9" x14ac:dyDescent="0.2">
      <c r="H2868" s="1"/>
      <c r="I2868" s="1"/>
    </row>
    <row r="2869" spans="8:9" x14ac:dyDescent="0.2">
      <c r="H2869" s="1"/>
      <c r="I2869" s="1"/>
    </row>
    <row r="2870" spans="8:9" x14ac:dyDescent="0.2">
      <c r="H2870" s="1"/>
      <c r="I2870" s="1"/>
    </row>
    <row r="2871" spans="8:9" x14ac:dyDescent="0.2">
      <c r="H2871" s="1"/>
      <c r="I2871" s="1"/>
    </row>
    <row r="2872" spans="8:9" x14ac:dyDescent="0.2">
      <c r="H2872" s="1"/>
      <c r="I2872" s="1"/>
    </row>
    <row r="2873" spans="8:9" x14ac:dyDescent="0.2">
      <c r="H2873" s="1"/>
      <c r="I2873" s="1"/>
    </row>
    <row r="2874" spans="8:9" x14ac:dyDescent="0.2">
      <c r="H2874" s="1"/>
      <c r="I2874" s="1"/>
    </row>
    <row r="2875" spans="8:9" x14ac:dyDescent="0.2">
      <c r="H2875" s="1"/>
      <c r="I2875" s="1"/>
    </row>
    <row r="2876" spans="8:9" x14ac:dyDescent="0.2">
      <c r="H2876" s="1"/>
      <c r="I2876" s="1"/>
    </row>
    <row r="2877" spans="8:9" x14ac:dyDescent="0.2">
      <c r="H2877" s="1"/>
      <c r="I2877" s="1"/>
    </row>
    <row r="2878" spans="8:9" x14ac:dyDescent="0.2">
      <c r="H2878" s="1"/>
      <c r="I2878" s="1"/>
    </row>
    <row r="2879" spans="8:9" x14ac:dyDescent="0.2">
      <c r="H2879" s="1"/>
      <c r="I2879" s="1"/>
    </row>
    <row r="2880" spans="8:9" x14ac:dyDescent="0.2">
      <c r="H2880" s="1"/>
      <c r="I2880" s="1"/>
    </row>
    <row r="2881" spans="8:9" x14ac:dyDescent="0.2">
      <c r="H2881" s="1"/>
      <c r="I2881" s="1"/>
    </row>
    <row r="2882" spans="8:9" x14ac:dyDescent="0.2">
      <c r="H2882" s="1"/>
      <c r="I2882" s="1"/>
    </row>
    <row r="2883" spans="8:9" x14ac:dyDescent="0.2">
      <c r="H2883" s="1"/>
      <c r="I2883" s="1"/>
    </row>
    <row r="2884" spans="8:9" x14ac:dyDescent="0.2">
      <c r="H2884" s="1"/>
      <c r="I2884" s="1"/>
    </row>
    <row r="2885" spans="8:9" x14ac:dyDescent="0.2">
      <c r="H2885" s="1"/>
      <c r="I2885" s="1"/>
    </row>
    <row r="2886" spans="8:9" x14ac:dyDescent="0.2">
      <c r="H2886" s="1"/>
      <c r="I2886" s="1"/>
    </row>
    <row r="2887" spans="8:9" x14ac:dyDescent="0.2">
      <c r="H2887" s="1"/>
      <c r="I2887" s="1"/>
    </row>
    <row r="2888" spans="8:9" x14ac:dyDescent="0.2">
      <c r="H2888" s="1"/>
      <c r="I2888" s="1"/>
    </row>
    <row r="2889" spans="8:9" x14ac:dyDescent="0.2">
      <c r="H2889" s="1"/>
      <c r="I2889" s="1"/>
    </row>
    <row r="2890" spans="8:9" x14ac:dyDescent="0.2">
      <c r="H2890" s="1"/>
      <c r="I2890" s="1"/>
    </row>
    <row r="2891" spans="8:9" x14ac:dyDescent="0.2">
      <c r="H2891" s="1"/>
      <c r="I2891" s="1"/>
    </row>
    <row r="2892" spans="8:9" x14ac:dyDescent="0.2">
      <c r="H2892" s="1"/>
      <c r="I2892" s="1"/>
    </row>
    <row r="2893" spans="8:9" x14ac:dyDescent="0.2">
      <c r="H2893" s="1"/>
      <c r="I2893" s="1"/>
    </row>
    <row r="2894" spans="8:9" x14ac:dyDescent="0.2">
      <c r="H2894" s="1"/>
      <c r="I2894" s="1"/>
    </row>
    <row r="2895" spans="8:9" x14ac:dyDescent="0.2">
      <c r="H2895" s="1"/>
      <c r="I2895" s="1"/>
    </row>
    <row r="2896" spans="8:9" x14ac:dyDescent="0.2">
      <c r="H2896" s="1"/>
      <c r="I2896" s="1"/>
    </row>
    <row r="2897" spans="8:9" x14ac:dyDescent="0.2">
      <c r="H2897" s="1"/>
      <c r="I2897" s="1"/>
    </row>
    <row r="2898" spans="8:9" x14ac:dyDescent="0.2">
      <c r="H2898" s="1"/>
      <c r="I2898" s="1"/>
    </row>
    <row r="2899" spans="8:9" x14ac:dyDescent="0.2">
      <c r="H2899" s="1"/>
      <c r="I2899" s="1"/>
    </row>
    <row r="2900" spans="8:9" x14ac:dyDescent="0.2">
      <c r="H2900" s="1"/>
      <c r="I2900" s="1"/>
    </row>
    <row r="2901" spans="8:9" x14ac:dyDescent="0.2">
      <c r="H2901" s="1"/>
      <c r="I2901" s="1"/>
    </row>
    <row r="2902" spans="8:9" x14ac:dyDescent="0.2">
      <c r="H2902" s="1"/>
      <c r="I2902" s="1"/>
    </row>
    <row r="2903" spans="8:9" x14ac:dyDescent="0.2">
      <c r="H2903" s="1"/>
      <c r="I2903" s="1"/>
    </row>
    <row r="2904" spans="8:9" x14ac:dyDescent="0.2">
      <c r="H2904" s="1"/>
      <c r="I2904" s="1"/>
    </row>
    <row r="2905" spans="8:9" x14ac:dyDescent="0.2">
      <c r="H2905" s="1"/>
      <c r="I2905" s="1"/>
    </row>
    <row r="2906" spans="8:9" x14ac:dyDescent="0.2">
      <c r="H2906" s="1"/>
      <c r="I2906" s="1"/>
    </row>
    <row r="2907" spans="8:9" x14ac:dyDescent="0.2">
      <c r="H2907" s="1"/>
      <c r="I2907" s="1"/>
    </row>
    <row r="2908" spans="8:9" x14ac:dyDescent="0.2">
      <c r="H2908" s="1"/>
      <c r="I2908" s="1"/>
    </row>
    <row r="2909" spans="8:9" x14ac:dyDescent="0.2">
      <c r="H2909" s="1"/>
      <c r="I2909" s="1"/>
    </row>
    <row r="2910" spans="8:9" x14ac:dyDescent="0.2">
      <c r="H2910" s="1"/>
      <c r="I2910" s="1"/>
    </row>
    <row r="2911" spans="8:9" x14ac:dyDescent="0.2">
      <c r="H2911" s="1"/>
      <c r="I2911" s="1"/>
    </row>
    <row r="2912" spans="8:9" x14ac:dyDescent="0.2">
      <c r="H2912" s="1"/>
      <c r="I2912" s="1"/>
    </row>
    <row r="2913" spans="8:9" x14ac:dyDescent="0.2">
      <c r="H2913" s="1"/>
      <c r="I2913" s="1"/>
    </row>
    <row r="2914" spans="8:9" x14ac:dyDescent="0.2">
      <c r="H2914" s="1"/>
      <c r="I2914" s="1"/>
    </row>
    <row r="2915" spans="8:9" x14ac:dyDescent="0.2">
      <c r="H2915" s="1"/>
      <c r="I2915" s="1"/>
    </row>
    <row r="2916" spans="8:9" x14ac:dyDescent="0.2">
      <c r="H2916" s="1"/>
      <c r="I2916" s="1"/>
    </row>
    <row r="2917" spans="8:9" x14ac:dyDescent="0.2">
      <c r="H2917" s="1"/>
      <c r="I2917" s="1"/>
    </row>
    <row r="2918" spans="8:9" x14ac:dyDescent="0.2">
      <c r="H2918" s="1"/>
      <c r="I2918" s="1"/>
    </row>
    <row r="2919" spans="8:9" x14ac:dyDescent="0.2">
      <c r="H2919" s="1"/>
      <c r="I2919" s="1"/>
    </row>
    <row r="2920" spans="8:9" x14ac:dyDescent="0.2">
      <c r="H2920" s="1"/>
      <c r="I2920" s="1"/>
    </row>
    <row r="2921" spans="8:9" x14ac:dyDescent="0.2">
      <c r="H2921" s="1"/>
      <c r="I2921" s="1"/>
    </row>
    <row r="2922" spans="8:9" x14ac:dyDescent="0.2">
      <c r="H2922" s="1"/>
      <c r="I2922" s="1"/>
    </row>
    <row r="2923" spans="8:9" x14ac:dyDescent="0.2">
      <c r="H2923" s="1"/>
      <c r="I2923" s="1"/>
    </row>
    <row r="2924" spans="8:9" x14ac:dyDescent="0.2">
      <c r="H2924" s="1"/>
      <c r="I2924" s="1"/>
    </row>
    <row r="2925" spans="8:9" x14ac:dyDescent="0.2">
      <c r="H2925" s="1"/>
      <c r="I2925" s="1"/>
    </row>
    <row r="2926" spans="8:9" x14ac:dyDescent="0.2">
      <c r="H2926" s="1"/>
      <c r="I2926" s="1"/>
    </row>
    <row r="2927" spans="8:9" x14ac:dyDescent="0.2">
      <c r="H2927" s="1"/>
      <c r="I2927" s="1"/>
    </row>
    <row r="2928" spans="8:9" x14ac:dyDescent="0.2">
      <c r="H2928" s="1"/>
      <c r="I2928" s="1"/>
    </row>
    <row r="2929" spans="8:9" x14ac:dyDescent="0.2">
      <c r="H2929" s="1"/>
      <c r="I2929" s="1"/>
    </row>
    <row r="2930" spans="8:9" x14ac:dyDescent="0.2">
      <c r="H2930" s="1"/>
      <c r="I2930" s="1"/>
    </row>
    <row r="2931" spans="8:9" x14ac:dyDescent="0.2">
      <c r="H2931" s="1"/>
      <c r="I2931" s="1"/>
    </row>
    <row r="2932" spans="8:9" x14ac:dyDescent="0.2">
      <c r="H2932" s="1"/>
      <c r="I2932" s="1"/>
    </row>
    <row r="2933" spans="8:9" x14ac:dyDescent="0.2">
      <c r="H2933" s="1"/>
      <c r="I2933" s="1"/>
    </row>
    <row r="2934" spans="8:9" x14ac:dyDescent="0.2">
      <c r="H2934" s="1"/>
      <c r="I2934" s="1"/>
    </row>
    <row r="2935" spans="8:9" x14ac:dyDescent="0.2">
      <c r="H2935" s="1"/>
      <c r="I2935" s="1"/>
    </row>
    <row r="2936" spans="8:9" x14ac:dyDescent="0.2">
      <c r="H2936" s="1"/>
      <c r="I2936" s="1"/>
    </row>
    <row r="2937" spans="8:9" x14ac:dyDescent="0.2">
      <c r="H2937" s="1"/>
      <c r="I2937" s="1"/>
    </row>
    <row r="2938" spans="8:9" x14ac:dyDescent="0.2">
      <c r="H2938" s="1"/>
      <c r="I2938" s="1"/>
    </row>
    <row r="2939" spans="8:9" x14ac:dyDescent="0.2">
      <c r="H2939" s="1"/>
      <c r="I2939" s="1"/>
    </row>
    <row r="2940" spans="8:9" x14ac:dyDescent="0.2">
      <c r="H2940" s="1"/>
      <c r="I2940" s="1"/>
    </row>
    <row r="2941" spans="8:9" x14ac:dyDescent="0.2">
      <c r="H2941" s="1"/>
      <c r="I2941" s="1"/>
    </row>
    <row r="2942" spans="8:9" x14ac:dyDescent="0.2">
      <c r="H2942" s="1"/>
      <c r="I2942" s="1"/>
    </row>
    <row r="2943" spans="8:9" x14ac:dyDescent="0.2">
      <c r="H2943" s="1"/>
      <c r="I2943" s="1"/>
    </row>
    <row r="2944" spans="8:9" x14ac:dyDescent="0.2">
      <c r="H2944" s="1"/>
      <c r="I2944" s="1"/>
    </row>
    <row r="2945" spans="8:9" x14ac:dyDescent="0.2">
      <c r="H2945" s="1"/>
      <c r="I2945" s="1"/>
    </row>
    <row r="2946" spans="8:9" x14ac:dyDescent="0.2">
      <c r="H2946" s="1"/>
      <c r="I2946" s="1"/>
    </row>
    <row r="2947" spans="8:9" x14ac:dyDescent="0.2">
      <c r="H2947" s="1"/>
      <c r="I2947" s="1"/>
    </row>
    <row r="2948" spans="8:9" x14ac:dyDescent="0.2">
      <c r="H2948" s="1"/>
      <c r="I2948" s="1"/>
    </row>
    <row r="2949" spans="8:9" x14ac:dyDescent="0.2">
      <c r="H2949" s="1"/>
      <c r="I2949" s="1"/>
    </row>
    <row r="2950" spans="8:9" x14ac:dyDescent="0.2">
      <c r="H2950" s="1"/>
      <c r="I2950" s="1"/>
    </row>
    <row r="2951" spans="8:9" x14ac:dyDescent="0.2">
      <c r="H2951" s="1"/>
      <c r="I2951" s="1"/>
    </row>
    <row r="2952" spans="8:9" x14ac:dyDescent="0.2">
      <c r="H2952" s="1"/>
      <c r="I2952" s="1"/>
    </row>
    <row r="2953" spans="8:9" x14ac:dyDescent="0.2">
      <c r="H2953" s="1"/>
      <c r="I2953" s="1"/>
    </row>
    <row r="2954" spans="8:9" x14ac:dyDescent="0.2">
      <c r="H2954" s="1"/>
      <c r="I2954" s="1"/>
    </row>
    <row r="2955" spans="8:9" x14ac:dyDescent="0.2">
      <c r="H2955" s="1"/>
      <c r="I2955" s="1"/>
    </row>
    <row r="2956" spans="8:9" x14ac:dyDescent="0.2">
      <c r="H2956" s="1"/>
      <c r="I2956" s="1"/>
    </row>
    <row r="2957" spans="8:9" x14ac:dyDescent="0.2">
      <c r="H2957" s="1"/>
      <c r="I2957" s="1"/>
    </row>
    <row r="2958" spans="8:9" x14ac:dyDescent="0.2">
      <c r="H2958" s="1"/>
      <c r="I2958" s="1"/>
    </row>
    <row r="2959" spans="8:9" x14ac:dyDescent="0.2">
      <c r="H2959" s="1"/>
      <c r="I2959" s="1"/>
    </row>
    <row r="2960" spans="8:9" x14ac:dyDescent="0.2">
      <c r="H2960" s="1"/>
      <c r="I2960" s="1"/>
    </row>
    <row r="2961" spans="8:9" x14ac:dyDescent="0.2">
      <c r="H2961" s="1"/>
      <c r="I2961" s="1"/>
    </row>
    <row r="2962" spans="8:9" x14ac:dyDescent="0.2">
      <c r="H2962" s="1"/>
      <c r="I2962" s="1"/>
    </row>
    <row r="2963" spans="8:9" x14ac:dyDescent="0.2">
      <c r="H2963" s="1"/>
      <c r="I2963" s="1"/>
    </row>
    <row r="2964" spans="8:9" x14ac:dyDescent="0.2">
      <c r="H2964" s="1"/>
      <c r="I2964" s="1"/>
    </row>
    <row r="2965" spans="8:9" x14ac:dyDescent="0.2">
      <c r="H2965" s="1"/>
      <c r="I2965" s="1"/>
    </row>
    <row r="2966" spans="8:9" x14ac:dyDescent="0.2">
      <c r="H2966" s="1"/>
      <c r="I2966" s="1"/>
    </row>
    <row r="2967" spans="8:9" x14ac:dyDescent="0.2">
      <c r="H2967" s="1"/>
      <c r="I2967" s="1"/>
    </row>
    <row r="2968" spans="8:9" x14ac:dyDescent="0.2">
      <c r="H2968" s="1"/>
      <c r="I2968" s="1"/>
    </row>
    <row r="2969" spans="8:9" x14ac:dyDescent="0.2">
      <c r="H2969" s="1"/>
      <c r="I2969" s="1"/>
    </row>
    <row r="2970" spans="8:9" x14ac:dyDescent="0.2">
      <c r="H2970" s="1"/>
      <c r="I2970" s="1"/>
    </row>
    <row r="2971" spans="8:9" x14ac:dyDescent="0.2">
      <c r="H2971" s="1"/>
      <c r="I2971" s="1"/>
    </row>
    <row r="2972" spans="8:9" x14ac:dyDescent="0.2">
      <c r="H2972" s="1"/>
      <c r="I2972" s="1"/>
    </row>
    <row r="2973" spans="8:9" x14ac:dyDescent="0.2">
      <c r="H2973" s="1"/>
      <c r="I2973" s="1"/>
    </row>
    <row r="2974" spans="8:9" x14ac:dyDescent="0.2">
      <c r="H2974" s="1"/>
      <c r="I2974" s="1"/>
    </row>
    <row r="2975" spans="8:9" x14ac:dyDescent="0.2">
      <c r="H2975" s="1"/>
      <c r="I2975" s="1"/>
    </row>
    <row r="2976" spans="8:9" x14ac:dyDescent="0.2">
      <c r="H2976" s="1"/>
      <c r="I2976" s="1"/>
    </row>
    <row r="2977" spans="8:9" x14ac:dyDescent="0.2">
      <c r="H2977" s="1"/>
      <c r="I2977" s="1"/>
    </row>
    <row r="2978" spans="8:9" x14ac:dyDescent="0.2">
      <c r="H2978" s="1"/>
      <c r="I2978" s="1"/>
    </row>
    <row r="2979" spans="8:9" x14ac:dyDescent="0.2">
      <c r="H2979" s="1"/>
      <c r="I2979" s="1"/>
    </row>
    <row r="2980" spans="8:9" x14ac:dyDescent="0.2">
      <c r="H2980" s="1"/>
      <c r="I2980" s="1"/>
    </row>
    <row r="2981" spans="8:9" x14ac:dyDescent="0.2">
      <c r="H2981" s="1"/>
      <c r="I2981" s="1"/>
    </row>
    <row r="2982" spans="8:9" x14ac:dyDescent="0.2">
      <c r="H2982" s="1"/>
      <c r="I2982" s="1"/>
    </row>
    <row r="2983" spans="8:9" x14ac:dyDescent="0.2">
      <c r="H2983" s="1"/>
      <c r="I2983" s="1"/>
    </row>
    <row r="2984" spans="8:9" x14ac:dyDescent="0.2">
      <c r="H2984" s="1"/>
      <c r="I2984" s="1"/>
    </row>
    <row r="2985" spans="8:9" x14ac:dyDescent="0.2">
      <c r="H2985" s="1"/>
      <c r="I2985" s="1"/>
    </row>
    <row r="2986" spans="8:9" x14ac:dyDescent="0.2">
      <c r="H2986" s="1"/>
      <c r="I2986" s="1"/>
    </row>
    <row r="2987" spans="8:9" x14ac:dyDescent="0.2">
      <c r="H2987" s="1"/>
      <c r="I2987" s="1"/>
    </row>
    <row r="2988" spans="8:9" x14ac:dyDescent="0.2">
      <c r="H2988" s="1"/>
      <c r="I2988" s="1"/>
    </row>
    <row r="2989" spans="8:9" x14ac:dyDescent="0.2">
      <c r="H2989" s="1"/>
      <c r="I2989" s="1"/>
    </row>
    <row r="2990" spans="8:9" x14ac:dyDescent="0.2">
      <c r="H2990" s="1"/>
      <c r="I2990" s="1"/>
    </row>
    <row r="2991" spans="8:9" x14ac:dyDescent="0.2">
      <c r="H2991" s="1"/>
      <c r="I2991" s="1"/>
    </row>
    <row r="2992" spans="8:9" x14ac:dyDescent="0.2">
      <c r="H2992" s="1"/>
      <c r="I2992" s="1"/>
    </row>
    <row r="2993" spans="8:9" x14ac:dyDescent="0.2">
      <c r="H2993" s="1"/>
      <c r="I2993" s="1"/>
    </row>
    <row r="2994" spans="8:9" x14ac:dyDescent="0.2">
      <c r="H2994" s="1"/>
      <c r="I2994" s="1"/>
    </row>
    <row r="2995" spans="8:9" x14ac:dyDescent="0.2">
      <c r="H2995" s="1"/>
      <c r="I2995" s="1"/>
    </row>
    <row r="2996" spans="8:9" x14ac:dyDescent="0.2">
      <c r="H2996" s="1"/>
      <c r="I2996" s="1"/>
    </row>
    <row r="2997" spans="8:9" x14ac:dyDescent="0.2">
      <c r="H2997" s="1"/>
      <c r="I2997" s="1"/>
    </row>
    <row r="2998" spans="8:9" x14ac:dyDescent="0.2">
      <c r="H2998" s="1"/>
      <c r="I2998" s="1"/>
    </row>
    <row r="2999" spans="8:9" x14ac:dyDescent="0.2">
      <c r="H2999" s="1"/>
      <c r="I2999" s="1"/>
    </row>
    <row r="3000" spans="8:9" x14ac:dyDescent="0.2">
      <c r="H3000" s="1"/>
      <c r="I3000" s="1"/>
    </row>
    <row r="3001" spans="8:9" x14ac:dyDescent="0.2">
      <c r="H3001" s="1"/>
      <c r="I3001" s="1"/>
    </row>
    <row r="3002" spans="8:9" x14ac:dyDescent="0.2">
      <c r="H3002" s="1"/>
      <c r="I3002" s="1"/>
    </row>
    <row r="3003" spans="8:9" x14ac:dyDescent="0.2">
      <c r="H3003" s="1"/>
      <c r="I3003" s="1"/>
    </row>
    <row r="3004" spans="8:9" x14ac:dyDescent="0.2">
      <c r="H3004" s="1"/>
      <c r="I3004" s="1"/>
    </row>
    <row r="3005" spans="8:9" x14ac:dyDescent="0.2">
      <c r="H3005" s="1"/>
      <c r="I3005" s="1"/>
    </row>
    <row r="3006" spans="8:9" x14ac:dyDescent="0.2">
      <c r="H3006" s="1"/>
      <c r="I3006" s="1"/>
    </row>
    <row r="3007" spans="8:9" x14ac:dyDescent="0.2">
      <c r="H3007" s="1"/>
      <c r="I3007" s="1"/>
    </row>
    <row r="3008" spans="8:9" x14ac:dyDescent="0.2">
      <c r="H3008" s="1"/>
      <c r="I3008" s="1"/>
    </row>
    <row r="3009" spans="8:9" x14ac:dyDescent="0.2">
      <c r="H3009" s="1"/>
      <c r="I3009" s="1"/>
    </row>
    <row r="3010" spans="8:9" x14ac:dyDescent="0.2">
      <c r="H3010" s="1"/>
      <c r="I3010" s="1"/>
    </row>
    <row r="3011" spans="8:9" x14ac:dyDescent="0.2">
      <c r="H3011" s="1"/>
      <c r="I3011" s="1"/>
    </row>
    <row r="3012" spans="8:9" x14ac:dyDescent="0.2">
      <c r="H3012" s="1"/>
      <c r="I3012" s="1"/>
    </row>
    <row r="3013" spans="8:9" x14ac:dyDescent="0.2">
      <c r="H3013" s="1"/>
      <c r="I3013" s="1"/>
    </row>
    <row r="3014" spans="8:9" x14ac:dyDescent="0.2">
      <c r="H3014" s="1"/>
      <c r="I3014" s="1"/>
    </row>
    <row r="3015" spans="8:9" x14ac:dyDescent="0.2">
      <c r="H3015" s="1"/>
      <c r="I3015" s="1"/>
    </row>
    <row r="3016" spans="8:9" x14ac:dyDescent="0.2">
      <c r="H3016" s="1"/>
      <c r="I3016" s="1"/>
    </row>
    <row r="3017" spans="8:9" x14ac:dyDescent="0.2">
      <c r="H3017" s="1"/>
      <c r="I3017" s="1"/>
    </row>
    <row r="3018" spans="8:9" x14ac:dyDescent="0.2">
      <c r="H3018" s="1"/>
      <c r="I3018" s="1"/>
    </row>
    <row r="3019" spans="8:9" x14ac:dyDescent="0.2">
      <c r="H3019" s="1"/>
      <c r="I3019" s="1"/>
    </row>
    <row r="3020" spans="8:9" x14ac:dyDescent="0.2">
      <c r="H3020" s="1"/>
      <c r="I3020" s="1"/>
    </row>
    <row r="3021" spans="8:9" x14ac:dyDescent="0.2">
      <c r="H3021" s="1"/>
      <c r="I3021" s="1"/>
    </row>
    <row r="3022" spans="8:9" x14ac:dyDescent="0.2">
      <c r="H3022" s="1"/>
      <c r="I3022" s="1"/>
    </row>
    <row r="3023" spans="8:9" x14ac:dyDescent="0.2">
      <c r="H3023" s="1"/>
      <c r="I3023" s="1"/>
    </row>
    <row r="3024" spans="8:9" x14ac:dyDescent="0.2">
      <c r="H3024" s="1"/>
      <c r="I3024" s="1"/>
    </row>
    <row r="3025" spans="8:9" x14ac:dyDescent="0.2">
      <c r="H3025" s="1"/>
      <c r="I3025" s="1"/>
    </row>
    <row r="3026" spans="8:9" x14ac:dyDescent="0.2">
      <c r="H3026" s="1"/>
      <c r="I3026" s="1"/>
    </row>
    <row r="3027" spans="8:9" x14ac:dyDescent="0.2">
      <c r="H3027" s="1"/>
      <c r="I3027" s="1"/>
    </row>
    <row r="3028" spans="8:9" x14ac:dyDescent="0.2">
      <c r="H3028" s="1"/>
      <c r="I3028" s="1"/>
    </row>
    <row r="3029" spans="8:9" x14ac:dyDescent="0.2">
      <c r="H3029" s="1"/>
      <c r="I3029" s="1"/>
    </row>
    <row r="3030" spans="8:9" x14ac:dyDescent="0.2">
      <c r="H3030" s="1"/>
      <c r="I3030" s="1"/>
    </row>
    <row r="3031" spans="8:9" x14ac:dyDescent="0.2">
      <c r="H3031" s="1"/>
      <c r="I3031" s="1"/>
    </row>
    <row r="3032" spans="8:9" x14ac:dyDescent="0.2">
      <c r="H3032" s="1"/>
      <c r="I3032" s="1"/>
    </row>
    <row r="3033" spans="8:9" x14ac:dyDescent="0.2">
      <c r="H3033" s="1"/>
      <c r="I3033" s="1"/>
    </row>
    <row r="3034" spans="8:9" x14ac:dyDescent="0.2">
      <c r="H3034" s="1"/>
      <c r="I3034" s="1"/>
    </row>
    <row r="3035" spans="8:9" x14ac:dyDescent="0.2">
      <c r="H3035" s="1"/>
      <c r="I3035" s="1"/>
    </row>
    <row r="3036" spans="8:9" x14ac:dyDescent="0.2">
      <c r="H3036" s="1"/>
      <c r="I3036" s="1"/>
    </row>
    <row r="3037" spans="8:9" x14ac:dyDescent="0.2">
      <c r="H3037" s="1"/>
      <c r="I3037" s="1"/>
    </row>
    <row r="3038" spans="8:9" x14ac:dyDescent="0.2">
      <c r="H3038" s="1"/>
      <c r="I3038" s="1"/>
    </row>
    <row r="3039" spans="8:9" x14ac:dyDescent="0.2">
      <c r="H3039" s="1"/>
      <c r="I3039" s="1"/>
    </row>
    <row r="3040" spans="8:9" x14ac:dyDescent="0.2">
      <c r="H3040" s="1"/>
      <c r="I3040" s="1"/>
    </row>
    <row r="3041" spans="8:9" x14ac:dyDescent="0.2">
      <c r="H3041" s="1"/>
      <c r="I3041" s="1"/>
    </row>
    <row r="3042" spans="8:9" x14ac:dyDescent="0.2">
      <c r="H3042" s="1"/>
      <c r="I3042" s="1"/>
    </row>
    <row r="3043" spans="8:9" x14ac:dyDescent="0.2">
      <c r="H3043" s="1"/>
      <c r="I3043" s="1"/>
    </row>
    <row r="3044" spans="8:9" x14ac:dyDescent="0.2">
      <c r="H3044" s="1"/>
      <c r="I3044" s="1"/>
    </row>
    <row r="3045" spans="8:9" x14ac:dyDescent="0.2">
      <c r="H3045" s="1"/>
      <c r="I3045" s="1"/>
    </row>
    <row r="3046" spans="8:9" x14ac:dyDescent="0.2">
      <c r="H3046" s="1"/>
      <c r="I3046" s="1"/>
    </row>
    <row r="3047" spans="8:9" x14ac:dyDescent="0.2">
      <c r="H3047" s="1"/>
      <c r="I3047" s="1"/>
    </row>
    <row r="3048" spans="8:9" x14ac:dyDescent="0.2">
      <c r="H3048" s="1"/>
      <c r="I3048" s="1"/>
    </row>
    <row r="3049" spans="8:9" x14ac:dyDescent="0.2">
      <c r="H3049" s="1"/>
      <c r="I3049" s="1"/>
    </row>
    <row r="3050" spans="8:9" x14ac:dyDescent="0.2">
      <c r="H3050" s="1"/>
      <c r="I3050" s="1"/>
    </row>
    <row r="3051" spans="8:9" x14ac:dyDescent="0.2">
      <c r="H3051" s="1"/>
      <c r="I3051" s="1"/>
    </row>
    <row r="3052" spans="8:9" x14ac:dyDescent="0.2">
      <c r="H3052" s="1"/>
      <c r="I3052" s="1"/>
    </row>
    <row r="3053" spans="8:9" x14ac:dyDescent="0.2">
      <c r="H3053" s="1"/>
      <c r="I3053" s="1"/>
    </row>
    <row r="3054" spans="8:9" x14ac:dyDescent="0.2">
      <c r="H3054" s="1"/>
      <c r="I3054" s="1"/>
    </row>
    <row r="3055" spans="8:9" x14ac:dyDescent="0.2">
      <c r="H3055" s="1"/>
      <c r="I3055" s="1"/>
    </row>
    <row r="3056" spans="8:9" x14ac:dyDescent="0.2">
      <c r="H3056" s="1"/>
      <c r="I3056" s="1"/>
    </row>
    <row r="3057" spans="8:9" x14ac:dyDescent="0.2">
      <c r="H3057" s="1"/>
      <c r="I3057" s="1"/>
    </row>
    <row r="3058" spans="8:9" x14ac:dyDescent="0.2">
      <c r="H3058" s="1"/>
      <c r="I3058" s="1"/>
    </row>
    <row r="3059" spans="8:9" x14ac:dyDescent="0.2">
      <c r="H3059" s="1"/>
      <c r="I3059" s="1"/>
    </row>
    <row r="3060" spans="8:9" x14ac:dyDescent="0.2">
      <c r="H3060" s="1"/>
      <c r="I3060" s="1"/>
    </row>
    <row r="3061" spans="8:9" x14ac:dyDescent="0.2">
      <c r="H3061" s="1"/>
      <c r="I3061" s="1"/>
    </row>
    <row r="3062" spans="8:9" x14ac:dyDescent="0.2">
      <c r="H3062" s="1"/>
      <c r="I3062" s="1"/>
    </row>
    <row r="3063" spans="8:9" x14ac:dyDescent="0.2">
      <c r="H3063" s="1"/>
      <c r="I3063" s="1"/>
    </row>
    <row r="3064" spans="8:9" x14ac:dyDescent="0.2">
      <c r="H3064" s="1"/>
      <c r="I3064" s="1"/>
    </row>
    <row r="3065" spans="8:9" x14ac:dyDescent="0.2">
      <c r="H3065" s="1"/>
      <c r="I3065" s="1"/>
    </row>
    <row r="3066" spans="8:9" x14ac:dyDescent="0.2">
      <c r="H3066" s="1"/>
      <c r="I3066" s="1"/>
    </row>
    <row r="3067" spans="8:9" x14ac:dyDescent="0.2">
      <c r="H3067" s="1"/>
      <c r="I3067" s="1"/>
    </row>
    <row r="3068" spans="8:9" x14ac:dyDescent="0.2">
      <c r="H3068" s="1"/>
      <c r="I3068" s="1"/>
    </row>
    <row r="3069" spans="8:9" x14ac:dyDescent="0.2">
      <c r="H3069" s="1"/>
      <c r="I3069" s="1"/>
    </row>
    <row r="3070" spans="8:9" x14ac:dyDescent="0.2">
      <c r="H3070" s="1"/>
      <c r="I3070" s="1"/>
    </row>
    <row r="3071" spans="8:9" x14ac:dyDescent="0.2">
      <c r="H3071" s="1"/>
      <c r="I3071" s="1"/>
    </row>
    <row r="3072" spans="8:9" x14ac:dyDescent="0.2">
      <c r="H3072" s="1"/>
      <c r="I3072" s="1"/>
    </row>
    <row r="3073" spans="8:9" x14ac:dyDescent="0.2">
      <c r="H3073" s="1"/>
      <c r="I3073" s="1"/>
    </row>
    <row r="3074" spans="8:9" x14ac:dyDescent="0.2">
      <c r="H3074" s="1"/>
      <c r="I3074" s="1"/>
    </row>
    <row r="3075" spans="8:9" x14ac:dyDescent="0.2">
      <c r="H3075" s="1"/>
      <c r="I3075" s="1"/>
    </row>
    <row r="3076" spans="8:9" x14ac:dyDescent="0.2">
      <c r="H3076" s="1"/>
      <c r="I3076" s="1"/>
    </row>
    <row r="3077" spans="8:9" x14ac:dyDescent="0.2">
      <c r="H3077" s="1"/>
      <c r="I3077" s="1"/>
    </row>
    <row r="3078" spans="8:9" x14ac:dyDescent="0.2">
      <c r="H3078" s="1"/>
      <c r="I3078" s="1"/>
    </row>
    <row r="3079" spans="8:9" x14ac:dyDescent="0.2">
      <c r="H3079" s="1"/>
      <c r="I3079" s="1"/>
    </row>
    <row r="3080" spans="8:9" x14ac:dyDescent="0.2">
      <c r="H3080" s="1"/>
      <c r="I3080" s="1"/>
    </row>
    <row r="3081" spans="8:9" x14ac:dyDescent="0.2">
      <c r="H3081" s="1"/>
      <c r="I3081" s="1"/>
    </row>
    <row r="3082" spans="8:9" x14ac:dyDescent="0.2">
      <c r="H3082" s="1"/>
      <c r="I3082" s="1"/>
    </row>
    <row r="3083" spans="8:9" x14ac:dyDescent="0.2">
      <c r="H3083" s="1"/>
      <c r="I3083" s="1"/>
    </row>
    <row r="3084" spans="8:9" x14ac:dyDescent="0.2">
      <c r="H3084" s="1"/>
      <c r="I3084" s="1"/>
    </row>
    <row r="3085" spans="8:9" x14ac:dyDescent="0.2">
      <c r="H3085" s="1"/>
      <c r="I3085" s="1"/>
    </row>
    <row r="3086" spans="8:9" x14ac:dyDescent="0.2">
      <c r="H3086" s="1"/>
      <c r="I3086" s="1"/>
    </row>
    <row r="3087" spans="8:9" x14ac:dyDescent="0.2">
      <c r="H3087" s="1"/>
      <c r="I3087" s="1"/>
    </row>
    <row r="3088" spans="8:9" x14ac:dyDescent="0.2">
      <c r="H3088" s="1"/>
      <c r="I3088" s="1"/>
    </row>
    <row r="3089" spans="8:9" x14ac:dyDescent="0.2">
      <c r="H3089" s="1"/>
      <c r="I3089" s="1"/>
    </row>
    <row r="3090" spans="8:9" x14ac:dyDescent="0.2">
      <c r="H3090" s="1"/>
      <c r="I3090" s="1"/>
    </row>
    <row r="3091" spans="8:9" x14ac:dyDescent="0.2">
      <c r="H3091" s="1"/>
      <c r="I3091" s="1"/>
    </row>
    <row r="3092" spans="8:9" x14ac:dyDescent="0.2">
      <c r="H3092" s="1"/>
      <c r="I3092" s="1"/>
    </row>
    <row r="3093" spans="8:9" x14ac:dyDescent="0.2">
      <c r="H3093" s="1"/>
      <c r="I3093" s="1"/>
    </row>
    <row r="3094" spans="8:9" x14ac:dyDescent="0.2">
      <c r="H3094" s="1"/>
      <c r="I3094" s="1"/>
    </row>
    <row r="3095" spans="8:9" x14ac:dyDescent="0.2">
      <c r="H3095" s="1"/>
      <c r="I3095" s="1"/>
    </row>
    <row r="3096" spans="8:9" x14ac:dyDescent="0.2">
      <c r="H3096" s="1"/>
      <c r="I3096" s="1"/>
    </row>
    <row r="3097" spans="8:9" x14ac:dyDescent="0.2">
      <c r="H3097" s="1"/>
      <c r="I3097" s="1"/>
    </row>
    <row r="3098" spans="8:9" x14ac:dyDescent="0.2">
      <c r="H3098" s="1"/>
      <c r="I3098" s="1"/>
    </row>
    <row r="3099" spans="8:9" x14ac:dyDescent="0.2">
      <c r="H3099" s="1"/>
      <c r="I3099" s="1"/>
    </row>
    <row r="3100" spans="8:9" x14ac:dyDescent="0.2">
      <c r="H3100" s="1"/>
      <c r="I3100" s="1"/>
    </row>
    <row r="3101" spans="8:9" x14ac:dyDescent="0.2">
      <c r="H3101" s="1"/>
      <c r="I3101" s="1"/>
    </row>
    <row r="3102" spans="8:9" x14ac:dyDescent="0.2">
      <c r="H3102" s="1"/>
      <c r="I3102" s="1"/>
    </row>
    <row r="3103" spans="8:9" x14ac:dyDescent="0.2">
      <c r="H3103" s="1"/>
      <c r="I3103" s="1"/>
    </row>
    <row r="3104" spans="8:9" x14ac:dyDescent="0.2">
      <c r="H3104" s="1"/>
      <c r="I3104" s="1"/>
    </row>
    <row r="3105" spans="8:9" x14ac:dyDescent="0.2">
      <c r="H3105" s="1"/>
      <c r="I3105" s="1"/>
    </row>
    <row r="3106" spans="8:9" x14ac:dyDescent="0.2">
      <c r="H3106" s="1"/>
      <c r="I3106" s="1"/>
    </row>
    <row r="3107" spans="8:9" x14ac:dyDescent="0.2">
      <c r="H3107" s="1"/>
      <c r="I3107" s="1"/>
    </row>
    <row r="3108" spans="8:9" x14ac:dyDescent="0.2">
      <c r="H3108" s="1"/>
      <c r="I3108" s="1"/>
    </row>
    <row r="3109" spans="8:9" x14ac:dyDescent="0.2">
      <c r="H3109" s="1"/>
      <c r="I3109" s="1"/>
    </row>
    <row r="3110" spans="8:9" x14ac:dyDescent="0.2">
      <c r="H3110" s="1"/>
      <c r="I3110" s="1"/>
    </row>
    <row r="3111" spans="8:9" x14ac:dyDescent="0.2">
      <c r="H3111" s="1"/>
      <c r="I3111" s="1"/>
    </row>
    <row r="3112" spans="8:9" x14ac:dyDescent="0.2">
      <c r="H3112" s="1"/>
      <c r="I3112" s="1"/>
    </row>
    <row r="3113" spans="8:9" x14ac:dyDescent="0.2">
      <c r="H3113" s="1"/>
      <c r="I3113" s="1"/>
    </row>
    <row r="3114" spans="8:9" x14ac:dyDescent="0.2">
      <c r="H3114" s="1"/>
      <c r="I3114" s="1"/>
    </row>
    <row r="3115" spans="8:9" x14ac:dyDescent="0.2">
      <c r="H3115" s="1"/>
      <c r="I3115" s="1"/>
    </row>
    <row r="3116" spans="8:9" x14ac:dyDescent="0.2">
      <c r="H3116" s="1"/>
      <c r="I3116" s="1"/>
    </row>
    <row r="3117" spans="8:9" x14ac:dyDescent="0.2">
      <c r="H3117" s="1"/>
      <c r="I3117" s="1"/>
    </row>
    <row r="3118" spans="8:9" x14ac:dyDescent="0.2">
      <c r="H3118" s="1"/>
      <c r="I3118" s="1"/>
    </row>
    <row r="3119" spans="8:9" x14ac:dyDescent="0.2">
      <c r="H3119" s="1"/>
      <c r="I3119" s="1"/>
    </row>
    <row r="3120" spans="8:9" x14ac:dyDescent="0.2">
      <c r="H3120" s="1"/>
      <c r="I3120" s="1"/>
    </row>
    <row r="3121" spans="8:9" x14ac:dyDescent="0.2">
      <c r="H3121" s="1"/>
      <c r="I3121" s="1"/>
    </row>
    <row r="3122" spans="8:9" x14ac:dyDescent="0.2">
      <c r="H3122" s="1"/>
      <c r="I3122" s="1"/>
    </row>
    <row r="3123" spans="8:9" x14ac:dyDescent="0.2">
      <c r="H3123" s="1"/>
      <c r="I3123" s="1"/>
    </row>
    <row r="3124" spans="8:9" x14ac:dyDescent="0.2">
      <c r="H3124" s="1"/>
      <c r="I3124" s="1"/>
    </row>
    <row r="3125" spans="8:9" x14ac:dyDescent="0.2">
      <c r="H3125" s="1"/>
      <c r="I3125" s="1"/>
    </row>
    <row r="3126" spans="8:9" x14ac:dyDescent="0.2">
      <c r="H3126" s="1"/>
      <c r="I3126" s="1"/>
    </row>
    <row r="3127" spans="8:9" x14ac:dyDescent="0.2">
      <c r="H3127" s="1"/>
      <c r="I3127" s="1"/>
    </row>
    <row r="3128" spans="8:9" x14ac:dyDescent="0.2">
      <c r="H3128" s="1"/>
      <c r="I3128" s="1"/>
    </row>
    <row r="3129" spans="8:9" x14ac:dyDescent="0.2">
      <c r="H3129" s="1"/>
      <c r="I3129" s="1"/>
    </row>
    <row r="3130" spans="8:9" x14ac:dyDescent="0.2">
      <c r="H3130" s="1"/>
      <c r="I3130" s="1"/>
    </row>
    <row r="3131" spans="8:9" x14ac:dyDescent="0.2">
      <c r="H3131" s="1"/>
      <c r="I3131" s="1"/>
    </row>
    <row r="3132" spans="8:9" x14ac:dyDescent="0.2">
      <c r="H3132" s="1"/>
      <c r="I3132" s="1"/>
    </row>
    <row r="3133" spans="8:9" x14ac:dyDescent="0.2">
      <c r="H3133" s="1"/>
      <c r="I3133" s="1"/>
    </row>
    <row r="3134" spans="8:9" x14ac:dyDescent="0.2">
      <c r="H3134" s="1"/>
      <c r="I3134" s="1"/>
    </row>
    <row r="3135" spans="8:9" x14ac:dyDescent="0.2">
      <c r="H3135" s="1"/>
      <c r="I3135" s="1"/>
    </row>
    <row r="3136" spans="8:9" x14ac:dyDescent="0.2">
      <c r="H3136" s="1"/>
      <c r="I3136" s="1"/>
    </row>
    <row r="3137" spans="8:9" x14ac:dyDescent="0.2">
      <c r="H3137" s="1"/>
      <c r="I3137" s="1"/>
    </row>
    <row r="3138" spans="8:9" x14ac:dyDescent="0.2">
      <c r="H3138" s="1"/>
      <c r="I3138" s="1"/>
    </row>
    <row r="3139" spans="8:9" x14ac:dyDescent="0.2">
      <c r="H3139" s="1"/>
      <c r="I3139" s="1"/>
    </row>
    <row r="3140" spans="8:9" x14ac:dyDescent="0.2">
      <c r="H3140" s="1"/>
      <c r="I3140" s="1"/>
    </row>
    <row r="3141" spans="8:9" x14ac:dyDescent="0.2">
      <c r="H3141" s="1"/>
      <c r="I3141" s="1"/>
    </row>
    <row r="3142" spans="8:9" x14ac:dyDescent="0.2">
      <c r="H3142" s="1"/>
      <c r="I3142" s="1"/>
    </row>
    <row r="3143" spans="8:9" x14ac:dyDescent="0.2">
      <c r="H3143" s="1"/>
      <c r="I3143" s="1"/>
    </row>
    <row r="3144" spans="8:9" x14ac:dyDescent="0.2">
      <c r="H3144" s="1"/>
      <c r="I3144" s="1"/>
    </row>
    <row r="3145" spans="8:9" x14ac:dyDescent="0.2">
      <c r="H3145" s="1"/>
      <c r="I3145" s="1"/>
    </row>
    <row r="3146" spans="8:9" x14ac:dyDescent="0.2">
      <c r="H3146" s="1"/>
      <c r="I3146" s="1"/>
    </row>
    <row r="3147" spans="8:9" x14ac:dyDescent="0.2">
      <c r="H3147" s="1"/>
      <c r="I3147" s="1"/>
    </row>
    <row r="3148" spans="8:9" x14ac:dyDescent="0.2">
      <c r="H3148" s="1"/>
      <c r="I3148" s="1"/>
    </row>
    <row r="3149" spans="8:9" x14ac:dyDescent="0.2">
      <c r="H3149" s="1"/>
      <c r="I3149" s="1"/>
    </row>
    <row r="3150" spans="8:9" x14ac:dyDescent="0.2">
      <c r="H3150" s="1"/>
      <c r="I3150" s="1"/>
    </row>
    <row r="3151" spans="8:9" x14ac:dyDescent="0.2">
      <c r="H3151" s="1"/>
      <c r="I3151" s="1"/>
    </row>
    <row r="3152" spans="8:9" x14ac:dyDescent="0.2">
      <c r="H3152" s="1"/>
      <c r="I3152" s="1"/>
    </row>
    <row r="3153" spans="8:9" x14ac:dyDescent="0.2">
      <c r="H3153" s="1"/>
      <c r="I3153" s="1"/>
    </row>
    <row r="3154" spans="8:9" x14ac:dyDescent="0.2">
      <c r="H3154" s="1"/>
      <c r="I3154" s="1"/>
    </row>
    <row r="3155" spans="8:9" x14ac:dyDescent="0.2">
      <c r="H3155" s="1"/>
      <c r="I3155" s="1"/>
    </row>
    <row r="3156" spans="8:9" x14ac:dyDescent="0.2">
      <c r="H3156" s="1"/>
      <c r="I3156" s="1"/>
    </row>
    <row r="3157" spans="8:9" x14ac:dyDescent="0.2">
      <c r="H3157" s="1"/>
      <c r="I3157" s="1"/>
    </row>
    <row r="3158" spans="8:9" x14ac:dyDescent="0.2">
      <c r="H3158" s="1"/>
      <c r="I3158" s="1"/>
    </row>
    <row r="3159" spans="8:9" x14ac:dyDescent="0.2">
      <c r="H3159" s="1"/>
      <c r="I3159" s="1"/>
    </row>
    <row r="3160" spans="8:9" x14ac:dyDescent="0.2">
      <c r="H3160" s="1"/>
      <c r="I3160" s="1"/>
    </row>
    <row r="3161" spans="8:9" x14ac:dyDescent="0.2">
      <c r="H3161" s="1"/>
      <c r="I3161" s="1"/>
    </row>
    <row r="3162" spans="8:9" x14ac:dyDescent="0.2">
      <c r="H3162" s="1"/>
      <c r="I3162" s="1"/>
    </row>
    <row r="3163" spans="8:9" x14ac:dyDescent="0.2">
      <c r="H3163" s="1"/>
      <c r="I3163" s="1"/>
    </row>
    <row r="3164" spans="8:9" x14ac:dyDescent="0.2">
      <c r="H3164" s="1"/>
      <c r="I3164" s="1"/>
    </row>
    <row r="3165" spans="8:9" x14ac:dyDescent="0.2">
      <c r="H3165" s="1"/>
      <c r="I3165" s="1"/>
    </row>
    <row r="3166" spans="8:9" x14ac:dyDescent="0.2">
      <c r="H3166" s="1"/>
      <c r="I3166" s="1"/>
    </row>
    <row r="3167" spans="8:9" x14ac:dyDescent="0.2">
      <c r="H3167" s="1"/>
      <c r="I3167" s="1"/>
    </row>
    <row r="3168" spans="8:9" x14ac:dyDescent="0.2">
      <c r="H3168" s="1"/>
      <c r="I3168" s="1"/>
    </row>
    <row r="3169" spans="8:9" x14ac:dyDescent="0.2">
      <c r="H3169" s="1"/>
      <c r="I3169" s="1"/>
    </row>
    <row r="3170" spans="8:9" x14ac:dyDescent="0.2">
      <c r="H3170" s="1"/>
      <c r="I3170" s="1"/>
    </row>
    <row r="3171" spans="8:9" x14ac:dyDescent="0.2">
      <c r="H3171" s="1"/>
      <c r="I3171" s="1"/>
    </row>
    <row r="3172" spans="8:9" x14ac:dyDescent="0.2">
      <c r="H3172" s="1"/>
      <c r="I3172" s="1"/>
    </row>
    <row r="3173" spans="8:9" x14ac:dyDescent="0.2">
      <c r="H3173" s="1"/>
      <c r="I3173" s="1"/>
    </row>
    <row r="3174" spans="8:9" x14ac:dyDescent="0.2">
      <c r="H3174" s="1"/>
      <c r="I3174" s="1"/>
    </row>
    <row r="3175" spans="8:9" x14ac:dyDescent="0.2">
      <c r="H3175" s="1"/>
      <c r="I3175" s="1"/>
    </row>
    <row r="3176" spans="8:9" x14ac:dyDescent="0.2">
      <c r="H3176" s="1"/>
      <c r="I3176" s="1"/>
    </row>
    <row r="3177" spans="8:9" x14ac:dyDescent="0.2">
      <c r="H3177" s="1"/>
      <c r="I3177" s="1"/>
    </row>
    <row r="3178" spans="8:9" x14ac:dyDescent="0.2">
      <c r="H3178" s="1"/>
      <c r="I3178" s="1"/>
    </row>
    <row r="3179" spans="8:9" x14ac:dyDescent="0.2">
      <c r="H3179" s="1"/>
      <c r="I3179" s="1"/>
    </row>
    <row r="3180" spans="8:9" x14ac:dyDescent="0.2">
      <c r="H3180" s="1"/>
      <c r="I3180" s="1"/>
    </row>
    <row r="3181" spans="8:9" x14ac:dyDescent="0.2">
      <c r="H3181" s="1"/>
      <c r="I3181" s="1"/>
    </row>
    <row r="3182" spans="8:9" x14ac:dyDescent="0.2">
      <c r="H3182" s="1"/>
      <c r="I3182" s="1"/>
    </row>
    <row r="3183" spans="8:9" x14ac:dyDescent="0.2">
      <c r="H3183" s="1"/>
      <c r="I3183" s="1"/>
    </row>
    <row r="3184" spans="8:9" x14ac:dyDescent="0.2">
      <c r="H3184" s="1"/>
      <c r="I3184" s="1"/>
    </row>
    <row r="3185" spans="8:9" x14ac:dyDescent="0.2">
      <c r="H3185" s="1"/>
      <c r="I3185" s="1"/>
    </row>
    <row r="3186" spans="8:9" x14ac:dyDescent="0.2">
      <c r="H3186" s="1"/>
      <c r="I3186" s="1"/>
    </row>
    <row r="3187" spans="8:9" x14ac:dyDescent="0.2">
      <c r="H3187" s="1"/>
      <c r="I3187" s="1"/>
    </row>
    <row r="3188" spans="8:9" x14ac:dyDescent="0.2">
      <c r="H3188" s="1"/>
      <c r="I3188" s="1"/>
    </row>
    <row r="3189" spans="8:9" x14ac:dyDescent="0.2">
      <c r="H3189" s="1"/>
      <c r="I3189" s="1"/>
    </row>
    <row r="3190" spans="8:9" x14ac:dyDescent="0.2">
      <c r="H3190" s="1"/>
      <c r="I3190" s="1"/>
    </row>
    <row r="3191" spans="8:9" x14ac:dyDescent="0.2">
      <c r="H3191" s="1"/>
      <c r="I3191" s="1"/>
    </row>
    <row r="3192" spans="8:9" x14ac:dyDescent="0.2">
      <c r="H3192" s="1"/>
      <c r="I3192" s="1"/>
    </row>
    <row r="3193" spans="8:9" x14ac:dyDescent="0.2">
      <c r="H3193" s="1"/>
      <c r="I3193" s="1"/>
    </row>
    <row r="3194" spans="8:9" x14ac:dyDescent="0.2">
      <c r="H3194" s="1"/>
      <c r="I3194" s="1"/>
    </row>
    <row r="3195" spans="8:9" x14ac:dyDescent="0.2">
      <c r="H3195" s="1"/>
      <c r="I3195" s="1"/>
    </row>
    <row r="3196" spans="8:9" x14ac:dyDescent="0.2">
      <c r="H3196" s="1"/>
      <c r="I3196" s="1"/>
    </row>
    <row r="3197" spans="8:9" x14ac:dyDescent="0.2">
      <c r="H3197" s="1"/>
      <c r="I3197" s="1"/>
    </row>
    <row r="3198" spans="8:9" x14ac:dyDescent="0.2">
      <c r="H3198" s="1"/>
      <c r="I3198" s="1"/>
    </row>
    <row r="3199" spans="8:9" x14ac:dyDescent="0.2">
      <c r="H3199" s="1"/>
      <c r="I3199" s="1"/>
    </row>
    <row r="3200" spans="8:9" x14ac:dyDescent="0.2">
      <c r="H3200" s="1"/>
      <c r="I3200" s="1"/>
    </row>
    <row r="3201" spans="8:9" x14ac:dyDescent="0.2">
      <c r="H3201" s="1"/>
      <c r="I3201" s="1"/>
    </row>
    <row r="3202" spans="8:9" x14ac:dyDescent="0.2">
      <c r="H3202" s="1"/>
      <c r="I3202" s="1"/>
    </row>
    <row r="3203" spans="8:9" x14ac:dyDescent="0.2">
      <c r="H3203" s="1"/>
      <c r="I3203" s="1"/>
    </row>
    <row r="3204" spans="8:9" x14ac:dyDescent="0.2">
      <c r="H3204" s="1"/>
      <c r="I3204" s="1"/>
    </row>
    <row r="3205" spans="8:9" x14ac:dyDescent="0.2">
      <c r="H3205" s="1"/>
      <c r="I3205" s="1"/>
    </row>
    <row r="3206" spans="8:9" x14ac:dyDescent="0.2">
      <c r="H3206" s="1"/>
      <c r="I3206" s="1"/>
    </row>
    <row r="3207" spans="8:9" x14ac:dyDescent="0.2">
      <c r="H3207" s="1"/>
      <c r="I3207" s="1"/>
    </row>
    <row r="3208" spans="8:9" x14ac:dyDescent="0.2">
      <c r="H3208" s="1"/>
      <c r="I3208" s="1"/>
    </row>
    <row r="3209" spans="8:9" x14ac:dyDescent="0.2">
      <c r="H3209" s="1"/>
      <c r="I3209" s="1"/>
    </row>
    <row r="3210" spans="8:9" x14ac:dyDescent="0.2">
      <c r="H3210" s="1"/>
      <c r="I3210" s="1"/>
    </row>
    <row r="3211" spans="8:9" x14ac:dyDescent="0.2">
      <c r="H3211" s="1"/>
      <c r="I3211" s="1"/>
    </row>
    <row r="3212" spans="8:9" x14ac:dyDescent="0.2">
      <c r="H3212" s="1"/>
      <c r="I3212" s="1"/>
    </row>
    <row r="3213" spans="8:9" x14ac:dyDescent="0.2">
      <c r="H3213" s="1"/>
      <c r="I3213" s="1"/>
    </row>
    <row r="3214" spans="8:9" x14ac:dyDescent="0.2">
      <c r="H3214" s="1"/>
      <c r="I3214" s="1"/>
    </row>
    <row r="3215" spans="8:9" x14ac:dyDescent="0.2">
      <c r="H3215" s="1"/>
      <c r="I3215" s="1"/>
    </row>
    <row r="3216" spans="8:9" x14ac:dyDescent="0.2">
      <c r="H3216" s="1"/>
      <c r="I3216" s="1"/>
    </row>
    <row r="3217" spans="8:9" x14ac:dyDescent="0.2">
      <c r="H3217" s="1"/>
      <c r="I3217" s="1"/>
    </row>
    <row r="3218" spans="8:9" x14ac:dyDescent="0.2">
      <c r="H3218" s="1"/>
      <c r="I3218" s="1"/>
    </row>
    <row r="3219" spans="8:9" x14ac:dyDescent="0.2">
      <c r="H3219" s="1"/>
      <c r="I3219" s="1"/>
    </row>
    <row r="3220" spans="8:9" x14ac:dyDescent="0.2">
      <c r="H3220" s="1"/>
      <c r="I3220" s="1"/>
    </row>
    <row r="3221" spans="8:9" x14ac:dyDescent="0.2">
      <c r="H3221" s="1"/>
      <c r="I3221" s="1"/>
    </row>
    <row r="3222" spans="8:9" x14ac:dyDescent="0.2">
      <c r="H3222" s="1"/>
      <c r="I3222" s="1"/>
    </row>
    <row r="3223" spans="8:9" x14ac:dyDescent="0.2">
      <c r="H3223" s="1"/>
      <c r="I3223" s="1"/>
    </row>
    <row r="3224" spans="8:9" x14ac:dyDescent="0.2">
      <c r="H3224" s="1"/>
      <c r="I3224" s="1"/>
    </row>
    <row r="3225" spans="8:9" x14ac:dyDescent="0.2">
      <c r="H3225" s="1"/>
      <c r="I3225" s="1"/>
    </row>
    <row r="3226" spans="8:9" x14ac:dyDescent="0.2">
      <c r="H3226" s="1"/>
      <c r="I3226" s="1"/>
    </row>
    <row r="3227" spans="8:9" x14ac:dyDescent="0.2">
      <c r="H3227" s="1"/>
      <c r="I3227" s="1"/>
    </row>
    <row r="3228" spans="8:9" x14ac:dyDescent="0.2">
      <c r="H3228" s="1"/>
      <c r="I3228" s="1"/>
    </row>
    <row r="3229" spans="8:9" x14ac:dyDescent="0.2">
      <c r="H3229" s="1"/>
      <c r="I3229" s="1"/>
    </row>
    <row r="3230" spans="8:9" x14ac:dyDescent="0.2">
      <c r="H3230" s="1"/>
      <c r="I3230" s="1"/>
    </row>
    <row r="3231" spans="8:9" x14ac:dyDescent="0.2">
      <c r="H3231" s="1"/>
      <c r="I3231" s="1"/>
    </row>
    <row r="3232" spans="8:9" x14ac:dyDescent="0.2">
      <c r="H3232" s="1"/>
      <c r="I3232" s="1"/>
    </row>
    <row r="3233" spans="8:9" x14ac:dyDescent="0.2">
      <c r="H3233" s="1"/>
      <c r="I3233" s="1"/>
    </row>
    <row r="3234" spans="8:9" x14ac:dyDescent="0.2">
      <c r="H3234" s="1"/>
      <c r="I3234" s="1"/>
    </row>
    <row r="3235" spans="8:9" x14ac:dyDescent="0.2">
      <c r="H3235" s="1"/>
      <c r="I3235" s="1"/>
    </row>
    <row r="3236" spans="8:9" x14ac:dyDescent="0.2">
      <c r="H3236" s="1"/>
      <c r="I3236" s="1"/>
    </row>
    <row r="3237" spans="8:9" x14ac:dyDescent="0.2">
      <c r="H3237" s="1"/>
      <c r="I3237" s="1"/>
    </row>
    <row r="3238" spans="8:9" x14ac:dyDescent="0.2">
      <c r="H3238" s="1"/>
      <c r="I3238" s="1"/>
    </row>
    <row r="3239" spans="8:9" x14ac:dyDescent="0.2">
      <c r="H3239" s="1"/>
      <c r="I3239" s="1"/>
    </row>
    <row r="3240" spans="8:9" x14ac:dyDescent="0.2">
      <c r="H3240" s="1"/>
      <c r="I3240" s="1"/>
    </row>
    <row r="3241" spans="8:9" x14ac:dyDescent="0.2">
      <c r="H3241" s="1"/>
      <c r="I3241" s="1"/>
    </row>
    <row r="3242" spans="8:9" x14ac:dyDescent="0.2">
      <c r="H3242" s="1"/>
      <c r="I3242" s="1"/>
    </row>
    <row r="3243" spans="8:9" x14ac:dyDescent="0.2">
      <c r="H3243" s="1"/>
      <c r="I3243" s="1"/>
    </row>
    <row r="3244" spans="8:9" x14ac:dyDescent="0.2">
      <c r="H3244" s="1"/>
      <c r="I3244" s="1"/>
    </row>
    <row r="3245" spans="8:9" x14ac:dyDescent="0.2">
      <c r="H3245" s="1"/>
      <c r="I3245" s="1"/>
    </row>
    <row r="3246" spans="8:9" x14ac:dyDescent="0.2">
      <c r="H3246" s="1"/>
      <c r="I3246" s="1"/>
    </row>
    <row r="3247" spans="8:9" x14ac:dyDescent="0.2">
      <c r="H3247" s="1"/>
      <c r="I3247" s="1"/>
    </row>
    <row r="3248" spans="8:9" x14ac:dyDescent="0.2">
      <c r="H3248" s="1"/>
      <c r="I3248" s="1"/>
    </row>
    <row r="3249" spans="8:9" x14ac:dyDescent="0.2">
      <c r="H3249" s="1"/>
      <c r="I3249" s="1"/>
    </row>
    <row r="3250" spans="8:9" x14ac:dyDescent="0.2">
      <c r="H3250" s="1"/>
      <c r="I3250" s="1"/>
    </row>
    <row r="3251" spans="8:9" x14ac:dyDescent="0.2">
      <c r="H3251" s="1"/>
      <c r="I3251" s="1"/>
    </row>
    <row r="3252" spans="8:9" x14ac:dyDescent="0.2">
      <c r="H3252" s="1"/>
      <c r="I3252" s="1"/>
    </row>
    <row r="3253" spans="8:9" x14ac:dyDescent="0.2">
      <c r="H3253" s="1"/>
      <c r="I3253" s="1"/>
    </row>
    <row r="3254" spans="8:9" x14ac:dyDescent="0.2">
      <c r="H3254" s="1"/>
      <c r="I3254" s="1"/>
    </row>
    <row r="3255" spans="8:9" x14ac:dyDescent="0.2">
      <c r="H3255" s="1"/>
      <c r="I3255" s="1"/>
    </row>
    <row r="3256" spans="8:9" x14ac:dyDescent="0.2">
      <c r="H3256" s="1"/>
      <c r="I3256" s="1"/>
    </row>
    <row r="3257" spans="8:9" x14ac:dyDescent="0.2">
      <c r="H3257" s="1"/>
      <c r="I3257" s="1"/>
    </row>
    <row r="3258" spans="8:9" x14ac:dyDescent="0.2">
      <c r="H3258" s="1"/>
      <c r="I3258" s="1"/>
    </row>
    <row r="3259" spans="8:9" x14ac:dyDescent="0.2">
      <c r="H3259" s="1"/>
      <c r="I3259" s="1"/>
    </row>
    <row r="3260" spans="8:9" x14ac:dyDescent="0.2">
      <c r="H3260" s="1"/>
      <c r="I3260" s="1"/>
    </row>
    <row r="3261" spans="8:9" x14ac:dyDescent="0.2">
      <c r="H3261" s="1"/>
      <c r="I3261" s="1"/>
    </row>
    <row r="3262" spans="8:9" x14ac:dyDescent="0.2">
      <c r="H3262" s="1"/>
      <c r="I3262" s="1"/>
    </row>
    <row r="3263" spans="8:9" x14ac:dyDescent="0.2">
      <c r="H3263" s="1"/>
      <c r="I3263" s="1"/>
    </row>
    <row r="3264" spans="8:9" x14ac:dyDescent="0.2">
      <c r="H3264" s="1"/>
      <c r="I3264" s="1"/>
    </row>
    <row r="3265" spans="8:9" x14ac:dyDescent="0.2">
      <c r="H3265" s="1"/>
      <c r="I3265" s="1"/>
    </row>
    <row r="3266" spans="8:9" x14ac:dyDescent="0.2">
      <c r="H3266" s="1"/>
      <c r="I3266" s="1"/>
    </row>
    <row r="3267" spans="8:9" x14ac:dyDescent="0.2">
      <c r="H3267" s="1"/>
      <c r="I3267" s="1"/>
    </row>
    <row r="3268" spans="8:9" x14ac:dyDescent="0.2">
      <c r="H3268" s="1"/>
      <c r="I3268" s="1"/>
    </row>
    <row r="3269" spans="8:9" x14ac:dyDescent="0.2">
      <c r="H3269" s="1"/>
      <c r="I3269" s="1"/>
    </row>
    <row r="3270" spans="8:9" x14ac:dyDescent="0.2">
      <c r="H3270" s="1"/>
      <c r="I3270" s="1"/>
    </row>
    <row r="3271" spans="8:9" x14ac:dyDescent="0.2">
      <c r="H3271" s="1"/>
      <c r="I3271" s="1"/>
    </row>
    <row r="3272" spans="8:9" x14ac:dyDescent="0.2">
      <c r="H3272" s="1"/>
      <c r="I3272" s="1"/>
    </row>
    <row r="3273" spans="8:9" x14ac:dyDescent="0.2">
      <c r="H3273" s="1"/>
      <c r="I3273" s="1"/>
    </row>
    <row r="3274" spans="8:9" x14ac:dyDescent="0.2">
      <c r="H3274" s="1"/>
      <c r="I3274" s="1"/>
    </row>
    <row r="3275" spans="8:9" x14ac:dyDescent="0.2">
      <c r="H3275" s="1"/>
      <c r="I3275" s="1"/>
    </row>
    <row r="3276" spans="8:9" x14ac:dyDescent="0.2">
      <c r="H3276" s="1"/>
      <c r="I3276" s="1"/>
    </row>
    <row r="3277" spans="8:9" x14ac:dyDescent="0.2">
      <c r="H3277" s="1"/>
      <c r="I3277" s="1"/>
    </row>
    <row r="3278" spans="8:9" x14ac:dyDescent="0.2">
      <c r="H3278" s="1"/>
      <c r="I3278" s="1"/>
    </row>
    <row r="3279" spans="8:9" x14ac:dyDescent="0.2">
      <c r="H3279" s="1"/>
      <c r="I3279" s="1"/>
    </row>
    <row r="3280" spans="8:9" x14ac:dyDescent="0.2">
      <c r="H3280" s="1"/>
      <c r="I3280" s="1"/>
    </row>
    <row r="3281" spans="8:9" x14ac:dyDescent="0.2">
      <c r="H3281" s="1"/>
      <c r="I3281" s="1"/>
    </row>
    <row r="3282" spans="8:9" x14ac:dyDescent="0.2">
      <c r="H3282" s="1"/>
      <c r="I3282" s="1"/>
    </row>
    <row r="3283" spans="8:9" x14ac:dyDescent="0.2">
      <c r="H3283" s="1"/>
      <c r="I3283" s="1"/>
    </row>
    <row r="3284" spans="8:9" x14ac:dyDescent="0.2">
      <c r="H3284" s="1"/>
      <c r="I3284" s="1"/>
    </row>
    <row r="3285" spans="8:9" x14ac:dyDescent="0.2">
      <c r="H3285" s="1"/>
      <c r="I3285" s="1"/>
    </row>
    <row r="3286" spans="8:9" x14ac:dyDescent="0.2">
      <c r="H3286" s="1"/>
      <c r="I3286" s="1"/>
    </row>
    <row r="3287" spans="8:9" x14ac:dyDescent="0.2">
      <c r="H3287" s="1"/>
      <c r="I3287" s="1"/>
    </row>
    <row r="3288" spans="8:9" x14ac:dyDescent="0.2">
      <c r="H3288" s="1"/>
      <c r="I3288" s="1"/>
    </row>
    <row r="3289" spans="8:9" x14ac:dyDescent="0.2">
      <c r="H3289" s="1"/>
      <c r="I3289" s="1"/>
    </row>
    <row r="3290" spans="8:9" x14ac:dyDescent="0.2">
      <c r="H3290" s="1"/>
      <c r="I3290" s="1"/>
    </row>
    <row r="3291" spans="8:9" x14ac:dyDescent="0.2">
      <c r="H3291" s="1"/>
      <c r="I3291" s="1"/>
    </row>
    <row r="3292" spans="8:9" x14ac:dyDescent="0.2">
      <c r="H3292" s="1"/>
      <c r="I3292" s="1"/>
    </row>
    <row r="3293" spans="8:9" x14ac:dyDescent="0.2">
      <c r="H3293" s="1"/>
      <c r="I3293" s="1"/>
    </row>
    <row r="3294" spans="8:9" x14ac:dyDescent="0.2">
      <c r="H3294" s="1"/>
      <c r="I3294" s="1"/>
    </row>
    <row r="3295" spans="8:9" x14ac:dyDescent="0.2">
      <c r="H3295" s="1"/>
      <c r="I3295" s="1"/>
    </row>
    <row r="3296" spans="8:9" x14ac:dyDescent="0.2">
      <c r="H3296" s="1"/>
      <c r="I3296" s="1"/>
    </row>
    <row r="3297" spans="8:9" x14ac:dyDescent="0.2">
      <c r="H3297" s="1"/>
      <c r="I3297" s="1"/>
    </row>
    <row r="3298" spans="8:9" x14ac:dyDescent="0.2">
      <c r="H3298" s="1"/>
      <c r="I3298" s="1"/>
    </row>
    <row r="3299" spans="8:9" x14ac:dyDescent="0.2">
      <c r="H3299" s="1"/>
      <c r="I3299" s="1"/>
    </row>
    <row r="3300" spans="8:9" x14ac:dyDescent="0.2">
      <c r="H3300" s="1"/>
      <c r="I3300" s="1"/>
    </row>
    <row r="3301" spans="8:9" x14ac:dyDescent="0.2">
      <c r="H3301" s="1"/>
      <c r="I3301" s="1"/>
    </row>
    <row r="3302" spans="8:9" x14ac:dyDescent="0.2">
      <c r="H3302" s="1"/>
      <c r="I3302" s="1"/>
    </row>
    <row r="3303" spans="8:9" x14ac:dyDescent="0.2">
      <c r="H3303" s="1"/>
      <c r="I3303" s="1"/>
    </row>
    <row r="3304" spans="8:9" x14ac:dyDescent="0.2">
      <c r="H3304" s="1"/>
      <c r="I3304" s="1"/>
    </row>
    <row r="3305" spans="8:9" x14ac:dyDescent="0.2">
      <c r="H3305" s="1"/>
      <c r="I3305" s="1"/>
    </row>
    <row r="3306" spans="8:9" x14ac:dyDescent="0.2">
      <c r="H3306" s="1"/>
      <c r="I3306" s="1"/>
    </row>
    <row r="3307" spans="8:9" x14ac:dyDescent="0.2">
      <c r="H3307" s="1"/>
      <c r="I3307" s="1"/>
    </row>
    <row r="3308" spans="8:9" x14ac:dyDescent="0.2">
      <c r="H3308" s="1"/>
      <c r="I3308" s="1"/>
    </row>
    <row r="3309" spans="8:9" x14ac:dyDescent="0.2">
      <c r="H3309" s="1"/>
      <c r="I3309" s="1"/>
    </row>
    <row r="3310" spans="8:9" x14ac:dyDescent="0.2">
      <c r="H3310" s="1"/>
      <c r="I3310" s="1"/>
    </row>
    <row r="3311" spans="8:9" x14ac:dyDescent="0.2">
      <c r="H3311" s="1"/>
      <c r="I3311" s="1"/>
    </row>
    <row r="3312" spans="8:9" x14ac:dyDescent="0.2">
      <c r="H3312" s="1"/>
      <c r="I3312" s="1"/>
    </row>
    <row r="3313" spans="8:9" x14ac:dyDescent="0.2">
      <c r="H3313" s="1"/>
      <c r="I3313" s="1"/>
    </row>
    <row r="3314" spans="8:9" x14ac:dyDescent="0.2">
      <c r="H3314" s="1"/>
      <c r="I3314" s="1"/>
    </row>
    <row r="3315" spans="8:9" x14ac:dyDescent="0.2">
      <c r="H3315" s="1"/>
      <c r="I3315" s="1"/>
    </row>
    <row r="3316" spans="8:9" x14ac:dyDescent="0.2">
      <c r="H3316" s="1"/>
      <c r="I3316" s="1"/>
    </row>
    <row r="3317" spans="8:9" x14ac:dyDescent="0.2">
      <c r="H3317" s="1"/>
      <c r="I3317" s="1"/>
    </row>
    <row r="3318" spans="8:9" x14ac:dyDescent="0.2">
      <c r="H3318" s="1"/>
      <c r="I3318" s="1"/>
    </row>
    <row r="3319" spans="8:9" x14ac:dyDescent="0.2">
      <c r="H3319" s="1"/>
      <c r="I3319" s="1"/>
    </row>
    <row r="3320" spans="8:9" x14ac:dyDescent="0.2">
      <c r="H3320" s="1"/>
      <c r="I3320" s="1"/>
    </row>
    <row r="3321" spans="8:9" x14ac:dyDescent="0.2">
      <c r="H3321" s="1"/>
      <c r="I3321" s="1"/>
    </row>
    <row r="3322" spans="8:9" x14ac:dyDescent="0.2">
      <c r="H3322" s="1"/>
      <c r="I3322" s="1"/>
    </row>
    <row r="3323" spans="8:9" x14ac:dyDescent="0.2">
      <c r="H3323" s="1"/>
      <c r="I3323" s="1"/>
    </row>
    <row r="3324" spans="8:9" x14ac:dyDescent="0.2">
      <c r="H3324" s="1"/>
      <c r="I3324" s="1"/>
    </row>
    <row r="3325" spans="8:9" x14ac:dyDescent="0.2">
      <c r="H3325" s="1"/>
      <c r="I3325" s="1"/>
    </row>
    <row r="3326" spans="8:9" x14ac:dyDescent="0.2">
      <c r="H3326" s="1"/>
      <c r="I3326" s="1"/>
    </row>
    <row r="3327" spans="8:9" x14ac:dyDescent="0.2">
      <c r="H3327" s="1"/>
      <c r="I3327" s="1"/>
    </row>
    <row r="3328" spans="8:9" x14ac:dyDescent="0.2">
      <c r="H3328" s="1"/>
      <c r="I3328" s="1"/>
    </row>
    <row r="3329" spans="8:9" x14ac:dyDescent="0.2">
      <c r="H3329" s="1"/>
      <c r="I3329" s="1"/>
    </row>
    <row r="3330" spans="8:9" x14ac:dyDescent="0.2">
      <c r="H3330" s="1"/>
      <c r="I3330" s="1"/>
    </row>
    <row r="3331" spans="8:9" x14ac:dyDescent="0.2">
      <c r="H3331" s="1"/>
      <c r="I3331" s="1"/>
    </row>
    <row r="3332" spans="8:9" x14ac:dyDescent="0.2">
      <c r="H3332" s="1"/>
      <c r="I3332" s="1"/>
    </row>
    <row r="3333" spans="8:9" x14ac:dyDescent="0.2">
      <c r="H3333" s="1"/>
      <c r="I3333" s="1"/>
    </row>
    <row r="3334" spans="8:9" x14ac:dyDescent="0.2">
      <c r="H3334" s="1"/>
      <c r="I3334" s="1"/>
    </row>
    <row r="3335" spans="8:9" x14ac:dyDescent="0.2">
      <c r="H3335" s="1"/>
      <c r="I3335" s="1"/>
    </row>
    <row r="3336" spans="8:9" x14ac:dyDescent="0.2">
      <c r="H3336" s="1"/>
      <c r="I3336" s="1"/>
    </row>
    <row r="3337" spans="8:9" x14ac:dyDescent="0.2">
      <c r="H3337" s="1"/>
      <c r="I3337" s="1"/>
    </row>
    <row r="3338" spans="8:9" x14ac:dyDescent="0.2">
      <c r="H3338" s="1"/>
      <c r="I3338" s="1"/>
    </row>
    <row r="3339" spans="8:9" x14ac:dyDescent="0.2">
      <c r="H3339" s="1"/>
      <c r="I3339" s="1"/>
    </row>
    <row r="3340" spans="8:9" x14ac:dyDescent="0.2">
      <c r="H3340" s="1"/>
      <c r="I3340" s="1"/>
    </row>
    <row r="3341" spans="8:9" x14ac:dyDescent="0.2">
      <c r="H3341" s="1"/>
      <c r="I3341" s="1"/>
    </row>
    <row r="3342" spans="8:9" x14ac:dyDescent="0.2">
      <c r="H3342" s="1"/>
      <c r="I3342" s="1"/>
    </row>
    <row r="3343" spans="8:9" x14ac:dyDescent="0.2">
      <c r="H3343" s="1"/>
      <c r="I3343" s="1"/>
    </row>
    <row r="3344" spans="8:9" x14ac:dyDescent="0.2">
      <c r="H3344" s="1"/>
      <c r="I3344" s="1"/>
    </row>
    <row r="3345" spans="8:9" x14ac:dyDescent="0.2">
      <c r="H3345" s="1"/>
      <c r="I3345" s="1"/>
    </row>
    <row r="3346" spans="8:9" x14ac:dyDescent="0.2">
      <c r="H3346" s="1"/>
      <c r="I3346" s="1"/>
    </row>
    <row r="3347" spans="8:9" x14ac:dyDescent="0.2">
      <c r="H3347" s="1"/>
      <c r="I3347" s="1"/>
    </row>
    <row r="3348" spans="8:9" x14ac:dyDescent="0.2">
      <c r="H3348" s="1"/>
      <c r="I3348" s="1"/>
    </row>
    <row r="3349" spans="8:9" x14ac:dyDescent="0.2">
      <c r="H3349" s="1"/>
      <c r="I3349" s="1"/>
    </row>
    <row r="3350" spans="8:9" x14ac:dyDescent="0.2">
      <c r="H3350" s="1"/>
      <c r="I3350" s="1"/>
    </row>
    <row r="3351" spans="8:9" x14ac:dyDescent="0.2">
      <c r="H3351" s="1"/>
      <c r="I3351" s="1"/>
    </row>
    <row r="3352" spans="8:9" x14ac:dyDescent="0.2">
      <c r="H3352" s="1"/>
      <c r="I3352" s="1"/>
    </row>
    <row r="3353" spans="8:9" x14ac:dyDescent="0.2">
      <c r="H3353" s="1"/>
      <c r="I3353" s="1"/>
    </row>
    <row r="3354" spans="8:9" x14ac:dyDescent="0.2">
      <c r="H3354" s="1"/>
      <c r="I3354" s="1"/>
    </row>
    <row r="3355" spans="8:9" x14ac:dyDescent="0.2">
      <c r="H3355" s="1"/>
      <c r="I3355" s="1"/>
    </row>
    <row r="3356" spans="8:9" x14ac:dyDescent="0.2">
      <c r="H3356" s="1"/>
      <c r="I3356" s="1"/>
    </row>
    <row r="3357" spans="8:9" x14ac:dyDescent="0.2">
      <c r="H3357" s="1"/>
      <c r="I3357" s="1"/>
    </row>
    <row r="3358" spans="8:9" x14ac:dyDescent="0.2">
      <c r="H3358" s="1"/>
      <c r="I3358" s="1"/>
    </row>
    <row r="3359" spans="8:9" x14ac:dyDescent="0.2">
      <c r="H3359" s="1"/>
      <c r="I3359" s="1"/>
    </row>
    <row r="3360" spans="8:9" x14ac:dyDescent="0.2">
      <c r="H3360" s="1"/>
      <c r="I3360" s="1"/>
    </row>
    <row r="3361" spans="8:9" x14ac:dyDescent="0.2">
      <c r="H3361" s="1"/>
      <c r="I3361" s="1"/>
    </row>
    <row r="3362" spans="8:9" x14ac:dyDescent="0.2">
      <c r="H3362" s="1"/>
      <c r="I3362" s="1"/>
    </row>
    <row r="3363" spans="8:9" x14ac:dyDescent="0.2">
      <c r="H3363" s="1"/>
      <c r="I3363" s="1"/>
    </row>
    <row r="3364" spans="8:9" x14ac:dyDescent="0.2">
      <c r="H3364" s="1"/>
      <c r="I3364" s="1"/>
    </row>
    <row r="3365" spans="8:9" x14ac:dyDescent="0.2">
      <c r="H3365" s="1"/>
      <c r="I3365" s="1"/>
    </row>
    <row r="3366" spans="8:9" x14ac:dyDescent="0.2">
      <c r="H3366" s="1"/>
      <c r="I3366" s="1"/>
    </row>
    <row r="3367" spans="8:9" x14ac:dyDescent="0.2">
      <c r="H3367" s="1"/>
      <c r="I3367" s="1"/>
    </row>
    <row r="3368" spans="8:9" x14ac:dyDescent="0.2">
      <c r="H3368" s="1"/>
      <c r="I3368" s="1"/>
    </row>
    <row r="3369" spans="8:9" x14ac:dyDescent="0.2">
      <c r="H3369" s="1"/>
      <c r="I3369" s="1"/>
    </row>
    <row r="3370" spans="8:9" x14ac:dyDescent="0.2">
      <c r="H3370" s="1"/>
      <c r="I3370" s="1"/>
    </row>
    <row r="3371" spans="8:9" x14ac:dyDescent="0.2">
      <c r="H3371" s="1"/>
      <c r="I3371" s="1"/>
    </row>
    <row r="3372" spans="8:9" x14ac:dyDescent="0.2">
      <c r="H3372" s="1"/>
      <c r="I3372" s="1"/>
    </row>
    <row r="3373" spans="8:9" x14ac:dyDescent="0.2">
      <c r="H3373" s="1"/>
      <c r="I3373" s="1"/>
    </row>
    <row r="3374" spans="8:9" x14ac:dyDescent="0.2">
      <c r="H3374" s="1"/>
      <c r="I3374" s="1"/>
    </row>
    <row r="3375" spans="8:9" x14ac:dyDescent="0.2">
      <c r="H3375" s="1"/>
      <c r="I3375" s="1"/>
    </row>
    <row r="3376" spans="8:9" x14ac:dyDescent="0.2">
      <c r="H3376" s="1"/>
      <c r="I3376" s="1"/>
    </row>
    <row r="3377" spans="8:9" x14ac:dyDescent="0.2">
      <c r="H3377" s="1"/>
      <c r="I3377" s="1"/>
    </row>
    <row r="3378" spans="8:9" x14ac:dyDescent="0.2">
      <c r="H3378" s="1"/>
      <c r="I3378" s="1"/>
    </row>
    <row r="3379" spans="8:9" x14ac:dyDescent="0.2">
      <c r="H3379" s="1"/>
      <c r="I3379" s="1"/>
    </row>
    <row r="3380" spans="8:9" x14ac:dyDescent="0.2">
      <c r="H3380" s="1"/>
      <c r="I3380" s="1"/>
    </row>
    <row r="3381" spans="8:9" x14ac:dyDescent="0.2">
      <c r="H3381" s="1"/>
      <c r="I3381" s="1"/>
    </row>
    <row r="3382" spans="8:9" x14ac:dyDescent="0.2">
      <c r="H3382" s="1"/>
      <c r="I3382" s="1"/>
    </row>
    <row r="3383" spans="8:9" x14ac:dyDescent="0.2">
      <c r="H3383" s="1"/>
      <c r="I3383" s="1"/>
    </row>
    <row r="3384" spans="8:9" x14ac:dyDescent="0.2">
      <c r="H3384" s="1"/>
      <c r="I3384" s="1"/>
    </row>
    <row r="3385" spans="8:9" x14ac:dyDescent="0.2">
      <c r="H3385" s="1"/>
      <c r="I3385" s="1"/>
    </row>
    <row r="3386" spans="8:9" x14ac:dyDescent="0.2">
      <c r="H3386" s="1"/>
      <c r="I3386" s="1"/>
    </row>
    <row r="3387" spans="8:9" x14ac:dyDescent="0.2">
      <c r="H3387" s="1"/>
      <c r="I3387" s="1"/>
    </row>
    <row r="3388" spans="8:9" x14ac:dyDescent="0.2">
      <c r="H3388" s="1"/>
      <c r="I3388" s="1"/>
    </row>
    <row r="3389" spans="8:9" x14ac:dyDescent="0.2">
      <c r="H3389" s="1"/>
      <c r="I3389" s="1"/>
    </row>
    <row r="3390" spans="8:9" x14ac:dyDescent="0.2">
      <c r="H3390" s="1"/>
      <c r="I3390" s="1"/>
    </row>
    <row r="3391" spans="8:9" x14ac:dyDescent="0.2">
      <c r="H3391" s="1"/>
      <c r="I3391" s="1"/>
    </row>
    <row r="3392" spans="8:9" x14ac:dyDescent="0.2">
      <c r="H3392" s="1"/>
      <c r="I3392" s="1"/>
    </row>
    <row r="3393" spans="8:9" x14ac:dyDescent="0.2">
      <c r="H3393" s="1"/>
      <c r="I3393" s="1"/>
    </row>
    <row r="3394" spans="8:9" x14ac:dyDescent="0.2">
      <c r="H3394" s="1"/>
      <c r="I3394" s="1"/>
    </row>
    <row r="3395" spans="8:9" x14ac:dyDescent="0.2">
      <c r="H3395" s="1"/>
      <c r="I3395" s="1"/>
    </row>
    <row r="3396" spans="8:9" x14ac:dyDescent="0.2">
      <c r="H3396" s="1"/>
      <c r="I3396" s="1"/>
    </row>
    <row r="3397" spans="8:9" x14ac:dyDescent="0.2">
      <c r="H3397" s="1"/>
      <c r="I3397" s="1"/>
    </row>
    <row r="3398" spans="8:9" x14ac:dyDescent="0.2">
      <c r="H3398" s="1"/>
      <c r="I3398" s="1"/>
    </row>
    <row r="3399" spans="8:9" x14ac:dyDescent="0.2">
      <c r="H3399" s="1"/>
      <c r="I3399" s="1"/>
    </row>
    <row r="3400" spans="8:9" x14ac:dyDescent="0.2">
      <c r="H3400" s="1"/>
      <c r="I3400" s="1"/>
    </row>
    <row r="3401" spans="8:9" x14ac:dyDescent="0.2">
      <c r="H3401" s="1"/>
      <c r="I3401" s="1"/>
    </row>
    <row r="3402" spans="8:9" x14ac:dyDescent="0.2">
      <c r="H3402" s="1"/>
      <c r="I3402" s="1"/>
    </row>
    <row r="3403" spans="8:9" x14ac:dyDescent="0.2">
      <c r="H3403" s="1"/>
      <c r="I3403" s="1"/>
    </row>
    <row r="3404" spans="8:9" x14ac:dyDescent="0.2">
      <c r="H3404" s="1"/>
      <c r="I3404" s="1"/>
    </row>
    <row r="3405" spans="8:9" x14ac:dyDescent="0.2">
      <c r="H3405" s="1"/>
      <c r="I3405" s="1"/>
    </row>
    <row r="3406" spans="8:9" x14ac:dyDescent="0.2">
      <c r="H3406" s="1"/>
      <c r="I3406" s="1"/>
    </row>
    <row r="3407" spans="8:9" x14ac:dyDescent="0.2">
      <c r="H3407" s="1"/>
      <c r="I3407" s="1"/>
    </row>
    <row r="3408" spans="8:9" x14ac:dyDescent="0.2">
      <c r="H3408" s="1"/>
      <c r="I3408" s="1"/>
    </row>
    <row r="3409" spans="8:9" x14ac:dyDescent="0.2">
      <c r="H3409" s="1"/>
      <c r="I3409" s="1"/>
    </row>
    <row r="3410" spans="8:9" x14ac:dyDescent="0.2">
      <c r="H3410" s="1"/>
      <c r="I3410" s="1"/>
    </row>
    <row r="3411" spans="8:9" x14ac:dyDescent="0.2">
      <c r="H3411" s="1"/>
      <c r="I3411" s="1"/>
    </row>
    <row r="3412" spans="8:9" x14ac:dyDescent="0.2">
      <c r="H3412" s="1"/>
      <c r="I3412" s="1"/>
    </row>
    <row r="3413" spans="8:9" x14ac:dyDescent="0.2">
      <c r="H3413" s="1"/>
      <c r="I3413" s="1"/>
    </row>
    <row r="3414" spans="8:9" x14ac:dyDescent="0.2">
      <c r="H3414" s="1"/>
      <c r="I3414" s="1"/>
    </row>
    <row r="3415" spans="8:9" x14ac:dyDescent="0.2">
      <c r="H3415" s="1"/>
      <c r="I3415" s="1"/>
    </row>
    <row r="3416" spans="8:9" x14ac:dyDescent="0.2">
      <c r="H3416" s="1"/>
      <c r="I3416" s="1"/>
    </row>
    <row r="3417" spans="8:9" x14ac:dyDescent="0.2">
      <c r="H3417" s="1"/>
      <c r="I3417" s="1"/>
    </row>
    <row r="3418" spans="8:9" x14ac:dyDescent="0.2">
      <c r="H3418" s="1"/>
      <c r="I3418" s="1"/>
    </row>
    <row r="3419" spans="8:9" x14ac:dyDescent="0.2">
      <c r="H3419" s="1"/>
      <c r="I3419" s="1"/>
    </row>
    <row r="3420" spans="8:9" x14ac:dyDescent="0.2">
      <c r="H3420" s="1"/>
      <c r="I3420" s="1"/>
    </row>
    <row r="3421" spans="8:9" x14ac:dyDescent="0.2">
      <c r="H3421" s="1"/>
      <c r="I3421" s="1"/>
    </row>
    <row r="3422" spans="8:9" x14ac:dyDescent="0.2">
      <c r="H3422" s="1"/>
      <c r="I3422" s="1"/>
    </row>
    <row r="3423" spans="8:9" x14ac:dyDescent="0.2">
      <c r="H3423" s="1"/>
      <c r="I3423" s="1"/>
    </row>
    <row r="3424" spans="8:9" x14ac:dyDescent="0.2">
      <c r="H3424" s="1"/>
      <c r="I3424" s="1"/>
    </row>
    <row r="3425" spans="8:9" x14ac:dyDescent="0.2">
      <c r="H3425" s="1"/>
      <c r="I3425" s="1"/>
    </row>
    <row r="3426" spans="8:9" x14ac:dyDescent="0.2">
      <c r="H3426" s="1"/>
      <c r="I3426" s="1"/>
    </row>
    <row r="3427" spans="8:9" x14ac:dyDescent="0.2">
      <c r="H3427" s="1"/>
      <c r="I3427" s="1"/>
    </row>
    <row r="3428" spans="8:9" x14ac:dyDescent="0.2">
      <c r="H3428" s="1"/>
      <c r="I3428" s="1"/>
    </row>
    <row r="3429" spans="8:9" x14ac:dyDescent="0.2">
      <c r="H3429" s="1"/>
      <c r="I3429" s="1"/>
    </row>
    <row r="3430" spans="8:9" x14ac:dyDescent="0.2">
      <c r="H3430" s="1"/>
      <c r="I3430" s="1"/>
    </row>
    <row r="3431" spans="8:9" x14ac:dyDescent="0.2">
      <c r="H3431" s="1"/>
      <c r="I3431" s="1"/>
    </row>
    <row r="3432" spans="8:9" x14ac:dyDescent="0.2">
      <c r="H3432" s="1"/>
      <c r="I3432" s="1"/>
    </row>
    <row r="3433" spans="8:9" x14ac:dyDescent="0.2">
      <c r="H3433" s="1"/>
      <c r="I3433" s="1"/>
    </row>
    <row r="3434" spans="8:9" x14ac:dyDescent="0.2">
      <c r="H3434" s="1"/>
      <c r="I3434" s="1"/>
    </row>
    <row r="3435" spans="8:9" x14ac:dyDescent="0.2">
      <c r="H3435" s="1"/>
      <c r="I3435" s="1"/>
    </row>
    <row r="3436" spans="8:9" x14ac:dyDescent="0.2">
      <c r="H3436" s="1"/>
      <c r="I3436" s="1"/>
    </row>
    <row r="3437" spans="8:9" x14ac:dyDescent="0.2">
      <c r="H3437" s="1"/>
      <c r="I3437" s="1"/>
    </row>
    <row r="3438" spans="8:9" x14ac:dyDescent="0.2">
      <c r="H3438" s="1"/>
      <c r="I3438" s="1"/>
    </row>
    <row r="3439" spans="8:9" x14ac:dyDescent="0.2">
      <c r="H3439" s="1"/>
      <c r="I3439" s="1"/>
    </row>
    <row r="3440" spans="8:9" x14ac:dyDescent="0.2">
      <c r="H3440" s="1"/>
      <c r="I3440" s="1"/>
    </row>
    <row r="3441" spans="8:9" x14ac:dyDescent="0.2">
      <c r="H3441" s="1"/>
      <c r="I3441" s="1"/>
    </row>
    <row r="3442" spans="8:9" x14ac:dyDescent="0.2">
      <c r="H3442" s="1"/>
      <c r="I3442" s="1"/>
    </row>
    <row r="3443" spans="8:9" x14ac:dyDescent="0.2">
      <c r="H3443" s="1"/>
      <c r="I3443" s="1"/>
    </row>
    <row r="3444" spans="8:9" x14ac:dyDescent="0.2">
      <c r="H3444" s="1"/>
      <c r="I3444" s="1"/>
    </row>
    <row r="3445" spans="8:9" x14ac:dyDescent="0.2">
      <c r="H3445" s="1"/>
      <c r="I3445" s="1"/>
    </row>
    <row r="3446" spans="8:9" x14ac:dyDescent="0.2">
      <c r="H3446" s="1"/>
      <c r="I3446" s="1"/>
    </row>
    <row r="3447" spans="8:9" x14ac:dyDescent="0.2">
      <c r="H3447" s="1"/>
      <c r="I3447" s="1"/>
    </row>
    <row r="3448" spans="8:9" x14ac:dyDescent="0.2">
      <c r="H3448" s="1"/>
      <c r="I3448" s="1"/>
    </row>
    <row r="3449" spans="8:9" x14ac:dyDescent="0.2">
      <c r="H3449" s="1"/>
      <c r="I3449" s="1"/>
    </row>
    <row r="3450" spans="8:9" x14ac:dyDescent="0.2">
      <c r="H3450" s="1"/>
      <c r="I3450" s="1"/>
    </row>
    <row r="3451" spans="8:9" x14ac:dyDescent="0.2">
      <c r="H3451" s="1"/>
      <c r="I3451" s="1"/>
    </row>
    <row r="3452" spans="8:9" x14ac:dyDescent="0.2">
      <c r="H3452" s="1"/>
      <c r="I3452" s="1"/>
    </row>
    <row r="3453" spans="8:9" x14ac:dyDescent="0.2">
      <c r="H3453" s="1"/>
      <c r="I3453" s="1"/>
    </row>
    <row r="3454" spans="8:9" x14ac:dyDescent="0.2">
      <c r="H3454" s="1"/>
      <c r="I3454" s="1"/>
    </row>
    <row r="3455" spans="8:9" x14ac:dyDescent="0.2">
      <c r="H3455" s="1"/>
      <c r="I3455" s="1"/>
    </row>
    <row r="3456" spans="8:9" x14ac:dyDescent="0.2">
      <c r="H3456" s="1"/>
      <c r="I3456" s="1"/>
    </row>
    <row r="3457" spans="8:9" x14ac:dyDescent="0.2">
      <c r="H3457" s="1"/>
      <c r="I3457" s="1"/>
    </row>
    <row r="3458" spans="8:9" x14ac:dyDescent="0.2">
      <c r="H3458" s="1"/>
      <c r="I3458" s="1"/>
    </row>
    <row r="3459" spans="8:9" x14ac:dyDescent="0.2">
      <c r="H3459" s="1"/>
      <c r="I3459" s="1"/>
    </row>
    <row r="3460" spans="8:9" x14ac:dyDescent="0.2">
      <c r="H3460" s="1"/>
      <c r="I3460" s="1"/>
    </row>
    <row r="3461" spans="8:9" x14ac:dyDescent="0.2">
      <c r="H3461" s="1"/>
      <c r="I3461" s="1"/>
    </row>
    <row r="3462" spans="8:9" x14ac:dyDescent="0.2">
      <c r="H3462" s="1"/>
      <c r="I3462" s="1"/>
    </row>
    <row r="3463" spans="8:9" x14ac:dyDescent="0.2">
      <c r="H3463" s="1"/>
      <c r="I3463" s="1"/>
    </row>
    <row r="3464" spans="8:9" x14ac:dyDescent="0.2">
      <c r="H3464" s="1"/>
      <c r="I3464" s="1"/>
    </row>
    <row r="3465" spans="8:9" x14ac:dyDescent="0.2">
      <c r="H3465" s="1"/>
      <c r="I3465" s="1"/>
    </row>
    <row r="3466" spans="8:9" x14ac:dyDescent="0.2">
      <c r="H3466" s="1"/>
      <c r="I3466" s="1"/>
    </row>
    <row r="3467" spans="8:9" x14ac:dyDescent="0.2">
      <c r="H3467" s="1"/>
      <c r="I3467" s="1"/>
    </row>
    <row r="3468" spans="8:9" x14ac:dyDescent="0.2">
      <c r="H3468" s="1"/>
      <c r="I3468" s="1"/>
    </row>
    <row r="3469" spans="8:9" x14ac:dyDescent="0.2">
      <c r="H3469" s="1"/>
      <c r="I3469" s="1"/>
    </row>
    <row r="3470" spans="8:9" x14ac:dyDescent="0.2">
      <c r="H3470" s="1"/>
      <c r="I3470" s="1"/>
    </row>
    <row r="3471" spans="8:9" x14ac:dyDescent="0.2">
      <c r="H3471" s="1"/>
      <c r="I3471" s="1"/>
    </row>
    <row r="3472" spans="8:9" x14ac:dyDescent="0.2">
      <c r="H3472" s="1"/>
      <c r="I3472" s="1"/>
    </row>
    <row r="3473" spans="8:9" x14ac:dyDescent="0.2">
      <c r="H3473" s="1"/>
      <c r="I3473" s="1"/>
    </row>
    <row r="3474" spans="8:9" x14ac:dyDescent="0.2">
      <c r="H3474" s="1"/>
      <c r="I3474" s="1"/>
    </row>
    <row r="3475" spans="8:9" x14ac:dyDescent="0.2">
      <c r="H3475" s="1"/>
      <c r="I3475" s="1"/>
    </row>
    <row r="3476" spans="8:9" x14ac:dyDescent="0.2">
      <c r="H3476" s="1"/>
      <c r="I3476" s="1"/>
    </row>
    <row r="3477" spans="8:9" x14ac:dyDescent="0.2">
      <c r="H3477" s="1"/>
      <c r="I3477" s="1"/>
    </row>
    <row r="3478" spans="8:9" x14ac:dyDescent="0.2">
      <c r="H3478" s="1"/>
      <c r="I3478" s="1"/>
    </row>
    <row r="3479" spans="8:9" x14ac:dyDescent="0.2">
      <c r="H3479" s="1"/>
      <c r="I3479" s="1"/>
    </row>
    <row r="3480" spans="8:9" x14ac:dyDescent="0.2">
      <c r="H3480" s="1"/>
      <c r="I3480" s="1"/>
    </row>
    <row r="3481" spans="8:9" x14ac:dyDescent="0.2">
      <c r="H3481" s="1"/>
      <c r="I3481" s="1"/>
    </row>
    <row r="3482" spans="8:9" x14ac:dyDescent="0.2">
      <c r="H3482" s="1"/>
      <c r="I3482" s="1"/>
    </row>
    <row r="3483" spans="8:9" x14ac:dyDescent="0.2">
      <c r="H3483" s="1"/>
      <c r="I3483" s="1"/>
    </row>
    <row r="3484" spans="8:9" x14ac:dyDescent="0.2">
      <c r="H3484" s="1"/>
      <c r="I3484" s="1"/>
    </row>
    <row r="3485" spans="8:9" x14ac:dyDescent="0.2">
      <c r="H3485" s="1"/>
      <c r="I3485" s="1"/>
    </row>
    <row r="3486" spans="8:9" x14ac:dyDescent="0.2">
      <c r="H3486" s="1"/>
      <c r="I3486" s="1"/>
    </row>
    <row r="3487" spans="8:9" x14ac:dyDescent="0.2">
      <c r="H3487" s="1"/>
      <c r="I3487" s="1"/>
    </row>
    <row r="3488" spans="8:9" x14ac:dyDescent="0.2">
      <c r="H3488" s="1"/>
      <c r="I3488" s="1"/>
    </row>
    <row r="3489" spans="8:9" x14ac:dyDescent="0.2">
      <c r="H3489" s="1"/>
      <c r="I3489" s="1"/>
    </row>
    <row r="3490" spans="8:9" x14ac:dyDescent="0.2">
      <c r="H3490" s="1"/>
      <c r="I3490" s="1"/>
    </row>
    <row r="3491" spans="8:9" x14ac:dyDescent="0.2">
      <c r="H3491" s="1"/>
      <c r="I3491" s="1"/>
    </row>
    <row r="3492" spans="8:9" x14ac:dyDescent="0.2">
      <c r="H3492" s="1"/>
      <c r="I3492" s="1"/>
    </row>
    <row r="3493" spans="8:9" x14ac:dyDescent="0.2">
      <c r="H3493" s="1"/>
      <c r="I3493" s="1"/>
    </row>
    <row r="3494" spans="8:9" x14ac:dyDescent="0.2">
      <c r="H3494" s="1"/>
      <c r="I3494" s="1"/>
    </row>
    <row r="3495" spans="8:9" x14ac:dyDescent="0.2">
      <c r="H3495" s="1"/>
      <c r="I3495" s="1"/>
    </row>
    <row r="3496" spans="8:9" x14ac:dyDescent="0.2">
      <c r="H3496" s="1"/>
      <c r="I3496" s="1"/>
    </row>
    <row r="3497" spans="8:9" x14ac:dyDescent="0.2">
      <c r="H3497" s="1"/>
      <c r="I3497" s="1"/>
    </row>
    <row r="3498" spans="8:9" x14ac:dyDescent="0.2">
      <c r="H3498" s="1"/>
      <c r="I3498" s="1"/>
    </row>
    <row r="3499" spans="8:9" x14ac:dyDescent="0.2">
      <c r="H3499" s="1"/>
      <c r="I3499" s="1"/>
    </row>
    <row r="3500" spans="8:9" x14ac:dyDescent="0.2">
      <c r="H3500" s="1"/>
      <c r="I3500" s="1"/>
    </row>
    <row r="3501" spans="8:9" x14ac:dyDescent="0.2">
      <c r="H3501" s="1"/>
      <c r="I3501" s="1"/>
    </row>
    <row r="3502" spans="8:9" x14ac:dyDescent="0.2">
      <c r="H3502" s="1"/>
      <c r="I3502" s="1"/>
    </row>
    <row r="3503" spans="8:9" x14ac:dyDescent="0.2">
      <c r="H3503" s="1"/>
      <c r="I3503" s="1"/>
    </row>
    <row r="3504" spans="8:9" x14ac:dyDescent="0.2">
      <c r="H3504" s="1"/>
      <c r="I3504" s="1"/>
    </row>
    <row r="3505" spans="8:9" x14ac:dyDescent="0.2">
      <c r="H3505" s="1"/>
      <c r="I3505" s="1"/>
    </row>
    <row r="3506" spans="8:9" x14ac:dyDescent="0.2">
      <c r="H3506" s="1"/>
      <c r="I3506" s="1"/>
    </row>
    <row r="3507" spans="8:9" x14ac:dyDescent="0.2">
      <c r="H3507" s="1"/>
      <c r="I3507" s="1"/>
    </row>
    <row r="3508" spans="8:9" x14ac:dyDescent="0.2">
      <c r="H3508" s="1"/>
      <c r="I3508" s="1"/>
    </row>
    <row r="3509" spans="8:9" x14ac:dyDescent="0.2">
      <c r="H3509" s="1"/>
      <c r="I3509" s="1"/>
    </row>
    <row r="3510" spans="8:9" x14ac:dyDescent="0.2">
      <c r="H3510" s="1"/>
      <c r="I3510" s="1"/>
    </row>
    <row r="3511" spans="8:9" x14ac:dyDescent="0.2">
      <c r="H3511" s="1"/>
      <c r="I3511" s="1"/>
    </row>
    <row r="3512" spans="8:9" x14ac:dyDescent="0.2">
      <c r="H3512" s="1"/>
      <c r="I3512" s="1"/>
    </row>
    <row r="3513" spans="8:9" x14ac:dyDescent="0.2">
      <c r="H3513" s="1"/>
      <c r="I3513" s="1"/>
    </row>
    <row r="3514" spans="8:9" x14ac:dyDescent="0.2">
      <c r="H3514" s="1"/>
      <c r="I3514" s="1"/>
    </row>
    <row r="3515" spans="8:9" x14ac:dyDescent="0.2">
      <c r="H3515" s="1"/>
      <c r="I3515" s="1"/>
    </row>
    <row r="3516" spans="8:9" x14ac:dyDescent="0.2">
      <c r="H3516" s="1"/>
      <c r="I3516" s="1"/>
    </row>
    <row r="3517" spans="8:9" x14ac:dyDescent="0.2">
      <c r="H3517" s="1"/>
      <c r="I3517" s="1"/>
    </row>
    <row r="3518" spans="8:9" x14ac:dyDescent="0.2">
      <c r="H3518" s="1"/>
      <c r="I3518" s="1"/>
    </row>
    <row r="3519" spans="8:9" x14ac:dyDescent="0.2">
      <c r="H3519" s="1"/>
      <c r="I3519" s="1"/>
    </row>
    <row r="3520" spans="8:9" x14ac:dyDescent="0.2">
      <c r="H3520" s="1"/>
      <c r="I3520" s="1"/>
    </row>
    <row r="3521" spans="8:9" x14ac:dyDescent="0.2">
      <c r="H3521" s="1"/>
      <c r="I3521" s="1"/>
    </row>
    <row r="3522" spans="8:9" x14ac:dyDescent="0.2">
      <c r="H3522" s="1"/>
      <c r="I3522" s="1"/>
    </row>
    <row r="3523" spans="8:9" x14ac:dyDescent="0.2">
      <c r="H3523" s="1"/>
      <c r="I3523" s="1"/>
    </row>
    <row r="3524" spans="8:9" x14ac:dyDescent="0.2">
      <c r="H3524" s="1"/>
      <c r="I3524" s="1"/>
    </row>
    <row r="3525" spans="8:9" x14ac:dyDescent="0.2">
      <c r="H3525" s="1"/>
      <c r="I3525" s="1"/>
    </row>
    <row r="3526" spans="8:9" x14ac:dyDescent="0.2">
      <c r="H3526" s="1"/>
      <c r="I3526" s="1"/>
    </row>
    <row r="3527" spans="8:9" x14ac:dyDescent="0.2">
      <c r="H3527" s="1"/>
      <c r="I3527" s="1"/>
    </row>
    <row r="3528" spans="8:9" x14ac:dyDescent="0.2">
      <c r="H3528" s="1"/>
      <c r="I3528" s="1"/>
    </row>
    <row r="3529" spans="8:9" x14ac:dyDescent="0.2">
      <c r="H3529" s="1"/>
      <c r="I3529" s="1"/>
    </row>
    <row r="3530" spans="8:9" x14ac:dyDescent="0.2">
      <c r="H3530" s="1"/>
      <c r="I3530" s="1"/>
    </row>
    <row r="3531" spans="8:9" x14ac:dyDescent="0.2">
      <c r="H3531" s="1"/>
      <c r="I3531" s="1"/>
    </row>
    <row r="3532" spans="8:9" x14ac:dyDescent="0.2">
      <c r="H3532" s="1"/>
      <c r="I3532" s="1"/>
    </row>
    <row r="3533" spans="8:9" x14ac:dyDescent="0.2">
      <c r="H3533" s="1"/>
      <c r="I3533" s="1"/>
    </row>
    <row r="3534" spans="8:9" x14ac:dyDescent="0.2">
      <c r="H3534" s="1"/>
      <c r="I3534" s="1"/>
    </row>
    <row r="3535" spans="8:9" x14ac:dyDescent="0.2">
      <c r="H3535" s="1"/>
      <c r="I3535" s="1"/>
    </row>
    <row r="3536" spans="8:9" x14ac:dyDescent="0.2">
      <c r="H3536" s="1"/>
      <c r="I3536" s="1"/>
    </row>
    <row r="3537" spans="8:9" x14ac:dyDescent="0.2">
      <c r="H3537" s="1"/>
      <c r="I3537" s="1"/>
    </row>
    <row r="3538" spans="8:9" x14ac:dyDescent="0.2">
      <c r="H3538" s="1"/>
      <c r="I3538" s="1"/>
    </row>
    <row r="3539" spans="8:9" x14ac:dyDescent="0.2">
      <c r="H3539" s="1"/>
      <c r="I3539" s="1"/>
    </row>
    <row r="3540" spans="8:9" x14ac:dyDescent="0.2">
      <c r="H3540" s="1"/>
      <c r="I3540" s="1"/>
    </row>
    <row r="3541" spans="8:9" x14ac:dyDescent="0.2">
      <c r="H3541" s="1"/>
      <c r="I3541" s="1"/>
    </row>
    <row r="3542" spans="8:9" x14ac:dyDescent="0.2">
      <c r="H3542" s="1"/>
      <c r="I3542" s="1"/>
    </row>
    <row r="3543" spans="8:9" x14ac:dyDescent="0.2">
      <c r="H3543" s="1"/>
      <c r="I3543" s="1"/>
    </row>
    <row r="3544" spans="8:9" x14ac:dyDescent="0.2">
      <c r="H3544" s="1"/>
      <c r="I3544" s="1"/>
    </row>
    <row r="3545" spans="8:9" x14ac:dyDescent="0.2">
      <c r="H3545" s="1"/>
      <c r="I3545" s="1"/>
    </row>
    <row r="3546" spans="8:9" x14ac:dyDescent="0.2">
      <c r="H3546" s="1"/>
      <c r="I3546" s="1"/>
    </row>
    <row r="3547" spans="8:9" x14ac:dyDescent="0.2">
      <c r="H3547" s="1"/>
      <c r="I3547" s="1"/>
    </row>
    <row r="3548" spans="8:9" x14ac:dyDescent="0.2">
      <c r="H3548" s="1"/>
      <c r="I3548" s="1"/>
    </row>
    <row r="3549" spans="8:9" x14ac:dyDescent="0.2">
      <c r="H3549" s="1"/>
      <c r="I3549" s="1"/>
    </row>
    <row r="3550" spans="8:9" x14ac:dyDescent="0.2">
      <c r="H3550" s="1"/>
      <c r="I3550" s="1"/>
    </row>
    <row r="3551" spans="8:9" x14ac:dyDescent="0.2">
      <c r="H3551" s="1"/>
      <c r="I3551" s="1"/>
    </row>
    <row r="3552" spans="8:9" x14ac:dyDescent="0.2">
      <c r="H3552" s="1"/>
      <c r="I3552" s="1"/>
    </row>
    <row r="3553" spans="8:9" x14ac:dyDescent="0.2">
      <c r="H3553" s="1"/>
      <c r="I3553" s="1"/>
    </row>
    <row r="3554" spans="8:9" x14ac:dyDescent="0.2">
      <c r="H3554" s="1"/>
      <c r="I3554" s="1"/>
    </row>
    <row r="3555" spans="8:9" x14ac:dyDescent="0.2">
      <c r="H3555" s="1"/>
      <c r="I3555" s="1"/>
    </row>
    <row r="3556" spans="8:9" x14ac:dyDescent="0.2">
      <c r="H3556" s="1"/>
      <c r="I3556" s="1"/>
    </row>
    <row r="3557" spans="8:9" x14ac:dyDescent="0.2">
      <c r="H3557" s="1"/>
      <c r="I3557" s="1"/>
    </row>
    <row r="3558" spans="8:9" x14ac:dyDescent="0.2">
      <c r="H3558" s="1"/>
      <c r="I3558" s="1"/>
    </row>
    <row r="3559" spans="8:9" x14ac:dyDescent="0.2">
      <c r="H3559" s="1"/>
      <c r="I3559" s="1"/>
    </row>
    <row r="3560" spans="8:9" x14ac:dyDescent="0.2">
      <c r="H3560" s="1"/>
      <c r="I3560" s="1"/>
    </row>
    <row r="3561" spans="8:9" x14ac:dyDescent="0.2">
      <c r="H3561" s="1"/>
      <c r="I3561" s="1"/>
    </row>
    <row r="3562" spans="8:9" x14ac:dyDescent="0.2">
      <c r="H3562" s="1"/>
      <c r="I3562" s="1"/>
    </row>
    <row r="3563" spans="8:9" x14ac:dyDescent="0.2">
      <c r="H3563" s="1"/>
      <c r="I3563" s="1"/>
    </row>
    <row r="3564" spans="8:9" x14ac:dyDescent="0.2">
      <c r="H3564" s="1"/>
      <c r="I3564" s="1"/>
    </row>
    <row r="3565" spans="8:9" x14ac:dyDescent="0.2">
      <c r="H3565" s="1"/>
      <c r="I3565" s="1"/>
    </row>
    <row r="3566" spans="8:9" x14ac:dyDescent="0.2">
      <c r="H3566" s="1"/>
      <c r="I3566" s="1"/>
    </row>
    <row r="3567" spans="8:9" x14ac:dyDescent="0.2">
      <c r="H3567" s="1"/>
      <c r="I3567" s="1"/>
    </row>
    <row r="3568" spans="8:9" x14ac:dyDescent="0.2">
      <c r="H3568" s="1"/>
      <c r="I3568" s="1"/>
    </row>
    <row r="3569" spans="8:9" x14ac:dyDescent="0.2">
      <c r="H3569" s="1"/>
      <c r="I3569" s="1"/>
    </row>
    <row r="3570" spans="8:9" x14ac:dyDescent="0.2">
      <c r="H3570" s="1"/>
      <c r="I3570" s="1"/>
    </row>
    <row r="3571" spans="8:9" x14ac:dyDescent="0.2">
      <c r="H3571" s="1"/>
      <c r="I3571" s="1"/>
    </row>
    <row r="3572" spans="8:9" x14ac:dyDescent="0.2">
      <c r="H3572" s="1"/>
      <c r="I3572" s="1"/>
    </row>
    <row r="3573" spans="8:9" x14ac:dyDescent="0.2">
      <c r="H3573" s="1"/>
      <c r="I3573" s="1"/>
    </row>
    <row r="3574" spans="8:9" x14ac:dyDescent="0.2">
      <c r="H3574" s="1"/>
      <c r="I3574" s="1"/>
    </row>
    <row r="3575" spans="8:9" x14ac:dyDescent="0.2">
      <c r="H3575" s="1"/>
      <c r="I3575" s="1"/>
    </row>
    <row r="3576" spans="8:9" x14ac:dyDescent="0.2">
      <c r="H3576" s="1"/>
      <c r="I3576" s="1"/>
    </row>
    <row r="3577" spans="8:9" x14ac:dyDescent="0.2">
      <c r="H3577" s="1"/>
      <c r="I3577" s="1"/>
    </row>
    <row r="3578" spans="8:9" x14ac:dyDescent="0.2">
      <c r="H3578" s="1"/>
      <c r="I3578" s="1"/>
    </row>
    <row r="3579" spans="8:9" x14ac:dyDescent="0.2">
      <c r="H3579" s="1"/>
      <c r="I3579" s="1"/>
    </row>
    <row r="3580" spans="8:9" x14ac:dyDescent="0.2">
      <c r="H3580" s="1"/>
      <c r="I3580" s="1"/>
    </row>
    <row r="3581" spans="8:9" x14ac:dyDescent="0.2">
      <c r="H3581" s="1"/>
      <c r="I3581" s="1"/>
    </row>
    <row r="3582" spans="8:9" x14ac:dyDescent="0.2">
      <c r="H3582" s="1"/>
      <c r="I3582" s="1"/>
    </row>
    <row r="3583" spans="8:9" x14ac:dyDescent="0.2">
      <c r="H3583" s="1"/>
      <c r="I3583" s="1"/>
    </row>
    <row r="3584" spans="8:9" x14ac:dyDescent="0.2">
      <c r="H3584" s="1"/>
      <c r="I3584" s="1"/>
    </row>
    <row r="3585" spans="8:9" x14ac:dyDescent="0.2">
      <c r="H3585" s="1"/>
      <c r="I3585" s="1"/>
    </row>
    <row r="3586" spans="8:9" x14ac:dyDescent="0.2">
      <c r="H3586" s="1"/>
      <c r="I3586" s="1"/>
    </row>
    <row r="3587" spans="8:9" x14ac:dyDescent="0.2">
      <c r="H3587" s="1"/>
      <c r="I3587" s="1"/>
    </row>
    <row r="3588" spans="8:9" x14ac:dyDescent="0.2">
      <c r="H3588" s="1"/>
      <c r="I3588" s="1"/>
    </row>
    <row r="3589" spans="8:9" x14ac:dyDescent="0.2">
      <c r="H3589" s="1"/>
      <c r="I3589" s="1"/>
    </row>
    <row r="3590" spans="8:9" x14ac:dyDescent="0.2">
      <c r="H3590" s="1"/>
      <c r="I3590" s="1"/>
    </row>
    <row r="3591" spans="8:9" x14ac:dyDescent="0.2">
      <c r="H3591" s="1"/>
      <c r="I3591" s="1"/>
    </row>
    <row r="3592" spans="8:9" x14ac:dyDescent="0.2">
      <c r="H3592" s="1"/>
      <c r="I3592" s="1"/>
    </row>
    <row r="3593" spans="8:9" x14ac:dyDescent="0.2">
      <c r="H3593" s="1"/>
      <c r="I3593" s="1"/>
    </row>
    <row r="3594" spans="8:9" x14ac:dyDescent="0.2">
      <c r="H3594" s="1"/>
      <c r="I3594" s="1"/>
    </row>
    <row r="3595" spans="8:9" x14ac:dyDescent="0.2">
      <c r="H3595" s="1"/>
      <c r="I3595" s="1"/>
    </row>
    <row r="3596" spans="8:9" x14ac:dyDescent="0.2">
      <c r="H3596" s="1"/>
      <c r="I3596" s="1"/>
    </row>
    <row r="3597" spans="8:9" x14ac:dyDescent="0.2">
      <c r="H3597" s="1"/>
      <c r="I3597" s="1"/>
    </row>
    <row r="3598" spans="8:9" x14ac:dyDescent="0.2">
      <c r="H3598" s="1"/>
      <c r="I3598" s="1"/>
    </row>
    <row r="3599" spans="8:9" x14ac:dyDescent="0.2">
      <c r="H3599" s="1"/>
      <c r="I3599" s="1"/>
    </row>
    <row r="3600" spans="8:9" x14ac:dyDescent="0.2">
      <c r="H3600" s="1"/>
      <c r="I3600" s="1"/>
    </row>
    <row r="3601" spans="8:9" x14ac:dyDescent="0.2">
      <c r="H3601" s="1"/>
      <c r="I3601" s="1"/>
    </row>
    <row r="3602" spans="8:9" x14ac:dyDescent="0.2">
      <c r="H3602" s="1"/>
      <c r="I3602" s="1"/>
    </row>
    <row r="3603" spans="8:9" x14ac:dyDescent="0.2">
      <c r="H3603" s="1"/>
      <c r="I3603" s="1"/>
    </row>
    <row r="3604" spans="8:9" x14ac:dyDescent="0.2">
      <c r="H3604" s="1"/>
      <c r="I3604" s="1"/>
    </row>
    <row r="3605" spans="8:9" x14ac:dyDescent="0.2">
      <c r="H3605" s="1"/>
      <c r="I3605" s="1"/>
    </row>
    <row r="3606" spans="8:9" x14ac:dyDescent="0.2">
      <c r="H3606" s="1"/>
      <c r="I3606" s="1"/>
    </row>
    <row r="3607" spans="8:9" x14ac:dyDescent="0.2">
      <c r="H3607" s="1"/>
      <c r="I3607" s="1"/>
    </row>
    <row r="3608" spans="8:9" x14ac:dyDescent="0.2">
      <c r="H3608" s="1"/>
      <c r="I3608" s="1"/>
    </row>
    <row r="3609" spans="8:9" x14ac:dyDescent="0.2">
      <c r="H3609" s="1"/>
      <c r="I3609" s="1"/>
    </row>
    <row r="3610" spans="8:9" x14ac:dyDescent="0.2">
      <c r="H3610" s="1"/>
      <c r="I3610" s="1"/>
    </row>
    <row r="3611" spans="8:9" x14ac:dyDescent="0.2">
      <c r="H3611" s="1"/>
      <c r="I3611" s="1"/>
    </row>
    <row r="3612" spans="8:9" x14ac:dyDescent="0.2">
      <c r="H3612" s="1"/>
      <c r="I3612" s="1"/>
    </row>
    <row r="3613" spans="8:9" x14ac:dyDescent="0.2">
      <c r="H3613" s="1"/>
      <c r="I3613" s="1"/>
    </row>
    <row r="3614" spans="8:9" x14ac:dyDescent="0.2">
      <c r="H3614" s="1"/>
      <c r="I3614" s="1"/>
    </row>
    <row r="3615" spans="8:9" x14ac:dyDescent="0.2">
      <c r="H3615" s="1"/>
      <c r="I3615" s="1"/>
    </row>
    <row r="3616" spans="8:9" x14ac:dyDescent="0.2">
      <c r="H3616" s="1"/>
      <c r="I3616" s="1"/>
    </row>
    <row r="3617" spans="8:9" x14ac:dyDescent="0.2">
      <c r="H3617" s="1"/>
      <c r="I3617" s="1"/>
    </row>
    <row r="3618" spans="8:9" x14ac:dyDescent="0.2">
      <c r="H3618" s="1"/>
      <c r="I3618" s="1"/>
    </row>
    <row r="3619" spans="8:9" x14ac:dyDescent="0.2">
      <c r="H3619" s="1"/>
      <c r="I3619" s="1"/>
    </row>
    <row r="3620" spans="8:9" x14ac:dyDescent="0.2">
      <c r="H3620" s="1"/>
      <c r="I3620" s="1"/>
    </row>
    <row r="3621" spans="8:9" x14ac:dyDescent="0.2">
      <c r="H3621" s="1"/>
      <c r="I3621" s="1"/>
    </row>
    <row r="3622" spans="8:9" x14ac:dyDescent="0.2">
      <c r="H3622" s="1"/>
      <c r="I3622" s="1"/>
    </row>
    <row r="3623" spans="8:9" x14ac:dyDescent="0.2">
      <c r="H3623" s="1"/>
      <c r="I3623" s="1"/>
    </row>
    <row r="3624" spans="8:9" x14ac:dyDescent="0.2">
      <c r="H3624" s="1"/>
      <c r="I3624" s="1"/>
    </row>
    <row r="3625" spans="8:9" x14ac:dyDescent="0.2">
      <c r="H3625" s="1"/>
      <c r="I3625" s="1"/>
    </row>
    <row r="3626" spans="8:9" x14ac:dyDescent="0.2">
      <c r="H3626" s="1"/>
      <c r="I3626" s="1"/>
    </row>
    <row r="3627" spans="8:9" x14ac:dyDescent="0.2">
      <c r="H3627" s="1"/>
      <c r="I3627" s="1"/>
    </row>
    <row r="3628" spans="8:9" x14ac:dyDescent="0.2">
      <c r="H3628" s="1"/>
      <c r="I3628" s="1"/>
    </row>
    <row r="3629" spans="8:9" x14ac:dyDescent="0.2">
      <c r="H3629" s="1"/>
      <c r="I3629" s="1"/>
    </row>
    <row r="3630" spans="8:9" x14ac:dyDescent="0.2">
      <c r="H3630" s="1"/>
      <c r="I3630" s="1"/>
    </row>
    <row r="3631" spans="8:9" x14ac:dyDescent="0.2">
      <c r="H3631" s="1"/>
      <c r="I3631" s="1"/>
    </row>
    <row r="3632" spans="8:9" x14ac:dyDescent="0.2">
      <c r="H3632" s="1"/>
      <c r="I3632" s="1"/>
    </row>
    <row r="3633" spans="8:9" x14ac:dyDescent="0.2">
      <c r="H3633" s="1"/>
      <c r="I3633" s="1"/>
    </row>
    <row r="3634" spans="8:9" x14ac:dyDescent="0.2">
      <c r="H3634" s="1"/>
      <c r="I3634" s="1"/>
    </row>
    <row r="3635" spans="8:9" x14ac:dyDescent="0.2">
      <c r="H3635" s="1"/>
      <c r="I3635" s="1"/>
    </row>
    <row r="3636" spans="8:9" x14ac:dyDescent="0.2">
      <c r="H3636" s="1"/>
      <c r="I3636" s="1"/>
    </row>
    <row r="3637" spans="8:9" x14ac:dyDescent="0.2">
      <c r="H3637" s="1"/>
      <c r="I3637" s="1"/>
    </row>
    <row r="3638" spans="8:9" x14ac:dyDescent="0.2">
      <c r="H3638" s="1"/>
      <c r="I3638" s="1"/>
    </row>
    <row r="3639" spans="8:9" x14ac:dyDescent="0.2">
      <c r="H3639" s="1"/>
      <c r="I3639" s="1"/>
    </row>
    <row r="3640" spans="8:9" x14ac:dyDescent="0.2">
      <c r="H3640" s="1"/>
      <c r="I3640" s="1"/>
    </row>
    <row r="3641" spans="8:9" x14ac:dyDescent="0.2">
      <c r="H3641" s="1"/>
      <c r="I3641" s="1"/>
    </row>
    <row r="3642" spans="8:9" x14ac:dyDescent="0.2">
      <c r="H3642" s="1"/>
      <c r="I3642" s="1"/>
    </row>
    <row r="3643" spans="8:9" x14ac:dyDescent="0.2">
      <c r="H3643" s="1"/>
      <c r="I3643" s="1"/>
    </row>
    <row r="3644" spans="8:9" x14ac:dyDescent="0.2">
      <c r="H3644" s="1"/>
      <c r="I3644" s="1"/>
    </row>
    <row r="3645" spans="8:9" x14ac:dyDescent="0.2">
      <c r="H3645" s="1"/>
      <c r="I3645" s="1"/>
    </row>
    <row r="3646" spans="8:9" x14ac:dyDescent="0.2">
      <c r="H3646" s="1"/>
      <c r="I3646" s="1"/>
    </row>
    <row r="3647" spans="8:9" x14ac:dyDescent="0.2">
      <c r="H3647" s="1"/>
      <c r="I3647" s="1"/>
    </row>
    <row r="3648" spans="8:9" x14ac:dyDescent="0.2">
      <c r="H3648" s="1"/>
      <c r="I3648" s="1"/>
    </row>
    <row r="3649" spans="8:9" x14ac:dyDescent="0.2">
      <c r="H3649" s="1"/>
      <c r="I3649" s="1"/>
    </row>
    <row r="3650" spans="8:9" x14ac:dyDescent="0.2">
      <c r="H3650" s="1"/>
      <c r="I3650" s="1"/>
    </row>
    <row r="3651" spans="8:9" x14ac:dyDescent="0.2">
      <c r="H3651" s="1"/>
      <c r="I3651" s="1"/>
    </row>
    <row r="3652" spans="8:9" x14ac:dyDescent="0.2">
      <c r="H3652" s="1"/>
      <c r="I3652" s="1"/>
    </row>
    <row r="3653" spans="8:9" x14ac:dyDescent="0.2">
      <c r="H3653" s="1"/>
      <c r="I3653" s="1"/>
    </row>
    <row r="3654" spans="8:9" x14ac:dyDescent="0.2">
      <c r="H3654" s="1"/>
      <c r="I3654" s="1"/>
    </row>
    <row r="3655" spans="8:9" x14ac:dyDescent="0.2">
      <c r="H3655" s="1"/>
      <c r="I3655" s="1"/>
    </row>
    <row r="3656" spans="8:9" x14ac:dyDescent="0.2">
      <c r="H3656" s="1"/>
      <c r="I3656" s="1"/>
    </row>
    <row r="3657" spans="8:9" x14ac:dyDescent="0.2">
      <c r="H3657" s="1"/>
      <c r="I3657" s="1"/>
    </row>
    <row r="3658" spans="8:9" x14ac:dyDescent="0.2">
      <c r="H3658" s="1"/>
      <c r="I3658" s="1"/>
    </row>
    <row r="3659" spans="8:9" x14ac:dyDescent="0.2">
      <c r="H3659" s="1"/>
      <c r="I3659" s="1"/>
    </row>
    <row r="3660" spans="8:9" x14ac:dyDescent="0.2">
      <c r="H3660" s="1"/>
      <c r="I3660" s="1"/>
    </row>
    <row r="3661" spans="8:9" x14ac:dyDescent="0.2">
      <c r="H3661" s="1"/>
      <c r="I3661" s="1"/>
    </row>
    <row r="3662" spans="8:9" x14ac:dyDescent="0.2">
      <c r="H3662" s="1"/>
      <c r="I3662" s="1"/>
    </row>
    <row r="3663" spans="8:9" x14ac:dyDescent="0.2">
      <c r="H3663" s="1"/>
      <c r="I3663" s="1"/>
    </row>
    <row r="3664" spans="8:9" x14ac:dyDescent="0.2">
      <c r="H3664" s="1"/>
      <c r="I3664" s="1"/>
    </row>
    <row r="3665" spans="8:9" x14ac:dyDescent="0.2">
      <c r="H3665" s="1"/>
      <c r="I3665" s="1"/>
    </row>
    <row r="3666" spans="8:9" x14ac:dyDescent="0.2">
      <c r="H3666" s="1"/>
      <c r="I3666" s="1"/>
    </row>
    <row r="3667" spans="8:9" x14ac:dyDescent="0.2">
      <c r="H3667" s="1"/>
      <c r="I3667" s="1"/>
    </row>
    <row r="3668" spans="8:9" x14ac:dyDescent="0.2">
      <c r="H3668" s="1"/>
      <c r="I3668" s="1"/>
    </row>
    <row r="3669" spans="8:9" x14ac:dyDescent="0.2">
      <c r="H3669" s="1"/>
      <c r="I3669" s="1"/>
    </row>
    <row r="3670" spans="8:9" x14ac:dyDescent="0.2">
      <c r="H3670" s="1"/>
      <c r="I3670" s="1"/>
    </row>
    <row r="3671" spans="8:9" x14ac:dyDescent="0.2">
      <c r="H3671" s="1"/>
      <c r="I3671" s="1"/>
    </row>
    <row r="3672" spans="8:9" x14ac:dyDescent="0.2">
      <c r="H3672" s="1"/>
      <c r="I3672" s="1"/>
    </row>
    <row r="3673" spans="8:9" x14ac:dyDescent="0.2">
      <c r="H3673" s="1"/>
      <c r="I3673" s="1"/>
    </row>
    <row r="3674" spans="8:9" x14ac:dyDescent="0.2">
      <c r="H3674" s="1"/>
      <c r="I3674" s="1"/>
    </row>
    <row r="3675" spans="8:9" x14ac:dyDescent="0.2">
      <c r="H3675" s="1"/>
      <c r="I3675" s="1"/>
    </row>
    <row r="3676" spans="8:9" x14ac:dyDescent="0.2">
      <c r="H3676" s="1"/>
      <c r="I3676" s="1"/>
    </row>
    <row r="3677" spans="8:9" x14ac:dyDescent="0.2">
      <c r="H3677" s="1"/>
      <c r="I3677" s="1"/>
    </row>
    <row r="3678" spans="8:9" x14ac:dyDescent="0.2">
      <c r="H3678" s="1"/>
      <c r="I3678" s="1"/>
    </row>
    <row r="3679" spans="8:9" x14ac:dyDescent="0.2">
      <c r="H3679" s="1"/>
      <c r="I3679" s="1"/>
    </row>
    <row r="3680" spans="8:9" x14ac:dyDescent="0.2">
      <c r="H3680" s="1"/>
      <c r="I3680" s="1"/>
    </row>
    <row r="3681" spans="8:9" x14ac:dyDescent="0.2">
      <c r="H3681" s="1"/>
      <c r="I3681" s="1"/>
    </row>
    <row r="3682" spans="8:9" x14ac:dyDescent="0.2">
      <c r="H3682" s="1"/>
      <c r="I3682" s="1"/>
    </row>
    <row r="3683" spans="8:9" x14ac:dyDescent="0.2">
      <c r="H3683" s="1"/>
      <c r="I3683" s="1"/>
    </row>
    <row r="3684" spans="8:9" x14ac:dyDescent="0.2">
      <c r="H3684" s="1"/>
      <c r="I3684" s="1"/>
    </row>
    <row r="3685" spans="8:9" x14ac:dyDescent="0.2">
      <c r="H3685" s="1"/>
      <c r="I3685" s="1"/>
    </row>
    <row r="3686" spans="8:9" x14ac:dyDescent="0.2">
      <c r="H3686" s="1"/>
      <c r="I3686" s="1"/>
    </row>
    <row r="3687" spans="8:9" x14ac:dyDescent="0.2">
      <c r="H3687" s="1"/>
      <c r="I3687" s="1"/>
    </row>
    <row r="3688" spans="8:9" x14ac:dyDescent="0.2">
      <c r="H3688" s="1"/>
      <c r="I3688" s="1"/>
    </row>
    <row r="3689" spans="8:9" x14ac:dyDescent="0.2">
      <c r="H3689" s="1"/>
      <c r="I3689" s="1"/>
    </row>
    <row r="3690" spans="8:9" x14ac:dyDescent="0.2">
      <c r="H3690" s="1"/>
      <c r="I3690" s="1"/>
    </row>
    <row r="3691" spans="8:9" x14ac:dyDescent="0.2">
      <c r="H3691" s="1"/>
      <c r="I3691" s="1"/>
    </row>
    <row r="3692" spans="8:9" x14ac:dyDescent="0.2">
      <c r="H3692" s="1"/>
      <c r="I3692" s="1"/>
    </row>
    <row r="3693" spans="8:9" x14ac:dyDescent="0.2">
      <c r="H3693" s="1"/>
      <c r="I3693" s="1"/>
    </row>
    <row r="3694" spans="8:9" x14ac:dyDescent="0.2">
      <c r="H3694" s="1"/>
      <c r="I3694" s="1"/>
    </row>
    <row r="3695" spans="8:9" x14ac:dyDescent="0.2">
      <c r="H3695" s="1"/>
      <c r="I3695" s="1"/>
    </row>
    <row r="3696" spans="8:9" x14ac:dyDescent="0.2">
      <c r="H3696" s="1"/>
      <c r="I3696" s="1"/>
    </row>
    <row r="3697" spans="8:9" x14ac:dyDescent="0.2">
      <c r="H3697" s="1"/>
      <c r="I3697" s="1"/>
    </row>
    <row r="3698" spans="8:9" x14ac:dyDescent="0.2">
      <c r="H3698" s="1"/>
      <c r="I3698" s="1"/>
    </row>
    <row r="3699" spans="8:9" x14ac:dyDescent="0.2">
      <c r="H3699" s="1"/>
      <c r="I3699" s="1"/>
    </row>
    <row r="3700" spans="8:9" x14ac:dyDescent="0.2">
      <c r="H3700" s="1"/>
      <c r="I3700" s="1"/>
    </row>
    <row r="3701" spans="8:9" x14ac:dyDescent="0.2">
      <c r="H3701" s="1"/>
      <c r="I3701" s="1"/>
    </row>
    <row r="3702" spans="8:9" x14ac:dyDescent="0.2">
      <c r="H3702" s="1"/>
      <c r="I3702" s="1"/>
    </row>
    <row r="3703" spans="8:9" x14ac:dyDescent="0.2">
      <c r="H3703" s="1"/>
      <c r="I3703" s="1"/>
    </row>
    <row r="3704" spans="8:9" x14ac:dyDescent="0.2">
      <c r="H3704" s="1"/>
      <c r="I3704" s="1"/>
    </row>
    <row r="3705" spans="8:9" x14ac:dyDescent="0.2">
      <c r="H3705" s="1"/>
      <c r="I3705" s="1"/>
    </row>
    <row r="3706" spans="8:9" x14ac:dyDescent="0.2">
      <c r="H3706" s="1"/>
      <c r="I3706" s="1"/>
    </row>
    <row r="3707" spans="8:9" x14ac:dyDescent="0.2">
      <c r="H3707" s="1"/>
      <c r="I3707" s="1"/>
    </row>
    <row r="3708" spans="8:9" x14ac:dyDescent="0.2">
      <c r="H3708" s="1"/>
      <c r="I3708" s="1"/>
    </row>
    <row r="3709" spans="8:9" x14ac:dyDescent="0.2">
      <c r="H3709" s="1"/>
      <c r="I3709" s="1"/>
    </row>
    <row r="3710" spans="8:9" x14ac:dyDescent="0.2">
      <c r="H3710" s="1"/>
      <c r="I3710" s="1"/>
    </row>
    <row r="3711" spans="8:9" x14ac:dyDescent="0.2">
      <c r="H3711" s="1"/>
      <c r="I3711" s="1"/>
    </row>
    <row r="3712" spans="8:9" x14ac:dyDescent="0.2">
      <c r="H3712" s="1"/>
      <c r="I3712" s="1"/>
    </row>
    <row r="3713" spans="8:9" x14ac:dyDescent="0.2">
      <c r="H3713" s="1"/>
      <c r="I3713" s="1"/>
    </row>
    <row r="3714" spans="8:9" x14ac:dyDescent="0.2">
      <c r="H3714" s="1"/>
      <c r="I3714" s="1"/>
    </row>
    <row r="3715" spans="8:9" x14ac:dyDescent="0.2">
      <c r="H3715" s="1"/>
      <c r="I3715" s="1"/>
    </row>
    <row r="3716" spans="8:9" x14ac:dyDescent="0.2">
      <c r="H3716" s="1"/>
      <c r="I3716" s="1"/>
    </row>
    <row r="3717" spans="8:9" x14ac:dyDescent="0.2">
      <c r="H3717" s="1"/>
      <c r="I3717" s="1"/>
    </row>
    <row r="3718" spans="8:9" x14ac:dyDescent="0.2">
      <c r="H3718" s="1"/>
      <c r="I3718" s="1"/>
    </row>
    <row r="3719" spans="8:9" x14ac:dyDescent="0.2">
      <c r="H3719" s="1"/>
      <c r="I3719" s="1"/>
    </row>
    <row r="3720" spans="8:9" x14ac:dyDescent="0.2">
      <c r="H3720" s="1"/>
      <c r="I3720" s="1"/>
    </row>
    <row r="3721" spans="8:9" x14ac:dyDescent="0.2">
      <c r="H3721" s="1"/>
      <c r="I3721" s="1"/>
    </row>
    <row r="3722" spans="8:9" x14ac:dyDescent="0.2">
      <c r="H3722" s="1"/>
      <c r="I3722" s="1"/>
    </row>
    <row r="3723" spans="8:9" x14ac:dyDescent="0.2">
      <c r="H3723" s="1"/>
      <c r="I3723" s="1"/>
    </row>
    <row r="3724" spans="8:9" x14ac:dyDescent="0.2">
      <c r="H3724" s="1"/>
      <c r="I3724" s="1"/>
    </row>
    <row r="3725" spans="8:9" x14ac:dyDescent="0.2">
      <c r="H3725" s="1"/>
      <c r="I3725" s="1"/>
    </row>
    <row r="3726" spans="8:9" x14ac:dyDescent="0.2">
      <c r="H3726" s="1"/>
      <c r="I3726" s="1"/>
    </row>
    <row r="3727" spans="8:9" x14ac:dyDescent="0.2">
      <c r="H3727" s="1"/>
      <c r="I3727" s="1"/>
    </row>
    <row r="3728" spans="8:9" x14ac:dyDescent="0.2">
      <c r="H3728" s="1"/>
      <c r="I3728" s="1"/>
    </row>
    <row r="3729" spans="8:9" x14ac:dyDescent="0.2">
      <c r="H3729" s="1"/>
      <c r="I3729" s="1"/>
    </row>
    <row r="3730" spans="8:9" x14ac:dyDescent="0.2">
      <c r="H3730" s="1"/>
      <c r="I3730" s="1"/>
    </row>
    <row r="3731" spans="8:9" x14ac:dyDescent="0.2">
      <c r="H3731" s="1"/>
      <c r="I3731" s="1"/>
    </row>
    <row r="3732" spans="8:9" x14ac:dyDescent="0.2">
      <c r="H3732" s="1"/>
      <c r="I3732" s="1"/>
    </row>
    <row r="3733" spans="8:9" x14ac:dyDescent="0.2">
      <c r="H3733" s="1"/>
      <c r="I3733" s="1"/>
    </row>
    <row r="3734" spans="8:9" x14ac:dyDescent="0.2">
      <c r="H3734" s="1"/>
      <c r="I3734" s="1"/>
    </row>
    <row r="3735" spans="8:9" x14ac:dyDescent="0.2">
      <c r="H3735" s="1"/>
      <c r="I3735" s="1"/>
    </row>
    <row r="3736" spans="8:9" x14ac:dyDescent="0.2">
      <c r="H3736" s="1"/>
      <c r="I3736" s="1"/>
    </row>
    <row r="3737" spans="8:9" x14ac:dyDescent="0.2">
      <c r="H3737" s="1"/>
      <c r="I3737" s="1"/>
    </row>
    <row r="3738" spans="8:9" x14ac:dyDescent="0.2">
      <c r="H3738" s="1"/>
      <c r="I3738" s="1"/>
    </row>
    <row r="3739" spans="8:9" x14ac:dyDescent="0.2">
      <c r="H3739" s="1"/>
      <c r="I3739" s="1"/>
    </row>
    <row r="3740" spans="8:9" x14ac:dyDescent="0.2">
      <c r="H3740" s="1"/>
      <c r="I3740" s="1"/>
    </row>
    <row r="3741" spans="8:9" x14ac:dyDescent="0.2">
      <c r="H3741" s="1"/>
      <c r="I3741" s="1"/>
    </row>
    <row r="3742" spans="8:9" x14ac:dyDescent="0.2">
      <c r="H3742" s="1"/>
      <c r="I3742" s="1"/>
    </row>
    <row r="3743" spans="8:9" x14ac:dyDescent="0.2">
      <c r="H3743" s="1"/>
      <c r="I3743" s="1"/>
    </row>
    <row r="3744" spans="8:9" x14ac:dyDescent="0.2">
      <c r="H3744" s="1"/>
      <c r="I3744" s="1"/>
    </row>
    <row r="3745" spans="8:9" x14ac:dyDescent="0.2">
      <c r="H3745" s="1"/>
      <c r="I3745" s="1"/>
    </row>
    <row r="3746" spans="8:9" x14ac:dyDescent="0.2">
      <c r="H3746" s="1"/>
      <c r="I3746" s="1"/>
    </row>
    <row r="3747" spans="8:9" x14ac:dyDescent="0.2">
      <c r="H3747" s="1"/>
      <c r="I3747" s="1"/>
    </row>
    <row r="3748" spans="8:9" x14ac:dyDescent="0.2">
      <c r="H3748" s="1"/>
      <c r="I3748" s="1"/>
    </row>
    <row r="3749" spans="8:9" x14ac:dyDescent="0.2">
      <c r="H3749" s="1"/>
      <c r="I3749" s="1"/>
    </row>
    <row r="3750" spans="8:9" x14ac:dyDescent="0.2">
      <c r="H3750" s="1"/>
      <c r="I3750" s="1"/>
    </row>
    <row r="3751" spans="8:9" x14ac:dyDescent="0.2">
      <c r="H3751" s="1"/>
      <c r="I3751" s="1"/>
    </row>
    <row r="3752" spans="8:9" x14ac:dyDescent="0.2">
      <c r="H3752" s="1"/>
      <c r="I3752" s="1"/>
    </row>
    <row r="3753" spans="8:9" x14ac:dyDescent="0.2">
      <c r="H3753" s="1"/>
      <c r="I3753" s="1"/>
    </row>
    <row r="3754" spans="8:9" x14ac:dyDescent="0.2">
      <c r="H3754" s="1"/>
      <c r="I3754" s="1"/>
    </row>
    <row r="3755" spans="8:9" x14ac:dyDescent="0.2">
      <c r="H3755" s="1"/>
      <c r="I3755" s="1"/>
    </row>
    <row r="3756" spans="8:9" x14ac:dyDescent="0.2">
      <c r="H3756" s="1"/>
      <c r="I3756" s="1"/>
    </row>
    <row r="3757" spans="8:9" x14ac:dyDescent="0.2">
      <c r="H3757" s="1"/>
      <c r="I3757" s="1"/>
    </row>
    <row r="3758" spans="8:9" x14ac:dyDescent="0.2">
      <c r="H3758" s="1"/>
      <c r="I3758" s="1"/>
    </row>
    <row r="3759" spans="8:9" x14ac:dyDescent="0.2">
      <c r="H3759" s="1"/>
      <c r="I3759" s="1"/>
    </row>
    <row r="3760" spans="8:9" x14ac:dyDescent="0.2">
      <c r="H3760" s="1"/>
      <c r="I3760" s="1"/>
    </row>
    <row r="3761" spans="8:9" x14ac:dyDescent="0.2">
      <c r="H3761" s="1"/>
      <c r="I3761" s="1"/>
    </row>
    <row r="3762" spans="8:9" x14ac:dyDescent="0.2">
      <c r="H3762" s="1"/>
      <c r="I3762" s="1"/>
    </row>
    <row r="3763" spans="8:9" x14ac:dyDescent="0.2">
      <c r="H3763" s="1"/>
      <c r="I3763" s="1"/>
    </row>
    <row r="3764" spans="8:9" x14ac:dyDescent="0.2">
      <c r="H3764" s="1"/>
      <c r="I3764" s="1"/>
    </row>
    <row r="3765" spans="8:9" x14ac:dyDescent="0.2">
      <c r="H3765" s="1"/>
      <c r="I3765" s="1"/>
    </row>
    <row r="3766" spans="8:9" x14ac:dyDescent="0.2">
      <c r="H3766" s="1"/>
      <c r="I3766" s="1"/>
    </row>
    <row r="3767" spans="8:9" x14ac:dyDescent="0.2">
      <c r="H3767" s="1"/>
      <c r="I3767" s="1"/>
    </row>
    <row r="3768" spans="8:9" x14ac:dyDescent="0.2">
      <c r="H3768" s="1"/>
      <c r="I3768" s="1"/>
    </row>
    <row r="3769" spans="8:9" x14ac:dyDescent="0.2">
      <c r="H3769" s="1"/>
      <c r="I3769" s="1"/>
    </row>
    <row r="3770" spans="8:9" x14ac:dyDescent="0.2">
      <c r="H3770" s="1"/>
      <c r="I3770" s="1"/>
    </row>
    <row r="3771" spans="8:9" x14ac:dyDescent="0.2">
      <c r="H3771" s="1"/>
      <c r="I3771" s="1"/>
    </row>
    <row r="3772" spans="8:9" x14ac:dyDescent="0.2">
      <c r="H3772" s="1"/>
      <c r="I3772" s="1"/>
    </row>
    <row r="3773" spans="8:9" x14ac:dyDescent="0.2">
      <c r="H3773" s="1"/>
      <c r="I3773" s="1"/>
    </row>
    <row r="3774" spans="8:9" x14ac:dyDescent="0.2">
      <c r="H3774" s="1"/>
      <c r="I3774" s="1"/>
    </row>
    <row r="3775" spans="8:9" x14ac:dyDescent="0.2">
      <c r="H3775" s="1"/>
      <c r="I3775" s="1"/>
    </row>
    <row r="3776" spans="8:9" x14ac:dyDescent="0.2">
      <c r="H3776" s="1"/>
      <c r="I3776" s="1"/>
    </row>
    <row r="3777" spans="8:9" x14ac:dyDescent="0.2">
      <c r="H3777" s="1"/>
      <c r="I3777" s="1"/>
    </row>
    <row r="3778" spans="8:9" x14ac:dyDescent="0.2">
      <c r="H3778" s="1"/>
      <c r="I3778" s="1"/>
    </row>
    <row r="3779" spans="8:9" x14ac:dyDescent="0.2">
      <c r="H3779" s="1"/>
      <c r="I3779" s="1"/>
    </row>
    <row r="3780" spans="8:9" x14ac:dyDescent="0.2">
      <c r="H3780" s="1"/>
      <c r="I3780" s="1"/>
    </row>
    <row r="3781" spans="8:9" x14ac:dyDescent="0.2">
      <c r="H3781" s="1"/>
      <c r="I3781" s="1"/>
    </row>
    <row r="3782" spans="8:9" x14ac:dyDescent="0.2">
      <c r="H3782" s="1"/>
      <c r="I3782" s="1"/>
    </row>
    <row r="3783" spans="8:9" x14ac:dyDescent="0.2">
      <c r="H3783" s="1"/>
      <c r="I3783" s="1"/>
    </row>
    <row r="3784" spans="8:9" x14ac:dyDescent="0.2">
      <c r="H3784" s="1"/>
      <c r="I3784" s="1"/>
    </row>
    <row r="3785" spans="8:9" x14ac:dyDescent="0.2">
      <c r="H3785" s="1"/>
      <c r="I3785" s="1"/>
    </row>
    <row r="3786" spans="8:9" x14ac:dyDescent="0.2">
      <c r="H3786" s="1"/>
      <c r="I3786" s="1"/>
    </row>
    <row r="3787" spans="8:9" x14ac:dyDescent="0.2">
      <c r="H3787" s="1"/>
      <c r="I3787" s="1"/>
    </row>
    <row r="3788" spans="8:9" x14ac:dyDescent="0.2">
      <c r="H3788" s="1"/>
      <c r="I3788" s="1"/>
    </row>
    <row r="3789" spans="8:9" x14ac:dyDescent="0.2">
      <c r="H3789" s="1"/>
      <c r="I3789" s="1"/>
    </row>
    <row r="3790" spans="8:9" x14ac:dyDescent="0.2">
      <c r="H3790" s="1"/>
      <c r="I3790" s="1"/>
    </row>
    <row r="3791" spans="8:9" x14ac:dyDescent="0.2">
      <c r="H3791" s="1"/>
      <c r="I3791" s="1"/>
    </row>
    <row r="3792" spans="8:9" x14ac:dyDescent="0.2">
      <c r="H3792" s="1"/>
      <c r="I3792" s="1"/>
    </row>
    <row r="3793" spans="8:9" x14ac:dyDescent="0.2">
      <c r="H3793" s="1"/>
      <c r="I3793" s="1"/>
    </row>
    <row r="3794" spans="8:9" x14ac:dyDescent="0.2">
      <c r="H3794" s="1"/>
      <c r="I3794" s="1"/>
    </row>
    <row r="3795" spans="8:9" x14ac:dyDescent="0.2">
      <c r="H3795" s="1"/>
      <c r="I3795" s="1"/>
    </row>
    <row r="3796" spans="8:9" x14ac:dyDescent="0.2">
      <c r="H3796" s="1"/>
      <c r="I3796" s="1"/>
    </row>
    <row r="3797" spans="8:9" x14ac:dyDescent="0.2">
      <c r="H3797" s="1"/>
      <c r="I3797" s="1"/>
    </row>
    <row r="3798" spans="8:9" x14ac:dyDescent="0.2">
      <c r="H3798" s="1"/>
      <c r="I3798" s="1"/>
    </row>
    <row r="3799" spans="8:9" x14ac:dyDescent="0.2">
      <c r="H3799" s="1"/>
      <c r="I3799" s="1"/>
    </row>
    <row r="3800" spans="8:9" x14ac:dyDescent="0.2">
      <c r="H3800" s="1"/>
      <c r="I3800" s="1"/>
    </row>
    <row r="3801" spans="8:9" x14ac:dyDescent="0.2">
      <c r="H3801" s="1"/>
      <c r="I3801" s="1"/>
    </row>
    <row r="3802" spans="8:9" x14ac:dyDescent="0.2">
      <c r="H3802" s="1"/>
      <c r="I3802" s="1"/>
    </row>
    <row r="3803" spans="8:9" x14ac:dyDescent="0.2">
      <c r="H3803" s="1"/>
      <c r="I3803" s="1"/>
    </row>
    <row r="3804" spans="8:9" x14ac:dyDescent="0.2">
      <c r="H3804" s="1"/>
      <c r="I3804" s="1"/>
    </row>
    <row r="3805" spans="8:9" x14ac:dyDescent="0.2">
      <c r="H3805" s="1"/>
      <c r="I3805" s="1"/>
    </row>
    <row r="3806" spans="8:9" x14ac:dyDescent="0.2">
      <c r="H3806" s="1"/>
      <c r="I3806" s="1"/>
    </row>
    <row r="3807" spans="8:9" x14ac:dyDescent="0.2">
      <c r="H3807" s="1"/>
      <c r="I3807" s="1"/>
    </row>
    <row r="3808" spans="8:9" x14ac:dyDescent="0.2">
      <c r="H3808" s="1"/>
      <c r="I3808" s="1"/>
    </row>
    <row r="3809" spans="8:9" x14ac:dyDescent="0.2">
      <c r="H3809" s="1"/>
      <c r="I3809" s="1"/>
    </row>
    <row r="3810" spans="8:9" x14ac:dyDescent="0.2">
      <c r="H3810" s="1"/>
      <c r="I3810" s="1"/>
    </row>
    <row r="3811" spans="8:9" x14ac:dyDescent="0.2">
      <c r="H3811" s="1"/>
      <c r="I3811" s="1"/>
    </row>
    <row r="3812" spans="8:9" x14ac:dyDescent="0.2">
      <c r="H3812" s="1"/>
      <c r="I3812" s="1"/>
    </row>
    <row r="3813" spans="8:9" x14ac:dyDescent="0.2">
      <c r="H3813" s="1"/>
      <c r="I3813" s="1"/>
    </row>
    <row r="3814" spans="8:9" x14ac:dyDescent="0.2">
      <c r="H3814" s="1"/>
      <c r="I3814" s="1"/>
    </row>
    <row r="3815" spans="8:9" x14ac:dyDescent="0.2">
      <c r="H3815" s="1"/>
      <c r="I3815" s="1"/>
    </row>
    <row r="3816" spans="8:9" x14ac:dyDescent="0.2">
      <c r="H3816" s="1"/>
      <c r="I3816" s="1"/>
    </row>
    <row r="3817" spans="8:9" x14ac:dyDescent="0.2">
      <c r="H3817" s="1"/>
      <c r="I3817" s="1"/>
    </row>
    <row r="3818" spans="8:9" x14ac:dyDescent="0.2">
      <c r="H3818" s="1"/>
      <c r="I3818" s="1"/>
    </row>
    <row r="3819" spans="8:9" x14ac:dyDescent="0.2">
      <c r="H3819" s="1"/>
      <c r="I3819" s="1"/>
    </row>
    <row r="3820" spans="8:9" x14ac:dyDescent="0.2">
      <c r="H3820" s="1"/>
      <c r="I3820" s="1"/>
    </row>
    <row r="3821" spans="8:9" x14ac:dyDescent="0.2">
      <c r="H3821" s="1"/>
      <c r="I3821" s="1"/>
    </row>
    <row r="3822" spans="8:9" x14ac:dyDescent="0.2">
      <c r="H3822" s="1"/>
      <c r="I3822" s="1"/>
    </row>
    <row r="3823" spans="8:9" x14ac:dyDescent="0.2">
      <c r="H3823" s="1"/>
      <c r="I3823" s="1"/>
    </row>
    <row r="3824" spans="8:9" x14ac:dyDescent="0.2">
      <c r="H3824" s="1"/>
      <c r="I3824" s="1"/>
    </row>
    <row r="3825" spans="8:9" x14ac:dyDescent="0.2">
      <c r="H3825" s="1"/>
      <c r="I3825" s="1"/>
    </row>
    <row r="3826" spans="8:9" x14ac:dyDescent="0.2">
      <c r="H3826" s="1"/>
      <c r="I3826" s="1"/>
    </row>
    <row r="3827" spans="8:9" x14ac:dyDescent="0.2">
      <c r="H3827" s="1"/>
      <c r="I3827" s="1"/>
    </row>
    <row r="3828" spans="8:9" x14ac:dyDescent="0.2">
      <c r="H3828" s="1"/>
      <c r="I3828" s="1"/>
    </row>
    <row r="3829" spans="8:9" x14ac:dyDescent="0.2">
      <c r="H3829" s="1"/>
      <c r="I3829" s="1"/>
    </row>
    <row r="3830" spans="8:9" x14ac:dyDescent="0.2">
      <c r="H3830" s="1"/>
      <c r="I3830" s="1"/>
    </row>
    <row r="3831" spans="8:9" x14ac:dyDescent="0.2">
      <c r="H3831" s="1"/>
      <c r="I3831" s="1"/>
    </row>
    <row r="3832" spans="8:9" x14ac:dyDescent="0.2">
      <c r="H3832" s="1"/>
      <c r="I3832" s="1"/>
    </row>
    <row r="3833" spans="8:9" x14ac:dyDescent="0.2">
      <c r="H3833" s="1"/>
      <c r="I3833" s="1"/>
    </row>
    <row r="3834" spans="8:9" x14ac:dyDescent="0.2">
      <c r="H3834" s="1"/>
      <c r="I3834" s="1"/>
    </row>
    <row r="3835" spans="8:9" x14ac:dyDescent="0.2">
      <c r="H3835" s="1"/>
      <c r="I3835" s="1"/>
    </row>
    <row r="3836" spans="8:9" x14ac:dyDescent="0.2">
      <c r="H3836" s="1"/>
      <c r="I3836" s="1"/>
    </row>
    <row r="3837" spans="8:9" x14ac:dyDescent="0.2">
      <c r="H3837" s="1"/>
      <c r="I3837" s="1"/>
    </row>
    <row r="3838" spans="8:9" x14ac:dyDescent="0.2">
      <c r="H3838" s="1"/>
      <c r="I3838" s="1"/>
    </row>
    <row r="3839" spans="8:9" x14ac:dyDescent="0.2">
      <c r="H3839" s="1"/>
      <c r="I3839" s="1"/>
    </row>
    <row r="3840" spans="8:9" x14ac:dyDescent="0.2">
      <c r="H3840" s="1"/>
      <c r="I3840" s="1"/>
    </row>
    <row r="3841" spans="8:9" x14ac:dyDescent="0.2">
      <c r="H3841" s="1"/>
      <c r="I3841" s="1"/>
    </row>
    <row r="3842" spans="8:9" x14ac:dyDescent="0.2">
      <c r="H3842" s="1"/>
      <c r="I3842" s="1"/>
    </row>
    <row r="3843" spans="8:9" x14ac:dyDescent="0.2">
      <c r="H3843" s="1"/>
      <c r="I3843" s="1"/>
    </row>
    <row r="3844" spans="8:9" x14ac:dyDescent="0.2">
      <c r="H3844" s="1"/>
      <c r="I3844" s="1"/>
    </row>
    <row r="3845" spans="8:9" x14ac:dyDescent="0.2">
      <c r="H3845" s="1"/>
      <c r="I3845" s="1"/>
    </row>
    <row r="3846" spans="8:9" x14ac:dyDescent="0.2">
      <c r="H3846" s="1"/>
      <c r="I3846" s="1"/>
    </row>
    <row r="3847" spans="8:9" x14ac:dyDescent="0.2">
      <c r="H3847" s="1"/>
      <c r="I3847" s="1"/>
    </row>
    <row r="3848" spans="8:9" x14ac:dyDescent="0.2">
      <c r="H3848" s="1"/>
      <c r="I3848" s="1"/>
    </row>
    <row r="3849" spans="8:9" x14ac:dyDescent="0.2">
      <c r="H3849" s="1"/>
      <c r="I3849" s="1"/>
    </row>
    <row r="3850" spans="8:9" x14ac:dyDescent="0.2">
      <c r="H3850" s="1"/>
      <c r="I3850" s="1"/>
    </row>
    <row r="3851" spans="8:9" x14ac:dyDescent="0.2">
      <c r="H3851" s="1"/>
      <c r="I3851" s="1"/>
    </row>
    <row r="3852" spans="8:9" x14ac:dyDescent="0.2">
      <c r="H3852" s="1"/>
      <c r="I3852" s="1"/>
    </row>
    <row r="3853" spans="8:9" x14ac:dyDescent="0.2">
      <c r="H3853" s="1"/>
      <c r="I3853" s="1"/>
    </row>
    <row r="3854" spans="8:9" x14ac:dyDescent="0.2">
      <c r="H3854" s="1"/>
      <c r="I3854" s="1"/>
    </row>
    <row r="3855" spans="8:9" x14ac:dyDescent="0.2">
      <c r="H3855" s="1"/>
      <c r="I3855" s="1"/>
    </row>
    <row r="3856" spans="8:9" x14ac:dyDescent="0.2">
      <c r="H3856" s="1"/>
      <c r="I3856" s="1"/>
    </row>
    <row r="3857" spans="8:9" x14ac:dyDescent="0.2">
      <c r="H3857" s="1"/>
      <c r="I3857" s="1"/>
    </row>
    <row r="3858" spans="8:9" x14ac:dyDescent="0.2">
      <c r="H3858" s="1"/>
      <c r="I3858" s="1"/>
    </row>
    <row r="3859" spans="8:9" x14ac:dyDescent="0.2">
      <c r="H3859" s="1"/>
      <c r="I3859" s="1"/>
    </row>
    <row r="3860" spans="8:9" x14ac:dyDescent="0.2">
      <c r="H3860" s="1"/>
      <c r="I3860" s="1"/>
    </row>
    <row r="3861" spans="8:9" x14ac:dyDescent="0.2">
      <c r="H3861" s="1"/>
      <c r="I3861" s="1"/>
    </row>
    <row r="3862" spans="8:9" x14ac:dyDescent="0.2">
      <c r="H3862" s="1"/>
      <c r="I3862" s="1"/>
    </row>
    <row r="3863" spans="8:9" x14ac:dyDescent="0.2">
      <c r="H3863" s="1"/>
      <c r="I3863" s="1"/>
    </row>
    <row r="3864" spans="8:9" x14ac:dyDescent="0.2">
      <c r="H3864" s="1"/>
      <c r="I3864" s="1"/>
    </row>
    <row r="3865" spans="8:9" x14ac:dyDescent="0.2">
      <c r="H3865" s="1"/>
      <c r="I3865" s="1"/>
    </row>
    <row r="3866" spans="8:9" x14ac:dyDescent="0.2">
      <c r="H3866" s="1"/>
      <c r="I3866" s="1"/>
    </row>
    <row r="3867" spans="8:9" x14ac:dyDescent="0.2">
      <c r="H3867" s="1"/>
      <c r="I3867" s="1"/>
    </row>
    <row r="3868" spans="8:9" x14ac:dyDescent="0.2">
      <c r="H3868" s="1"/>
      <c r="I3868" s="1"/>
    </row>
    <row r="3869" spans="8:9" x14ac:dyDescent="0.2">
      <c r="H3869" s="1"/>
      <c r="I3869" s="1"/>
    </row>
    <row r="3870" spans="8:9" x14ac:dyDescent="0.2">
      <c r="H3870" s="1"/>
      <c r="I3870" s="1"/>
    </row>
    <row r="3871" spans="8:9" x14ac:dyDescent="0.2">
      <c r="H3871" s="1"/>
      <c r="I3871" s="1"/>
    </row>
    <row r="3872" spans="8:9" x14ac:dyDescent="0.2">
      <c r="H3872" s="1"/>
      <c r="I3872" s="1"/>
    </row>
    <row r="3873" spans="8:9" x14ac:dyDescent="0.2">
      <c r="H3873" s="1"/>
      <c r="I3873" s="1"/>
    </row>
    <row r="3874" spans="8:9" x14ac:dyDescent="0.2">
      <c r="H3874" s="1"/>
      <c r="I3874" s="1"/>
    </row>
    <row r="3875" spans="8:9" x14ac:dyDescent="0.2">
      <c r="H3875" s="1"/>
      <c r="I3875" s="1"/>
    </row>
    <row r="3876" spans="8:9" x14ac:dyDescent="0.2">
      <c r="H3876" s="1"/>
      <c r="I3876" s="1"/>
    </row>
    <row r="3877" spans="8:9" x14ac:dyDescent="0.2">
      <c r="H3877" s="1"/>
      <c r="I3877" s="1"/>
    </row>
    <row r="3878" spans="8:9" x14ac:dyDescent="0.2">
      <c r="H3878" s="1"/>
      <c r="I3878" s="1"/>
    </row>
    <row r="3879" spans="8:9" x14ac:dyDescent="0.2">
      <c r="H3879" s="1"/>
      <c r="I3879" s="1"/>
    </row>
    <row r="3880" spans="8:9" x14ac:dyDescent="0.2">
      <c r="H3880" s="1"/>
      <c r="I3880" s="1"/>
    </row>
    <row r="3881" spans="8:9" x14ac:dyDescent="0.2">
      <c r="H3881" s="1"/>
      <c r="I3881" s="1"/>
    </row>
    <row r="3882" spans="8:9" x14ac:dyDescent="0.2">
      <c r="H3882" s="1"/>
      <c r="I3882" s="1"/>
    </row>
    <row r="3883" spans="8:9" x14ac:dyDescent="0.2">
      <c r="H3883" s="1"/>
      <c r="I3883" s="1"/>
    </row>
    <row r="3884" spans="8:9" x14ac:dyDescent="0.2">
      <c r="H3884" s="1"/>
      <c r="I3884" s="1"/>
    </row>
    <row r="3885" spans="8:9" x14ac:dyDescent="0.2">
      <c r="H3885" s="1"/>
      <c r="I3885" s="1"/>
    </row>
    <row r="3886" spans="8:9" x14ac:dyDescent="0.2">
      <c r="H3886" s="1"/>
      <c r="I3886" s="1"/>
    </row>
    <row r="3887" spans="8:9" x14ac:dyDescent="0.2">
      <c r="H3887" s="1"/>
      <c r="I3887" s="1"/>
    </row>
    <row r="3888" spans="8:9" x14ac:dyDescent="0.2">
      <c r="H3888" s="1"/>
      <c r="I3888" s="1"/>
    </row>
    <row r="3889" spans="8:9" x14ac:dyDescent="0.2">
      <c r="H3889" s="1"/>
      <c r="I3889" s="1"/>
    </row>
    <row r="3890" spans="8:9" x14ac:dyDescent="0.2">
      <c r="H3890" s="1"/>
      <c r="I3890" s="1"/>
    </row>
    <row r="3891" spans="8:9" x14ac:dyDescent="0.2">
      <c r="H3891" s="1"/>
      <c r="I3891" s="1"/>
    </row>
    <row r="3892" spans="8:9" x14ac:dyDescent="0.2">
      <c r="H3892" s="1"/>
      <c r="I3892" s="1"/>
    </row>
    <row r="3893" spans="8:9" x14ac:dyDescent="0.2">
      <c r="H3893" s="1"/>
      <c r="I3893" s="1"/>
    </row>
    <row r="3894" spans="8:9" x14ac:dyDescent="0.2">
      <c r="H3894" s="1"/>
      <c r="I3894" s="1"/>
    </row>
    <row r="3895" spans="8:9" x14ac:dyDescent="0.2">
      <c r="H3895" s="1"/>
      <c r="I3895" s="1"/>
    </row>
    <row r="3896" spans="8:9" x14ac:dyDescent="0.2">
      <c r="H3896" s="1"/>
      <c r="I3896" s="1"/>
    </row>
    <row r="3897" spans="8:9" x14ac:dyDescent="0.2">
      <c r="H3897" s="1"/>
      <c r="I3897" s="1"/>
    </row>
    <row r="3898" spans="8:9" x14ac:dyDescent="0.2">
      <c r="H3898" s="1"/>
      <c r="I3898" s="1"/>
    </row>
    <row r="3899" spans="8:9" x14ac:dyDescent="0.2">
      <c r="H3899" s="1"/>
      <c r="I3899" s="1"/>
    </row>
    <row r="3900" spans="8:9" x14ac:dyDescent="0.2">
      <c r="H3900" s="1"/>
      <c r="I3900" s="1"/>
    </row>
    <row r="3901" spans="8:9" x14ac:dyDescent="0.2">
      <c r="H3901" s="1"/>
      <c r="I3901" s="1"/>
    </row>
    <row r="3902" spans="8:9" x14ac:dyDescent="0.2">
      <c r="H3902" s="1"/>
      <c r="I3902" s="1"/>
    </row>
    <row r="3903" spans="8:9" x14ac:dyDescent="0.2">
      <c r="H3903" s="1"/>
      <c r="I3903" s="1"/>
    </row>
    <row r="3904" spans="8:9" x14ac:dyDescent="0.2">
      <c r="H3904" s="1"/>
      <c r="I3904" s="1"/>
    </row>
    <row r="3905" spans="8:9" x14ac:dyDescent="0.2">
      <c r="H3905" s="1"/>
      <c r="I3905" s="1"/>
    </row>
    <row r="3906" spans="8:9" x14ac:dyDescent="0.2">
      <c r="H3906" s="1"/>
      <c r="I3906" s="1"/>
    </row>
    <row r="3907" spans="8:9" x14ac:dyDescent="0.2">
      <c r="H3907" s="1"/>
      <c r="I3907" s="1"/>
    </row>
    <row r="3908" spans="8:9" x14ac:dyDescent="0.2">
      <c r="H3908" s="1"/>
      <c r="I3908" s="1"/>
    </row>
    <row r="3909" spans="8:9" x14ac:dyDescent="0.2">
      <c r="H3909" s="1"/>
      <c r="I3909" s="1"/>
    </row>
    <row r="3910" spans="8:9" x14ac:dyDescent="0.2">
      <c r="H3910" s="1"/>
      <c r="I3910" s="1"/>
    </row>
    <row r="3911" spans="8:9" x14ac:dyDescent="0.2">
      <c r="H3911" s="1"/>
      <c r="I3911" s="1"/>
    </row>
    <row r="3912" spans="8:9" x14ac:dyDescent="0.2">
      <c r="H3912" s="1"/>
      <c r="I3912" s="1"/>
    </row>
    <row r="3913" spans="8:9" x14ac:dyDescent="0.2">
      <c r="H3913" s="1"/>
      <c r="I3913" s="1"/>
    </row>
    <row r="3914" spans="8:9" x14ac:dyDescent="0.2">
      <c r="H3914" s="1"/>
      <c r="I3914" s="1"/>
    </row>
    <row r="3915" spans="8:9" x14ac:dyDescent="0.2">
      <c r="H3915" s="1"/>
      <c r="I3915" s="1"/>
    </row>
    <row r="3916" spans="8:9" x14ac:dyDescent="0.2">
      <c r="H3916" s="1"/>
      <c r="I3916" s="1"/>
    </row>
    <row r="3917" spans="8:9" x14ac:dyDescent="0.2">
      <c r="H3917" s="1"/>
      <c r="I3917" s="1"/>
    </row>
    <row r="3918" spans="8:9" x14ac:dyDescent="0.2">
      <c r="H3918" s="1"/>
      <c r="I3918" s="1"/>
    </row>
    <row r="3919" spans="8:9" x14ac:dyDescent="0.2">
      <c r="H3919" s="1"/>
      <c r="I3919" s="1"/>
    </row>
    <row r="3920" spans="8:9" x14ac:dyDescent="0.2">
      <c r="H3920" s="1"/>
      <c r="I3920" s="1"/>
    </row>
    <row r="3921" spans="8:9" x14ac:dyDescent="0.2">
      <c r="H3921" s="1"/>
      <c r="I3921" s="1"/>
    </row>
    <row r="3922" spans="8:9" x14ac:dyDescent="0.2">
      <c r="H3922" s="1"/>
      <c r="I3922" s="1"/>
    </row>
    <row r="3923" spans="8:9" x14ac:dyDescent="0.2">
      <c r="H3923" s="1"/>
      <c r="I3923" s="1"/>
    </row>
    <row r="3924" spans="8:9" x14ac:dyDescent="0.2">
      <c r="H3924" s="1"/>
      <c r="I3924" s="1"/>
    </row>
    <row r="3925" spans="8:9" x14ac:dyDescent="0.2">
      <c r="H3925" s="1"/>
      <c r="I3925" s="1"/>
    </row>
    <row r="3926" spans="8:9" x14ac:dyDescent="0.2">
      <c r="H3926" s="1"/>
      <c r="I3926" s="1"/>
    </row>
    <row r="3927" spans="8:9" x14ac:dyDescent="0.2">
      <c r="H3927" s="1"/>
      <c r="I3927" s="1"/>
    </row>
    <row r="3928" spans="8:9" x14ac:dyDescent="0.2">
      <c r="H3928" s="1"/>
      <c r="I3928" s="1"/>
    </row>
    <row r="3929" spans="8:9" x14ac:dyDescent="0.2">
      <c r="H3929" s="1"/>
      <c r="I3929" s="1"/>
    </row>
    <row r="3930" spans="8:9" x14ac:dyDescent="0.2">
      <c r="H3930" s="1"/>
      <c r="I3930" s="1"/>
    </row>
    <row r="3931" spans="8:9" x14ac:dyDescent="0.2">
      <c r="H3931" s="1"/>
      <c r="I3931" s="1"/>
    </row>
    <row r="3932" spans="8:9" x14ac:dyDescent="0.2">
      <c r="H3932" s="1"/>
      <c r="I3932" s="1"/>
    </row>
    <row r="3933" spans="8:9" x14ac:dyDescent="0.2">
      <c r="H3933" s="1"/>
      <c r="I3933" s="1"/>
    </row>
    <row r="3934" spans="8:9" x14ac:dyDescent="0.2">
      <c r="H3934" s="1"/>
      <c r="I3934" s="1"/>
    </row>
    <row r="3935" spans="8:9" x14ac:dyDescent="0.2">
      <c r="H3935" s="1"/>
      <c r="I3935" s="1"/>
    </row>
    <row r="3936" spans="8:9" x14ac:dyDescent="0.2">
      <c r="H3936" s="1"/>
      <c r="I3936" s="1"/>
    </row>
    <row r="3937" spans="8:9" x14ac:dyDescent="0.2">
      <c r="H3937" s="1"/>
      <c r="I3937" s="1"/>
    </row>
    <row r="3938" spans="8:9" x14ac:dyDescent="0.2">
      <c r="H3938" s="1"/>
      <c r="I3938" s="1"/>
    </row>
    <row r="3939" spans="8:9" x14ac:dyDescent="0.2">
      <c r="H3939" s="1"/>
      <c r="I3939" s="1"/>
    </row>
    <row r="3940" spans="8:9" x14ac:dyDescent="0.2">
      <c r="H3940" s="1"/>
      <c r="I3940" s="1"/>
    </row>
    <row r="3941" spans="8:9" x14ac:dyDescent="0.2">
      <c r="H3941" s="1"/>
      <c r="I3941" s="1"/>
    </row>
    <row r="3942" spans="8:9" x14ac:dyDescent="0.2">
      <c r="H3942" s="1"/>
      <c r="I3942" s="1"/>
    </row>
    <row r="3943" spans="8:9" x14ac:dyDescent="0.2">
      <c r="H3943" s="1"/>
      <c r="I3943" s="1"/>
    </row>
    <row r="3944" spans="8:9" x14ac:dyDescent="0.2">
      <c r="H3944" s="1"/>
      <c r="I3944" s="1"/>
    </row>
    <row r="3945" spans="8:9" x14ac:dyDescent="0.2">
      <c r="H3945" s="1"/>
      <c r="I3945" s="1"/>
    </row>
    <row r="3946" spans="8:9" x14ac:dyDescent="0.2">
      <c r="H3946" s="1"/>
      <c r="I3946" s="1"/>
    </row>
    <row r="3947" spans="8:9" x14ac:dyDescent="0.2">
      <c r="H3947" s="1"/>
      <c r="I3947" s="1"/>
    </row>
    <row r="3948" spans="8:9" x14ac:dyDescent="0.2">
      <c r="H3948" s="1"/>
      <c r="I3948" s="1"/>
    </row>
    <row r="3949" spans="8:9" x14ac:dyDescent="0.2">
      <c r="H3949" s="1"/>
      <c r="I3949" s="1"/>
    </row>
    <row r="3950" spans="8:9" x14ac:dyDescent="0.2">
      <c r="H3950" s="1"/>
      <c r="I3950" s="1"/>
    </row>
    <row r="3951" spans="8:9" x14ac:dyDescent="0.2">
      <c r="H3951" s="1"/>
      <c r="I3951" s="1"/>
    </row>
    <row r="3952" spans="8:9" x14ac:dyDescent="0.2">
      <c r="H3952" s="1"/>
      <c r="I3952" s="1"/>
    </row>
    <row r="3953" spans="8:9" x14ac:dyDescent="0.2">
      <c r="H3953" s="1"/>
      <c r="I3953" s="1"/>
    </row>
    <row r="3954" spans="8:9" x14ac:dyDescent="0.2">
      <c r="H3954" s="1"/>
      <c r="I3954" s="1"/>
    </row>
    <row r="3955" spans="8:9" x14ac:dyDescent="0.2">
      <c r="H3955" s="1"/>
      <c r="I3955" s="1"/>
    </row>
    <row r="3956" spans="8:9" x14ac:dyDescent="0.2">
      <c r="H3956" s="1"/>
      <c r="I3956" s="1"/>
    </row>
    <row r="3957" spans="8:9" x14ac:dyDescent="0.2">
      <c r="H3957" s="1"/>
      <c r="I3957" s="1"/>
    </row>
    <row r="3958" spans="8:9" x14ac:dyDescent="0.2">
      <c r="H3958" s="1"/>
      <c r="I3958" s="1"/>
    </row>
    <row r="3959" spans="8:9" x14ac:dyDescent="0.2">
      <c r="H3959" s="1"/>
      <c r="I3959" s="1"/>
    </row>
    <row r="3960" spans="8:9" x14ac:dyDescent="0.2">
      <c r="H3960" s="1"/>
      <c r="I3960" s="1"/>
    </row>
    <row r="3961" spans="8:9" x14ac:dyDescent="0.2">
      <c r="H3961" s="1"/>
      <c r="I3961" s="1"/>
    </row>
    <row r="3962" spans="8:9" x14ac:dyDescent="0.2">
      <c r="H3962" s="1"/>
      <c r="I3962" s="1"/>
    </row>
    <row r="3963" spans="8:9" x14ac:dyDescent="0.2">
      <c r="H3963" s="1"/>
      <c r="I3963" s="1"/>
    </row>
    <row r="3964" spans="8:9" x14ac:dyDescent="0.2">
      <c r="H3964" s="1"/>
      <c r="I3964" s="1"/>
    </row>
    <row r="3965" spans="8:9" x14ac:dyDescent="0.2">
      <c r="H3965" s="1"/>
      <c r="I3965" s="1"/>
    </row>
    <row r="3966" spans="8:9" x14ac:dyDescent="0.2">
      <c r="H3966" s="1"/>
      <c r="I3966" s="1"/>
    </row>
    <row r="3967" spans="8:9" x14ac:dyDescent="0.2">
      <c r="H3967" s="1"/>
      <c r="I3967" s="1"/>
    </row>
    <row r="3968" spans="8:9" x14ac:dyDescent="0.2">
      <c r="H3968" s="1"/>
      <c r="I3968" s="1"/>
    </row>
    <row r="3969" spans="8:9" x14ac:dyDescent="0.2">
      <c r="H3969" s="1"/>
      <c r="I3969" s="1"/>
    </row>
    <row r="3970" spans="8:9" x14ac:dyDescent="0.2">
      <c r="H3970" s="1"/>
      <c r="I3970" s="1"/>
    </row>
    <row r="3971" spans="8:9" x14ac:dyDescent="0.2">
      <c r="H3971" s="1"/>
      <c r="I3971" s="1"/>
    </row>
    <row r="3972" spans="8:9" x14ac:dyDescent="0.2">
      <c r="H3972" s="1"/>
      <c r="I3972" s="1"/>
    </row>
    <row r="3973" spans="8:9" x14ac:dyDescent="0.2">
      <c r="H3973" s="1"/>
      <c r="I3973" s="1"/>
    </row>
    <row r="3974" spans="8:9" x14ac:dyDescent="0.2">
      <c r="H3974" s="1"/>
      <c r="I3974" s="1"/>
    </row>
    <row r="3975" spans="8:9" x14ac:dyDescent="0.2">
      <c r="H3975" s="1"/>
      <c r="I3975" s="1"/>
    </row>
    <row r="3976" spans="8:9" x14ac:dyDescent="0.2">
      <c r="H3976" s="1"/>
      <c r="I3976" s="1"/>
    </row>
    <row r="3977" spans="8:9" x14ac:dyDescent="0.2">
      <c r="H3977" s="1"/>
      <c r="I3977" s="1"/>
    </row>
    <row r="3978" spans="8:9" x14ac:dyDescent="0.2">
      <c r="H3978" s="1"/>
      <c r="I3978" s="1"/>
    </row>
    <row r="3979" spans="8:9" x14ac:dyDescent="0.2">
      <c r="H3979" s="1"/>
      <c r="I3979" s="1"/>
    </row>
    <row r="3980" spans="8:9" x14ac:dyDescent="0.2">
      <c r="H3980" s="1"/>
      <c r="I3980" s="1"/>
    </row>
    <row r="3981" spans="8:9" x14ac:dyDescent="0.2">
      <c r="H3981" s="1"/>
      <c r="I3981" s="1"/>
    </row>
    <row r="3982" spans="8:9" x14ac:dyDescent="0.2">
      <c r="H3982" s="1"/>
      <c r="I3982" s="1"/>
    </row>
    <row r="3983" spans="8:9" x14ac:dyDescent="0.2">
      <c r="H3983" s="1"/>
      <c r="I3983" s="1"/>
    </row>
    <row r="3984" spans="8:9" x14ac:dyDescent="0.2">
      <c r="H3984" s="1"/>
      <c r="I3984" s="1"/>
    </row>
    <row r="3985" spans="8:9" x14ac:dyDescent="0.2">
      <c r="H3985" s="1"/>
      <c r="I3985" s="1"/>
    </row>
    <row r="3986" spans="8:9" x14ac:dyDescent="0.2">
      <c r="H3986" s="1"/>
      <c r="I3986" s="1"/>
    </row>
    <row r="3987" spans="8:9" x14ac:dyDescent="0.2">
      <c r="H3987" s="1"/>
      <c r="I3987" s="1"/>
    </row>
    <row r="3988" spans="8:9" x14ac:dyDescent="0.2">
      <c r="H3988" s="1"/>
      <c r="I3988" s="1"/>
    </row>
    <row r="3989" spans="8:9" x14ac:dyDescent="0.2">
      <c r="H3989" s="1"/>
      <c r="I3989" s="1"/>
    </row>
    <row r="3990" spans="8:9" x14ac:dyDescent="0.2">
      <c r="H3990" s="1"/>
      <c r="I3990" s="1"/>
    </row>
    <row r="3991" spans="8:9" x14ac:dyDescent="0.2">
      <c r="H3991" s="1"/>
      <c r="I3991" s="1"/>
    </row>
    <row r="3992" spans="8:9" x14ac:dyDescent="0.2">
      <c r="H3992" s="1"/>
      <c r="I3992" s="1"/>
    </row>
    <row r="3993" spans="8:9" x14ac:dyDescent="0.2">
      <c r="H3993" s="1"/>
      <c r="I3993" s="1"/>
    </row>
    <row r="3994" spans="8:9" x14ac:dyDescent="0.2">
      <c r="H3994" s="1"/>
      <c r="I3994" s="1"/>
    </row>
    <row r="3995" spans="8:9" x14ac:dyDescent="0.2">
      <c r="H3995" s="1"/>
      <c r="I3995" s="1"/>
    </row>
    <row r="3996" spans="8:9" x14ac:dyDescent="0.2">
      <c r="H3996" s="1"/>
      <c r="I3996" s="1"/>
    </row>
    <row r="3997" spans="8:9" x14ac:dyDescent="0.2">
      <c r="H3997" s="1"/>
      <c r="I3997" s="1"/>
    </row>
    <row r="3998" spans="8:9" x14ac:dyDescent="0.2">
      <c r="H3998" s="1"/>
      <c r="I3998" s="1"/>
    </row>
    <row r="3999" spans="8:9" x14ac:dyDescent="0.2">
      <c r="H3999" s="1"/>
      <c r="I3999" s="1"/>
    </row>
    <row r="4000" spans="8:9" x14ac:dyDescent="0.2">
      <c r="H4000" s="1"/>
      <c r="I4000" s="1"/>
    </row>
    <row r="4001" spans="8:9" x14ac:dyDescent="0.2">
      <c r="H4001" s="1"/>
      <c r="I4001" s="1"/>
    </row>
    <row r="4002" spans="8:9" x14ac:dyDescent="0.2">
      <c r="H4002" s="1"/>
      <c r="I4002" s="1"/>
    </row>
    <row r="4003" spans="8:9" x14ac:dyDescent="0.2">
      <c r="H4003" s="1"/>
      <c r="I4003" s="1"/>
    </row>
    <row r="4004" spans="8:9" x14ac:dyDescent="0.2">
      <c r="H4004" s="1"/>
      <c r="I4004" s="1"/>
    </row>
    <row r="4005" spans="8:9" x14ac:dyDescent="0.2">
      <c r="H4005" s="1"/>
      <c r="I4005" s="1"/>
    </row>
    <row r="4006" spans="8:9" x14ac:dyDescent="0.2">
      <c r="H4006" s="1"/>
      <c r="I4006" s="1"/>
    </row>
    <row r="4007" spans="8:9" x14ac:dyDescent="0.2">
      <c r="H4007" s="1"/>
      <c r="I4007" s="1"/>
    </row>
    <row r="4008" spans="8:9" x14ac:dyDescent="0.2">
      <c r="H4008" s="1"/>
      <c r="I4008" s="1"/>
    </row>
    <row r="4009" spans="8:9" x14ac:dyDescent="0.2">
      <c r="H4009" s="1"/>
      <c r="I4009" s="1"/>
    </row>
    <row r="4010" spans="8:9" x14ac:dyDescent="0.2">
      <c r="H4010" s="1"/>
      <c r="I4010" s="1"/>
    </row>
    <row r="4011" spans="8:9" x14ac:dyDescent="0.2">
      <c r="H4011" s="1"/>
      <c r="I4011" s="1"/>
    </row>
    <row r="4012" spans="8:9" x14ac:dyDescent="0.2">
      <c r="H4012" s="1"/>
      <c r="I4012" s="1"/>
    </row>
    <row r="4013" spans="8:9" x14ac:dyDescent="0.2">
      <c r="H4013" s="1"/>
      <c r="I4013" s="1"/>
    </row>
    <row r="4014" spans="8:9" x14ac:dyDescent="0.2">
      <c r="H4014" s="1"/>
      <c r="I4014" s="1"/>
    </row>
    <row r="4015" spans="8:9" x14ac:dyDescent="0.2">
      <c r="H4015" s="1"/>
      <c r="I4015" s="1"/>
    </row>
    <row r="4016" spans="8:9" x14ac:dyDescent="0.2">
      <c r="H4016" s="1"/>
      <c r="I4016" s="1"/>
    </row>
    <row r="4017" spans="8:9" x14ac:dyDescent="0.2">
      <c r="H4017" s="1"/>
      <c r="I4017" s="1"/>
    </row>
    <row r="4018" spans="8:9" x14ac:dyDescent="0.2">
      <c r="H4018" s="1"/>
      <c r="I4018" s="1"/>
    </row>
    <row r="4019" spans="8:9" x14ac:dyDescent="0.2">
      <c r="H4019" s="1"/>
      <c r="I4019" s="1"/>
    </row>
    <row r="4020" spans="8:9" x14ac:dyDescent="0.2">
      <c r="H4020" s="1"/>
      <c r="I4020" s="1"/>
    </row>
    <row r="4021" spans="8:9" x14ac:dyDescent="0.2">
      <c r="H4021" s="1"/>
      <c r="I4021" s="1"/>
    </row>
    <row r="4022" spans="8:9" x14ac:dyDescent="0.2">
      <c r="H4022" s="1"/>
      <c r="I4022" s="1"/>
    </row>
    <row r="4023" spans="8:9" x14ac:dyDescent="0.2">
      <c r="H4023" s="1"/>
      <c r="I4023" s="1"/>
    </row>
    <row r="4024" spans="8:9" x14ac:dyDescent="0.2">
      <c r="H4024" s="1"/>
      <c r="I4024" s="1"/>
    </row>
    <row r="4025" spans="8:9" x14ac:dyDescent="0.2">
      <c r="H4025" s="1"/>
      <c r="I4025" s="1"/>
    </row>
    <row r="4026" spans="8:9" x14ac:dyDescent="0.2">
      <c r="H4026" s="1"/>
      <c r="I4026" s="1"/>
    </row>
    <row r="4027" spans="8:9" x14ac:dyDescent="0.2">
      <c r="H4027" s="1"/>
      <c r="I4027" s="1"/>
    </row>
    <row r="4028" spans="8:9" x14ac:dyDescent="0.2">
      <c r="H4028" s="1"/>
      <c r="I4028" s="1"/>
    </row>
    <row r="4029" spans="8:9" x14ac:dyDescent="0.2">
      <c r="H4029" s="1"/>
      <c r="I4029" s="1"/>
    </row>
    <row r="4030" spans="8:9" x14ac:dyDescent="0.2">
      <c r="H4030" s="1"/>
      <c r="I4030" s="1"/>
    </row>
    <row r="4031" spans="8:9" x14ac:dyDescent="0.2">
      <c r="H4031" s="1"/>
      <c r="I4031" s="1"/>
    </row>
    <row r="4032" spans="8:9" x14ac:dyDescent="0.2">
      <c r="H4032" s="1"/>
      <c r="I4032" s="1"/>
    </row>
    <row r="4033" spans="8:9" x14ac:dyDescent="0.2">
      <c r="H4033" s="1"/>
      <c r="I4033" s="1"/>
    </row>
    <row r="4034" spans="8:9" x14ac:dyDescent="0.2">
      <c r="H4034" s="1"/>
      <c r="I4034" s="1"/>
    </row>
    <row r="4035" spans="8:9" x14ac:dyDescent="0.2">
      <c r="H4035" s="1"/>
      <c r="I4035" s="1"/>
    </row>
    <row r="4036" spans="8:9" x14ac:dyDescent="0.2">
      <c r="H4036" s="1"/>
      <c r="I4036" s="1"/>
    </row>
    <row r="4037" spans="8:9" x14ac:dyDescent="0.2">
      <c r="H4037" s="1"/>
      <c r="I4037" s="1"/>
    </row>
    <row r="4038" spans="8:9" x14ac:dyDescent="0.2">
      <c r="H4038" s="1"/>
      <c r="I4038" s="1"/>
    </row>
    <row r="4039" spans="8:9" x14ac:dyDescent="0.2">
      <c r="H4039" s="1"/>
      <c r="I4039" s="1"/>
    </row>
    <row r="4040" spans="8:9" x14ac:dyDescent="0.2">
      <c r="H4040" s="1"/>
      <c r="I4040" s="1"/>
    </row>
    <row r="4041" spans="8:9" x14ac:dyDescent="0.2">
      <c r="H4041" s="1"/>
      <c r="I4041" s="1"/>
    </row>
    <row r="4042" spans="8:9" x14ac:dyDescent="0.2">
      <c r="H4042" s="1"/>
      <c r="I4042" s="1"/>
    </row>
    <row r="4043" spans="8:9" x14ac:dyDescent="0.2">
      <c r="H4043" s="1"/>
      <c r="I4043" s="1"/>
    </row>
    <row r="4044" spans="8:9" x14ac:dyDescent="0.2">
      <c r="H4044" s="1"/>
      <c r="I4044" s="1"/>
    </row>
    <row r="4045" spans="8:9" x14ac:dyDescent="0.2">
      <c r="H4045" s="1"/>
      <c r="I4045" s="1"/>
    </row>
    <row r="4046" spans="8:9" x14ac:dyDescent="0.2">
      <c r="H4046" s="1"/>
      <c r="I4046" s="1"/>
    </row>
    <row r="4047" spans="8:9" x14ac:dyDescent="0.2">
      <c r="H4047" s="1"/>
      <c r="I4047" s="1"/>
    </row>
    <row r="4048" spans="8:9" x14ac:dyDescent="0.2">
      <c r="H4048" s="1"/>
      <c r="I4048" s="1"/>
    </row>
    <row r="4049" spans="8:9" x14ac:dyDescent="0.2">
      <c r="H4049" s="1"/>
      <c r="I4049" s="1"/>
    </row>
    <row r="4050" spans="8:9" x14ac:dyDescent="0.2">
      <c r="H4050" s="1"/>
      <c r="I4050" s="1"/>
    </row>
    <row r="4051" spans="8:9" x14ac:dyDescent="0.2">
      <c r="H4051" s="1"/>
      <c r="I4051" s="1"/>
    </row>
    <row r="4052" spans="8:9" x14ac:dyDescent="0.2">
      <c r="H4052" s="1"/>
      <c r="I4052" s="1"/>
    </row>
    <row r="4053" spans="8:9" x14ac:dyDescent="0.2">
      <c r="H4053" s="1"/>
      <c r="I4053" s="1"/>
    </row>
    <row r="4054" spans="8:9" x14ac:dyDescent="0.2">
      <c r="H4054" s="1"/>
      <c r="I4054" s="1"/>
    </row>
    <row r="4055" spans="8:9" x14ac:dyDescent="0.2">
      <c r="H4055" s="1"/>
      <c r="I4055" s="1"/>
    </row>
    <row r="4056" spans="8:9" x14ac:dyDescent="0.2">
      <c r="H4056" s="1"/>
      <c r="I4056" s="1"/>
    </row>
    <row r="4057" spans="8:9" x14ac:dyDescent="0.2">
      <c r="H4057" s="1"/>
      <c r="I4057" s="1"/>
    </row>
    <row r="4058" spans="8:9" x14ac:dyDescent="0.2">
      <c r="H4058" s="1"/>
      <c r="I4058" s="1"/>
    </row>
    <row r="4059" spans="8:9" x14ac:dyDescent="0.2">
      <c r="H4059" s="1"/>
      <c r="I4059" s="1"/>
    </row>
    <row r="4060" spans="8:9" x14ac:dyDescent="0.2">
      <c r="H4060" s="1"/>
      <c r="I4060" s="1"/>
    </row>
    <row r="4061" spans="8:9" x14ac:dyDescent="0.2">
      <c r="H4061" s="1"/>
      <c r="I4061" s="1"/>
    </row>
    <row r="4062" spans="8:9" x14ac:dyDescent="0.2">
      <c r="H4062" s="1"/>
      <c r="I4062" s="1"/>
    </row>
    <row r="4063" spans="8:9" x14ac:dyDescent="0.2">
      <c r="H4063" s="1"/>
      <c r="I4063" s="1"/>
    </row>
    <row r="4064" spans="8:9" x14ac:dyDescent="0.2">
      <c r="H4064" s="1"/>
      <c r="I4064" s="1"/>
    </row>
    <row r="4065" spans="8:9" x14ac:dyDescent="0.2">
      <c r="H4065" s="1"/>
      <c r="I4065" s="1"/>
    </row>
    <row r="4066" spans="8:9" x14ac:dyDescent="0.2">
      <c r="H4066" s="1"/>
      <c r="I4066" s="1"/>
    </row>
    <row r="4067" spans="8:9" x14ac:dyDescent="0.2">
      <c r="H4067" s="1"/>
      <c r="I4067" s="1"/>
    </row>
    <row r="4068" spans="8:9" x14ac:dyDescent="0.2">
      <c r="H4068" s="1"/>
      <c r="I4068" s="1"/>
    </row>
    <row r="4069" spans="8:9" x14ac:dyDescent="0.2">
      <c r="H4069" s="1"/>
      <c r="I4069" s="1"/>
    </row>
    <row r="4070" spans="8:9" x14ac:dyDescent="0.2">
      <c r="H4070" s="1"/>
      <c r="I4070" s="1"/>
    </row>
    <row r="4071" spans="8:9" x14ac:dyDescent="0.2">
      <c r="H4071" s="1"/>
      <c r="I4071" s="1"/>
    </row>
    <row r="4072" spans="8:9" x14ac:dyDescent="0.2">
      <c r="H4072" s="1"/>
      <c r="I4072" s="1"/>
    </row>
    <row r="4073" spans="8:9" x14ac:dyDescent="0.2">
      <c r="H4073" s="1"/>
      <c r="I4073" s="1"/>
    </row>
    <row r="4074" spans="8:9" x14ac:dyDescent="0.2">
      <c r="H4074" s="1"/>
      <c r="I4074" s="1"/>
    </row>
    <row r="4075" spans="8:9" x14ac:dyDescent="0.2">
      <c r="H4075" s="1"/>
      <c r="I4075" s="1"/>
    </row>
    <row r="4076" spans="8:9" x14ac:dyDescent="0.2">
      <c r="H4076" s="1"/>
      <c r="I4076" s="1"/>
    </row>
    <row r="4077" spans="8:9" x14ac:dyDescent="0.2">
      <c r="H4077" s="1"/>
      <c r="I4077" s="1"/>
    </row>
    <row r="4078" spans="8:9" x14ac:dyDescent="0.2">
      <c r="H4078" s="1"/>
      <c r="I4078" s="1"/>
    </row>
    <row r="4079" spans="8:9" x14ac:dyDescent="0.2">
      <c r="H4079" s="1"/>
      <c r="I4079" s="1"/>
    </row>
    <row r="4080" spans="8:9" x14ac:dyDescent="0.2">
      <c r="H4080" s="1"/>
      <c r="I4080" s="1"/>
    </row>
    <row r="4081" spans="8:9" x14ac:dyDescent="0.2">
      <c r="H4081" s="1"/>
      <c r="I4081" s="1"/>
    </row>
    <row r="4082" spans="8:9" x14ac:dyDescent="0.2">
      <c r="H4082" s="1"/>
      <c r="I4082" s="1"/>
    </row>
    <row r="4083" spans="8:9" x14ac:dyDescent="0.2">
      <c r="H4083" s="1"/>
      <c r="I4083" s="1"/>
    </row>
    <row r="4084" spans="8:9" x14ac:dyDescent="0.2">
      <c r="H4084" s="1"/>
      <c r="I4084" s="1"/>
    </row>
    <row r="4085" spans="8:9" x14ac:dyDescent="0.2">
      <c r="H4085" s="1"/>
      <c r="I4085" s="1"/>
    </row>
    <row r="4086" spans="8:9" x14ac:dyDescent="0.2">
      <c r="H4086" s="1"/>
      <c r="I4086" s="1"/>
    </row>
    <row r="4087" spans="8:9" x14ac:dyDescent="0.2">
      <c r="H4087" s="1"/>
      <c r="I4087" s="1"/>
    </row>
    <row r="4088" spans="8:9" x14ac:dyDescent="0.2">
      <c r="H4088" s="1"/>
      <c r="I4088" s="1"/>
    </row>
    <row r="4089" spans="8:9" x14ac:dyDescent="0.2">
      <c r="H4089" s="1"/>
      <c r="I4089" s="1"/>
    </row>
    <row r="4090" spans="8:9" x14ac:dyDescent="0.2">
      <c r="H4090" s="1"/>
      <c r="I4090" s="1"/>
    </row>
    <row r="4091" spans="8:9" x14ac:dyDescent="0.2">
      <c r="H4091" s="1"/>
      <c r="I4091" s="1"/>
    </row>
    <row r="4092" spans="8:9" x14ac:dyDescent="0.2">
      <c r="H4092" s="1"/>
      <c r="I4092" s="1"/>
    </row>
    <row r="4093" spans="8:9" x14ac:dyDescent="0.2">
      <c r="H4093" s="1"/>
      <c r="I4093" s="1"/>
    </row>
    <row r="4094" spans="8:9" x14ac:dyDescent="0.2">
      <c r="H4094" s="1"/>
      <c r="I4094" s="1"/>
    </row>
    <row r="4095" spans="8:9" x14ac:dyDescent="0.2">
      <c r="H4095" s="1"/>
      <c r="I4095" s="1"/>
    </row>
    <row r="4096" spans="8:9" x14ac:dyDescent="0.2">
      <c r="H4096" s="1"/>
      <c r="I4096" s="1"/>
    </row>
    <row r="4097" spans="8:9" x14ac:dyDescent="0.2">
      <c r="H4097" s="1"/>
      <c r="I4097" s="1"/>
    </row>
    <row r="4098" spans="8:9" x14ac:dyDescent="0.2">
      <c r="H4098" s="1"/>
      <c r="I4098" s="1"/>
    </row>
    <row r="4099" spans="8:9" x14ac:dyDescent="0.2">
      <c r="H4099" s="1"/>
      <c r="I4099" s="1"/>
    </row>
    <row r="4100" spans="8:9" x14ac:dyDescent="0.2">
      <c r="H4100" s="1"/>
      <c r="I4100" s="1"/>
    </row>
    <row r="4101" spans="8:9" x14ac:dyDescent="0.2">
      <c r="H4101" s="1"/>
      <c r="I4101" s="1"/>
    </row>
    <row r="4102" spans="8:9" x14ac:dyDescent="0.2">
      <c r="H4102" s="1"/>
      <c r="I4102" s="1"/>
    </row>
    <row r="4103" spans="8:9" x14ac:dyDescent="0.2">
      <c r="H4103" s="1"/>
      <c r="I4103" s="1"/>
    </row>
    <row r="4104" spans="8:9" x14ac:dyDescent="0.2">
      <c r="H4104" s="1"/>
      <c r="I4104" s="1"/>
    </row>
    <row r="4105" spans="8:9" x14ac:dyDescent="0.2">
      <c r="H4105" s="1"/>
      <c r="I4105" s="1"/>
    </row>
    <row r="4106" spans="8:9" x14ac:dyDescent="0.2">
      <c r="H4106" s="1"/>
      <c r="I4106" s="1"/>
    </row>
    <row r="4107" spans="8:9" x14ac:dyDescent="0.2">
      <c r="H4107" s="1"/>
      <c r="I4107" s="1"/>
    </row>
    <row r="4108" spans="8:9" x14ac:dyDescent="0.2">
      <c r="H4108" s="1"/>
      <c r="I4108" s="1"/>
    </row>
    <row r="4109" spans="8:9" x14ac:dyDescent="0.2">
      <c r="H4109" s="1"/>
      <c r="I4109" s="1"/>
    </row>
    <row r="4110" spans="8:9" x14ac:dyDescent="0.2">
      <c r="H4110" s="1"/>
      <c r="I4110" s="1"/>
    </row>
    <row r="4111" spans="8:9" x14ac:dyDescent="0.2">
      <c r="H4111" s="1"/>
      <c r="I4111" s="1"/>
    </row>
    <row r="4112" spans="8:9" x14ac:dyDescent="0.2">
      <c r="H4112" s="1"/>
      <c r="I4112" s="1"/>
    </row>
    <row r="4113" spans="8:9" x14ac:dyDescent="0.2">
      <c r="H4113" s="1"/>
      <c r="I4113" s="1"/>
    </row>
    <row r="4114" spans="8:9" x14ac:dyDescent="0.2">
      <c r="H4114" s="1"/>
      <c r="I4114" s="1"/>
    </row>
    <row r="4115" spans="8:9" x14ac:dyDescent="0.2">
      <c r="H4115" s="1"/>
      <c r="I4115" s="1"/>
    </row>
    <row r="4116" spans="8:9" x14ac:dyDescent="0.2">
      <c r="H4116" s="1"/>
      <c r="I4116" s="1"/>
    </row>
    <row r="4117" spans="8:9" x14ac:dyDescent="0.2">
      <c r="H4117" s="1"/>
      <c r="I4117" s="1"/>
    </row>
    <row r="4118" spans="8:9" x14ac:dyDescent="0.2">
      <c r="H4118" s="1"/>
      <c r="I4118" s="1"/>
    </row>
    <row r="4119" spans="8:9" x14ac:dyDescent="0.2">
      <c r="H4119" s="1"/>
      <c r="I4119" s="1"/>
    </row>
    <row r="4120" spans="8:9" x14ac:dyDescent="0.2">
      <c r="H4120" s="1"/>
      <c r="I4120" s="1"/>
    </row>
    <row r="4121" spans="8:9" x14ac:dyDescent="0.2">
      <c r="H4121" s="1"/>
      <c r="I4121" s="1"/>
    </row>
    <row r="4122" spans="8:9" x14ac:dyDescent="0.2">
      <c r="H4122" s="1"/>
      <c r="I4122" s="1"/>
    </row>
    <row r="4123" spans="8:9" x14ac:dyDescent="0.2">
      <c r="H4123" s="1"/>
      <c r="I4123" s="1"/>
    </row>
    <row r="4124" spans="8:9" x14ac:dyDescent="0.2">
      <c r="H4124" s="1"/>
      <c r="I4124" s="1"/>
    </row>
    <row r="4125" spans="8:9" x14ac:dyDescent="0.2">
      <c r="H4125" s="1"/>
      <c r="I4125" s="1"/>
    </row>
    <row r="4126" spans="8:9" x14ac:dyDescent="0.2">
      <c r="H4126" s="1"/>
      <c r="I4126" s="1"/>
    </row>
    <row r="4127" spans="8:9" x14ac:dyDescent="0.2">
      <c r="H4127" s="1"/>
      <c r="I4127" s="1"/>
    </row>
    <row r="4128" spans="8:9" x14ac:dyDescent="0.2">
      <c r="H4128" s="1"/>
      <c r="I4128" s="1"/>
    </row>
    <row r="4129" spans="8:9" x14ac:dyDescent="0.2">
      <c r="H4129" s="1"/>
      <c r="I4129" s="1"/>
    </row>
    <row r="4130" spans="8:9" x14ac:dyDescent="0.2">
      <c r="H4130" s="1"/>
      <c r="I4130" s="1"/>
    </row>
    <row r="4131" spans="8:9" x14ac:dyDescent="0.2">
      <c r="H4131" s="1"/>
      <c r="I4131" s="1"/>
    </row>
    <row r="4132" spans="8:9" x14ac:dyDescent="0.2">
      <c r="H4132" s="1"/>
      <c r="I4132" s="1"/>
    </row>
    <row r="4133" spans="8:9" x14ac:dyDescent="0.2">
      <c r="H4133" s="1"/>
      <c r="I4133" s="1"/>
    </row>
    <row r="4134" spans="8:9" x14ac:dyDescent="0.2">
      <c r="H4134" s="1"/>
      <c r="I4134" s="1"/>
    </row>
    <row r="4135" spans="8:9" x14ac:dyDescent="0.2">
      <c r="H4135" s="1"/>
      <c r="I4135" s="1"/>
    </row>
    <row r="4136" spans="8:9" x14ac:dyDescent="0.2">
      <c r="H4136" s="1"/>
      <c r="I4136" s="1"/>
    </row>
    <row r="4137" spans="8:9" x14ac:dyDescent="0.2">
      <c r="H4137" s="1"/>
      <c r="I4137" s="1"/>
    </row>
    <row r="4138" spans="8:9" x14ac:dyDescent="0.2">
      <c r="H4138" s="1"/>
      <c r="I4138" s="1"/>
    </row>
    <row r="4139" spans="8:9" x14ac:dyDescent="0.2">
      <c r="H4139" s="1"/>
      <c r="I4139" s="1"/>
    </row>
    <row r="4140" spans="8:9" x14ac:dyDescent="0.2">
      <c r="H4140" s="1"/>
      <c r="I4140" s="1"/>
    </row>
    <row r="4141" spans="8:9" x14ac:dyDescent="0.2">
      <c r="H4141" s="1"/>
      <c r="I4141" s="1"/>
    </row>
    <row r="4142" spans="8:9" x14ac:dyDescent="0.2">
      <c r="H4142" s="1"/>
      <c r="I4142" s="1"/>
    </row>
    <row r="4143" spans="8:9" x14ac:dyDescent="0.2">
      <c r="H4143" s="1"/>
      <c r="I4143" s="1"/>
    </row>
    <row r="4144" spans="8:9" x14ac:dyDescent="0.2">
      <c r="H4144" s="1"/>
      <c r="I4144" s="1"/>
    </row>
    <row r="4145" spans="8:9" x14ac:dyDescent="0.2">
      <c r="H4145" s="1"/>
      <c r="I4145" s="1"/>
    </row>
    <row r="4146" spans="8:9" x14ac:dyDescent="0.2">
      <c r="H4146" s="1"/>
      <c r="I4146" s="1"/>
    </row>
    <row r="4147" spans="8:9" x14ac:dyDescent="0.2">
      <c r="H4147" s="1"/>
      <c r="I4147" s="1"/>
    </row>
    <row r="4148" spans="8:9" x14ac:dyDescent="0.2">
      <c r="H4148" s="1"/>
      <c r="I4148" s="1"/>
    </row>
    <row r="4149" spans="8:9" x14ac:dyDescent="0.2">
      <c r="H4149" s="1"/>
      <c r="I4149" s="1"/>
    </row>
    <row r="4150" spans="8:9" x14ac:dyDescent="0.2">
      <c r="H4150" s="1"/>
      <c r="I4150" s="1"/>
    </row>
    <row r="4151" spans="8:9" x14ac:dyDescent="0.2">
      <c r="H4151" s="1"/>
      <c r="I4151" s="1"/>
    </row>
    <row r="4152" spans="8:9" x14ac:dyDescent="0.2">
      <c r="H4152" s="1"/>
      <c r="I4152" s="1"/>
    </row>
    <row r="4153" spans="8:9" x14ac:dyDescent="0.2">
      <c r="H4153" s="1"/>
      <c r="I4153" s="1"/>
    </row>
    <row r="4154" spans="8:9" x14ac:dyDescent="0.2">
      <c r="H4154" s="1"/>
      <c r="I4154" s="1"/>
    </row>
    <row r="4155" spans="8:9" x14ac:dyDescent="0.2">
      <c r="H4155" s="1"/>
      <c r="I4155" s="1"/>
    </row>
    <row r="4156" spans="8:9" x14ac:dyDescent="0.2">
      <c r="H4156" s="1"/>
      <c r="I4156" s="1"/>
    </row>
    <row r="4157" spans="8:9" x14ac:dyDescent="0.2">
      <c r="H4157" s="1"/>
      <c r="I4157" s="1"/>
    </row>
    <row r="4158" spans="8:9" x14ac:dyDescent="0.2">
      <c r="H4158" s="1"/>
      <c r="I4158" s="1"/>
    </row>
    <row r="4159" spans="8:9" x14ac:dyDescent="0.2">
      <c r="H4159" s="1"/>
      <c r="I4159" s="1"/>
    </row>
    <row r="4160" spans="8:9" x14ac:dyDescent="0.2">
      <c r="H4160" s="1"/>
      <c r="I4160" s="1"/>
    </row>
    <row r="4161" spans="8:9" x14ac:dyDescent="0.2">
      <c r="H4161" s="1"/>
      <c r="I4161" s="1"/>
    </row>
    <row r="4162" spans="8:9" x14ac:dyDescent="0.2">
      <c r="H4162" s="1"/>
      <c r="I4162" s="1"/>
    </row>
    <row r="4163" spans="8:9" x14ac:dyDescent="0.2">
      <c r="H4163" s="1"/>
      <c r="I4163" s="1"/>
    </row>
    <row r="4164" spans="8:9" x14ac:dyDescent="0.2">
      <c r="H4164" s="1"/>
      <c r="I4164" s="1"/>
    </row>
    <row r="4165" spans="8:9" x14ac:dyDescent="0.2">
      <c r="H4165" s="1"/>
      <c r="I4165" s="1"/>
    </row>
    <row r="4166" spans="8:9" x14ac:dyDescent="0.2">
      <c r="H4166" s="1"/>
      <c r="I4166" s="1"/>
    </row>
    <row r="4167" spans="8:9" x14ac:dyDescent="0.2">
      <c r="H4167" s="1"/>
      <c r="I4167" s="1"/>
    </row>
    <row r="4168" spans="8:9" x14ac:dyDescent="0.2">
      <c r="H4168" s="1"/>
      <c r="I4168" s="1"/>
    </row>
    <row r="4169" spans="8:9" x14ac:dyDescent="0.2">
      <c r="H4169" s="1"/>
      <c r="I4169" s="1"/>
    </row>
    <row r="4170" spans="8:9" x14ac:dyDescent="0.2">
      <c r="H4170" s="1"/>
      <c r="I4170" s="1"/>
    </row>
    <row r="4171" spans="8:9" x14ac:dyDescent="0.2">
      <c r="H4171" s="1"/>
      <c r="I4171" s="1"/>
    </row>
    <row r="4172" spans="8:9" x14ac:dyDescent="0.2">
      <c r="H4172" s="1"/>
      <c r="I4172" s="1"/>
    </row>
    <row r="4173" spans="8:9" x14ac:dyDescent="0.2">
      <c r="H4173" s="1"/>
      <c r="I4173" s="1"/>
    </row>
    <row r="4174" spans="8:9" x14ac:dyDescent="0.2">
      <c r="H4174" s="1"/>
      <c r="I4174" s="1"/>
    </row>
    <row r="4175" spans="8:9" x14ac:dyDescent="0.2">
      <c r="H4175" s="1"/>
      <c r="I4175" s="1"/>
    </row>
    <row r="4176" spans="8:9" x14ac:dyDescent="0.2">
      <c r="H4176" s="1"/>
      <c r="I4176" s="1"/>
    </row>
    <row r="4177" spans="8:9" x14ac:dyDescent="0.2">
      <c r="H4177" s="1"/>
      <c r="I4177" s="1"/>
    </row>
    <row r="4178" spans="8:9" x14ac:dyDescent="0.2">
      <c r="H4178" s="1"/>
      <c r="I4178" s="1"/>
    </row>
    <row r="4179" spans="8:9" x14ac:dyDescent="0.2">
      <c r="H4179" s="1"/>
      <c r="I4179" s="1"/>
    </row>
    <row r="4180" spans="8:9" x14ac:dyDescent="0.2">
      <c r="H4180" s="1"/>
      <c r="I4180" s="1"/>
    </row>
    <row r="4181" spans="8:9" x14ac:dyDescent="0.2">
      <c r="H4181" s="1"/>
      <c r="I4181" s="1"/>
    </row>
    <row r="4182" spans="8:9" x14ac:dyDescent="0.2">
      <c r="H4182" s="1"/>
      <c r="I4182" s="1"/>
    </row>
    <row r="4183" spans="8:9" x14ac:dyDescent="0.2">
      <c r="H4183" s="1"/>
      <c r="I4183" s="1"/>
    </row>
    <row r="4184" spans="8:9" x14ac:dyDescent="0.2">
      <c r="H4184" s="1"/>
      <c r="I4184" s="1"/>
    </row>
    <row r="4185" spans="8:9" x14ac:dyDescent="0.2">
      <c r="H4185" s="1"/>
      <c r="I4185" s="1"/>
    </row>
    <row r="4186" spans="8:9" x14ac:dyDescent="0.2">
      <c r="H4186" s="1"/>
      <c r="I4186" s="1"/>
    </row>
    <row r="4187" spans="8:9" x14ac:dyDescent="0.2">
      <c r="H4187" s="1"/>
      <c r="I4187" s="1"/>
    </row>
    <row r="4188" spans="8:9" x14ac:dyDescent="0.2">
      <c r="H4188" s="1"/>
      <c r="I4188" s="1"/>
    </row>
    <row r="4189" spans="8:9" x14ac:dyDescent="0.2">
      <c r="H4189" s="1"/>
      <c r="I4189" s="1"/>
    </row>
    <row r="4190" spans="8:9" x14ac:dyDescent="0.2">
      <c r="H4190" s="1"/>
      <c r="I4190" s="1"/>
    </row>
    <row r="4191" spans="8:9" x14ac:dyDescent="0.2">
      <c r="H4191" s="1"/>
      <c r="I4191" s="1"/>
    </row>
    <row r="4192" spans="8:9" x14ac:dyDescent="0.2">
      <c r="H4192" s="1"/>
      <c r="I4192" s="1"/>
    </row>
    <row r="4193" spans="8:9" x14ac:dyDescent="0.2">
      <c r="H4193" s="1"/>
      <c r="I4193" s="1"/>
    </row>
    <row r="4194" spans="8:9" x14ac:dyDescent="0.2">
      <c r="H4194" s="1"/>
      <c r="I4194" s="1"/>
    </row>
    <row r="4195" spans="8:9" x14ac:dyDescent="0.2">
      <c r="H4195" s="1"/>
      <c r="I4195" s="1"/>
    </row>
    <row r="4196" spans="8:9" x14ac:dyDescent="0.2">
      <c r="H4196" s="1"/>
      <c r="I4196" s="1"/>
    </row>
    <row r="4197" spans="8:9" x14ac:dyDescent="0.2">
      <c r="H4197" s="1"/>
      <c r="I4197" s="1"/>
    </row>
    <row r="4198" spans="8:9" x14ac:dyDescent="0.2">
      <c r="H4198" s="1"/>
      <c r="I4198" s="1"/>
    </row>
    <row r="4199" spans="8:9" x14ac:dyDescent="0.2">
      <c r="H4199" s="1"/>
      <c r="I4199" s="1"/>
    </row>
    <row r="4200" spans="8:9" x14ac:dyDescent="0.2">
      <c r="H4200" s="1"/>
      <c r="I4200" s="1"/>
    </row>
    <row r="4201" spans="8:9" x14ac:dyDescent="0.2">
      <c r="H4201" s="1"/>
      <c r="I4201" s="1"/>
    </row>
    <row r="4202" spans="8:9" x14ac:dyDescent="0.2">
      <c r="H4202" s="1"/>
      <c r="I4202" s="1"/>
    </row>
    <row r="4203" spans="8:9" x14ac:dyDescent="0.2">
      <c r="H4203" s="1"/>
      <c r="I4203" s="1"/>
    </row>
    <row r="4204" spans="8:9" x14ac:dyDescent="0.2">
      <c r="H4204" s="1"/>
      <c r="I4204" s="1"/>
    </row>
    <row r="4205" spans="8:9" x14ac:dyDescent="0.2">
      <c r="H4205" s="1"/>
      <c r="I4205" s="1"/>
    </row>
    <row r="4206" spans="8:9" x14ac:dyDescent="0.2">
      <c r="H4206" s="1"/>
      <c r="I4206" s="1"/>
    </row>
    <row r="4207" spans="8:9" x14ac:dyDescent="0.2">
      <c r="H4207" s="1"/>
      <c r="I4207" s="1"/>
    </row>
    <row r="4208" spans="8:9" x14ac:dyDescent="0.2">
      <c r="H4208" s="1"/>
      <c r="I4208" s="1"/>
    </row>
    <row r="4209" spans="8:9" x14ac:dyDescent="0.2">
      <c r="H4209" s="1"/>
      <c r="I4209" s="1"/>
    </row>
    <row r="4210" spans="8:9" x14ac:dyDescent="0.2">
      <c r="H4210" s="1"/>
      <c r="I4210" s="1"/>
    </row>
    <row r="4211" spans="8:9" x14ac:dyDescent="0.2">
      <c r="H4211" s="1"/>
      <c r="I4211" s="1"/>
    </row>
    <row r="4212" spans="8:9" x14ac:dyDescent="0.2">
      <c r="H4212" s="1"/>
      <c r="I4212" s="1"/>
    </row>
    <row r="4213" spans="8:9" x14ac:dyDescent="0.2">
      <c r="H4213" s="1"/>
      <c r="I4213" s="1"/>
    </row>
    <row r="4214" spans="8:9" x14ac:dyDescent="0.2">
      <c r="H4214" s="1"/>
      <c r="I4214" s="1"/>
    </row>
    <row r="4215" spans="8:9" x14ac:dyDescent="0.2">
      <c r="H4215" s="1"/>
      <c r="I4215" s="1"/>
    </row>
    <row r="4216" spans="8:9" x14ac:dyDescent="0.2">
      <c r="H4216" s="1"/>
      <c r="I4216" s="1"/>
    </row>
    <row r="4217" spans="8:9" x14ac:dyDescent="0.2">
      <c r="H4217" s="1"/>
      <c r="I4217" s="1"/>
    </row>
    <row r="4218" spans="8:9" x14ac:dyDescent="0.2">
      <c r="H4218" s="1"/>
      <c r="I4218" s="1"/>
    </row>
    <row r="4219" spans="8:9" x14ac:dyDescent="0.2">
      <c r="H4219" s="1"/>
      <c r="I4219" s="1"/>
    </row>
    <row r="4220" spans="8:9" x14ac:dyDescent="0.2">
      <c r="H4220" s="1"/>
      <c r="I4220" s="1"/>
    </row>
    <row r="4221" spans="8:9" x14ac:dyDescent="0.2">
      <c r="H4221" s="1"/>
      <c r="I4221" s="1"/>
    </row>
    <row r="4222" spans="8:9" x14ac:dyDescent="0.2">
      <c r="H4222" s="1"/>
      <c r="I4222" s="1"/>
    </row>
    <row r="4223" spans="8:9" x14ac:dyDescent="0.2">
      <c r="H4223" s="1"/>
      <c r="I4223" s="1"/>
    </row>
    <row r="4224" spans="8:9" x14ac:dyDescent="0.2">
      <c r="H4224" s="1"/>
      <c r="I4224" s="1"/>
    </row>
    <row r="4225" spans="8:9" x14ac:dyDescent="0.2">
      <c r="H4225" s="1"/>
      <c r="I4225" s="1"/>
    </row>
    <row r="4226" spans="8:9" x14ac:dyDescent="0.2">
      <c r="H4226" s="1"/>
      <c r="I4226" s="1"/>
    </row>
    <row r="4227" spans="8:9" x14ac:dyDescent="0.2">
      <c r="H4227" s="1"/>
      <c r="I4227" s="1"/>
    </row>
    <row r="4228" spans="8:9" x14ac:dyDescent="0.2">
      <c r="H4228" s="1"/>
      <c r="I4228" s="1"/>
    </row>
    <row r="4229" spans="8:9" x14ac:dyDescent="0.2">
      <c r="H4229" s="1"/>
      <c r="I4229" s="1"/>
    </row>
    <row r="4230" spans="8:9" x14ac:dyDescent="0.2">
      <c r="H4230" s="1"/>
      <c r="I4230" s="1"/>
    </row>
    <row r="4231" spans="8:9" x14ac:dyDescent="0.2">
      <c r="H4231" s="1"/>
      <c r="I4231" s="1"/>
    </row>
    <row r="4232" spans="8:9" x14ac:dyDescent="0.2">
      <c r="H4232" s="1"/>
      <c r="I4232" s="1"/>
    </row>
    <row r="4233" spans="8:9" x14ac:dyDescent="0.2">
      <c r="H4233" s="1"/>
      <c r="I4233" s="1"/>
    </row>
    <row r="4234" spans="8:9" x14ac:dyDescent="0.2">
      <c r="H4234" s="1"/>
      <c r="I4234" s="1"/>
    </row>
    <row r="4235" spans="8:9" x14ac:dyDescent="0.2">
      <c r="H4235" s="1"/>
      <c r="I4235" s="1"/>
    </row>
    <row r="4236" spans="8:9" x14ac:dyDescent="0.2">
      <c r="H4236" s="1"/>
      <c r="I4236" s="1"/>
    </row>
    <row r="4237" spans="8:9" x14ac:dyDescent="0.2">
      <c r="H4237" s="1"/>
      <c r="I4237" s="1"/>
    </row>
    <row r="4238" spans="8:9" x14ac:dyDescent="0.2">
      <c r="H4238" s="1"/>
      <c r="I4238" s="1"/>
    </row>
    <row r="4239" spans="8:9" x14ac:dyDescent="0.2">
      <c r="H4239" s="1"/>
      <c r="I4239" s="1"/>
    </row>
    <row r="4240" spans="8:9" x14ac:dyDescent="0.2">
      <c r="H4240" s="1"/>
      <c r="I4240" s="1"/>
    </row>
    <row r="4241" spans="8:9" x14ac:dyDescent="0.2">
      <c r="H4241" s="1"/>
      <c r="I4241" s="1"/>
    </row>
    <row r="4242" spans="8:9" x14ac:dyDescent="0.2">
      <c r="H4242" s="1"/>
      <c r="I4242" s="1"/>
    </row>
    <row r="4243" spans="8:9" x14ac:dyDescent="0.2">
      <c r="H4243" s="1"/>
      <c r="I4243" s="1"/>
    </row>
    <row r="4244" spans="8:9" x14ac:dyDescent="0.2">
      <c r="H4244" s="1"/>
      <c r="I4244" s="1"/>
    </row>
    <row r="4245" spans="8:9" x14ac:dyDescent="0.2">
      <c r="H4245" s="1"/>
      <c r="I4245" s="1"/>
    </row>
    <row r="4246" spans="8:9" x14ac:dyDescent="0.2">
      <c r="H4246" s="1"/>
      <c r="I4246" s="1"/>
    </row>
    <row r="4247" spans="8:9" x14ac:dyDescent="0.2">
      <c r="H4247" s="1"/>
      <c r="I4247" s="1"/>
    </row>
    <row r="4248" spans="8:9" x14ac:dyDescent="0.2">
      <c r="H4248" s="1"/>
      <c r="I4248" s="1"/>
    </row>
    <row r="4249" spans="8:9" x14ac:dyDescent="0.2">
      <c r="H4249" s="1"/>
      <c r="I4249" s="1"/>
    </row>
    <row r="4250" spans="8:9" x14ac:dyDescent="0.2">
      <c r="H4250" s="1"/>
      <c r="I4250" s="1"/>
    </row>
    <row r="4251" spans="8:9" x14ac:dyDescent="0.2">
      <c r="H4251" s="1"/>
      <c r="I4251" s="1"/>
    </row>
    <row r="4252" spans="8:9" x14ac:dyDescent="0.2">
      <c r="H4252" s="1"/>
      <c r="I4252" s="1"/>
    </row>
    <row r="4253" spans="8:9" x14ac:dyDescent="0.2">
      <c r="H4253" s="1"/>
      <c r="I4253" s="1"/>
    </row>
    <row r="4254" spans="8:9" x14ac:dyDescent="0.2">
      <c r="H4254" s="1"/>
      <c r="I4254" s="1"/>
    </row>
    <row r="4255" spans="8:9" x14ac:dyDescent="0.2">
      <c r="H4255" s="1"/>
      <c r="I4255" s="1"/>
    </row>
    <row r="4256" spans="8:9" x14ac:dyDescent="0.2">
      <c r="H4256" s="1"/>
      <c r="I4256" s="1"/>
    </row>
    <row r="4257" spans="8:9" x14ac:dyDescent="0.2">
      <c r="H4257" s="1"/>
      <c r="I4257" s="1"/>
    </row>
    <row r="4258" spans="8:9" x14ac:dyDescent="0.2">
      <c r="H4258" s="1"/>
      <c r="I4258" s="1"/>
    </row>
    <row r="4259" spans="8:9" x14ac:dyDescent="0.2">
      <c r="H4259" s="1"/>
      <c r="I4259" s="1"/>
    </row>
    <row r="4260" spans="8:9" x14ac:dyDescent="0.2">
      <c r="H4260" s="1"/>
      <c r="I4260" s="1"/>
    </row>
    <row r="4261" spans="8:9" x14ac:dyDescent="0.2">
      <c r="H4261" s="1"/>
      <c r="I4261" s="1"/>
    </row>
    <row r="4262" spans="8:9" x14ac:dyDescent="0.2">
      <c r="H4262" s="1"/>
      <c r="I4262" s="1"/>
    </row>
    <row r="4263" spans="8:9" x14ac:dyDescent="0.2">
      <c r="H4263" s="1"/>
      <c r="I4263" s="1"/>
    </row>
    <row r="4264" spans="8:9" x14ac:dyDescent="0.2">
      <c r="H4264" s="1"/>
      <c r="I4264" s="1"/>
    </row>
    <row r="4265" spans="8:9" x14ac:dyDescent="0.2">
      <c r="H4265" s="1"/>
      <c r="I4265" s="1"/>
    </row>
    <row r="4266" spans="8:9" x14ac:dyDescent="0.2">
      <c r="H4266" s="1"/>
      <c r="I4266" s="1"/>
    </row>
    <row r="4267" spans="8:9" x14ac:dyDescent="0.2">
      <c r="H4267" s="1"/>
      <c r="I4267" s="1"/>
    </row>
    <row r="4268" spans="8:9" x14ac:dyDescent="0.2">
      <c r="H4268" s="1"/>
      <c r="I4268" s="1"/>
    </row>
    <row r="4269" spans="8:9" x14ac:dyDescent="0.2">
      <c r="H4269" s="1"/>
      <c r="I4269" s="1"/>
    </row>
    <row r="4270" spans="8:9" x14ac:dyDescent="0.2">
      <c r="H4270" s="1"/>
      <c r="I4270" s="1"/>
    </row>
    <row r="4271" spans="8:9" x14ac:dyDescent="0.2">
      <c r="H4271" s="1"/>
      <c r="I4271" s="1"/>
    </row>
    <row r="4272" spans="8:9" x14ac:dyDescent="0.2">
      <c r="H4272" s="1"/>
      <c r="I4272" s="1"/>
    </row>
    <row r="4273" spans="8:9" x14ac:dyDescent="0.2">
      <c r="H4273" s="1"/>
      <c r="I4273" s="1"/>
    </row>
    <row r="4274" spans="8:9" x14ac:dyDescent="0.2">
      <c r="H4274" s="1"/>
      <c r="I4274" s="1"/>
    </row>
    <row r="4275" spans="8:9" x14ac:dyDescent="0.2">
      <c r="H4275" s="1"/>
      <c r="I4275" s="1"/>
    </row>
    <row r="4276" spans="8:9" x14ac:dyDescent="0.2">
      <c r="H4276" s="1"/>
      <c r="I4276" s="1"/>
    </row>
    <row r="4277" spans="8:9" x14ac:dyDescent="0.2">
      <c r="H4277" s="1"/>
      <c r="I4277" s="1"/>
    </row>
    <row r="4278" spans="8:9" x14ac:dyDescent="0.2">
      <c r="H4278" s="1"/>
      <c r="I4278" s="1"/>
    </row>
    <row r="4279" spans="8:9" x14ac:dyDescent="0.2">
      <c r="H4279" s="1"/>
      <c r="I4279" s="1"/>
    </row>
    <row r="4280" spans="8:9" x14ac:dyDescent="0.2">
      <c r="H4280" s="1"/>
      <c r="I4280" s="1"/>
    </row>
    <row r="4281" spans="8:9" x14ac:dyDescent="0.2">
      <c r="H4281" s="1"/>
      <c r="I4281" s="1"/>
    </row>
    <row r="4282" spans="8:9" x14ac:dyDescent="0.2">
      <c r="H4282" s="1"/>
      <c r="I4282" s="1"/>
    </row>
    <row r="4283" spans="8:9" x14ac:dyDescent="0.2">
      <c r="H4283" s="1"/>
      <c r="I4283" s="1"/>
    </row>
    <row r="4284" spans="8:9" x14ac:dyDescent="0.2">
      <c r="H4284" s="1"/>
      <c r="I4284" s="1"/>
    </row>
    <row r="4285" spans="8:9" x14ac:dyDescent="0.2">
      <c r="H4285" s="1"/>
      <c r="I4285" s="1"/>
    </row>
    <row r="4286" spans="8:9" x14ac:dyDescent="0.2">
      <c r="H4286" s="1"/>
      <c r="I4286" s="1"/>
    </row>
    <row r="4287" spans="8:9" x14ac:dyDescent="0.2">
      <c r="H4287" s="1"/>
      <c r="I4287" s="1"/>
    </row>
    <row r="4288" spans="8:9" x14ac:dyDescent="0.2">
      <c r="H4288" s="1"/>
      <c r="I4288" s="1"/>
    </row>
    <row r="4289" spans="8:9" x14ac:dyDescent="0.2">
      <c r="H4289" s="1"/>
      <c r="I4289" s="1"/>
    </row>
    <row r="4290" spans="8:9" x14ac:dyDescent="0.2">
      <c r="H4290" s="1"/>
      <c r="I4290" s="1"/>
    </row>
    <row r="4291" spans="8:9" x14ac:dyDescent="0.2">
      <c r="H4291" s="1"/>
      <c r="I4291" s="1"/>
    </row>
    <row r="4292" spans="8:9" x14ac:dyDescent="0.2">
      <c r="H4292" s="1"/>
      <c r="I4292" s="1"/>
    </row>
    <row r="4293" spans="8:9" x14ac:dyDescent="0.2">
      <c r="H4293" s="1"/>
      <c r="I4293" s="1"/>
    </row>
    <row r="4294" spans="8:9" x14ac:dyDescent="0.2">
      <c r="H4294" s="1"/>
      <c r="I4294" s="1"/>
    </row>
    <row r="4295" spans="8:9" x14ac:dyDescent="0.2">
      <c r="H4295" s="1"/>
      <c r="I4295" s="1"/>
    </row>
    <row r="4296" spans="8:9" x14ac:dyDescent="0.2">
      <c r="H4296" s="1"/>
      <c r="I4296" s="1"/>
    </row>
    <row r="4297" spans="8:9" x14ac:dyDescent="0.2">
      <c r="H4297" s="1"/>
      <c r="I4297" s="1"/>
    </row>
    <row r="4298" spans="8:9" x14ac:dyDescent="0.2">
      <c r="H4298" s="1"/>
      <c r="I4298" s="1"/>
    </row>
    <row r="4299" spans="8:9" x14ac:dyDescent="0.2">
      <c r="H4299" s="1"/>
      <c r="I4299" s="1"/>
    </row>
    <row r="4300" spans="8:9" x14ac:dyDescent="0.2">
      <c r="H4300" s="1"/>
      <c r="I4300" s="1"/>
    </row>
    <row r="4301" spans="8:9" x14ac:dyDescent="0.2">
      <c r="H4301" s="1"/>
      <c r="I4301" s="1"/>
    </row>
    <row r="4302" spans="8:9" x14ac:dyDescent="0.2">
      <c r="H4302" s="1"/>
      <c r="I4302" s="1"/>
    </row>
    <row r="4303" spans="8:9" x14ac:dyDescent="0.2">
      <c r="H4303" s="1"/>
      <c r="I4303" s="1"/>
    </row>
    <row r="4304" spans="8:9" x14ac:dyDescent="0.2">
      <c r="H4304" s="1"/>
      <c r="I4304" s="1"/>
    </row>
    <row r="4305" spans="8:9" x14ac:dyDescent="0.2">
      <c r="H4305" s="1"/>
      <c r="I4305" s="1"/>
    </row>
    <row r="4306" spans="8:9" x14ac:dyDescent="0.2">
      <c r="H4306" s="1"/>
      <c r="I4306" s="1"/>
    </row>
    <row r="4307" spans="8:9" x14ac:dyDescent="0.2">
      <c r="H4307" s="1"/>
      <c r="I4307" s="1"/>
    </row>
    <row r="4308" spans="8:9" x14ac:dyDescent="0.2">
      <c r="H4308" s="1"/>
      <c r="I4308" s="1"/>
    </row>
    <row r="4309" spans="8:9" x14ac:dyDescent="0.2">
      <c r="H4309" s="1"/>
      <c r="I4309" s="1"/>
    </row>
    <row r="4310" spans="8:9" x14ac:dyDescent="0.2">
      <c r="H4310" s="1"/>
      <c r="I4310" s="1"/>
    </row>
    <row r="4311" spans="8:9" x14ac:dyDescent="0.2">
      <c r="H4311" s="1"/>
      <c r="I4311" s="1"/>
    </row>
    <row r="4312" spans="8:9" x14ac:dyDescent="0.2">
      <c r="H4312" s="1"/>
      <c r="I4312" s="1"/>
    </row>
    <row r="4313" spans="8:9" x14ac:dyDescent="0.2">
      <c r="H4313" s="1"/>
      <c r="I4313" s="1"/>
    </row>
    <row r="4314" spans="8:9" x14ac:dyDescent="0.2">
      <c r="H4314" s="1"/>
      <c r="I4314" s="1"/>
    </row>
    <row r="4315" spans="8:9" x14ac:dyDescent="0.2">
      <c r="H4315" s="1"/>
      <c r="I4315" s="1"/>
    </row>
    <row r="4316" spans="8:9" x14ac:dyDescent="0.2">
      <c r="H4316" s="1"/>
      <c r="I4316" s="1"/>
    </row>
    <row r="4317" spans="8:9" x14ac:dyDescent="0.2">
      <c r="H4317" s="1"/>
      <c r="I4317" s="1"/>
    </row>
    <row r="4318" spans="8:9" x14ac:dyDescent="0.2">
      <c r="H4318" s="1"/>
      <c r="I4318" s="1"/>
    </row>
    <row r="4319" spans="8:9" x14ac:dyDescent="0.2">
      <c r="H4319" s="1"/>
      <c r="I4319" s="1"/>
    </row>
    <row r="4320" spans="8:9" x14ac:dyDescent="0.2">
      <c r="H4320" s="1"/>
      <c r="I4320" s="1"/>
    </row>
    <row r="4321" spans="8:9" x14ac:dyDescent="0.2">
      <c r="H4321" s="1"/>
      <c r="I4321" s="1"/>
    </row>
    <row r="4322" spans="8:9" x14ac:dyDescent="0.2">
      <c r="H4322" s="1"/>
      <c r="I4322" s="1"/>
    </row>
    <row r="4323" spans="8:9" x14ac:dyDescent="0.2">
      <c r="H4323" s="1"/>
      <c r="I4323" s="1"/>
    </row>
    <row r="4324" spans="8:9" x14ac:dyDescent="0.2">
      <c r="H4324" s="1"/>
      <c r="I4324" s="1"/>
    </row>
    <row r="4325" spans="8:9" x14ac:dyDescent="0.2">
      <c r="H4325" s="1"/>
      <c r="I4325" s="1"/>
    </row>
    <row r="4326" spans="8:9" x14ac:dyDescent="0.2">
      <c r="H4326" s="1"/>
      <c r="I4326" s="1"/>
    </row>
    <row r="4327" spans="8:9" x14ac:dyDescent="0.2">
      <c r="H4327" s="1"/>
      <c r="I4327" s="1"/>
    </row>
    <row r="4328" spans="8:9" x14ac:dyDescent="0.2">
      <c r="H4328" s="1"/>
      <c r="I4328" s="1"/>
    </row>
    <row r="4329" spans="8:9" x14ac:dyDescent="0.2">
      <c r="H4329" s="1"/>
      <c r="I4329" s="1"/>
    </row>
    <row r="4330" spans="8:9" x14ac:dyDescent="0.2">
      <c r="H4330" s="1"/>
      <c r="I4330" s="1"/>
    </row>
    <row r="4331" spans="8:9" x14ac:dyDescent="0.2">
      <c r="H4331" s="1"/>
      <c r="I4331" s="1"/>
    </row>
    <row r="4332" spans="8:9" x14ac:dyDescent="0.2">
      <c r="H4332" s="1"/>
      <c r="I4332" s="1"/>
    </row>
    <row r="4333" spans="8:9" x14ac:dyDescent="0.2">
      <c r="H4333" s="1"/>
      <c r="I4333" s="1"/>
    </row>
    <row r="4334" spans="8:9" x14ac:dyDescent="0.2">
      <c r="H4334" s="1"/>
      <c r="I4334" s="1"/>
    </row>
    <row r="4335" spans="8:9" x14ac:dyDescent="0.2">
      <c r="H4335" s="1"/>
      <c r="I4335" s="1"/>
    </row>
    <row r="4336" spans="8:9" x14ac:dyDescent="0.2">
      <c r="H4336" s="1"/>
      <c r="I4336" s="1"/>
    </row>
    <row r="4337" spans="8:9" x14ac:dyDescent="0.2">
      <c r="H4337" s="1"/>
      <c r="I4337" s="1"/>
    </row>
    <row r="4338" spans="8:9" x14ac:dyDescent="0.2">
      <c r="H4338" s="1"/>
      <c r="I4338" s="1"/>
    </row>
    <row r="4339" spans="8:9" x14ac:dyDescent="0.2">
      <c r="H4339" s="1"/>
      <c r="I4339" s="1"/>
    </row>
    <row r="4340" spans="8:9" x14ac:dyDescent="0.2">
      <c r="H4340" s="1"/>
      <c r="I4340" s="1"/>
    </row>
    <row r="4341" spans="8:9" x14ac:dyDescent="0.2">
      <c r="H4341" s="1"/>
      <c r="I4341" s="1"/>
    </row>
    <row r="4342" spans="8:9" x14ac:dyDescent="0.2">
      <c r="H4342" s="1"/>
      <c r="I4342" s="1"/>
    </row>
    <row r="4343" spans="8:9" x14ac:dyDescent="0.2">
      <c r="H4343" s="1"/>
      <c r="I4343" s="1"/>
    </row>
    <row r="4344" spans="8:9" x14ac:dyDescent="0.2">
      <c r="H4344" s="1"/>
      <c r="I4344" s="1"/>
    </row>
    <row r="4345" spans="8:9" x14ac:dyDescent="0.2">
      <c r="H4345" s="1"/>
      <c r="I4345" s="1"/>
    </row>
    <row r="4346" spans="8:9" x14ac:dyDescent="0.2">
      <c r="H4346" s="1"/>
      <c r="I4346" s="1"/>
    </row>
    <row r="4347" spans="8:9" x14ac:dyDescent="0.2">
      <c r="H4347" s="1"/>
      <c r="I4347" s="1"/>
    </row>
    <row r="4348" spans="8:9" x14ac:dyDescent="0.2">
      <c r="H4348" s="1"/>
      <c r="I4348" s="1"/>
    </row>
    <row r="4349" spans="8:9" x14ac:dyDescent="0.2">
      <c r="H4349" s="1"/>
      <c r="I4349" s="1"/>
    </row>
    <row r="4350" spans="8:9" x14ac:dyDescent="0.2">
      <c r="H4350" s="1"/>
      <c r="I4350" s="1"/>
    </row>
    <row r="4351" spans="8:9" x14ac:dyDescent="0.2">
      <c r="H4351" s="1"/>
      <c r="I4351" s="1"/>
    </row>
    <row r="4352" spans="8:9" x14ac:dyDescent="0.2">
      <c r="H4352" s="1"/>
      <c r="I4352" s="1"/>
    </row>
    <row r="4353" spans="8:9" x14ac:dyDescent="0.2">
      <c r="H4353" s="1"/>
      <c r="I4353" s="1"/>
    </row>
    <row r="4354" spans="8:9" x14ac:dyDescent="0.2">
      <c r="H4354" s="1"/>
      <c r="I4354" s="1"/>
    </row>
    <row r="4355" spans="8:9" x14ac:dyDescent="0.2">
      <c r="H4355" s="1"/>
      <c r="I4355" s="1"/>
    </row>
    <row r="4356" spans="8:9" x14ac:dyDescent="0.2">
      <c r="H4356" s="1"/>
      <c r="I4356" s="1"/>
    </row>
    <row r="4357" spans="8:9" x14ac:dyDescent="0.2">
      <c r="H4357" s="1"/>
      <c r="I4357" s="1"/>
    </row>
    <row r="4358" spans="8:9" x14ac:dyDescent="0.2">
      <c r="H4358" s="1"/>
      <c r="I4358" s="1"/>
    </row>
    <row r="4359" spans="8:9" x14ac:dyDescent="0.2">
      <c r="H4359" s="1"/>
      <c r="I4359" s="1"/>
    </row>
    <row r="4360" spans="8:9" x14ac:dyDescent="0.2">
      <c r="H4360" s="1"/>
      <c r="I4360" s="1"/>
    </row>
    <row r="4361" spans="8:9" x14ac:dyDescent="0.2">
      <c r="H4361" s="1"/>
      <c r="I4361" s="1"/>
    </row>
    <row r="4362" spans="8:9" x14ac:dyDescent="0.2">
      <c r="H4362" s="1"/>
      <c r="I4362" s="1"/>
    </row>
    <row r="4363" spans="8:9" x14ac:dyDescent="0.2">
      <c r="H4363" s="1"/>
      <c r="I4363" s="1"/>
    </row>
    <row r="4364" spans="8:9" x14ac:dyDescent="0.2">
      <c r="H4364" s="1"/>
      <c r="I4364" s="1"/>
    </row>
    <row r="4365" spans="8:9" x14ac:dyDescent="0.2">
      <c r="H4365" s="1"/>
      <c r="I4365" s="1"/>
    </row>
    <row r="4366" spans="8:9" x14ac:dyDescent="0.2">
      <c r="H4366" s="1"/>
      <c r="I4366" s="1"/>
    </row>
    <row r="4367" spans="8:9" x14ac:dyDescent="0.2">
      <c r="H4367" s="1"/>
      <c r="I4367" s="1"/>
    </row>
    <row r="4368" spans="8:9" x14ac:dyDescent="0.2">
      <c r="H4368" s="1"/>
      <c r="I4368" s="1"/>
    </row>
    <row r="4369" spans="8:9" x14ac:dyDescent="0.2">
      <c r="H4369" s="1"/>
      <c r="I4369" s="1"/>
    </row>
    <row r="4370" spans="8:9" x14ac:dyDescent="0.2">
      <c r="H4370" s="1"/>
      <c r="I4370" s="1"/>
    </row>
    <row r="4371" spans="8:9" x14ac:dyDescent="0.2">
      <c r="H4371" s="1"/>
      <c r="I4371" s="1"/>
    </row>
    <row r="4372" spans="8:9" x14ac:dyDescent="0.2">
      <c r="H4372" s="1"/>
      <c r="I4372" s="1"/>
    </row>
    <row r="4373" spans="8:9" x14ac:dyDescent="0.2">
      <c r="H4373" s="1"/>
      <c r="I4373" s="1"/>
    </row>
    <row r="4374" spans="8:9" x14ac:dyDescent="0.2">
      <c r="H4374" s="1"/>
      <c r="I4374" s="1"/>
    </row>
    <row r="4375" spans="8:9" x14ac:dyDescent="0.2">
      <c r="H4375" s="1"/>
      <c r="I4375" s="1"/>
    </row>
    <row r="4376" spans="8:9" x14ac:dyDescent="0.2">
      <c r="H4376" s="1"/>
      <c r="I4376" s="1"/>
    </row>
    <row r="4377" spans="8:9" x14ac:dyDescent="0.2">
      <c r="H4377" s="1"/>
      <c r="I4377" s="1"/>
    </row>
    <row r="4378" spans="8:9" x14ac:dyDescent="0.2">
      <c r="H4378" s="1"/>
      <c r="I4378" s="1"/>
    </row>
    <row r="4379" spans="8:9" x14ac:dyDescent="0.2">
      <c r="H4379" s="1"/>
      <c r="I4379" s="1"/>
    </row>
    <row r="4380" spans="8:9" x14ac:dyDescent="0.2">
      <c r="H4380" s="1"/>
      <c r="I4380" s="1"/>
    </row>
    <row r="4381" spans="8:9" x14ac:dyDescent="0.2">
      <c r="H4381" s="1"/>
      <c r="I4381" s="1"/>
    </row>
    <row r="4382" spans="8:9" x14ac:dyDescent="0.2">
      <c r="H4382" s="1"/>
      <c r="I4382" s="1"/>
    </row>
    <row r="4383" spans="8:9" x14ac:dyDescent="0.2">
      <c r="H4383" s="1"/>
      <c r="I4383" s="1"/>
    </row>
    <row r="4384" spans="8:9" x14ac:dyDescent="0.2">
      <c r="H4384" s="1"/>
      <c r="I4384" s="1"/>
    </row>
    <row r="4385" spans="8:9" x14ac:dyDescent="0.2">
      <c r="H4385" s="1"/>
      <c r="I4385" s="1"/>
    </row>
    <row r="4386" spans="8:9" x14ac:dyDescent="0.2">
      <c r="H4386" s="1"/>
      <c r="I4386" s="1"/>
    </row>
    <row r="4387" spans="8:9" x14ac:dyDescent="0.2">
      <c r="H4387" s="1"/>
      <c r="I4387" s="1"/>
    </row>
    <row r="4388" spans="8:9" x14ac:dyDescent="0.2">
      <c r="H4388" s="1"/>
      <c r="I4388" s="1"/>
    </row>
    <row r="4389" spans="8:9" x14ac:dyDescent="0.2">
      <c r="H4389" s="1"/>
      <c r="I4389" s="1"/>
    </row>
    <row r="4390" spans="8:9" x14ac:dyDescent="0.2">
      <c r="H4390" s="1"/>
      <c r="I4390" s="1"/>
    </row>
    <row r="4391" spans="8:9" x14ac:dyDescent="0.2">
      <c r="H4391" s="1"/>
      <c r="I4391" s="1"/>
    </row>
    <row r="4392" spans="8:9" x14ac:dyDescent="0.2">
      <c r="H4392" s="1"/>
      <c r="I4392" s="1"/>
    </row>
    <row r="4393" spans="8:9" x14ac:dyDescent="0.2">
      <c r="H4393" s="1"/>
      <c r="I4393" s="1"/>
    </row>
    <row r="4394" spans="8:9" x14ac:dyDescent="0.2">
      <c r="H4394" s="1"/>
      <c r="I4394" s="1"/>
    </row>
    <row r="4395" spans="8:9" x14ac:dyDescent="0.2">
      <c r="H4395" s="1"/>
      <c r="I4395" s="1"/>
    </row>
    <row r="4396" spans="8:9" x14ac:dyDescent="0.2">
      <c r="H4396" s="1"/>
      <c r="I4396" s="1"/>
    </row>
    <row r="4397" spans="8:9" x14ac:dyDescent="0.2">
      <c r="H4397" s="1"/>
      <c r="I4397" s="1"/>
    </row>
    <row r="4398" spans="8:9" x14ac:dyDescent="0.2">
      <c r="H4398" s="1"/>
      <c r="I4398" s="1"/>
    </row>
    <row r="4399" spans="8:9" x14ac:dyDescent="0.2">
      <c r="H4399" s="1"/>
      <c r="I4399" s="1"/>
    </row>
    <row r="4400" spans="8:9" x14ac:dyDescent="0.2">
      <c r="H4400" s="1"/>
      <c r="I4400" s="1"/>
    </row>
    <row r="4401" spans="8:9" x14ac:dyDescent="0.2">
      <c r="H4401" s="1"/>
      <c r="I4401" s="1"/>
    </row>
    <row r="4402" spans="8:9" x14ac:dyDescent="0.2">
      <c r="H4402" s="1"/>
      <c r="I4402" s="1"/>
    </row>
    <row r="4403" spans="8:9" x14ac:dyDescent="0.2">
      <c r="H4403" s="1"/>
      <c r="I4403" s="1"/>
    </row>
    <row r="4404" spans="8:9" x14ac:dyDescent="0.2">
      <c r="H4404" s="1"/>
      <c r="I4404" s="1"/>
    </row>
    <row r="4405" spans="8:9" x14ac:dyDescent="0.2">
      <c r="H4405" s="1"/>
      <c r="I4405" s="1"/>
    </row>
    <row r="4406" spans="8:9" x14ac:dyDescent="0.2">
      <c r="H4406" s="1"/>
      <c r="I4406" s="1"/>
    </row>
    <row r="4407" spans="8:9" x14ac:dyDescent="0.2">
      <c r="H4407" s="1"/>
      <c r="I4407" s="1"/>
    </row>
    <row r="4408" spans="8:9" x14ac:dyDescent="0.2">
      <c r="H4408" s="1"/>
      <c r="I4408" s="1"/>
    </row>
    <row r="4409" spans="8:9" x14ac:dyDescent="0.2">
      <c r="H4409" s="1"/>
      <c r="I4409" s="1"/>
    </row>
    <row r="4410" spans="8:9" x14ac:dyDescent="0.2">
      <c r="H4410" s="1"/>
      <c r="I4410" s="1"/>
    </row>
    <row r="4411" spans="8:9" x14ac:dyDescent="0.2">
      <c r="H4411" s="1"/>
      <c r="I4411" s="1"/>
    </row>
    <row r="4412" spans="8:9" x14ac:dyDescent="0.2">
      <c r="H4412" s="1"/>
      <c r="I4412" s="1"/>
    </row>
    <row r="4413" spans="8:9" x14ac:dyDescent="0.2">
      <c r="H4413" s="1"/>
      <c r="I4413" s="1"/>
    </row>
    <row r="4414" spans="8:9" x14ac:dyDescent="0.2">
      <c r="H4414" s="1"/>
      <c r="I4414" s="1"/>
    </row>
    <row r="4415" spans="8:9" x14ac:dyDescent="0.2">
      <c r="H4415" s="1"/>
      <c r="I4415" s="1"/>
    </row>
    <row r="4416" spans="8:9" x14ac:dyDescent="0.2">
      <c r="H4416" s="1"/>
      <c r="I4416" s="1"/>
    </row>
    <row r="4417" spans="8:9" x14ac:dyDescent="0.2">
      <c r="H4417" s="1"/>
      <c r="I4417" s="1"/>
    </row>
    <row r="4418" spans="8:9" x14ac:dyDescent="0.2">
      <c r="H4418" s="1"/>
      <c r="I4418" s="1"/>
    </row>
    <row r="4419" spans="8:9" x14ac:dyDescent="0.2">
      <c r="H4419" s="1"/>
      <c r="I4419" s="1"/>
    </row>
    <row r="4420" spans="8:9" x14ac:dyDescent="0.2">
      <c r="H4420" s="1"/>
      <c r="I4420" s="1"/>
    </row>
    <row r="4421" spans="8:9" x14ac:dyDescent="0.2">
      <c r="H4421" s="1"/>
      <c r="I4421" s="1"/>
    </row>
    <row r="4422" spans="8:9" x14ac:dyDescent="0.2">
      <c r="H4422" s="1"/>
      <c r="I4422" s="1"/>
    </row>
    <row r="4423" spans="8:9" x14ac:dyDescent="0.2">
      <c r="H4423" s="1"/>
      <c r="I4423" s="1"/>
    </row>
    <row r="4424" spans="8:9" x14ac:dyDescent="0.2">
      <c r="H4424" s="1"/>
      <c r="I4424" s="1"/>
    </row>
    <row r="4425" spans="8:9" x14ac:dyDescent="0.2">
      <c r="H4425" s="1"/>
      <c r="I4425" s="1"/>
    </row>
    <row r="4426" spans="8:9" x14ac:dyDescent="0.2">
      <c r="H4426" s="1"/>
      <c r="I4426" s="1"/>
    </row>
    <row r="4427" spans="8:9" x14ac:dyDescent="0.2">
      <c r="H4427" s="1"/>
      <c r="I4427" s="1"/>
    </row>
    <row r="4428" spans="8:9" x14ac:dyDescent="0.2">
      <c r="H4428" s="1"/>
      <c r="I4428" s="1"/>
    </row>
    <row r="4429" spans="8:9" x14ac:dyDescent="0.2">
      <c r="H4429" s="1"/>
      <c r="I4429" s="1"/>
    </row>
    <row r="4430" spans="8:9" x14ac:dyDescent="0.2">
      <c r="H4430" s="1"/>
      <c r="I4430" s="1"/>
    </row>
    <row r="4431" spans="8:9" x14ac:dyDescent="0.2">
      <c r="H4431" s="1"/>
      <c r="I4431" s="1"/>
    </row>
    <row r="4432" spans="8:9" x14ac:dyDescent="0.2">
      <c r="H4432" s="1"/>
      <c r="I4432" s="1"/>
    </row>
    <row r="4433" spans="8:9" x14ac:dyDescent="0.2">
      <c r="H4433" s="1"/>
      <c r="I4433" s="1"/>
    </row>
    <row r="4434" spans="8:9" x14ac:dyDescent="0.2">
      <c r="H4434" s="1"/>
      <c r="I4434" s="1"/>
    </row>
    <row r="4435" spans="8:9" x14ac:dyDescent="0.2">
      <c r="H4435" s="1"/>
      <c r="I4435" s="1"/>
    </row>
    <row r="4436" spans="8:9" x14ac:dyDescent="0.2">
      <c r="H4436" s="1"/>
      <c r="I4436" s="1"/>
    </row>
    <row r="4437" spans="8:9" x14ac:dyDescent="0.2">
      <c r="H4437" s="1"/>
      <c r="I4437" s="1"/>
    </row>
    <row r="4438" spans="8:9" x14ac:dyDescent="0.2">
      <c r="H4438" s="1"/>
      <c r="I4438" s="1"/>
    </row>
    <row r="4439" spans="8:9" x14ac:dyDescent="0.2">
      <c r="H4439" s="1"/>
      <c r="I4439" s="1"/>
    </row>
    <row r="4440" spans="8:9" x14ac:dyDescent="0.2">
      <c r="H4440" s="1"/>
      <c r="I4440" s="1"/>
    </row>
    <row r="4441" spans="8:9" x14ac:dyDescent="0.2">
      <c r="H4441" s="1"/>
      <c r="I4441" s="1"/>
    </row>
    <row r="4442" spans="8:9" x14ac:dyDescent="0.2">
      <c r="H4442" s="1"/>
      <c r="I4442" s="1"/>
    </row>
    <row r="4443" spans="8:9" x14ac:dyDescent="0.2">
      <c r="H4443" s="1"/>
      <c r="I4443" s="1"/>
    </row>
    <row r="4444" spans="8:9" x14ac:dyDescent="0.2">
      <c r="H4444" s="1"/>
      <c r="I4444" s="1"/>
    </row>
    <row r="4445" spans="8:9" x14ac:dyDescent="0.2">
      <c r="H4445" s="1"/>
      <c r="I4445" s="1"/>
    </row>
    <row r="4446" spans="8:9" x14ac:dyDescent="0.2">
      <c r="H4446" s="1"/>
      <c r="I4446" s="1"/>
    </row>
    <row r="4447" spans="8:9" x14ac:dyDescent="0.2">
      <c r="H4447" s="1"/>
      <c r="I4447" s="1"/>
    </row>
    <row r="4448" spans="8:9" x14ac:dyDescent="0.2">
      <c r="H4448" s="1"/>
      <c r="I4448" s="1"/>
    </row>
    <row r="4449" spans="8:9" x14ac:dyDescent="0.2">
      <c r="H4449" s="1"/>
      <c r="I4449" s="1"/>
    </row>
    <row r="4450" spans="8:9" x14ac:dyDescent="0.2">
      <c r="H4450" s="1"/>
      <c r="I4450" s="1"/>
    </row>
    <row r="4451" spans="8:9" x14ac:dyDescent="0.2">
      <c r="H4451" s="1"/>
      <c r="I4451" s="1"/>
    </row>
    <row r="4452" spans="8:9" x14ac:dyDescent="0.2">
      <c r="H4452" s="1"/>
      <c r="I4452" s="1"/>
    </row>
    <row r="4453" spans="8:9" x14ac:dyDescent="0.2">
      <c r="H4453" s="1"/>
      <c r="I4453" s="1"/>
    </row>
    <row r="4454" spans="8:9" x14ac:dyDescent="0.2">
      <c r="H4454" s="1"/>
      <c r="I4454" s="1"/>
    </row>
    <row r="4455" spans="8:9" x14ac:dyDescent="0.2">
      <c r="H4455" s="1"/>
      <c r="I4455" s="1"/>
    </row>
    <row r="4456" spans="8:9" x14ac:dyDescent="0.2">
      <c r="H4456" s="1"/>
      <c r="I4456" s="1"/>
    </row>
    <row r="4457" spans="8:9" x14ac:dyDescent="0.2">
      <c r="H4457" s="1"/>
      <c r="I4457" s="1"/>
    </row>
    <row r="4458" spans="8:9" x14ac:dyDescent="0.2">
      <c r="H4458" s="1"/>
      <c r="I4458" s="1"/>
    </row>
    <row r="4459" spans="8:9" x14ac:dyDescent="0.2">
      <c r="H4459" s="1"/>
      <c r="I4459" s="1"/>
    </row>
    <row r="4460" spans="8:9" x14ac:dyDescent="0.2">
      <c r="H4460" s="1"/>
      <c r="I4460" s="1"/>
    </row>
    <row r="4461" spans="8:9" x14ac:dyDescent="0.2">
      <c r="H4461" s="1"/>
      <c r="I4461" s="1"/>
    </row>
    <row r="4462" spans="8:9" x14ac:dyDescent="0.2">
      <c r="H4462" s="1"/>
      <c r="I4462" s="1"/>
    </row>
    <row r="4463" spans="8:9" x14ac:dyDescent="0.2">
      <c r="H4463" s="1"/>
      <c r="I4463" s="1"/>
    </row>
    <row r="4464" spans="8:9" x14ac:dyDescent="0.2">
      <c r="H4464" s="1"/>
      <c r="I4464" s="1"/>
    </row>
    <row r="4465" spans="8:9" x14ac:dyDescent="0.2">
      <c r="H4465" s="1"/>
      <c r="I4465" s="1"/>
    </row>
    <row r="4466" spans="8:9" x14ac:dyDescent="0.2">
      <c r="H4466" s="1"/>
      <c r="I4466" s="1"/>
    </row>
    <row r="4467" spans="8:9" x14ac:dyDescent="0.2">
      <c r="H4467" s="1"/>
      <c r="I4467" s="1"/>
    </row>
    <row r="4468" spans="8:9" x14ac:dyDescent="0.2">
      <c r="H4468" s="1"/>
      <c r="I4468" s="1"/>
    </row>
    <row r="4469" spans="8:9" x14ac:dyDescent="0.2">
      <c r="H4469" s="1"/>
      <c r="I4469" s="1"/>
    </row>
    <row r="4470" spans="8:9" x14ac:dyDescent="0.2">
      <c r="H4470" s="1"/>
      <c r="I4470" s="1"/>
    </row>
    <row r="4471" spans="8:9" x14ac:dyDescent="0.2">
      <c r="H4471" s="1"/>
      <c r="I4471" s="1"/>
    </row>
    <row r="4472" spans="8:9" x14ac:dyDescent="0.2">
      <c r="H4472" s="1"/>
      <c r="I4472" s="1"/>
    </row>
    <row r="4473" spans="8:9" x14ac:dyDescent="0.2">
      <c r="H4473" s="1"/>
      <c r="I4473" s="1"/>
    </row>
    <row r="4474" spans="8:9" x14ac:dyDescent="0.2">
      <c r="H4474" s="1"/>
      <c r="I4474" s="1"/>
    </row>
    <row r="4475" spans="8:9" x14ac:dyDescent="0.2">
      <c r="H4475" s="1"/>
      <c r="I4475" s="1"/>
    </row>
    <row r="4476" spans="8:9" x14ac:dyDescent="0.2">
      <c r="H4476" s="1"/>
      <c r="I4476" s="1"/>
    </row>
    <row r="4477" spans="8:9" x14ac:dyDescent="0.2">
      <c r="H4477" s="1"/>
      <c r="I4477" s="1"/>
    </row>
    <row r="4478" spans="8:9" x14ac:dyDescent="0.2">
      <c r="H4478" s="1"/>
      <c r="I4478" s="1"/>
    </row>
    <row r="4479" spans="8:9" x14ac:dyDescent="0.2">
      <c r="H4479" s="1"/>
      <c r="I4479" s="1"/>
    </row>
    <row r="4480" spans="8:9" x14ac:dyDescent="0.2">
      <c r="H4480" s="1"/>
      <c r="I4480" s="1"/>
    </row>
    <row r="4481" spans="8:9" x14ac:dyDescent="0.2">
      <c r="H4481" s="1"/>
      <c r="I4481" s="1"/>
    </row>
    <row r="4482" spans="8:9" x14ac:dyDescent="0.2">
      <c r="H4482" s="1"/>
      <c r="I4482" s="1"/>
    </row>
    <row r="4483" spans="8:9" x14ac:dyDescent="0.2">
      <c r="H4483" s="1"/>
      <c r="I4483" s="1"/>
    </row>
    <row r="4484" spans="8:9" x14ac:dyDescent="0.2">
      <c r="H4484" s="1"/>
      <c r="I4484" s="1"/>
    </row>
    <row r="4485" spans="8:9" x14ac:dyDescent="0.2">
      <c r="H4485" s="1"/>
      <c r="I4485" s="1"/>
    </row>
    <row r="4486" spans="8:9" x14ac:dyDescent="0.2">
      <c r="H4486" s="1"/>
      <c r="I4486" s="1"/>
    </row>
    <row r="4487" spans="8:9" x14ac:dyDescent="0.2">
      <c r="H4487" s="1"/>
      <c r="I4487" s="1"/>
    </row>
    <row r="4488" spans="8:9" x14ac:dyDescent="0.2">
      <c r="H4488" s="1"/>
      <c r="I4488" s="1"/>
    </row>
    <row r="4489" spans="8:9" x14ac:dyDescent="0.2">
      <c r="H4489" s="1"/>
      <c r="I4489" s="1"/>
    </row>
    <row r="4490" spans="8:9" x14ac:dyDescent="0.2">
      <c r="H4490" s="1"/>
      <c r="I4490" s="1"/>
    </row>
    <row r="4491" spans="8:9" x14ac:dyDescent="0.2">
      <c r="H4491" s="1"/>
      <c r="I4491" s="1"/>
    </row>
    <row r="4492" spans="8:9" x14ac:dyDescent="0.2">
      <c r="H4492" s="1"/>
      <c r="I4492" s="1"/>
    </row>
    <row r="4493" spans="8:9" x14ac:dyDescent="0.2">
      <c r="H4493" s="1"/>
      <c r="I4493" s="1"/>
    </row>
    <row r="4494" spans="8:9" x14ac:dyDescent="0.2">
      <c r="H4494" s="1"/>
      <c r="I4494" s="1"/>
    </row>
    <row r="4495" spans="8:9" x14ac:dyDescent="0.2">
      <c r="H4495" s="1"/>
      <c r="I4495" s="1"/>
    </row>
    <row r="4496" spans="8:9" x14ac:dyDescent="0.2">
      <c r="H4496" s="1"/>
      <c r="I4496" s="1"/>
    </row>
    <row r="4497" spans="8:9" x14ac:dyDescent="0.2">
      <c r="H4497" s="1"/>
      <c r="I4497" s="1"/>
    </row>
    <row r="4498" spans="8:9" x14ac:dyDescent="0.2">
      <c r="H4498" s="1"/>
      <c r="I4498" s="1"/>
    </row>
    <row r="4499" spans="8:9" x14ac:dyDescent="0.2">
      <c r="H4499" s="1"/>
      <c r="I4499" s="1"/>
    </row>
    <row r="4500" spans="8:9" x14ac:dyDescent="0.2">
      <c r="H4500" s="1"/>
      <c r="I4500" s="1"/>
    </row>
    <row r="4501" spans="8:9" x14ac:dyDescent="0.2">
      <c r="H4501" s="1"/>
      <c r="I4501" s="1"/>
    </row>
    <row r="4502" spans="8:9" x14ac:dyDescent="0.2">
      <c r="H4502" s="1"/>
      <c r="I4502" s="1"/>
    </row>
    <row r="4503" spans="8:9" x14ac:dyDescent="0.2">
      <c r="H4503" s="1"/>
      <c r="I4503" s="1"/>
    </row>
    <row r="4504" spans="8:9" x14ac:dyDescent="0.2">
      <c r="H4504" s="1"/>
      <c r="I4504" s="1"/>
    </row>
    <row r="4505" spans="8:9" x14ac:dyDescent="0.2">
      <c r="H4505" s="1"/>
      <c r="I4505" s="1"/>
    </row>
    <row r="4506" spans="8:9" x14ac:dyDescent="0.2">
      <c r="H4506" s="1"/>
      <c r="I4506" s="1"/>
    </row>
    <row r="4507" spans="8:9" x14ac:dyDescent="0.2">
      <c r="H4507" s="1"/>
      <c r="I4507" s="1"/>
    </row>
    <row r="4508" spans="8:9" x14ac:dyDescent="0.2">
      <c r="H4508" s="1"/>
      <c r="I4508" s="1"/>
    </row>
    <row r="4509" spans="8:9" x14ac:dyDescent="0.2">
      <c r="H4509" s="1"/>
      <c r="I4509" s="1"/>
    </row>
    <row r="4510" spans="8:9" x14ac:dyDescent="0.2">
      <c r="H4510" s="1"/>
      <c r="I4510" s="1"/>
    </row>
    <row r="4511" spans="8:9" x14ac:dyDescent="0.2">
      <c r="H4511" s="1"/>
      <c r="I4511" s="1"/>
    </row>
    <row r="4512" spans="8:9" x14ac:dyDescent="0.2">
      <c r="H4512" s="1"/>
      <c r="I4512" s="1"/>
    </row>
    <row r="4513" spans="8:9" x14ac:dyDescent="0.2">
      <c r="H4513" s="1"/>
      <c r="I4513" s="1"/>
    </row>
    <row r="4514" spans="8:9" x14ac:dyDescent="0.2">
      <c r="H4514" s="1"/>
      <c r="I4514" s="1"/>
    </row>
    <row r="4515" spans="8:9" x14ac:dyDescent="0.2">
      <c r="H4515" s="1"/>
      <c r="I4515" s="1"/>
    </row>
    <row r="4516" spans="8:9" x14ac:dyDescent="0.2">
      <c r="H4516" s="1"/>
      <c r="I4516" s="1"/>
    </row>
    <row r="4517" spans="8:9" x14ac:dyDescent="0.2">
      <c r="H4517" s="1"/>
      <c r="I4517" s="1"/>
    </row>
    <row r="4518" spans="8:9" x14ac:dyDescent="0.2">
      <c r="H4518" s="1"/>
      <c r="I4518" s="1"/>
    </row>
    <row r="4519" spans="8:9" x14ac:dyDescent="0.2">
      <c r="H4519" s="1"/>
      <c r="I4519" s="1"/>
    </row>
    <row r="4520" spans="8:9" x14ac:dyDescent="0.2">
      <c r="H4520" s="1"/>
      <c r="I4520" s="1"/>
    </row>
    <row r="4521" spans="8:9" x14ac:dyDescent="0.2">
      <c r="H4521" s="1"/>
      <c r="I4521" s="1"/>
    </row>
    <row r="4522" spans="8:9" x14ac:dyDescent="0.2">
      <c r="H4522" s="1"/>
      <c r="I4522" s="1"/>
    </row>
    <row r="4523" spans="8:9" x14ac:dyDescent="0.2">
      <c r="H4523" s="1"/>
      <c r="I4523" s="1"/>
    </row>
    <row r="4524" spans="8:9" x14ac:dyDescent="0.2">
      <c r="H4524" s="1"/>
      <c r="I4524" s="1"/>
    </row>
    <row r="4525" spans="8:9" x14ac:dyDescent="0.2">
      <c r="H4525" s="1"/>
      <c r="I4525" s="1"/>
    </row>
    <row r="4526" spans="8:9" x14ac:dyDescent="0.2">
      <c r="H4526" s="1"/>
      <c r="I4526" s="1"/>
    </row>
    <row r="4527" spans="8:9" x14ac:dyDescent="0.2">
      <c r="H4527" s="1"/>
      <c r="I4527" s="1"/>
    </row>
    <row r="4528" spans="8:9" x14ac:dyDescent="0.2">
      <c r="H4528" s="1"/>
      <c r="I4528" s="1"/>
    </row>
    <row r="4529" spans="8:9" x14ac:dyDescent="0.2">
      <c r="H4529" s="1"/>
      <c r="I4529" s="1"/>
    </row>
    <row r="4530" spans="8:9" x14ac:dyDescent="0.2">
      <c r="H4530" s="1"/>
      <c r="I4530" s="1"/>
    </row>
    <row r="4531" spans="8:9" x14ac:dyDescent="0.2">
      <c r="H4531" s="1"/>
      <c r="I4531" s="1"/>
    </row>
    <row r="4532" spans="8:9" x14ac:dyDescent="0.2">
      <c r="H4532" s="1"/>
      <c r="I4532" s="1"/>
    </row>
    <row r="4533" spans="8:9" x14ac:dyDescent="0.2">
      <c r="H4533" s="1"/>
      <c r="I4533" s="1"/>
    </row>
    <row r="4534" spans="8:9" x14ac:dyDescent="0.2">
      <c r="H4534" s="1"/>
      <c r="I4534" s="1"/>
    </row>
    <row r="4535" spans="8:9" x14ac:dyDescent="0.2">
      <c r="H4535" s="1"/>
      <c r="I4535" s="1"/>
    </row>
    <row r="4536" spans="8:9" x14ac:dyDescent="0.2">
      <c r="H4536" s="1"/>
      <c r="I4536" s="1"/>
    </row>
    <row r="4537" spans="8:9" x14ac:dyDescent="0.2">
      <c r="H4537" s="1"/>
      <c r="I4537" s="1"/>
    </row>
    <row r="4538" spans="8:9" x14ac:dyDescent="0.2">
      <c r="H4538" s="1"/>
      <c r="I4538" s="1"/>
    </row>
    <row r="4539" spans="8:9" x14ac:dyDescent="0.2">
      <c r="H4539" s="1"/>
      <c r="I4539" s="1"/>
    </row>
    <row r="4540" spans="8:9" x14ac:dyDescent="0.2">
      <c r="H4540" s="1"/>
      <c r="I4540" s="1"/>
    </row>
    <row r="4541" spans="8:9" x14ac:dyDescent="0.2">
      <c r="H4541" s="1"/>
      <c r="I4541" s="1"/>
    </row>
    <row r="4542" spans="8:9" x14ac:dyDescent="0.2">
      <c r="H4542" s="1"/>
      <c r="I4542" s="1"/>
    </row>
    <row r="4543" spans="8:9" x14ac:dyDescent="0.2">
      <c r="H4543" s="1"/>
      <c r="I4543" s="1"/>
    </row>
    <row r="4544" spans="8:9" x14ac:dyDescent="0.2">
      <c r="H4544" s="1"/>
      <c r="I4544" s="1"/>
    </row>
    <row r="4545" spans="8:9" x14ac:dyDescent="0.2">
      <c r="H4545" s="1"/>
      <c r="I4545" s="1"/>
    </row>
    <row r="4546" spans="8:9" x14ac:dyDescent="0.2">
      <c r="H4546" s="1"/>
      <c r="I4546" s="1"/>
    </row>
    <row r="4547" spans="8:9" x14ac:dyDescent="0.2">
      <c r="H4547" s="1"/>
      <c r="I4547" s="1"/>
    </row>
    <row r="4548" spans="8:9" x14ac:dyDescent="0.2">
      <c r="H4548" s="1"/>
      <c r="I4548" s="1"/>
    </row>
    <row r="4549" spans="8:9" x14ac:dyDescent="0.2">
      <c r="H4549" s="1"/>
      <c r="I4549" s="1"/>
    </row>
    <row r="4550" spans="8:9" x14ac:dyDescent="0.2">
      <c r="H4550" s="1"/>
      <c r="I4550" s="1"/>
    </row>
    <row r="4551" spans="8:9" x14ac:dyDescent="0.2">
      <c r="H4551" s="1"/>
      <c r="I4551" s="1"/>
    </row>
    <row r="4552" spans="8:9" x14ac:dyDescent="0.2">
      <c r="H4552" s="1"/>
      <c r="I4552" s="1"/>
    </row>
    <row r="4553" spans="8:9" x14ac:dyDescent="0.2">
      <c r="H4553" s="1"/>
      <c r="I4553" s="1"/>
    </row>
    <row r="4554" spans="8:9" x14ac:dyDescent="0.2">
      <c r="H4554" s="1"/>
      <c r="I4554" s="1"/>
    </row>
    <row r="4555" spans="8:9" x14ac:dyDescent="0.2">
      <c r="H4555" s="1"/>
      <c r="I4555" s="1"/>
    </row>
    <row r="4556" spans="8:9" x14ac:dyDescent="0.2">
      <c r="H4556" s="1"/>
      <c r="I4556" s="1"/>
    </row>
    <row r="4557" spans="8:9" x14ac:dyDescent="0.2">
      <c r="H4557" s="1"/>
      <c r="I4557" s="1"/>
    </row>
    <row r="4558" spans="8:9" x14ac:dyDescent="0.2">
      <c r="H4558" s="1"/>
      <c r="I4558" s="1"/>
    </row>
    <row r="4559" spans="8:9" x14ac:dyDescent="0.2">
      <c r="H4559" s="1"/>
      <c r="I4559" s="1"/>
    </row>
    <row r="4560" spans="8:9" x14ac:dyDescent="0.2">
      <c r="H4560" s="1"/>
      <c r="I4560" s="1"/>
    </row>
    <row r="4561" spans="8:9" x14ac:dyDescent="0.2">
      <c r="H4561" s="1"/>
      <c r="I4561" s="1"/>
    </row>
    <row r="4562" spans="8:9" x14ac:dyDescent="0.2">
      <c r="H4562" s="1"/>
      <c r="I4562" s="1"/>
    </row>
    <row r="4563" spans="8:9" x14ac:dyDescent="0.2">
      <c r="H4563" s="1"/>
      <c r="I4563" s="1"/>
    </row>
    <row r="4564" spans="8:9" x14ac:dyDescent="0.2">
      <c r="H4564" s="1"/>
      <c r="I4564" s="1"/>
    </row>
    <row r="4565" spans="8:9" x14ac:dyDescent="0.2">
      <c r="H4565" s="1"/>
      <c r="I4565" s="1"/>
    </row>
    <row r="4566" spans="8:9" x14ac:dyDescent="0.2">
      <c r="H4566" s="1"/>
      <c r="I4566" s="1"/>
    </row>
    <row r="4567" spans="8:9" x14ac:dyDescent="0.2">
      <c r="H4567" s="1"/>
      <c r="I4567" s="1"/>
    </row>
    <row r="4568" spans="8:9" x14ac:dyDescent="0.2">
      <c r="H4568" s="1"/>
      <c r="I4568" s="1"/>
    </row>
    <row r="4569" spans="8:9" x14ac:dyDescent="0.2">
      <c r="H4569" s="1"/>
      <c r="I4569" s="1"/>
    </row>
    <row r="4570" spans="8:9" x14ac:dyDescent="0.2">
      <c r="H4570" s="1"/>
      <c r="I4570" s="1"/>
    </row>
    <row r="4571" spans="8:9" x14ac:dyDescent="0.2">
      <c r="H4571" s="1"/>
      <c r="I4571" s="1"/>
    </row>
    <row r="4572" spans="8:9" x14ac:dyDescent="0.2">
      <c r="H4572" s="1"/>
      <c r="I4572" s="1"/>
    </row>
    <row r="4573" spans="8:9" x14ac:dyDescent="0.2">
      <c r="H4573" s="1"/>
      <c r="I4573" s="1"/>
    </row>
    <row r="4574" spans="8:9" x14ac:dyDescent="0.2">
      <c r="H4574" s="1"/>
      <c r="I4574" s="1"/>
    </row>
    <row r="4575" spans="8:9" x14ac:dyDescent="0.2">
      <c r="H4575" s="1"/>
      <c r="I4575" s="1"/>
    </row>
    <row r="4576" spans="8:9" x14ac:dyDescent="0.2">
      <c r="H4576" s="1"/>
      <c r="I4576" s="1"/>
    </row>
    <row r="4577" spans="8:9" x14ac:dyDescent="0.2">
      <c r="H4577" s="1"/>
      <c r="I4577" s="1"/>
    </row>
    <row r="4578" spans="8:9" x14ac:dyDescent="0.2">
      <c r="H4578" s="1"/>
      <c r="I4578" s="1"/>
    </row>
    <row r="4579" spans="8:9" x14ac:dyDescent="0.2">
      <c r="H4579" s="1"/>
      <c r="I4579" s="1"/>
    </row>
    <row r="4580" spans="8:9" x14ac:dyDescent="0.2">
      <c r="H4580" s="1"/>
      <c r="I4580" s="1"/>
    </row>
    <row r="4581" spans="8:9" x14ac:dyDescent="0.2">
      <c r="H4581" s="1"/>
      <c r="I4581" s="1"/>
    </row>
    <row r="4582" spans="8:9" x14ac:dyDescent="0.2">
      <c r="H4582" s="1"/>
      <c r="I4582" s="1"/>
    </row>
    <row r="4583" spans="8:9" x14ac:dyDescent="0.2">
      <c r="H4583" s="1"/>
      <c r="I4583" s="1"/>
    </row>
    <row r="4584" spans="8:9" x14ac:dyDescent="0.2">
      <c r="H4584" s="1"/>
      <c r="I4584" s="1"/>
    </row>
    <row r="4585" spans="8:9" x14ac:dyDescent="0.2">
      <c r="H4585" s="1"/>
      <c r="I4585" s="1"/>
    </row>
    <row r="4586" spans="8:9" x14ac:dyDescent="0.2">
      <c r="H4586" s="1"/>
      <c r="I4586" s="1"/>
    </row>
    <row r="4587" spans="8:9" x14ac:dyDescent="0.2">
      <c r="H4587" s="1"/>
      <c r="I4587" s="1"/>
    </row>
    <row r="4588" spans="8:9" x14ac:dyDescent="0.2">
      <c r="H4588" s="1"/>
      <c r="I4588" s="1"/>
    </row>
    <row r="4589" spans="8:9" x14ac:dyDescent="0.2">
      <c r="H4589" s="1"/>
      <c r="I4589" s="1"/>
    </row>
    <row r="4590" spans="8:9" x14ac:dyDescent="0.2">
      <c r="H4590" s="1"/>
      <c r="I4590" s="1"/>
    </row>
    <row r="4591" spans="8:9" x14ac:dyDescent="0.2">
      <c r="H4591" s="1"/>
      <c r="I4591" s="1"/>
    </row>
    <row r="4592" spans="8:9" x14ac:dyDescent="0.2">
      <c r="H4592" s="1"/>
      <c r="I4592" s="1"/>
    </row>
    <row r="4593" spans="8:9" x14ac:dyDescent="0.2">
      <c r="H4593" s="1"/>
      <c r="I4593" s="1"/>
    </row>
    <row r="4594" spans="8:9" x14ac:dyDescent="0.2">
      <c r="H4594" s="1"/>
      <c r="I4594" s="1"/>
    </row>
    <row r="4595" spans="8:9" x14ac:dyDescent="0.2">
      <c r="H4595" s="1"/>
      <c r="I4595" s="1"/>
    </row>
    <row r="4596" spans="8:9" x14ac:dyDescent="0.2">
      <c r="H4596" s="1"/>
      <c r="I4596" s="1"/>
    </row>
    <row r="4597" spans="8:9" x14ac:dyDescent="0.2">
      <c r="H4597" s="1"/>
      <c r="I4597" s="1"/>
    </row>
    <row r="4598" spans="8:9" x14ac:dyDescent="0.2">
      <c r="H4598" s="1"/>
      <c r="I4598" s="1"/>
    </row>
    <row r="4599" spans="8:9" x14ac:dyDescent="0.2">
      <c r="H4599" s="1"/>
      <c r="I4599" s="1"/>
    </row>
    <row r="4600" spans="8:9" x14ac:dyDescent="0.2">
      <c r="H4600" s="1"/>
      <c r="I4600" s="1"/>
    </row>
    <row r="4601" spans="8:9" x14ac:dyDescent="0.2">
      <c r="H4601" s="1"/>
      <c r="I4601" s="1"/>
    </row>
    <row r="4602" spans="8:9" x14ac:dyDescent="0.2">
      <c r="H4602" s="1"/>
      <c r="I4602" s="1"/>
    </row>
    <row r="4603" spans="8:9" x14ac:dyDescent="0.2">
      <c r="H4603" s="1"/>
      <c r="I4603" s="1"/>
    </row>
    <row r="4604" spans="8:9" x14ac:dyDescent="0.2">
      <c r="H4604" s="1"/>
      <c r="I4604" s="1"/>
    </row>
    <row r="4605" spans="8:9" x14ac:dyDescent="0.2">
      <c r="H4605" s="1"/>
      <c r="I4605" s="1"/>
    </row>
    <row r="4606" spans="8:9" x14ac:dyDescent="0.2">
      <c r="H4606" s="1"/>
      <c r="I4606" s="1"/>
    </row>
    <row r="4607" spans="8:9" x14ac:dyDescent="0.2">
      <c r="H4607" s="1"/>
      <c r="I4607" s="1"/>
    </row>
    <row r="4608" spans="8:9" x14ac:dyDescent="0.2">
      <c r="H4608" s="1"/>
      <c r="I4608" s="1"/>
    </row>
    <row r="4609" spans="8:9" x14ac:dyDescent="0.2">
      <c r="H4609" s="1"/>
      <c r="I4609" s="1"/>
    </row>
    <row r="4610" spans="8:9" x14ac:dyDescent="0.2">
      <c r="H4610" s="1"/>
      <c r="I4610" s="1"/>
    </row>
    <row r="4611" spans="8:9" x14ac:dyDescent="0.2">
      <c r="H4611" s="1"/>
      <c r="I4611" s="1"/>
    </row>
    <row r="4612" spans="8:9" x14ac:dyDescent="0.2">
      <c r="H4612" s="1"/>
      <c r="I4612" s="1"/>
    </row>
    <row r="4613" spans="8:9" x14ac:dyDescent="0.2">
      <c r="H4613" s="1"/>
      <c r="I4613" s="1"/>
    </row>
    <row r="4614" spans="8:9" x14ac:dyDescent="0.2">
      <c r="H4614" s="1"/>
      <c r="I4614" s="1"/>
    </row>
    <row r="4615" spans="8:9" x14ac:dyDescent="0.2">
      <c r="H4615" s="1"/>
      <c r="I4615" s="1"/>
    </row>
    <row r="4616" spans="8:9" x14ac:dyDescent="0.2">
      <c r="H4616" s="1"/>
      <c r="I4616" s="1"/>
    </row>
    <row r="4617" spans="8:9" x14ac:dyDescent="0.2">
      <c r="H4617" s="1"/>
      <c r="I4617" s="1"/>
    </row>
    <row r="4618" spans="8:9" x14ac:dyDescent="0.2">
      <c r="H4618" s="1"/>
      <c r="I4618" s="1"/>
    </row>
    <row r="4619" spans="8:9" x14ac:dyDescent="0.2">
      <c r="H4619" s="1"/>
      <c r="I4619" s="1"/>
    </row>
    <row r="4620" spans="8:9" x14ac:dyDescent="0.2">
      <c r="H4620" s="1"/>
      <c r="I4620" s="1"/>
    </row>
    <row r="4621" spans="8:9" x14ac:dyDescent="0.2">
      <c r="H4621" s="1"/>
      <c r="I4621" s="1"/>
    </row>
    <row r="4622" spans="8:9" x14ac:dyDescent="0.2">
      <c r="H4622" s="1"/>
      <c r="I4622" s="1"/>
    </row>
    <row r="4623" spans="8:9" x14ac:dyDescent="0.2">
      <c r="H4623" s="1"/>
      <c r="I4623" s="1"/>
    </row>
    <row r="4624" spans="8:9" x14ac:dyDescent="0.2">
      <c r="H4624" s="1"/>
      <c r="I4624" s="1"/>
    </row>
    <row r="4625" spans="8:9" x14ac:dyDescent="0.2">
      <c r="H4625" s="1"/>
      <c r="I4625" s="1"/>
    </row>
    <row r="4626" spans="8:9" x14ac:dyDescent="0.2">
      <c r="H4626" s="1"/>
      <c r="I4626" s="1"/>
    </row>
    <row r="4627" spans="8:9" x14ac:dyDescent="0.2">
      <c r="H4627" s="1"/>
      <c r="I4627" s="1"/>
    </row>
    <row r="4628" spans="8:9" x14ac:dyDescent="0.2">
      <c r="H4628" s="1"/>
      <c r="I4628" s="1"/>
    </row>
    <row r="4629" spans="8:9" x14ac:dyDescent="0.2">
      <c r="H4629" s="1"/>
      <c r="I4629" s="1"/>
    </row>
    <row r="4630" spans="8:9" x14ac:dyDescent="0.2">
      <c r="H4630" s="1"/>
      <c r="I4630" s="1"/>
    </row>
    <row r="4631" spans="8:9" x14ac:dyDescent="0.2">
      <c r="H4631" s="1"/>
      <c r="I4631" s="1"/>
    </row>
    <row r="4632" spans="8:9" x14ac:dyDescent="0.2">
      <c r="H4632" s="1"/>
      <c r="I4632" s="1"/>
    </row>
    <row r="4633" spans="8:9" x14ac:dyDescent="0.2">
      <c r="H4633" s="1"/>
      <c r="I4633" s="1"/>
    </row>
    <row r="4634" spans="8:9" x14ac:dyDescent="0.2">
      <c r="H4634" s="1"/>
      <c r="I4634" s="1"/>
    </row>
    <row r="4635" spans="8:9" x14ac:dyDescent="0.2">
      <c r="H4635" s="1"/>
      <c r="I4635" s="1"/>
    </row>
    <row r="4636" spans="8:9" x14ac:dyDescent="0.2">
      <c r="H4636" s="1"/>
      <c r="I4636" s="1"/>
    </row>
    <row r="4637" spans="8:9" x14ac:dyDescent="0.2">
      <c r="H4637" s="1"/>
      <c r="I4637" s="1"/>
    </row>
    <row r="4638" spans="8:9" x14ac:dyDescent="0.2">
      <c r="H4638" s="1"/>
      <c r="I4638" s="1"/>
    </row>
    <row r="4639" spans="8:9" x14ac:dyDescent="0.2">
      <c r="H4639" s="1"/>
      <c r="I4639" s="1"/>
    </row>
    <row r="4640" spans="8:9" x14ac:dyDescent="0.2">
      <c r="H4640" s="1"/>
      <c r="I4640" s="1"/>
    </row>
    <row r="4641" spans="8:9" x14ac:dyDescent="0.2">
      <c r="H4641" s="1"/>
      <c r="I4641" s="1"/>
    </row>
    <row r="4642" spans="8:9" x14ac:dyDescent="0.2">
      <c r="H4642" s="1"/>
      <c r="I4642" s="1"/>
    </row>
    <row r="4643" spans="8:9" x14ac:dyDescent="0.2">
      <c r="H4643" s="1"/>
      <c r="I4643" s="1"/>
    </row>
    <row r="4644" spans="8:9" x14ac:dyDescent="0.2">
      <c r="H4644" s="1"/>
      <c r="I4644" s="1"/>
    </row>
    <row r="4645" spans="8:9" x14ac:dyDescent="0.2">
      <c r="H4645" s="1"/>
      <c r="I4645" s="1"/>
    </row>
    <row r="4646" spans="8:9" x14ac:dyDescent="0.2">
      <c r="H4646" s="1"/>
      <c r="I4646" s="1"/>
    </row>
    <row r="4647" spans="8:9" x14ac:dyDescent="0.2">
      <c r="H4647" s="1"/>
      <c r="I4647" s="1"/>
    </row>
    <row r="4648" spans="8:9" x14ac:dyDescent="0.2">
      <c r="H4648" s="1"/>
      <c r="I4648" s="1"/>
    </row>
    <row r="4649" spans="8:9" x14ac:dyDescent="0.2">
      <c r="H4649" s="1"/>
      <c r="I4649" s="1"/>
    </row>
    <row r="4650" spans="8:9" x14ac:dyDescent="0.2">
      <c r="H4650" s="1"/>
      <c r="I4650" s="1"/>
    </row>
    <row r="4651" spans="8:9" x14ac:dyDescent="0.2">
      <c r="H4651" s="1"/>
      <c r="I4651" s="1"/>
    </row>
    <row r="4652" spans="8:9" x14ac:dyDescent="0.2">
      <c r="H4652" s="1"/>
      <c r="I4652" s="1"/>
    </row>
    <row r="4653" spans="8:9" x14ac:dyDescent="0.2">
      <c r="H4653" s="1"/>
      <c r="I4653" s="1"/>
    </row>
    <row r="4654" spans="8:9" x14ac:dyDescent="0.2">
      <c r="H4654" s="1"/>
      <c r="I4654" s="1"/>
    </row>
    <row r="4655" spans="8:9" x14ac:dyDescent="0.2">
      <c r="H4655" s="1"/>
      <c r="I4655" s="1"/>
    </row>
    <row r="4656" spans="8:9" x14ac:dyDescent="0.2">
      <c r="H4656" s="1"/>
      <c r="I4656" s="1"/>
    </row>
    <row r="4657" spans="8:9" x14ac:dyDescent="0.2">
      <c r="H4657" s="1"/>
      <c r="I4657" s="1"/>
    </row>
    <row r="4658" spans="8:9" x14ac:dyDescent="0.2">
      <c r="H4658" s="1"/>
      <c r="I4658" s="1"/>
    </row>
    <row r="4659" spans="8:9" x14ac:dyDescent="0.2">
      <c r="H4659" s="1"/>
      <c r="I4659" s="1"/>
    </row>
    <row r="4660" spans="8:9" x14ac:dyDescent="0.2">
      <c r="H4660" s="1"/>
      <c r="I4660" s="1"/>
    </row>
    <row r="4661" spans="8:9" x14ac:dyDescent="0.2">
      <c r="H4661" s="1"/>
      <c r="I4661" s="1"/>
    </row>
    <row r="4662" spans="8:9" x14ac:dyDescent="0.2">
      <c r="H4662" s="1"/>
      <c r="I4662" s="1"/>
    </row>
    <row r="4663" spans="8:9" x14ac:dyDescent="0.2">
      <c r="H4663" s="1"/>
      <c r="I4663" s="1"/>
    </row>
    <row r="4664" spans="8:9" x14ac:dyDescent="0.2">
      <c r="H4664" s="1"/>
      <c r="I4664" s="1"/>
    </row>
    <row r="4665" spans="8:9" x14ac:dyDescent="0.2">
      <c r="H4665" s="1"/>
      <c r="I4665" s="1"/>
    </row>
    <row r="4666" spans="8:9" x14ac:dyDescent="0.2">
      <c r="H4666" s="1"/>
      <c r="I4666" s="1"/>
    </row>
    <row r="4667" spans="8:9" x14ac:dyDescent="0.2">
      <c r="H4667" s="1"/>
      <c r="I4667" s="1"/>
    </row>
    <row r="4668" spans="8:9" x14ac:dyDescent="0.2">
      <c r="H4668" s="1"/>
      <c r="I4668" s="1"/>
    </row>
    <row r="4669" spans="8:9" x14ac:dyDescent="0.2">
      <c r="H4669" s="1"/>
      <c r="I4669" s="1"/>
    </row>
    <row r="4670" spans="8:9" x14ac:dyDescent="0.2">
      <c r="H4670" s="1"/>
      <c r="I4670" s="1"/>
    </row>
    <row r="4671" spans="8:9" x14ac:dyDescent="0.2">
      <c r="H4671" s="1"/>
      <c r="I4671" s="1"/>
    </row>
    <row r="4672" spans="8:9" x14ac:dyDescent="0.2">
      <c r="H4672" s="1"/>
      <c r="I4672" s="1"/>
    </row>
    <row r="4673" spans="8:9" x14ac:dyDescent="0.2">
      <c r="H4673" s="1"/>
      <c r="I4673" s="1"/>
    </row>
    <row r="4674" spans="8:9" x14ac:dyDescent="0.2">
      <c r="H4674" s="1"/>
      <c r="I4674" s="1"/>
    </row>
    <row r="4675" spans="8:9" x14ac:dyDescent="0.2">
      <c r="H4675" s="1"/>
      <c r="I4675" s="1"/>
    </row>
    <row r="4676" spans="8:9" x14ac:dyDescent="0.2">
      <c r="H4676" s="1"/>
      <c r="I4676" s="1"/>
    </row>
    <row r="4677" spans="8:9" x14ac:dyDescent="0.2">
      <c r="H4677" s="1"/>
      <c r="I4677" s="1"/>
    </row>
    <row r="4678" spans="8:9" x14ac:dyDescent="0.2">
      <c r="H4678" s="1"/>
      <c r="I4678" s="1"/>
    </row>
    <row r="4679" spans="8:9" x14ac:dyDescent="0.2">
      <c r="H4679" s="1"/>
      <c r="I4679" s="1"/>
    </row>
    <row r="4680" spans="8:9" x14ac:dyDescent="0.2">
      <c r="H4680" s="1"/>
      <c r="I4680" s="1"/>
    </row>
    <row r="4681" spans="8:9" x14ac:dyDescent="0.2">
      <c r="H4681" s="1"/>
      <c r="I4681" s="1"/>
    </row>
    <row r="4682" spans="8:9" x14ac:dyDescent="0.2">
      <c r="H4682" s="1"/>
      <c r="I4682" s="1"/>
    </row>
    <row r="4683" spans="8:9" x14ac:dyDescent="0.2">
      <c r="H4683" s="1"/>
      <c r="I4683" s="1"/>
    </row>
    <row r="4684" spans="8:9" x14ac:dyDescent="0.2">
      <c r="H4684" s="1"/>
      <c r="I4684" s="1"/>
    </row>
    <row r="4685" spans="8:9" x14ac:dyDescent="0.2">
      <c r="H4685" s="1"/>
      <c r="I4685" s="1"/>
    </row>
    <row r="4686" spans="8:9" x14ac:dyDescent="0.2">
      <c r="H4686" s="1"/>
      <c r="I4686" s="1"/>
    </row>
    <row r="4687" spans="8:9" x14ac:dyDescent="0.2">
      <c r="H4687" s="1"/>
      <c r="I4687" s="1"/>
    </row>
    <row r="4688" spans="8:9" x14ac:dyDescent="0.2">
      <c r="H4688" s="1"/>
      <c r="I4688" s="1"/>
    </row>
    <row r="4689" spans="8:9" x14ac:dyDescent="0.2">
      <c r="H4689" s="1"/>
      <c r="I4689" s="1"/>
    </row>
    <row r="4690" spans="8:9" x14ac:dyDescent="0.2">
      <c r="H4690" s="1"/>
      <c r="I4690" s="1"/>
    </row>
    <row r="4691" spans="8:9" x14ac:dyDescent="0.2">
      <c r="H4691" s="1"/>
      <c r="I4691" s="1"/>
    </row>
    <row r="4692" spans="8:9" x14ac:dyDescent="0.2">
      <c r="H4692" s="1"/>
      <c r="I4692" s="1"/>
    </row>
    <row r="4693" spans="8:9" x14ac:dyDescent="0.2">
      <c r="H4693" s="1"/>
      <c r="I4693" s="1"/>
    </row>
    <row r="4694" spans="8:9" x14ac:dyDescent="0.2">
      <c r="H4694" s="1"/>
      <c r="I4694" s="1"/>
    </row>
    <row r="4695" spans="8:9" x14ac:dyDescent="0.2">
      <c r="H4695" s="1"/>
      <c r="I4695" s="1"/>
    </row>
    <row r="4696" spans="8:9" x14ac:dyDescent="0.2">
      <c r="H4696" s="1"/>
      <c r="I4696" s="1"/>
    </row>
    <row r="4697" spans="8:9" x14ac:dyDescent="0.2">
      <c r="H4697" s="1"/>
      <c r="I4697" s="1"/>
    </row>
    <row r="4698" spans="8:9" x14ac:dyDescent="0.2">
      <c r="H4698" s="1"/>
      <c r="I4698" s="1"/>
    </row>
    <row r="4699" spans="8:9" x14ac:dyDescent="0.2">
      <c r="H4699" s="1"/>
      <c r="I4699" s="1"/>
    </row>
    <row r="4700" spans="8:9" x14ac:dyDescent="0.2">
      <c r="H4700" s="1"/>
      <c r="I4700" s="1"/>
    </row>
    <row r="4701" spans="8:9" x14ac:dyDescent="0.2">
      <c r="H4701" s="1"/>
      <c r="I4701" s="1"/>
    </row>
    <row r="4702" spans="8:9" x14ac:dyDescent="0.2">
      <c r="H4702" s="1"/>
      <c r="I4702" s="1"/>
    </row>
    <row r="4703" spans="8:9" x14ac:dyDescent="0.2">
      <c r="H4703" s="1"/>
      <c r="I4703" s="1"/>
    </row>
    <row r="4704" spans="8:9" x14ac:dyDescent="0.2">
      <c r="H4704" s="1"/>
      <c r="I4704" s="1"/>
    </row>
    <row r="4705" spans="8:9" x14ac:dyDescent="0.2">
      <c r="H4705" s="1"/>
      <c r="I4705" s="1"/>
    </row>
    <row r="4706" spans="8:9" x14ac:dyDescent="0.2">
      <c r="H4706" s="1"/>
      <c r="I4706" s="1"/>
    </row>
    <row r="4707" spans="8:9" x14ac:dyDescent="0.2">
      <c r="H4707" s="1"/>
      <c r="I4707" s="1"/>
    </row>
    <row r="4708" spans="8:9" x14ac:dyDescent="0.2">
      <c r="H4708" s="1"/>
      <c r="I4708" s="1"/>
    </row>
    <row r="4709" spans="8:9" x14ac:dyDescent="0.2">
      <c r="H4709" s="1"/>
      <c r="I4709" s="1"/>
    </row>
    <row r="4710" spans="8:9" x14ac:dyDescent="0.2">
      <c r="H4710" s="1"/>
      <c r="I4710" s="1"/>
    </row>
    <row r="4711" spans="8:9" x14ac:dyDescent="0.2">
      <c r="H4711" s="1"/>
      <c r="I4711" s="1"/>
    </row>
    <row r="4712" spans="8:9" x14ac:dyDescent="0.2">
      <c r="H4712" s="1"/>
      <c r="I4712" s="1"/>
    </row>
    <row r="4713" spans="8:9" x14ac:dyDescent="0.2">
      <c r="H4713" s="1"/>
      <c r="I4713" s="1"/>
    </row>
    <row r="4714" spans="8:9" x14ac:dyDescent="0.2">
      <c r="H4714" s="1"/>
      <c r="I4714" s="1"/>
    </row>
    <row r="4715" spans="8:9" x14ac:dyDescent="0.2">
      <c r="H4715" s="1"/>
      <c r="I4715" s="1"/>
    </row>
    <row r="4716" spans="8:9" x14ac:dyDescent="0.2">
      <c r="H4716" s="1"/>
      <c r="I4716" s="1"/>
    </row>
    <row r="4717" spans="8:9" x14ac:dyDescent="0.2">
      <c r="H4717" s="1"/>
      <c r="I4717" s="1"/>
    </row>
    <row r="4718" spans="8:9" x14ac:dyDescent="0.2">
      <c r="H4718" s="1"/>
      <c r="I4718" s="1"/>
    </row>
    <row r="4719" spans="8:9" x14ac:dyDescent="0.2">
      <c r="H4719" s="1"/>
      <c r="I4719" s="1"/>
    </row>
    <row r="4720" spans="8:9" x14ac:dyDescent="0.2">
      <c r="H4720" s="1"/>
      <c r="I4720" s="1"/>
    </row>
    <row r="4721" spans="8:9" x14ac:dyDescent="0.2">
      <c r="H4721" s="1"/>
      <c r="I4721" s="1"/>
    </row>
    <row r="4722" spans="8:9" x14ac:dyDescent="0.2">
      <c r="H4722" s="1"/>
      <c r="I4722" s="1"/>
    </row>
    <row r="4723" spans="8:9" x14ac:dyDescent="0.2">
      <c r="H4723" s="1"/>
      <c r="I4723" s="1"/>
    </row>
    <row r="4724" spans="8:9" x14ac:dyDescent="0.2">
      <c r="H4724" s="1"/>
      <c r="I4724" s="1"/>
    </row>
    <row r="4725" spans="8:9" x14ac:dyDescent="0.2">
      <c r="H4725" s="1"/>
      <c r="I4725" s="1"/>
    </row>
    <row r="4726" spans="8:9" x14ac:dyDescent="0.2">
      <c r="H4726" s="1"/>
      <c r="I4726" s="1"/>
    </row>
    <row r="4727" spans="8:9" x14ac:dyDescent="0.2">
      <c r="H4727" s="1"/>
      <c r="I4727" s="1"/>
    </row>
    <row r="4728" spans="8:9" x14ac:dyDescent="0.2">
      <c r="H4728" s="1"/>
      <c r="I4728" s="1"/>
    </row>
    <row r="4729" spans="8:9" x14ac:dyDescent="0.2">
      <c r="H4729" s="1"/>
      <c r="I4729" s="1"/>
    </row>
    <row r="4730" spans="8:9" x14ac:dyDescent="0.2">
      <c r="H4730" s="1"/>
      <c r="I4730" s="1"/>
    </row>
    <row r="4731" spans="8:9" x14ac:dyDescent="0.2">
      <c r="H4731" s="1"/>
      <c r="I4731" s="1"/>
    </row>
    <row r="4732" spans="8:9" x14ac:dyDescent="0.2">
      <c r="H4732" s="1"/>
      <c r="I4732" s="1"/>
    </row>
    <row r="4733" spans="8:9" x14ac:dyDescent="0.2">
      <c r="H4733" s="1"/>
      <c r="I4733" s="1"/>
    </row>
    <row r="4734" spans="8:9" x14ac:dyDescent="0.2">
      <c r="H4734" s="1"/>
      <c r="I4734" s="1"/>
    </row>
    <row r="4735" spans="8:9" x14ac:dyDescent="0.2">
      <c r="H4735" s="1"/>
      <c r="I4735" s="1"/>
    </row>
    <row r="4736" spans="8:9" x14ac:dyDescent="0.2">
      <c r="H4736" s="1"/>
      <c r="I4736" s="1"/>
    </row>
    <row r="4737" spans="8:9" x14ac:dyDescent="0.2">
      <c r="H4737" s="1"/>
      <c r="I4737" s="1"/>
    </row>
    <row r="4738" spans="8:9" x14ac:dyDescent="0.2">
      <c r="H4738" s="1"/>
      <c r="I4738" s="1"/>
    </row>
    <row r="4739" spans="8:9" x14ac:dyDescent="0.2">
      <c r="H4739" s="1"/>
      <c r="I4739" s="1"/>
    </row>
    <row r="4740" spans="8:9" x14ac:dyDescent="0.2">
      <c r="H4740" s="1"/>
      <c r="I4740" s="1"/>
    </row>
    <row r="4741" spans="8:9" x14ac:dyDescent="0.2">
      <c r="H4741" s="1"/>
      <c r="I4741" s="1"/>
    </row>
    <row r="4742" spans="8:9" x14ac:dyDescent="0.2">
      <c r="H4742" s="1"/>
      <c r="I4742" s="1"/>
    </row>
    <row r="4743" spans="8:9" x14ac:dyDescent="0.2">
      <c r="H4743" s="1"/>
      <c r="I4743" s="1"/>
    </row>
    <row r="4744" spans="8:9" x14ac:dyDescent="0.2">
      <c r="H4744" s="1"/>
      <c r="I4744" s="1"/>
    </row>
    <row r="4745" spans="8:9" x14ac:dyDescent="0.2">
      <c r="H4745" s="1"/>
      <c r="I4745" s="1"/>
    </row>
    <row r="4746" spans="8:9" x14ac:dyDescent="0.2">
      <c r="H4746" s="1"/>
      <c r="I4746" s="1"/>
    </row>
    <row r="4747" spans="8:9" x14ac:dyDescent="0.2">
      <c r="H4747" s="1"/>
      <c r="I4747" s="1"/>
    </row>
    <row r="4748" spans="8:9" x14ac:dyDescent="0.2">
      <c r="H4748" s="1"/>
      <c r="I4748" s="1"/>
    </row>
    <row r="4749" spans="8:9" x14ac:dyDescent="0.2">
      <c r="H4749" s="1"/>
      <c r="I4749" s="1"/>
    </row>
    <row r="4750" spans="8:9" x14ac:dyDescent="0.2">
      <c r="H4750" s="1"/>
      <c r="I4750" s="1"/>
    </row>
    <row r="4751" spans="8:9" x14ac:dyDescent="0.2">
      <c r="H4751" s="1"/>
      <c r="I4751" s="1"/>
    </row>
    <row r="4752" spans="8:9" x14ac:dyDescent="0.2">
      <c r="H4752" s="1"/>
      <c r="I4752" s="1"/>
    </row>
    <row r="4753" spans="8:9" x14ac:dyDescent="0.2">
      <c r="H4753" s="1"/>
      <c r="I4753" s="1"/>
    </row>
    <row r="4754" spans="8:9" x14ac:dyDescent="0.2">
      <c r="H4754" s="1"/>
      <c r="I4754" s="1"/>
    </row>
    <row r="4755" spans="8:9" x14ac:dyDescent="0.2">
      <c r="H4755" s="1"/>
      <c r="I4755" s="1"/>
    </row>
    <row r="4756" spans="8:9" x14ac:dyDescent="0.2">
      <c r="H4756" s="1"/>
      <c r="I4756" s="1"/>
    </row>
    <row r="4757" spans="8:9" x14ac:dyDescent="0.2">
      <c r="H4757" s="1"/>
      <c r="I4757" s="1"/>
    </row>
    <row r="4758" spans="8:9" x14ac:dyDescent="0.2">
      <c r="H4758" s="1"/>
      <c r="I4758" s="1"/>
    </row>
    <row r="4759" spans="8:9" x14ac:dyDescent="0.2">
      <c r="H4759" s="1"/>
      <c r="I4759" s="1"/>
    </row>
    <row r="4760" spans="8:9" x14ac:dyDescent="0.2">
      <c r="H4760" s="1"/>
      <c r="I4760" s="1"/>
    </row>
    <row r="4761" spans="8:9" x14ac:dyDescent="0.2">
      <c r="H4761" s="1"/>
      <c r="I4761" s="1"/>
    </row>
    <row r="4762" spans="8:9" x14ac:dyDescent="0.2">
      <c r="H4762" s="1"/>
      <c r="I4762" s="1"/>
    </row>
    <row r="4763" spans="8:9" x14ac:dyDescent="0.2">
      <c r="H4763" s="1"/>
      <c r="I4763" s="1"/>
    </row>
    <row r="4764" spans="8:9" x14ac:dyDescent="0.2">
      <c r="H4764" s="1"/>
      <c r="I4764" s="1"/>
    </row>
    <row r="4765" spans="8:9" x14ac:dyDescent="0.2">
      <c r="H4765" s="1"/>
      <c r="I4765" s="1"/>
    </row>
    <row r="4766" spans="8:9" x14ac:dyDescent="0.2">
      <c r="H4766" s="1"/>
      <c r="I4766" s="1"/>
    </row>
    <row r="4767" spans="8:9" x14ac:dyDescent="0.2">
      <c r="H4767" s="1"/>
      <c r="I4767" s="1"/>
    </row>
    <row r="4768" spans="8:9" x14ac:dyDescent="0.2">
      <c r="H4768" s="1"/>
      <c r="I4768" s="1"/>
    </row>
    <row r="4769" spans="8:9" x14ac:dyDescent="0.2">
      <c r="H4769" s="1"/>
      <c r="I4769" s="1"/>
    </row>
    <row r="4770" spans="8:9" x14ac:dyDescent="0.2">
      <c r="H4770" s="1"/>
      <c r="I4770" s="1"/>
    </row>
    <row r="4771" spans="8:9" x14ac:dyDescent="0.2">
      <c r="H4771" s="1"/>
      <c r="I4771" s="1"/>
    </row>
    <row r="4772" spans="8:9" x14ac:dyDescent="0.2">
      <c r="H4772" s="1"/>
      <c r="I4772" s="1"/>
    </row>
    <row r="4773" spans="8:9" x14ac:dyDescent="0.2">
      <c r="H4773" s="1"/>
      <c r="I4773" s="1"/>
    </row>
    <row r="4774" spans="8:9" x14ac:dyDescent="0.2">
      <c r="H4774" s="1"/>
      <c r="I4774" s="1"/>
    </row>
    <row r="4775" spans="8:9" x14ac:dyDescent="0.2">
      <c r="H4775" s="1"/>
      <c r="I4775" s="1"/>
    </row>
    <row r="4776" spans="8:9" x14ac:dyDescent="0.2">
      <c r="H4776" s="1"/>
      <c r="I4776" s="1"/>
    </row>
    <row r="4777" spans="8:9" x14ac:dyDescent="0.2">
      <c r="H4777" s="1"/>
      <c r="I4777" s="1"/>
    </row>
    <row r="4778" spans="8:9" x14ac:dyDescent="0.2">
      <c r="H4778" s="1"/>
      <c r="I4778" s="1"/>
    </row>
    <row r="4779" spans="8:9" x14ac:dyDescent="0.2">
      <c r="H4779" s="1"/>
      <c r="I4779" s="1"/>
    </row>
    <row r="4780" spans="8:9" x14ac:dyDescent="0.2">
      <c r="H4780" s="1"/>
      <c r="I4780" s="1"/>
    </row>
    <row r="4781" spans="8:9" x14ac:dyDescent="0.2">
      <c r="H4781" s="1"/>
      <c r="I4781" s="1"/>
    </row>
    <row r="4782" spans="8:9" x14ac:dyDescent="0.2">
      <c r="H4782" s="1"/>
      <c r="I4782" s="1"/>
    </row>
    <row r="4783" spans="8:9" x14ac:dyDescent="0.2">
      <c r="H4783" s="1"/>
      <c r="I4783" s="1"/>
    </row>
    <row r="4784" spans="8:9" x14ac:dyDescent="0.2">
      <c r="H4784" s="1"/>
      <c r="I4784" s="1"/>
    </row>
    <row r="4785" spans="8:9" x14ac:dyDescent="0.2">
      <c r="H4785" s="1"/>
      <c r="I4785" s="1"/>
    </row>
    <row r="4786" spans="8:9" x14ac:dyDescent="0.2">
      <c r="H4786" s="1"/>
      <c r="I4786" s="1"/>
    </row>
    <row r="4787" spans="8:9" x14ac:dyDescent="0.2">
      <c r="H4787" s="1"/>
      <c r="I4787" s="1"/>
    </row>
    <row r="4788" spans="8:9" x14ac:dyDescent="0.2">
      <c r="H4788" s="1"/>
      <c r="I4788" s="1"/>
    </row>
    <row r="4789" spans="8:9" x14ac:dyDescent="0.2">
      <c r="H4789" s="1"/>
      <c r="I4789" s="1"/>
    </row>
    <row r="4790" spans="8:9" x14ac:dyDescent="0.2">
      <c r="H4790" s="1"/>
      <c r="I4790" s="1"/>
    </row>
    <row r="4791" spans="8:9" x14ac:dyDescent="0.2">
      <c r="H4791" s="1"/>
      <c r="I4791" s="1"/>
    </row>
    <row r="4792" spans="8:9" x14ac:dyDescent="0.2">
      <c r="H4792" s="1"/>
      <c r="I4792" s="1"/>
    </row>
    <row r="4793" spans="8:9" x14ac:dyDescent="0.2">
      <c r="H4793" s="1"/>
      <c r="I4793" s="1"/>
    </row>
    <row r="4794" spans="8:9" x14ac:dyDescent="0.2">
      <c r="H4794" s="1"/>
      <c r="I4794" s="1"/>
    </row>
    <row r="4795" spans="8:9" x14ac:dyDescent="0.2">
      <c r="H4795" s="1"/>
      <c r="I4795" s="1"/>
    </row>
    <row r="4796" spans="8:9" x14ac:dyDescent="0.2">
      <c r="H4796" s="1"/>
      <c r="I4796" s="1"/>
    </row>
    <row r="4797" spans="8:9" x14ac:dyDescent="0.2">
      <c r="H4797" s="1"/>
      <c r="I4797" s="1"/>
    </row>
    <row r="4798" spans="8:9" x14ac:dyDescent="0.2">
      <c r="H4798" s="1"/>
      <c r="I4798" s="1"/>
    </row>
    <row r="4799" spans="8:9" x14ac:dyDescent="0.2">
      <c r="H4799" s="1"/>
      <c r="I4799" s="1"/>
    </row>
    <row r="4800" spans="8:9" x14ac:dyDescent="0.2">
      <c r="H4800" s="1"/>
      <c r="I4800" s="1"/>
    </row>
    <row r="4801" spans="8:9" x14ac:dyDescent="0.2">
      <c r="H4801" s="1"/>
      <c r="I4801" s="1"/>
    </row>
    <row r="4802" spans="8:9" x14ac:dyDescent="0.2">
      <c r="H4802" s="1"/>
      <c r="I4802" s="1"/>
    </row>
    <row r="4803" spans="8:9" x14ac:dyDescent="0.2">
      <c r="H4803" s="1"/>
      <c r="I4803" s="1"/>
    </row>
    <row r="4804" spans="8:9" x14ac:dyDescent="0.2">
      <c r="H4804" s="1"/>
      <c r="I4804" s="1"/>
    </row>
    <row r="4805" spans="8:9" x14ac:dyDescent="0.2">
      <c r="H4805" s="1"/>
      <c r="I4805" s="1"/>
    </row>
    <row r="4806" spans="8:9" x14ac:dyDescent="0.2">
      <c r="H4806" s="1"/>
      <c r="I4806" s="1"/>
    </row>
    <row r="4807" spans="8:9" x14ac:dyDescent="0.2">
      <c r="H4807" s="1"/>
      <c r="I4807" s="1"/>
    </row>
    <row r="4808" spans="8:9" x14ac:dyDescent="0.2">
      <c r="H4808" s="1"/>
      <c r="I4808" s="1"/>
    </row>
    <row r="4809" spans="8:9" x14ac:dyDescent="0.2">
      <c r="H4809" s="1"/>
      <c r="I4809" s="1"/>
    </row>
    <row r="4810" spans="8:9" x14ac:dyDescent="0.2">
      <c r="H4810" s="1"/>
      <c r="I4810" s="1"/>
    </row>
    <row r="4811" spans="8:9" x14ac:dyDescent="0.2">
      <c r="H4811" s="1"/>
      <c r="I4811" s="1"/>
    </row>
    <row r="4812" spans="8:9" x14ac:dyDescent="0.2">
      <c r="H4812" s="1"/>
      <c r="I4812" s="1"/>
    </row>
    <row r="4813" spans="8:9" x14ac:dyDescent="0.2">
      <c r="H4813" s="1"/>
      <c r="I4813" s="1"/>
    </row>
    <row r="4814" spans="8:9" x14ac:dyDescent="0.2">
      <c r="H4814" s="1"/>
      <c r="I4814" s="1"/>
    </row>
    <row r="4815" spans="8:9" x14ac:dyDescent="0.2">
      <c r="H4815" s="1"/>
      <c r="I4815" s="1"/>
    </row>
    <row r="4816" spans="8:9" x14ac:dyDescent="0.2">
      <c r="H4816" s="1"/>
      <c r="I4816" s="1"/>
    </row>
    <row r="4817" spans="8:9" x14ac:dyDescent="0.2">
      <c r="H4817" s="1"/>
      <c r="I4817" s="1"/>
    </row>
    <row r="4818" spans="8:9" x14ac:dyDescent="0.2">
      <c r="H4818" s="1"/>
      <c r="I4818" s="1"/>
    </row>
    <row r="4819" spans="8:9" x14ac:dyDescent="0.2">
      <c r="H4819" s="1"/>
      <c r="I4819" s="1"/>
    </row>
    <row r="4820" spans="8:9" x14ac:dyDescent="0.2">
      <c r="H4820" s="1"/>
      <c r="I4820" s="1"/>
    </row>
    <row r="4821" spans="8:9" x14ac:dyDescent="0.2">
      <c r="H4821" s="1"/>
      <c r="I4821" s="1"/>
    </row>
    <row r="4822" spans="8:9" x14ac:dyDescent="0.2">
      <c r="H4822" s="1"/>
      <c r="I4822" s="1"/>
    </row>
    <row r="4823" spans="8:9" x14ac:dyDescent="0.2">
      <c r="H4823" s="1"/>
      <c r="I4823" s="1"/>
    </row>
    <row r="4824" spans="8:9" x14ac:dyDescent="0.2">
      <c r="H4824" s="1"/>
      <c r="I4824" s="1"/>
    </row>
    <row r="4825" spans="8:9" x14ac:dyDescent="0.2">
      <c r="H4825" s="1"/>
      <c r="I4825" s="1"/>
    </row>
    <row r="4826" spans="8:9" x14ac:dyDescent="0.2">
      <c r="H4826" s="1"/>
      <c r="I4826" s="1"/>
    </row>
    <row r="4827" spans="8:9" x14ac:dyDescent="0.2">
      <c r="H4827" s="1"/>
      <c r="I4827" s="1"/>
    </row>
    <row r="4828" spans="8:9" x14ac:dyDescent="0.2">
      <c r="H4828" s="1"/>
      <c r="I4828" s="1"/>
    </row>
    <row r="4829" spans="8:9" x14ac:dyDescent="0.2">
      <c r="H4829" s="1"/>
      <c r="I4829" s="1"/>
    </row>
    <row r="4830" spans="8:9" x14ac:dyDescent="0.2">
      <c r="H4830" s="1"/>
      <c r="I4830" s="1"/>
    </row>
    <row r="4831" spans="8:9" x14ac:dyDescent="0.2">
      <c r="H4831" s="1"/>
      <c r="I4831" s="1"/>
    </row>
    <row r="4832" spans="8:9" x14ac:dyDescent="0.2">
      <c r="H4832" s="1"/>
      <c r="I4832" s="1"/>
    </row>
    <row r="4833" spans="8:9" x14ac:dyDescent="0.2">
      <c r="H4833" s="1"/>
      <c r="I4833" s="1"/>
    </row>
    <row r="4834" spans="8:9" x14ac:dyDescent="0.2">
      <c r="H4834" s="1"/>
      <c r="I4834" s="1"/>
    </row>
    <row r="4835" spans="8:9" x14ac:dyDescent="0.2">
      <c r="H4835" s="1"/>
      <c r="I4835" s="1"/>
    </row>
    <row r="4836" spans="8:9" x14ac:dyDescent="0.2">
      <c r="H4836" s="1"/>
      <c r="I4836" s="1"/>
    </row>
    <row r="4837" spans="8:9" x14ac:dyDescent="0.2">
      <c r="H4837" s="1"/>
      <c r="I4837" s="1"/>
    </row>
    <row r="4838" spans="8:9" x14ac:dyDescent="0.2">
      <c r="H4838" s="1"/>
      <c r="I4838" s="1"/>
    </row>
    <row r="4839" spans="8:9" x14ac:dyDescent="0.2">
      <c r="H4839" s="1"/>
      <c r="I4839" s="1"/>
    </row>
    <row r="4840" spans="8:9" x14ac:dyDescent="0.2">
      <c r="H4840" s="1"/>
      <c r="I4840" s="1"/>
    </row>
    <row r="4841" spans="8:9" x14ac:dyDescent="0.2">
      <c r="H4841" s="1"/>
      <c r="I4841" s="1"/>
    </row>
    <row r="4842" spans="8:9" x14ac:dyDescent="0.2">
      <c r="H4842" s="1"/>
      <c r="I4842" s="1"/>
    </row>
    <row r="4843" spans="8:9" x14ac:dyDescent="0.2">
      <c r="H4843" s="1"/>
      <c r="I4843" s="1"/>
    </row>
    <row r="4844" spans="8:9" x14ac:dyDescent="0.2">
      <c r="H4844" s="1"/>
      <c r="I4844" s="1"/>
    </row>
    <row r="4845" spans="8:9" x14ac:dyDescent="0.2">
      <c r="H4845" s="1"/>
      <c r="I4845" s="1"/>
    </row>
    <row r="4846" spans="8:9" x14ac:dyDescent="0.2">
      <c r="H4846" s="1"/>
      <c r="I4846" s="1"/>
    </row>
    <row r="4847" spans="8:9" x14ac:dyDescent="0.2">
      <c r="H4847" s="1"/>
      <c r="I4847" s="1"/>
    </row>
    <row r="4848" spans="8:9" x14ac:dyDescent="0.2">
      <c r="H4848" s="1"/>
      <c r="I4848" s="1"/>
    </row>
    <row r="4849" spans="8:9" x14ac:dyDescent="0.2">
      <c r="H4849" s="1"/>
      <c r="I4849" s="1"/>
    </row>
    <row r="4850" spans="8:9" x14ac:dyDescent="0.2">
      <c r="H4850" s="1"/>
      <c r="I4850" s="1"/>
    </row>
    <row r="4851" spans="8:9" x14ac:dyDescent="0.2">
      <c r="H4851" s="1"/>
      <c r="I4851" s="1"/>
    </row>
    <row r="4852" spans="8:9" x14ac:dyDescent="0.2">
      <c r="H4852" s="1"/>
      <c r="I4852" s="1"/>
    </row>
    <row r="4853" spans="8:9" x14ac:dyDescent="0.2">
      <c r="H4853" s="1"/>
      <c r="I4853" s="1"/>
    </row>
    <row r="4854" spans="8:9" x14ac:dyDescent="0.2">
      <c r="H4854" s="1"/>
      <c r="I4854" s="1"/>
    </row>
    <row r="4855" spans="8:9" x14ac:dyDescent="0.2">
      <c r="H4855" s="1"/>
      <c r="I4855" s="1"/>
    </row>
    <row r="4856" spans="8:9" x14ac:dyDescent="0.2">
      <c r="H4856" s="1"/>
      <c r="I4856" s="1"/>
    </row>
    <row r="4857" spans="8:9" x14ac:dyDescent="0.2">
      <c r="H4857" s="1"/>
      <c r="I4857" s="1"/>
    </row>
    <row r="4858" spans="8:9" x14ac:dyDescent="0.2">
      <c r="H4858" s="1"/>
      <c r="I4858" s="1"/>
    </row>
    <row r="4859" spans="8:9" x14ac:dyDescent="0.2">
      <c r="H4859" s="1"/>
      <c r="I4859" s="1"/>
    </row>
    <row r="4860" spans="8:9" x14ac:dyDescent="0.2">
      <c r="H4860" s="1"/>
      <c r="I4860" s="1"/>
    </row>
    <row r="4861" spans="8:9" x14ac:dyDescent="0.2">
      <c r="H4861" s="1"/>
      <c r="I4861" s="1"/>
    </row>
    <row r="4862" spans="8:9" x14ac:dyDescent="0.2">
      <c r="H4862" s="1"/>
      <c r="I4862" s="1"/>
    </row>
    <row r="4863" spans="8:9" x14ac:dyDescent="0.2">
      <c r="H4863" s="1"/>
      <c r="I4863" s="1"/>
    </row>
    <row r="4864" spans="8:9" x14ac:dyDescent="0.2">
      <c r="H4864" s="1"/>
      <c r="I4864" s="1"/>
    </row>
    <row r="4865" spans="8:9" x14ac:dyDescent="0.2">
      <c r="H4865" s="1"/>
      <c r="I4865" s="1"/>
    </row>
    <row r="4866" spans="8:9" x14ac:dyDescent="0.2">
      <c r="H4866" s="1"/>
      <c r="I4866" s="1"/>
    </row>
    <row r="4867" spans="8:9" x14ac:dyDescent="0.2">
      <c r="H4867" s="1"/>
      <c r="I4867" s="1"/>
    </row>
    <row r="4868" spans="8:9" x14ac:dyDescent="0.2">
      <c r="H4868" s="1"/>
      <c r="I4868" s="1"/>
    </row>
    <row r="4869" spans="8:9" x14ac:dyDescent="0.2">
      <c r="H4869" s="1"/>
      <c r="I4869" s="1"/>
    </row>
    <row r="4870" spans="8:9" x14ac:dyDescent="0.2">
      <c r="H4870" s="1"/>
      <c r="I4870" s="1"/>
    </row>
    <row r="4871" spans="8:9" x14ac:dyDescent="0.2">
      <c r="H4871" s="1"/>
      <c r="I4871" s="1"/>
    </row>
    <row r="4872" spans="8:9" x14ac:dyDescent="0.2">
      <c r="H4872" s="1"/>
      <c r="I4872" s="1"/>
    </row>
    <row r="4873" spans="8:9" x14ac:dyDescent="0.2">
      <c r="H4873" s="1"/>
      <c r="I4873" s="1"/>
    </row>
    <row r="4874" spans="8:9" x14ac:dyDescent="0.2">
      <c r="H4874" s="1"/>
      <c r="I4874" s="1"/>
    </row>
    <row r="4875" spans="8:9" x14ac:dyDescent="0.2">
      <c r="H4875" s="1"/>
      <c r="I4875" s="1"/>
    </row>
    <row r="4876" spans="8:9" x14ac:dyDescent="0.2">
      <c r="H4876" s="1"/>
      <c r="I4876" s="1"/>
    </row>
    <row r="4877" spans="8:9" x14ac:dyDescent="0.2">
      <c r="H4877" s="1"/>
      <c r="I4877" s="1"/>
    </row>
    <row r="4878" spans="8:9" x14ac:dyDescent="0.2">
      <c r="H4878" s="1"/>
      <c r="I4878" s="1"/>
    </row>
    <row r="4879" spans="8:9" x14ac:dyDescent="0.2">
      <c r="H4879" s="1"/>
      <c r="I4879" s="1"/>
    </row>
    <row r="4880" spans="8:9" x14ac:dyDescent="0.2">
      <c r="H4880" s="1"/>
      <c r="I4880" s="1"/>
    </row>
    <row r="4881" spans="8:9" x14ac:dyDescent="0.2">
      <c r="H4881" s="1"/>
      <c r="I4881" s="1"/>
    </row>
    <row r="4882" spans="8:9" x14ac:dyDescent="0.2">
      <c r="H4882" s="1"/>
      <c r="I4882" s="1"/>
    </row>
    <row r="4883" spans="8:9" x14ac:dyDescent="0.2">
      <c r="H4883" s="1"/>
      <c r="I4883" s="1"/>
    </row>
    <row r="4884" spans="8:9" x14ac:dyDescent="0.2">
      <c r="H4884" s="1"/>
      <c r="I4884" s="1"/>
    </row>
    <row r="4885" spans="8:9" x14ac:dyDescent="0.2">
      <c r="H4885" s="1"/>
      <c r="I4885" s="1"/>
    </row>
    <row r="4886" spans="8:9" x14ac:dyDescent="0.2">
      <c r="H4886" s="1"/>
      <c r="I4886" s="1"/>
    </row>
    <row r="4887" spans="8:9" x14ac:dyDescent="0.2">
      <c r="H4887" s="1"/>
      <c r="I4887" s="1"/>
    </row>
    <row r="4888" spans="8:9" x14ac:dyDescent="0.2">
      <c r="H4888" s="1"/>
      <c r="I4888" s="1"/>
    </row>
    <row r="4889" spans="8:9" x14ac:dyDescent="0.2">
      <c r="H4889" s="1"/>
      <c r="I4889" s="1"/>
    </row>
    <row r="4890" spans="8:9" x14ac:dyDescent="0.2">
      <c r="H4890" s="1"/>
      <c r="I4890" s="1"/>
    </row>
    <row r="4891" spans="8:9" x14ac:dyDescent="0.2">
      <c r="H4891" s="1"/>
      <c r="I4891" s="1"/>
    </row>
    <row r="4892" spans="8:9" x14ac:dyDescent="0.2">
      <c r="H4892" s="1"/>
      <c r="I4892" s="1"/>
    </row>
    <row r="4893" spans="8:9" x14ac:dyDescent="0.2">
      <c r="H4893" s="1"/>
      <c r="I4893" s="1"/>
    </row>
    <row r="4894" spans="8:9" x14ac:dyDescent="0.2">
      <c r="H4894" s="1"/>
      <c r="I4894" s="1"/>
    </row>
    <row r="4895" spans="8:9" x14ac:dyDescent="0.2">
      <c r="H4895" s="1"/>
      <c r="I4895" s="1"/>
    </row>
    <row r="4896" spans="8:9" x14ac:dyDescent="0.2">
      <c r="H4896" s="1"/>
      <c r="I4896" s="1"/>
    </row>
    <row r="4897" spans="8:9" x14ac:dyDescent="0.2">
      <c r="H4897" s="1"/>
      <c r="I4897" s="1"/>
    </row>
    <row r="4898" spans="8:9" x14ac:dyDescent="0.2">
      <c r="H4898" s="1"/>
      <c r="I4898" s="1"/>
    </row>
    <row r="4899" spans="8:9" x14ac:dyDescent="0.2">
      <c r="H4899" s="1"/>
      <c r="I4899" s="1"/>
    </row>
    <row r="4900" spans="8:9" x14ac:dyDescent="0.2">
      <c r="H4900" s="1"/>
      <c r="I4900" s="1"/>
    </row>
    <row r="4901" spans="8:9" x14ac:dyDescent="0.2">
      <c r="H4901" s="1"/>
      <c r="I4901" s="1"/>
    </row>
    <row r="4902" spans="8:9" x14ac:dyDescent="0.2">
      <c r="H4902" s="1"/>
      <c r="I4902" s="1"/>
    </row>
    <row r="4903" spans="8:9" x14ac:dyDescent="0.2">
      <c r="H4903" s="1"/>
      <c r="I4903" s="1"/>
    </row>
    <row r="4904" spans="8:9" x14ac:dyDescent="0.2">
      <c r="H4904" s="1"/>
      <c r="I4904" s="1"/>
    </row>
    <row r="4905" spans="8:9" x14ac:dyDescent="0.2">
      <c r="H4905" s="1"/>
      <c r="I4905" s="1"/>
    </row>
    <row r="4906" spans="8:9" x14ac:dyDescent="0.2">
      <c r="H4906" s="1"/>
      <c r="I4906" s="1"/>
    </row>
    <row r="4907" spans="8:9" x14ac:dyDescent="0.2">
      <c r="H4907" s="1"/>
      <c r="I4907" s="1"/>
    </row>
    <row r="4908" spans="8:9" x14ac:dyDescent="0.2">
      <c r="H4908" s="1"/>
      <c r="I4908" s="1"/>
    </row>
    <row r="4909" spans="8:9" x14ac:dyDescent="0.2">
      <c r="H4909" s="1"/>
      <c r="I4909" s="1"/>
    </row>
    <row r="4910" spans="8:9" x14ac:dyDescent="0.2">
      <c r="H4910" s="1"/>
      <c r="I4910" s="1"/>
    </row>
    <row r="4911" spans="8:9" x14ac:dyDescent="0.2">
      <c r="H4911" s="1"/>
      <c r="I4911" s="1"/>
    </row>
    <row r="4912" spans="8:9" x14ac:dyDescent="0.2">
      <c r="H4912" s="1"/>
      <c r="I4912" s="1"/>
    </row>
    <row r="4913" spans="8:9" x14ac:dyDescent="0.2">
      <c r="H4913" s="1"/>
      <c r="I4913" s="1"/>
    </row>
    <row r="4914" spans="8:9" x14ac:dyDescent="0.2">
      <c r="H4914" s="1"/>
      <c r="I4914" s="1"/>
    </row>
    <row r="4915" spans="8:9" x14ac:dyDescent="0.2">
      <c r="H4915" s="1"/>
      <c r="I4915" s="1"/>
    </row>
    <row r="4916" spans="8:9" x14ac:dyDescent="0.2">
      <c r="H4916" s="1"/>
      <c r="I4916" s="1"/>
    </row>
    <row r="4917" spans="8:9" x14ac:dyDescent="0.2">
      <c r="H4917" s="1"/>
      <c r="I4917" s="1"/>
    </row>
    <row r="4918" spans="8:9" x14ac:dyDescent="0.2">
      <c r="H4918" s="1"/>
      <c r="I4918" s="1"/>
    </row>
    <row r="4919" spans="8:9" x14ac:dyDescent="0.2">
      <c r="H4919" s="1"/>
      <c r="I4919" s="1"/>
    </row>
    <row r="4920" spans="8:9" x14ac:dyDescent="0.2">
      <c r="H4920" s="1"/>
      <c r="I4920" s="1"/>
    </row>
    <row r="4921" spans="8:9" x14ac:dyDescent="0.2">
      <c r="H4921" s="1"/>
      <c r="I4921" s="1"/>
    </row>
    <row r="4922" spans="8:9" x14ac:dyDescent="0.2">
      <c r="H4922" s="1"/>
      <c r="I4922" s="1"/>
    </row>
    <row r="4923" spans="8:9" x14ac:dyDescent="0.2">
      <c r="H4923" s="1"/>
      <c r="I4923" s="1"/>
    </row>
    <row r="4924" spans="8:9" x14ac:dyDescent="0.2">
      <c r="H4924" s="1"/>
      <c r="I4924" s="1"/>
    </row>
    <row r="4925" spans="8:9" x14ac:dyDescent="0.2">
      <c r="H4925" s="1"/>
      <c r="I4925" s="1"/>
    </row>
    <row r="4926" spans="8:9" x14ac:dyDescent="0.2">
      <c r="H4926" s="1"/>
      <c r="I4926" s="1"/>
    </row>
    <row r="4927" spans="8:9" x14ac:dyDescent="0.2">
      <c r="H4927" s="1"/>
      <c r="I4927" s="1"/>
    </row>
    <row r="4928" spans="8:9" x14ac:dyDescent="0.2">
      <c r="H4928" s="1"/>
      <c r="I4928" s="1"/>
    </row>
    <row r="4929" spans="8:9" x14ac:dyDescent="0.2">
      <c r="H4929" s="1"/>
      <c r="I4929" s="1"/>
    </row>
    <row r="4930" spans="8:9" x14ac:dyDescent="0.2">
      <c r="H4930" s="1"/>
      <c r="I4930" s="1"/>
    </row>
    <row r="4931" spans="8:9" x14ac:dyDescent="0.2">
      <c r="H4931" s="1"/>
      <c r="I4931" s="1"/>
    </row>
    <row r="4932" spans="8:9" x14ac:dyDescent="0.2">
      <c r="H4932" s="1"/>
      <c r="I4932" s="1"/>
    </row>
    <row r="4933" spans="8:9" x14ac:dyDescent="0.2">
      <c r="H4933" s="1"/>
      <c r="I4933" s="1"/>
    </row>
    <row r="4934" spans="8:9" x14ac:dyDescent="0.2">
      <c r="H4934" s="1"/>
      <c r="I4934" s="1"/>
    </row>
    <row r="4935" spans="8:9" x14ac:dyDescent="0.2">
      <c r="H4935" s="1"/>
      <c r="I4935" s="1"/>
    </row>
    <row r="4936" spans="8:9" x14ac:dyDescent="0.2">
      <c r="H4936" s="1"/>
      <c r="I4936" s="1"/>
    </row>
    <row r="4937" spans="8:9" x14ac:dyDescent="0.2">
      <c r="H4937" s="1"/>
      <c r="I4937" s="1"/>
    </row>
    <row r="4938" spans="8:9" x14ac:dyDescent="0.2">
      <c r="H4938" s="1"/>
      <c r="I4938" s="1"/>
    </row>
    <row r="4939" spans="8:9" x14ac:dyDescent="0.2">
      <c r="H4939" s="1"/>
      <c r="I4939" s="1"/>
    </row>
    <row r="4940" spans="8:9" x14ac:dyDescent="0.2">
      <c r="H4940" s="1"/>
      <c r="I4940" s="1"/>
    </row>
    <row r="4941" spans="8:9" x14ac:dyDescent="0.2">
      <c r="H4941" s="1"/>
      <c r="I4941" s="1"/>
    </row>
    <row r="4942" spans="8:9" x14ac:dyDescent="0.2">
      <c r="H4942" s="1"/>
      <c r="I4942" s="1"/>
    </row>
    <row r="4943" spans="8:9" x14ac:dyDescent="0.2">
      <c r="H4943" s="1"/>
      <c r="I4943" s="1"/>
    </row>
    <row r="4944" spans="8:9" x14ac:dyDescent="0.2">
      <c r="H4944" s="1"/>
      <c r="I4944" s="1"/>
    </row>
    <row r="4945" spans="8:9" x14ac:dyDescent="0.2">
      <c r="H4945" s="1"/>
      <c r="I4945" s="1"/>
    </row>
    <row r="4946" spans="8:9" x14ac:dyDescent="0.2">
      <c r="H4946" s="1"/>
      <c r="I4946" s="1"/>
    </row>
    <row r="4947" spans="8:9" x14ac:dyDescent="0.2">
      <c r="H4947" s="1"/>
      <c r="I4947" s="1"/>
    </row>
    <row r="4948" spans="8:9" x14ac:dyDescent="0.2">
      <c r="H4948" s="1"/>
      <c r="I4948" s="1"/>
    </row>
    <row r="4949" spans="8:9" x14ac:dyDescent="0.2">
      <c r="H4949" s="1"/>
      <c r="I4949" s="1"/>
    </row>
    <row r="4950" spans="8:9" x14ac:dyDescent="0.2">
      <c r="H4950" s="1"/>
      <c r="I4950" s="1"/>
    </row>
    <row r="4951" spans="8:9" x14ac:dyDescent="0.2">
      <c r="H4951" s="1"/>
      <c r="I4951" s="1"/>
    </row>
    <row r="4952" spans="8:9" x14ac:dyDescent="0.2">
      <c r="H4952" s="1"/>
      <c r="I4952" s="1"/>
    </row>
    <row r="4953" spans="8:9" x14ac:dyDescent="0.2">
      <c r="H4953" s="1"/>
      <c r="I4953" s="1"/>
    </row>
    <row r="4954" spans="8:9" x14ac:dyDescent="0.2">
      <c r="H4954" s="1"/>
      <c r="I4954" s="1"/>
    </row>
    <row r="4955" spans="8:9" x14ac:dyDescent="0.2">
      <c r="H4955" s="1"/>
      <c r="I4955" s="1"/>
    </row>
    <row r="4956" spans="8:9" x14ac:dyDescent="0.2">
      <c r="H4956" s="1"/>
      <c r="I4956" s="1"/>
    </row>
    <row r="4957" spans="8:9" x14ac:dyDescent="0.2">
      <c r="H4957" s="1"/>
      <c r="I4957" s="1"/>
    </row>
    <row r="4958" spans="8:9" x14ac:dyDescent="0.2">
      <c r="H4958" s="1"/>
      <c r="I4958" s="1"/>
    </row>
    <row r="4959" spans="8:9" x14ac:dyDescent="0.2">
      <c r="H4959" s="1"/>
      <c r="I4959" s="1"/>
    </row>
    <row r="4960" spans="8:9" x14ac:dyDescent="0.2">
      <c r="H4960" s="1"/>
      <c r="I4960" s="1"/>
    </row>
    <row r="4961" spans="8:9" x14ac:dyDescent="0.2">
      <c r="H4961" s="1"/>
      <c r="I4961" s="1"/>
    </row>
    <row r="4962" spans="8:9" x14ac:dyDescent="0.2">
      <c r="H4962" s="1"/>
      <c r="I4962" s="1"/>
    </row>
    <row r="4963" spans="8:9" x14ac:dyDescent="0.2">
      <c r="H4963" s="1"/>
      <c r="I4963" s="1"/>
    </row>
    <row r="4964" spans="8:9" x14ac:dyDescent="0.2">
      <c r="H4964" s="1"/>
      <c r="I4964" s="1"/>
    </row>
    <row r="4965" spans="8:9" x14ac:dyDescent="0.2">
      <c r="H4965" s="1"/>
      <c r="I4965" s="1"/>
    </row>
    <row r="4966" spans="8:9" x14ac:dyDescent="0.2">
      <c r="H4966" s="1"/>
      <c r="I4966" s="1"/>
    </row>
    <row r="4967" spans="8:9" x14ac:dyDescent="0.2">
      <c r="H4967" s="1"/>
      <c r="I4967" s="1"/>
    </row>
    <row r="4968" spans="8:9" x14ac:dyDescent="0.2">
      <c r="H4968" s="1"/>
      <c r="I4968" s="1"/>
    </row>
    <row r="4969" spans="8:9" x14ac:dyDescent="0.2">
      <c r="H4969" s="1"/>
      <c r="I4969" s="1"/>
    </row>
    <row r="4970" spans="8:9" x14ac:dyDescent="0.2">
      <c r="H4970" s="1"/>
      <c r="I4970" s="1"/>
    </row>
    <row r="4971" spans="8:9" x14ac:dyDescent="0.2">
      <c r="H4971" s="1"/>
      <c r="I4971" s="1"/>
    </row>
    <row r="4972" spans="8:9" x14ac:dyDescent="0.2">
      <c r="H4972" s="1"/>
      <c r="I4972" s="1"/>
    </row>
    <row r="4973" spans="8:9" x14ac:dyDescent="0.2">
      <c r="H4973" s="1"/>
      <c r="I4973" s="1"/>
    </row>
    <row r="4974" spans="8:9" x14ac:dyDescent="0.2">
      <c r="H4974" s="1"/>
      <c r="I4974" s="1"/>
    </row>
    <row r="4975" spans="8:9" x14ac:dyDescent="0.2">
      <c r="H4975" s="1"/>
      <c r="I4975" s="1"/>
    </row>
    <row r="4976" spans="8:9" x14ac:dyDescent="0.2">
      <c r="H4976" s="1"/>
      <c r="I4976" s="1"/>
    </row>
    <row r="4977" spans="8:9" x14ac:dyDescent="0.2">
      <c r="H4977" s="1"/>
      <c r="I4977" s="1"/>
    </row>
    <row r="4978" spans="8:9" x14ac:dyDescent="0.2">
      <c r="H4978" s="1"/>
      <c r="I4978" s="1"/>
    </row>
    <row r="4979" spans="8:9" x14ac:dyDescent="0.2">
      <c r="H4979" s="1"/>
      <c r="I4979" s="1"/>
    </row>
    <row r="4980" spans="8:9" x14ac:dyDescent="0.2">
      <c r="H4980" s="1"/>
      <c r="I4980" s="1"/>
    </row>
    <row r="4981" spans="8:9" x14ac:dyDescent="0.2">
      <c r="H4981" s="1"/>
      <c r="I4981" s="1"/>
    </row>
    <row r="4982" spans="8:9" x14ac:dyDescent="0.2">
      <c r="H4982" s="1"/>
      <c r="I4982" s="1"/>
    </row>
    <row r="4983" spans="8:9" x14ac:dyDescent="0.2">
      <c r="H4983" s="1"/>
      <c r="I4983" s="1"/>
    </row>
    <row r="4984" spans="8:9" x14ac:dyDescent="0.2">
      <c r="H4984" s="1"/>
      <c r="I4984" s="1"/>
    </row>
    <row r="4985" spans="8:9" x14ac:dyDescent="0.2">
      <c r="H4985" s="1"/>
      <c r="I4985" s="1"/>
    </row>
    <row r="4986" spans="8:9" x14ac:dyDescent="0.2">
      <c r="H4986" s="1"/>
      <c r="I4986" s="1"/>
    </row>
    <row r="4987" spans="8:9" x14ac:dyDescent="0.2">
      <c r="H4987" s="1"/>
      <c r="I4987" s="1"/>
    </row>
    <row r="4988" spans="8:9" x14ac:dyDescent="0.2">
      <c r="H4988" s="1"/>
      <c r="I4988" s="1"/>
    </row>
    <row r="4989" spans="8:9" x14ac:dyDescent="0.2">
      <c r="H4989" s="1"/>
      <c r="I4989" s="1"/>
    </row>
    <row r="4990" spans="8:9" x14ac:dyDescent="0.2">
      <c r="H4990" s="1"/>
      <c r="I4990" s="1"/>
    </row>
    <row r="4991" spans="8:9" x14ac:dyDescent="0.2">
      <c r="H4991" s="1"/>
      <c r="I4991" s="1"/>
    </row>
    <row r="4992" spans="8:9" x14ac:dyDescent="0.2">
      <c r="H4992" s="1"/>
      <c r="I4992" s="1"/>
    </row>
    <row r="4993" spans="8:9" x14ac:dyDescent="0.2">
      <c r="H4993" s="1"/>
      <c r="I4993" s="1"/>
    </row>
    <row r="4994" spans="8:9" x14ac:dyDescent="0.2">
      <c r="H4994" s="1"/>
      <c r="I4994" s="1"/>
    </row>
    <row r="4995" spans="8:9" x14ac:dyDescent="0.2">
      <c r="H4995" s="1"/>
      <c r="I4995" s="1"/>
    </row>
    <row r="4996" spans="8:9" x14ac:dyDescent="0.2">
      <c r="H4996" s="1"/>
      <c r="I4996" s="1"/>
    </row>
    <row r="4997" spans="8:9" x14ac:dyDescent="0.2">
      <c r="H4997" s="1"/>
      <c r="I4997" s="1"/>
    </row>
    <row r="4998" spans="8:9" x14ac:dyDescent="0.2">
      <c r="H4998" s="1"/>
      <c r="I4998" s="1"/>
    </row>
    <row r="4999" spans="8:9" x14ac:dyDescent="0.2">
      <c r="H4999" s="1"/>
      <c r="I4999" s="1"/>
    </row>
    <row r="5000" spans="8:9" x14ac:dyDescent="0.2">
      <c r="H5000" s="1"/>
      <c r="I5000" s="1"/>
    </row>
    <row r="5001" spans="8:9" x14ac:dyDescent="0.2">
      <c r="H5001" s="1"/>
      <c r="I5001" s="1"/>
    </row>
    <row r="5002" spans="8:9" x14ac:dyDescent="0.2">
      <c r="H5002" s="1"/>
      <c r="I5002" s="1"/>
    </row>
    <row r="5003" spans="8:9" x14ac:dyDescent="0.2">
      <c r="H5003" s="1"/>
      <c r="I5003" s="1"/>
    </row>
    <row r="5004" spans="8:9" x14ac:dyDescent="0.2">
      <c r="H5004" s="1"/>
      <c r="I5004" s="1"/>
    </row>
    <row r="5005" spans="8:9" x14ac:dyDescent="0.2">
      <c r="H5005" s="1"/>
      <c r="I5005" s="1"/>
    </row>
    <row r="5006" spans="8:9" x14ac:dyDescent="0.2">
      <c r="H5006" s="1"/>
      <c r="I5006" s="1"/>
    </row>
    <row r="5007" spans="8:9" x14ac:dyDescent="0.2">
      <c r="H5007" s="1"/>
      <c r="I5007" s="1"/>
    </row>
    <row r="5008" spans="8:9" x14ac:dyDescent="0.2">
      <c r="H5008" s="1"/>
      <c r="I5008" s="1"/>
    </row>
    <row r="5009" spans="8:9" x14ac:dyDescent="0.2">
      <c r="H5009" s="1"/>
      <c r="I5009" s="1"/>
    </row>
    <row r="5010" spans="8:9" x14ac:dyDescent="0.2">
      <c r="H5010" s="1"/>
      <c r="I5010" s="1"/>
    </row>
    <row r="5011" spans="8:9" x14ac:dyDescent="0.2">
      <c r="H5011" s="1"/>
      <c r="I5011" s="1"/>
    </row>
    <row r="5012" spans="8:9" x14ac:dyDescent="0.2">
      <c r="H5012" s="1"/>
      <c r="I5012" s="1"/>
    </row>
    <row r="5013" spans="8:9" x14ac:dyDescent="0.2">
      <c r="H5013" s="1"/>
      <c r="I5013" s="1"/>
    </row>
    <row r="5014" spans="8:9" x14ac:dyDescent="0.2">
      <c r="H5014" s="1"/>
      <c r="I5014" s="1"/>
    </row>
    <row r="5015" spans="8:9" x14ac:dyDescent="0.2">
      <c r="H5015" s="1"/>
      <c r="I5015" s="1"/>
    </row>
    <row r="5016" spans="8:9" x14ac:dyDescent="0.2">
      <c r="H5016" s="1"/>
      <c r="I5016" s="1"/>
    </row>
    <row r="5017" spans="8:9" x14ac:dyDescent="0.2">
      <c r="H5017" s="1"/>
      <c r="I5017" s="1"/>
    </row>
    <row r="5018" spans="8:9" x14ac:dyDescent="0.2">
      <c r="H5018" s="1"/>
      <c r="I5018" s="1"/>
    </row>
    <row r="5019" spans="8:9" x14ac:dyDescent="0.2">
      <c r="H5019" s="1"/>
      <c r="I5019" s="1"/>
    </row>
    <row r="5020" spans="8:9" x14ac:dyDescent="0.2">
      <c r="H5020" s="1"/>
      <c r="I5020" s="1"/>
    </row>
    <row r="5021" spans="8:9" x14ac:dyDescent="0.2">
      <c r="H5021" s="1"/>
      <c r="I5021" s="1"/>
    </row>
    <row r="5022" spans="8:9" x14ac:dyDescent="0.2">
      <c r="H5022" s="1"/>
      <c r="I5022" s="1"/>
    </row>
    <row r="5023" spans="8:9" x14ac:dyDescent="0.2">
      <c r="H5023" s="1"/>
      <c r="I5023" s="1"/>
    </row>
    <row r="5024" spans="8:9" x14ac:dyDescent="0.2">
      <c r="H5024" s="1"/>
      <c r="I5024" s="1"/>
    </row>
    <row r="5025" spans="8:9" x14ac:dyDescent="0.2">
      <c r="H5025" s="1"/>
      <c r="I5025" s="1"/>
    </row>
    <row r="5026" spans="8:9" x14ac:dyDescent="0.2">
      <c r="H5026" s="1"/>
      <c r="I5026" s="1"/>
    </row>
    <row r="5027" spans="8:9" x14ac:dyDescent="0.2">
      <c r="H5027" s="1"/>
      <c r="I5027" s="1"/>
    </row>
    <row r="5028" spans="8:9" x14ac:dyDescent="0.2">
      <c r="H5028" s="1"/>
      <c r="I5028" s="1"/>
    </row>
    <row r="5029" spans="8:9" x14ac:dyDescent="0.2">
      <c r="H5029" s="1"/>
      <c r="I5029" s="1"/>
    </row>
    <row r="5030" spans="8:9" x14ac:dyDescent="0.2">
      <c r="H5030" s="1"/>
      <c r="I5030" s="1"/>
    </row>
    <row r="5031" spans="8:9" x14ac:dyDescent="0.2">
      <c r="H5031" s="1"/>
      <c r="I5031" s="1"/>
    </row>
    <row r="5032" spans="8:9" x14ac:dyDescent="0.2">
      <c r="H5032" s="1"/>
      <c r="I5032" s="1"/>
    </row>
    <row r="5033" spans="8:9" x14ac:dyDescent="0.2">
      <c r="H5033" s="1"/>
      <c r="I5033" s="1"/>
    </row>
    <row r="5034" spans="8:9" x14ac:dyDescent="0.2">
      <c r="H5034" s="1"/>
      <c r="I5034" s="1"/>
    </row>
    <row r="5035" spans="8:9" x14ac:dyDescent="0.2">
      <c r="H5035" s="1"/>
      <c r="I5035" s="1"/>
    </row>
    <row r="5036" spans="8:9" x14ac:dyDescent="0.2">
      <c r="H5036" s="1"/>
      <c r="I5036" s="1"/>
    </row>
    <row r="5037" spans="8:9" x14ac:dyDescent="0.2">
      <c r="H5037" s="1"/>
      <c r="I5037" s="1"/>
    </row>
    <row r="5038" spans="8:9" x14ac:dyDescent="0.2">
      <c r="H5038" s="1"/>
      <c r="I5038" s="1"/>
    </row>
    <row r="5039" spans="8:9" x14ac:dyDescent="0.2">
      <c r="H5039" s="1"/>
      <c r="I5039" s="1"/>
    </row>
    <row r="5040" spans="8:9" x14ac:dyDescent="0.2">
      <c r="H5040" s="1"/>
      <c r="I5040" s="1"/>
    </row>
    <row r="5041" spans="8:9" x14ac:dyDescent="0.2">
      <c r="H5041" s="1"/>
      <c r="I5041" s="1"/>
    </row>
    <row r="5042" spans="8:9" x14ac:dyDescent="0.2">
      <c r="H5042" s="1"/>
      <c r="I5042" s="1"/>
    </row>
    <row r="5043" spans="8:9" x14ac:dyDescent="0.2">
      <c r="H5043" s="1"/>
      <c r="I5043" s="1"/>
    </row>
    <row r="5044" spans="8:9" x14ac:dyDescent="0.2">
      <c r="H5044" s="1"/>
      <c r="I5044" s="1"/>
    </row>
    <row r="5045" spans="8:9" x14ac:dyDescent="0.2">
      <c r="H5045" s="1"/>
      <c r="I5045" s="1"/>
    </row>
    <row r="5046" spans="8:9" x14ac:dyDescent="0.2">
      <c r="H5046" s="1"/>
      <c r="I5046" s="1"/>
    </row>
    <row r="5047" spans="8:9" x14ac:dyDescent="0.2">
      <c r="H5047" s="1"/>
      <c r="I5047" s="1"/>
    </row>
    <row r="5048" spans="8:9" x14ac:dyDescent="0.2">
      <c r="H5048" s="1"/>
      <c r="I5048" s="1"/>
    </row>
    <row r="5049" spans="8:9" x14ac:dyDescent="0.2">
      <c r="H5049" s="1"/>
      <c r="I5049" s="1"/>
    </row>
    <row r="5050" spans="8:9" x14ac:dyDescent="0.2">
      <c r="H5050" s="1"/>
      <c r="I5050" s="1"/>
    </row>
    <row r="5051" spans="8:9" x14ac:dyDescent="0.2">
      <c r="H5051" s="1"/>
      <c r="I5051" s="1"/>
    </row>
    <row r="5052" spans="8:9" x14ac:dyDescent="0.2">
      <c r="H5052" s="1"/>
      <c r="I5052" s="1"/>
    </row>
    <row r="5053" spans="8:9" x14ac:dyDescent="0.2">
      <c r="H5053" s="1"/>
      <c r="I5053" s="1"/>
    </row>
    <row r="5054" spans="8:9" x14ac:dyDescent="0.2">
      <c r="H5054" s="1"/>
      <c r="I5054" s="1"/>
    </row>
    <row r="5055" spans="8:9" x14ac:dyDescent="0.2">
      <c r="H5055" s="1"/>
      <c r="I5055" s="1"/>
    </row>
    <row r="5056" spans="8:9" x14ac:dyDescent="0.2">
      <c r="H5056" s="1"/>
      <c r="I5056" s="1"/>
    </row>
    <row r="5057" spans="8:9" x14ac:dyDescent="0.2">
      <c r="H5057" s="1"/>
      <c r="I5057" s="1"/>
    </row>
    <row r="5058" spans="8:9" x14ac:dyDescent="0.2">
      <c r="H5058" s="1"/>
      <c r="I5058" s="1"/>
    </row>
    <row r="5059" spans="8:9" x14ac:dyDescent="0.2">
      <c r="H5059" s="1"/>
      <c r="I5059" s="1"/>
    </row>
    <row r="5060" spans="8:9" x14ac:dyDescent="0.2">
      <c r="H5060" s="1"/>
      <c r="I5060" s="1"/>
    </row>
    <row r="5061" spans="8:9" x14ac:dyDescent="0.2">
      <c r="H5061" s="1"/>
      <c r="I5061" s="1"/>
    </row>
    <row r="5062" spans="8:9" x14ac:dyDescent="0.2">
      <c r="H5062" s="1"/>
      <c r="I5062" s="1"/>
    </row>
    <row r="5063" spans="8:9" x14ac:dyDescent="0.2">
      <c r="H5063" s="1"/>
      <c r="I5063" s="1"/>
    </row>
    <row r="5064" spans="8:9" x14ac:dyDescent="0.2">
      <c r="H5064" s="1"/>
      <c r="I5064" s="1"/>
    </row>
    <row r="5065" spans="8:9" x14ac:dyDescent="0.2">
      <c r="H5065" s="1"/>
      <c r="I5065" s="1"/>
    </row>
    <row r="5066" spans="8:9" x14ac:dyDescent="0.2">
      <c r="H5066" s="1"/>
      <c r="I5066" s="1"/>
    </row>
    <row r="5067" spans="8:9" x14ac:dyDescent="0.2">
      <c r="H5067" s="1"/>
      <c r="I5067" s="1"/>
    </row>
    <row r="5068" spans="8:9" x14ac:dyDescent="0.2">
      <c r="H5068" s="1"/>
      <c r="I5068" s="1"/>
    </row>
    <row r="5069" spans="8:9" x14ac:dyDescent="0.2">
      <c r="H5069" s="1"/>
      <c r="I5069" s="1"/>
    </row>
    <row r="5070" spans="8:9" x14ac:dyDescent="0.2">
      <c r="H5070" s="1"/>
      <c r="I5070" s="1"/>
    </row>
    <row r="5071" spans="8:9" x14ac:dyDescent="0.2">
      <c r="H5071" s="1"/>
      <c r="I5071" s="1"/>
    </row>
    <row r="5072" spans="8:9" x14ac:dyDescent="0.2">
      <c r="H5072" s="1"/>
      <c r="I5072" s="1"/>
    </row>
    <row r="5073" spans="8:9" x14ac:dyDescent="0.2">
      <c r="H5073" s="1"/>
      <c r="I5073" s="1"/>
    </row>
    <row r="5074" spans="8:9" x14ac:dyDescent="0.2">
      <c r="H5074" s="1"/>
      <c r="I5074" s="1"/>
    </row>
    <row r="5075" spans="8:9" x14ac:dyDescent="0.2">
      <c r="H5075" s="1"/>
      <c r="I5075" s="1"/>
    </row>
    <row r="5076" spans="8:9" x14ac:dyDescent="0.2">
      <c r="H5076" s="1"/>
      <c r="I5076" s="1"/>
    </row>
    <row r="5077" spans="8:9" x14ac:dyDescent="0.2">
      <c r="H5077" s="1"/>
      <c r="I5077" s="1"/>
    </row>
    <row r="5078" spans="8:9" x14ac:dyDescent="0.2">
      <c r="H5078" s="1"/>
      <c r="I5078" s="1"/>
    </row>
    <row r="5079" spans="8:9" x14ac:dyDescent="0.2">
      <c r="H5079" s="1"/>
      <c r="I5079" s="1"/>
    </row>
    <row r="5080" spans="8:9" x14ac:dyDescent="0.2">
      <c r="H5080" s="1"/>
      <c r="I5080" s="1"/>
    </row>
    <row r="5081" spans="8:9" x14ac:dyDescent="0.2">
      <c r="H5081" s="1"/>
      <c r="I5081" s="1"/>
    </row>
    <row r="5082" spans="8:9" x14ac:dyDescent="0.2">
      <c r="H5082" s="1"/>
      <c r="I5082" s="1"/>
    </row>
    <row r="5083" spans="8:9" x14ac:dyDescent="0.2">
      <c r="H5083" s="1"/>
      <c r="I5083" s="1"/>
    </row>
    <row r="5084" spans="8:9" x14ac:dyDescent="0.2">
      <c r="H5084" s="1"/>
      <c r="I5084" s="1"/>
    </row>
    <row r="5085" spans="8:9" x14ac:dyDescent="0.2">
      <c r="H5085" s="1"/>
      <c r="I5085" s="1"/>
    </row>
    <row r="5086" spans="8:9" x14ac:dyDescent="0.2">
      <c r="H5086" s="1"/>
      <c r="I5086" s="1"/>
    </row>
    <row r="5087" spans="8:9" x14ac:dyDescent="0.2">
      <c r="H5087" s="1"/>
      <c r="I5087" s="1"/>
    </row>
    <row r="5088" spans="8:9" x14ac:dyDescent="0.2">
      <c r="H5088" s="1"/>
      <c r="I5088" s="1"/>
    </row>
    <row r="5089" spans="8:9" x14ac:dyDescent="0.2">
      <c r="H5089" s="1"/>
      <c r="I5089" s="1"/>
    </row>
    <row r="5090" spans="8:9" x14ac:dyDescent="0.2">
      <c r="H5090" s="1"/>
      <c r="I5090" s="1"/>
    </row>
    <row r="5091" spans="8:9" x14ac:dyDescent="0.2">
      <c r="H5091" s="1"/>
      <c r="I5091" s="1"/>
    </row>
    <row r="5092" spans="8:9" x14ac:dyDescent="0.2">
      <c r="H5092" s="1"/>
      <c r="I5092" s="1"/>
    </row>
    <row r="5093" spans="8:9" x14ac:dyDescent="0.2">
      <c r="H5093" s="1"/>
      <c r="I5093" s="1"/>
    </row>
    <row r="5094" spans="8:9" x14ac:dyDescent="0.2">
      <c r="H5094" s="1"/>
      <c r="I5094" s="1"/>
    </row>
    <row r="5095" spans="8:9" x14ac:dyDescent="0.2">
      <c r="H5095" s="1"/>
      <c r="I5095" s="1"/>
    </row>
    <row r="5096" spans="8:9" x14ac:dyDescent="0.2">
      <c r="H5096" s="1"/>
      <c r="I5096" s="1"/>
    </row>
    <row r="5097" spans="8:9" x14ac:dyDescent="0.2">
      <c r="H5097" s="1"/>
      <c r="I5097" s="1"/>
    </row>
    <row r="5098" spans="8:9" x14ac:dyDescent="0.2">
      <c r="H5098" s="1"/>
      <c r="I5098" s="1"/>
    </row>
    <row r="5099" spans="8:9" x14ac:dyDescent="0.2">
      <c r="H5099" s="1"/>
      <c r="I5099" s="1"/>
    </row>
    <row r="5100" spans="8:9" x14ac:dyDescent="0.2">
      <c r="H5100" s="1"/>
      <c r="I5100" s="1"/>
    </row>
    <row r="5101" spans="8:9" x14ac:dyDescent="0.2">
      <c r="H5101" s="1"/>
      <c r="I5101" s="1"/>
    </row>
    <row r="5102" spans="8:9" x14ac:dyDescent="0.2">
      <c r="H5102" s="1"/>
      <c r="I5102" s="1"/>
    </row>
    <row r="5103" spans="8:9" x14ac:dyDescent="0.2">
      <c r="H5103" s="1"/>
      <c r="I5103" s="1"/>
    </row>
    <row r="5104" spans="8:9" x14ac:dyDescent="0.2">
      <c r="H5104" s="1"/>
      <c r="I5104" s="1"/>
    </row>
    <row r="5105" spans="8:9" x14ac:dyDescent="0.2">
      <c r="H5105" s="1"/>
      <c r="I5105" s="1"/>
    </row>
    <row r="5106" spans="8:9" x14ac:dyDescent="0.2">
      <c r="H5106" s="1"/>
      <c r="I5106" s="1"/>
    </row>
    <row r="5107" spans="8:9" x14ac:dyDescent="0.2">
      <c r="H5107" s="1"/>
      <c r="I5107" s="1"/>
    </row>
    <row r="5108" spans="8:9" x14ac:dyDescent="0.2">
      <c r="H5108" s="1"/>
      <c r="I5108" s="1"/>
    </row>
    <row r="5109" spans="8:9" x14ac:dyDescent="0.2">
      <c r="H5109" s="1"/>
      <c r="I5109" s="1"/>
    </row>
    <row r="5110" spans="8:9" x14ac:dyDescent="0.2">
      <c r="H5110" s="1"/>
      <c r="I5110" s="1"/>
    </row>
    <row r="5111" spans="8:9" x14ac:dyDescent="0.2">
      <c r="H5111" s="1"/>
      <c r="I5111" s="1"/>
    </row>
    <row r="5112" spans="8:9" x14ac:dyDescent="0.2">
      <c r="H5112" s="1"/>
      <c r="I5112" s="1"/>
    </row>
    <row r="5113" spans="8:9" x14ac:dyDescent="0.2">
      <c r="H5113" s="1"/>
      <c r="I5113" s="1"/>
    </row>
    <row r="5114" spans="8:9" x14ac:dyDescent="0.2">
      <c r="H5114" s="1"/>
      <c r="I5114" s="1"/>
    </row>
    <row r="5115" spans="8:9" x14ac:dyDescent="0.2">
      <c r="H5115" s="1"/>
      <c r="I5115" s="1"/>
    </row>
    <row r="5116" spans="8:9" x14ac:dyDescent="0.2">
      <c r="H5116" s="1"/>
      <c r="I5116" s="1"/>
    </row>
    <row r="5117" spans="8:9" x14ac:dyDescent="0.2">
      <c r="H5117" s="1"/>
      <c r="I5117" s="1"/>
    </row>
    <row r="5118" spans="8:9" x14ac:dyDescent="0.2">
      <c r="H5118" s="1"/>
      <c r="I5118" s="1"/>
    </row>
    <row r="5119" spans="8:9" x14ac:dyDescent="0.2">
      <c r="H5119" s="1"/>
      <c r="I5119" s="1"/>
    </row>
    <row r="5120" spans="8:9" x14ac:dyDescent="0.2">
      <c r="H5120" s="1"/>
      <c r="I5120" s="1"/>
    </row>
    <row r="5121" spans="8:9" x14ac:dyDescent="0.2">
      <c r="H5121" s="1"/>
      <c r="I5121" s="1"/>
    </row>
    <row r="5122" spans="8:9" x14ac:dyDescent="0.2">
      <c r="H5122" s="1"/>
      <c r="I5122" s="1"/>
    </row>
    <row r="5123" spans="8:9" x14ac:dyDescent="0.2">
      <c r="H5123" s="1"/>
      <c r="I5123" s="1"/>
    </row>
    <row r="5124" spans="8:9" x14ac:dyDescent="0.2">
      <c r="H5124" s="1"/>
      <c r="I5124" s="1"/>
    </row>
    <row r="5125" spans="8:9" x14ac:dyDescent="0.2">
      <c r="H5125" s="1"/>
      <c r="I5125" s="1"/>
    </row>
    <row r="5126" spans="8:9" x14ac:dyDescent="0.2">
      <c r="H5126" s="1"/>
      <c r="I5126" s="1"/>
    </row>
    <row r="5127" spans="8:9" x14ac:dyDescent="0.2">
      <c r="H5127" s="1"/>
      <c r="I5127" s="1"/>
    </row>
    <row r="5128" spans="8:9" x14ac:dyDescent="0.2">
      <c r="H5128" s="1"/>
      <c r="I5128" s="1"/>
    </row>
    <row r="5129" spans="8:9" x14ac:dyDescent="0.2">
      <c r="H5129" s="1"/>
      <c r="I5129" s="1"/>
    </row>
    <row r="5130" spans="8:9" x14ac:dyDescent="0.2">
      <c r="H5130" s="1"/>
      <c r="I5130" s="1"/>
    </row>
    <row r="5131" spans="8:9" x14ac:dyDescent="0.2">
      <c r="H5131" s="1"/>
      <c r="I5131" s="1"/>
    </row>
    <row r="5132" spans="8:9" x14ac:dyDescent="0.2">
      <c r="H5132" s="1"/>
      <c r="I5132" s="1"/>
    </row>
    <row r="5133" spans="8:9" x14ac:dyDescent="0.2">
      <c r="H5133" s="1"/>
      <c r="I5133" s="1"/>
    </row>
    <row r="5134" spans="8:9" x14ac:dyDescent="0.2">
      <c r="H5134" s="1"/>
      <c r="I5134" s="1"/>
    </row>
    <row r="5135" spans="8:9" x14ac:dyDescent="0.2">
      <c r="H5135" s="1"/>
      <c r="I5135" s="1"/>
    </row>
    <row r="5136" spans="8:9" x14ac:dyDescent="0.2">
      <c r="H5136" s="1"/>
      <c r="I5136" s="1"/>
    </row>
    <row r="5137" spans="8:9" x14ac:dyDescent="0.2">
      <c r="H5137" s="1"/>
      <c r="I5137" s="1"/>
    </row>
    <row r="5138" spans="8:9" x14ac:dyDescent="0.2">
      <c r="H5138" s="1"/>
      <c r="I5138" s="1"/>
    </row>
    <row r="5139" spans="8:9" x14ac:dyDescent="0.2">
      <c r="H5139" s="1"/>
      <c r="I5139" s="1"/>
    </row>
    <row r="5140" spans="8:9" x14ac:dyDescent="0.2">
      <c r="H5140" s="1"/>
      <c r="I5140" s="1"/>
    </row>
    <row r="5141" spans="8:9" x14ac:dyDescent="0.2">
      <c r="H5141" s="1"/>
      <c r="I5141" s="1"/>
    </row>
    <row r="5142" spans="8:9" x14ac:dyDescent="0.2">
      <c r="H5142" s="1"/>
      <c r="I5142" s="1"/>
    </row>
    <row r="5143" spans="8:9" x14ac:dyDescent="0.2">
      <c r="H5143" s="1"/>
      <c r="I5143" s="1"/>
    </row>
    <row r="5144" spans="8:9" x14ac:dyDescent="0.2">
      <c r="H5144" s="1"/>
      <c r="I5144" s="1"/>
    </row>
    <row r="5145" spans="8:9" x14ac:dyDescent="0.2">
      <c r="H5145" s="1"/>
      <c r="I5145" s="1"/>
    </row>
    <row r="5146" spans="8:9" x14ac:dyDescent="0.2">
      <c r="H5146" s="1"/>
      <c r="I5146" s="1"/>
    </row>
    <row r="5147" spans="8:9" x14ac:dyDescent="0.2">
      <c r="H5147" s="1"/>
      <c r="I5147" s="1"/>
    </row>
    <row r="5148" spans="8:9" x14ac:dyDescent="0.2">
      <c r="H5148" s="1"/>
      <c r="I5148" s="1"/>
    </row>
    <row r="5149" spans="8:9" x14ac:dyDescent="0.2">
      <c r="H5149" s="1"/>
      <c r="I5149" s="1"/>
    </row>
    <row r="5150" spans="8:9" x14ac:dyDescent="0.2">
      <c r="H5150" s="1"/>
      <c r="I5150" s="1"/>
    </row>
    <row r="5151" spans="8:9" x14ac:dyDescent="0.2">
      <c r="H5151" s="1"/>
      <c r="I5151" s="1"/>
    </row>
    <row r="5152" spans="8:9" x14ac:dyDescent="0.2">
      <c r="H5152" s="1"/>
      <c r="I5152" s="1"/>
    </row>
    <row r="5153" spans="8:9" x14ac:dyDescent="0.2">
      <c r="H5153" s="1"/>
      <c r="I5153" s="1"/>
    </row>
    <row r="5154" spans="8:9" x14ac:dyDescent="0.2">
      <c r="H5154" s="1"/>
      <c r="I5154" s="1"/>
    </row>
    <row r="5155" spans="8:9" x14ac:dyDescent="0.2">
      <c r="H5155" s="1"/>
      <c r="I5155" s="1"/>
    </row>
    <row r="5156" spans="8:9" x14ac:dyDescent="0.2">
      <c r="H5156" s="1"/>
      <c r="I5156" s="1"/>
    </row>
    <row r="5157" spans="8:9" x14ac:dyDescent="0.2">
      <c r="H5157" s="1"/>
      <c r="I5157" s="1"/>
    </row>
    <row r="5158" spans="8:9" x14ac:dyDescent="0.2">
      <c r="H5158" s="1"/>
      <c r="I5158" s="1"/>
    </row>
    <row r="5159" spans="8:9" x14ac:dyDescent="0.2">
      <c r="H5159" s="1"/>
      <c r="I5159" s="1"/>
    </row>
    <row r="5160" spans="8:9" x14ac:dyDescent="0.2">
      <c r="H5160" s="1"/>
      <c r="I5160" s="1"/>
    </row>
    <row r="5161" spans="8:9" x14ac:dyDescent="0.2">
      <c r="H5161" s="1"/>
      <c r="I5161" s="1"/>
    </row>
    <row r="5162" spans="8:9" x14ac:dyDescent="0.2">
      <c r="H5162" s="1"/>
      <c r="I5162" s="1"/>
    </row>
    <row r="5163" spans="8:9" x14ac:dyDescent="0.2">
      <c r="H5163" s="1"/>
      <c r="I5163" s="1"/>
    </row>
    <row r="5164" spans="8:9" x14ac:dyDescent="0.2">
      <c r="H5164" s="1"/>
      <c r="I5164" s="1"/>
    </row>
    <row r="5165" spans="8:9" x14ac:dyDescent="0.2">
      <c r="H5165" s="1"/>
      <c r="I5165" s="1"/>
    </row>
    <row r="5166" spans="8:9" x14ac:dyDescent="0.2">
      <c r="H5166" s="1"/>
      <c r="I5166" s="1"/>
    </row>
    <row r="5167" spans="8:9" x14ac:dyDescent="0.2">
      <c r="H5167" s="1"/>
      <c r="I5167" s="1"/>
    </row>
    <row r="5168" spans="8:9" x14ac:dyDescent="0.2">
      <c r="H5168" s="1"/>
      <c r="I5168" s="1"/>
    </row>
    <row r="5169" spans="8:9" x14ac:dyDescent="0.2">
      <c r="H5169" s="1"/>
      <c r="I5169" s="1"/>
    </row>
    <row r="5170" spans="8:9" x14ac:dyDescent="0.2">
      <c r="H5170" s="1"/>
      <c r="I5170" s="1"/>
    </row>
    <row r="5171" spans="8:9" x14ac:dyDescent="0.2">
      <c r="H5171" s="1"/>
      <c r="I5171" s="1"/>
    </row>
    <row r="5172" spans="8:9" x14ac:dyDescent="0.2">
      <c r="H5172" s="1"/>
      <c r="I5172" s="1"/>
    </row>
    <row r="5173" spans="8:9" x14ac:dyDescent="0.2">
      <c r="H5173" s="1"/>
      <c r="I5173" s="1"/>
    </row>
    <row r="5174" spans="8:9" x14ac:dyDescent="0.2">
      <c r="H5174" s="1"/>
      <c r="I5174" s="1"/>
    </row>
    <row r="5175" spans="8:9" x14ac:dyDescent="0.2">
      <c r="H5175" s="1"/>
      <c r="I5175" s="1"/>
    </row>
    <row r="5176" spans="8:9" x14ac:dyDescent="0.2">
      <c r="H5176" s="1"/>
      <c r="I5176" s="1"/>
    </row>
    <row r="5177" spans="8:9" x14ac:dyDescent="0.2">
      <c r="H5177" s="1"/>
      <c r="I5177" s="1"/>
    </row>
    <row r="5178" spans="8:9" x14ac:dyDescent="0.2">
      <c r="H5178" s="1"/>
      <c r="I5178" s="1"/>
    </row>
    <row r="5179" spans="8:9" x14ac:dyDescent="0.2">
      <c r="H5179" s="1"/>
      <c r="I5179" s="1"/>
    </row>
    <row r="5180" spans="8:9" x14ac:dyDescent="0.2">
      <c r="H5180" s="1"/>
      <c r="I5180" s="1"/>
    </row>
    <row r="5181" spans="8:9" x14ac:dyDescent="0.2">
      <c r="H5181" s="1"/>
      <c r="I5181" s="1"/>
    </row>
    <row r="5182" spans="8:9" x14ac:dyDescent="0.2">
      <c r="H5182" s="1"/>
      <c r="I5182" s="1"/>
    </row>
    <row r="5183" spans="8:9" x14ac:dyDescent="0.2">
      <c r="H5183" s="1"/>
      <c r="I5183" s="1"/>
    </row>
    <row r="5184" spans="8:9" x14ac:dyDescent="0.2">
      <c r="H5184" s="1"/>
      <c r="I5184" s="1"/>
    </row>
    <row r="5185" spans="8:9" x14ac:dyDescent="0.2">
      <c r="H5185" s="1"/>
      <c r="I5185" s="1"/>
    </row>
    <row r="5186" spans="8:9" x14ac:dyDescent="0.2">
      <c r="H5186" s="1"/>
      <c r="I5186" s="1"/>
    </row>
    <row r="5187" spans="8:9" x14ac:dyDescent="0.2">
      <c r="H5187" s="1"/>
      <c r="I5187" s="1"/>
    </row>
    <row r="5188" spans="8:9" x14ac:dyDescent="0.2">
      <c r="H5188" s="1"/>
      <c r="I5188" s="1"/>
    </row>
    <row r="5189" spans="8:9" x14ac:dyDescent="0.2">
      <c r="H5189" s="1"/>
      <c r="I5189" s="1"/>
    </row>
    <row r="5190" spans="8:9" x14ac:dyDescent="0.2">
      <c r="H5190" s="1"/>
      <c r="I5190" s="1"/>
    </row>
    <row r="5191" spans="8:9" x14ac:dyDescent="0.2">
      <c r="H5191" s="1"/>
      <c r="I5191" s="1"/>
    </row>
    <row r="5192" spans="8:9" x14ac:dyDescent="0.2">
      <c r="H5192" s="1"/>
      <c r="I5192" s="1"/>
    </row>
    <row r="5193" spans="8:9" x14ac:dyDescent="0.2">
      <c r="H5193" s="1"/>
      <c r="I5193" s="1"/>
    </row>
    <row r="5194" spans="8:9" x14ac:dyDescent="0.2">
      <c r="H5194" s="1"/>
      <c r="I5194" s="1"/>
    </row>
    <row r="5195" spans="8:9" x14ac:dyDescent="0.2">
      <c r="H5195" s="1"/>
      <c r="I5195" s="1"/>
    </row>
    <row r="5196" spans="8:9" x14ac:dyDescent="0.2">
      <c r="H5196" s="1"/>
      <c r="I5196" s="1"/>
    </row>
    <row r="5197" spans="8:9" x14ac:dyDescent="0.2">
      <c r="H5197" s="1"/>
      <c r="I5197" s="1"/>
    </row>
    <row r="5198" spans="8:9" x14ac:dyDescent="0.2">
      <c r="H5198" s="1"/>
      <c r="I5198" s="1"/>
    </row>
    <row r="5199" spans="8:9" x14ac:dyDescent="0.2">
      <c r="H5199" s="1"/>
      <c r="I5199" s="1"/>
    </row>
    <row r="5200" spans="8:9" x14ac:dyDescent="0.2">
      <c r="H5200" s="1"/>
      <c r="I5200" s="1"/>
    </row>
    <row r="5201" spans="8:9" x14ac:dyDescent="0.2">
      <c r="H5201" s="1"/>
      <c r="I5201" s="1"/>
    </row>
    <row r="5202" spans="8:9" x14ac:dyDescent="0.2">
      <c r="H5202" s="1"/>
      <c r="I5202" s="1"/>
    </row>
    <row r="5203" spans="8:9" x14ac:dyDescent="0.2">
      <c r="H5203" s="1"/>
      <c r="I5203" s="1"/>
    </row>
    <row r="5204" spans="8:9" x14ac:dyDescent="0.2">
      <c r="H5204" s="1"/>
      <c r="I5204" s="1"/>
    </row>
    <row r="5205" spans="8:9" x14ac:dyDescent="0.2">
      <c r="H5205" s="1"/>
      <c r="I5205" s="1"/>
    </row>
    <row r="5206" spans="8:9" x14ac:dyDescent="0.2">
      <c r="H5206" s="1"/>
      <c r="I5206" s="1"/>
    </row>
    <row r="5207" spans="8:9" x14ac:dyDescent="0.2">
      <c r="H5207" s="1"/>
      <c r="I5207" s="1"/>
    </row>
    <row r="5208" spans="8:9" x14ac:dyDescent="0.2">
      <c r="H5208" s="1"/>
      <c r="I5208" s="1"/>
    </row>
    <row r="5209" spans="8:9" x14ac:dyDescent="0.2">
      <c r="H5209" s="1"/>
      <c r="I5209" s="1"/>
    </row>
    <row r="5210" spans="8:9" x14ac:dyDescent="0.2">
      <c r="H5210" s="1"/>
      <c r="I5210" s="1"/>
    </row>
    <row r="5211" spans="8:9" x14ac:dyDescent="0.2">
      <c r="H5211" s="1"/>
      <c r="I5211" s="1"/>
    </row>
    <row r="5212" spans="8:9" x14ac:dyDescent="0.2">
      <c r="H5212" s="1"/>
      <c r="I5212" s="1"/>
    </row>
    <row r="5213" spans="8:9" x14ac:dyDescent="0.2">
      <c r="H5213" s="1"/>
      <c r="I5213" s="1"/>
    </row>
    <row r="5214" spans="8:9" x14ac:dyDescent="0.2">
      <c r="H5214" s="1"/>
      <c r="I5214" s="1"/>
    </row>
    <row r="5215" spans="8:9" x14ac:dyDescent="0.2">
      <c r="H5215" s="1"/>
      <c r="I5215" s="1"/>
    </row>
    <row r="5216" spans="8:9" x14ac:dyDescent="0.2">
      <c r="H5216" s="1"/>
      <c r="I5216" s="1"/>
    </row>
    <row r="5217" spans="8:9" x14ac:dyDescent="0.2">
      <c r="H5217" s="1"/>
      <c r="I5217" s="1"/>
    </row>
    <row r="5218" spans="8:9" x14ac:dyDescent="0.2">
      <c r="H5218" s="1"/>
      <c r="I5218" s="1"/>
    </row>
    <row r="5219" spans="8:9" x14ac:dyDescent="0.2">
      <c r="H5219" s="1"/>
      <c r="I5219" s="1"/>
    </row>
    <row r="5220" spans="8:9" x14ac:dyDescent="0.2">
      <c r="H5220" s="1"/>
      <c r="I5220" s="1"/>
    </row>
    <row r="5221" spans="8:9" x14ac:dyDescent="0.2">
      <c r="H5221" s="1"/>
      <c r="I5221" s="1"/>
    </row>
    <row r="5222" spans="8:9" x14ac:dyDescent="0.2">
      <c r="H5222" s="1"/>
      <c r="I5222" s="1"/>
    </row>
    <row r="5223" spans="8:9" x14ac:dyDescent="0.2">
      <c r="H5223" s="1"/>
      <c r="I5223" s="1"/>
    </row>
    <row r="5224" spans="8:9" x14ac:dyDescent="0.2">
      <c r="H5224" s="1"/>
      <c r="I5224" s="1"/>
    </row>
    <row r="5225" spans="8:9" x14ac:dyDescent="0.2">
      <c r="H5225" s="1"/>
      <c r="I5225" s="1"/>
    </row>
    <row r="5226" spans="8:9" x14ac:dyDescent="0.2">
      <c r="H5226" s="1"/>
      <c r="I5226" s="1"/>
    </row>
    <row r="5227" spans="8:9" x14ac:dyDescent="0.2">
      <c r="H5227" s="1"/>
      <c r="I5227" s="1"/>
    </row>
    <row r="5228" spans="8:9" x14ac:dyDescent="0.2">
      <c r="H5228" s="1"/>
      <c r="I5228" s="1"/>
    </row>
    <row r="5229" spans="8:9" x14ac:dyDescent="0.2">
      <c r="H5229" s="1"/>
      <c r="I5229" s="1"/>
    </row>
    <row r="5230" spans="8:9" x14ac:dyDescent="0.2">
      <c r="H5230" s="1"/>
      <c r="I5230" s="1"/>
    </row>
    <row r="5231" spans="8:9" x14ac:dyDescent="0.2">
      <c r="H5231" s="1"/>
      <c r="I5231" s="1"/>
    </row>
    <row r="5232" spans="8:9" x14ac:dyDescent="0.2">
      <c r="H5232" s="1"/>
      <c r="I5232" s="1"/>
    </row>
    <row r="5233" spans="8:9" x14ac:dyDescent="0.2">
      <c r="H5233" s="1"/>
      <c r="I5233" s="1"/>
    </row>
    <row r="5234" spans="8:9" x14ac:dyDescent="0.2">
      <c r="H5234" s="1"/>
      <c r="I5234" s="1"/>
    </row>
    <row r="5235" spans="8:9" x14ac:dyDescent="0.2">
      <c r="H5235" s="1"/>
      <c r="I5235" s="1"/>
    </row>
    <row r="5236" spans="8:9" x14ac:dyDescent="0.2">
      <c r="H5236" s="1"/>
      <c r="I5236" s="1"/>
    </row>
    <row r="5237" spans="8:9" x14ac:dyDescent="0.2">
      <c r="H5237" s="1"/>
      <c r="I5237" s="1"/>
    </row>
    <row r="5238" spans="8:9" x14ac:dyDescent="0.2">
      <c r="H5238" s="1"/>
      <c r="I5238" s="1"/>
    </row>
    <row r="5239" spans="8:9" x14ac:dyDescent="0.2">
      <c r="H5239" s="1"/>
      <c r="I5239" s="1"/>
    </row>
    <row r="5240" spans="8:9" x14ac:dyDescent="0.2">
      <c r="H5240" s="1"/>
      <c r="I5240" s="1"/>
    </row>
    <row r="5241" spans="8:9" x14ac:dyDescent="0.2">
      <c r="H5241" s="1"/>
      <c r="I5241" s="1"/>
    </row>
    <row r="5242" spans="8:9" x14ac:dyDescent="0.2">
      <c r="H5242" s="1"/>
      <c r="I5242" s="1"/>
    </row>
    <row r="5243" spans="8:9" x14ac:dyDescent="0.2">
      <c r="H5243" s="1"/>
      <c r="I5243" s="1"/>
    </row>
    <row r="5244" spans="8:9" x14ac:dyDescent="0.2">
      <c r="H5244" s="1"/>
      <c r="I5244" s="1"/>
    </row>
    <row r="5245" spans="8:9" x14ac:dyDescent="0.2">
      <c r="H5245" s="1"/>
      <c r="I5245" s="1"/>
    </row>
    <row r="5246" spans="8:9" x14ac:dyDescent="0.2">
      <c r="H5246" s="1"/>
      <c r="I5246" s="1"/>
    </row>
    <row r="5247" spans="8:9" x14ac:dyDescent="0.2">
      <c r="H5247" s="1"/>
      <c r="I5247" s="1"/>
    </row>
    <row r="5248" spans="8:9" x14ac:dyDescent="0.2">
      <c r="H5248" s="1"/>
      <c r="I5248" s="1"/>
    </row>
    <row r="5249" spans="8:9" x14ac:dyDescent="0.2">
      <c r="H5249" s="1"/>
      <c r="I5249" s="1"/>
    </row>
    <row r="5250" spans="8:9" x14ac:dyDescent="0.2">
      <c r="H5250" s="1"/>
      <c r="I5250" s="1"/>
    </row>
    <row r="5251" spans="8:9" x14ac:dyDescent="0.2">
      <c r="H5251" s="1"/>
      <c r="I5251" s="1"/>
    </row>
    <row r="5252" spans="8:9" x14ac:dyDescent="0.2">
      <c r="H5252" s="1"/>
      <c r="I5252" s="1"/>
    </row>
    <row r="5253" spans="8:9" x14ac:dyDescent="0.2">
      <c r="H5253" s="1"/>
      <c r="I5253" s="1"/>
    </row>
    <row r="5254" spans="8:9" x14ac:dyDescent="0.2">
      <c r="H5254" s="1"/>
      <c r="I5254" s="1"/>
    </row>
    <row r="5255" spans="8:9" x14ac:dyDescent="0.2">
      <c r="H5255" s="1"/>
      <c r="I5255" s="1"/>
    </row>
    <row r="5256" spans="8:9" x14ac:dyDescent="0.2">
      <c r="H5256" s="1"/>
      <c r="I5256" s="1"/>
    </row>
    <row r="5257" spans="8:9" x14ac:dyDescent="0.2">
      <c r="H5257" s="1"/>
      <c r="I5257" s="1"/>
    </row>
    <row r="5258" spans="8:9" x14ac:dyDescent="0.2">
      <c r="H5258" s="1"/>
      <c r="I5258" s="1"/>
    </row>
    <row r="5259" spans="8:9" x14ac:dyDescent="0.2">
      <c r="H5259" s="1"/>
      <c r="I5259" s="1"/>
    </row>
    <row r="5260" spans="8:9" x14ac:dyDescent="0.2">
      <c r="H5260" s="1"/>
      <c r="I5260" s="1"/>
    </row>
    <row r="5261" spans="8:9" x14ac:dyDescent="0.2">
      <c r="H5261" s="1"/>
      <c r="I5261" s="1"/>
    </row>
    <row r="5262" spans="8:9" x14ac:dyDescent="0.2">
      <c r="H5262" s="1"/>
      <c r="I5262" s="1"/>
    </row>
    <row r="5263" spans="8:9" x14ac:dyDescent="0.2">
      <c r="H5263" s="1"/>
      <c r="I5263" s="1"/>
    </row>
    <row r="5264" spans="8:9" x14ac:dyDescent="0.2">
      <c r="H5264" s="1"/>
      <c r="I5264" s="1"/>
    </row>
    <row r="5265" spans="8:9" x14ac:dyDescent="0.2">
      <c r="H5265" s="1"/>
      <c r="I5265" s="1"/>
    </row>
    <row r="5266" spans="8:9" x14ac:dyDescent="0.2">
      <c r="H5266" s="1"/>
      <c r="I5266" s="1"/>
    </row>
    <row r="5267" spans="8:9" x14ac:dyDescent="0.2">
      <c r="H5267" s="1"/>
      <c r="I5267" s="1"/>
    </row>
    <row r="5268" spans="8:9" x14ac:dyDescent="0.2">
      <c r="H5268" s="1"/>
      <c r="I5268" s="1"/>
    </row>
    <row r="5269" spans="8:9" x14ac:dyDescent="0.2">
      <c r="H5269" s="1"/>
      <c r="I5269" s="1"/>
    </row>
    <row r="5270" spans="8:9" x14ac:dyDescent="0.2">
      <c r="H5270" s="1"/>
      <c r="I5270" s="1"/>
    </row>
    <row r="5271" spans="8:9" x14ac:dyDescent="0.2">
      <c r="H5271" s="1"/>
      <c r="I5271" s="1"/>
    </row>
    <row r="5272" spans="8:9" x14ac:dyDescent="0.2">
      <c r="H5272" s="1"/>
      <c r="I5272" s="1"/>
    </row>
    <row r="5273" spans="8:9" x14ac:dyDescent="0.2">
      <c r="H5273" s="1"/>
      <c r="I5273" s="1"/>
    </row>
    <row r="5274" spans="8:9" x14ac:dyDescent="0.2">
      <c r="H5274" s="1"/>
      <c r="I5274" s="1"/>
    </row>
    <row r="5275" spans="8:9" x14ac:dyDescent="0.2">
      <c r="H5275" s="1"/>
      <c r="I5275" s="1"/>
    </row>
    <row r="5276" spans="8:9" x14ac:dyDescent="0.2">
      <c r="H5276" s="1"/>
      <c r="I5276" s="1"/>
    </row>
    <row r="5277" spans="8:9" x14ac:dyDescent="0.2">
      <c r="H5277" s="1"/>
      <c r="I5277" s="1"/>
    </row>
    <row r="5278" spans="8:9" x14ac:dyDescent="0.2">
      <c r="H5278" s="1"/>
      <c r="I5278" s="1"/>
    </row>
    <row r="5279" spans="8:9" x14ac:dyDescent="0.2">
      <c r="H5279" s="1"/>
      <c r="I5279" s="1"/>
    </row>
    <row r="5280" spans="8:9" x14ac:dyDescent="0.2">
      <c r="H5280" s="1"/>
      <c r="I5280" s="1"/>
    </row>
    <row r="5281" spans="8:9" x14ac:dyDescent="0.2">
      <c r="H5281" s="1"/>
      <c r="I5281" s="1"/>
    </row>
    <row r="5282" spans="8:9" x14ac:dyDescent="0.2">
      <c r="H5282" s="1"/>
      <c r="I5282" s="1"/>
    </row>
    <row r="5283" spans="8:9" x14ac:dyDescent="0.2">
      <c r="H5283" s="1"/>
      <c r="I5283" s="1"/>
    </row>
    <row r="5284" spans="8:9" x14ac:dyDescent="0.2">
      <c r="H5284" s="1"/>
      <c r="I5284" s="1"/>
    </row>
    <row r="5285" spans="8:9" x14ac:dyDescent="0.2">
      <c r="H5285" s="1"/>
      <c r="I5285" s="1"/>
    </row>
    <row r="5286" spans="8:9" x14ac:dyDescent="0.2">
      <c r="H5286" s="1"/>
      <c r="I5286" s="1"/>
    </row>
    <row r="5287" spans="8:9" x14ac:dyDescent="0.2">
      <c r="H5287" s="1"/>
      <c r="I5287" s="1"/>
    </row>
    <row r="5288" spans="8:9" x14ac:dyDescent="0.2">
      <c r="H5288" s="1"/>
      <c r="I5288" s="1"/>
    </row>
    <row r="5289" spans="8:9" x14ac:dyDescent="0.2">
      <c r="H5289" s="1"/>
      <c r="I5289" s="1"/>
    </row>
    <row r="5290" spans="8:9" x14ac:dyDescent="0.2">
      <c r="H5290" s="1"/>
      <c r="I5290" s="1"/>
    </row>
    <row r="5291" spans="8:9" x14ac:dyDescent="0.2">
      <c r="H5291" s="1"/>
      <c r="I5291" s="1"/>
    </row>
    <row r="5292" spans="8:9" x14ac:dyDescent="0.2">
      <c r="H5292" s="1"/>
      <c r="I5292" s="1"/>
    </row>
    <row r="5293" spans="8:9" x14ac:dyDescent="0.2">
      <c r="H5293" s="1"/>
      <c r="I5293" s="1"/>
    </row>
    <row r="5294" spans="8:9" x14ac:dyDescent="0.2">
      <c r="H5294" s="1"/>
      <c r="I5294" s="1"/>
    </row>
    <row r="5295" spans="8:9" x14ac:dyDescent="0.2">
      <c r="H5295" s="1"/>
      <c r="I5295" s="1"/>
    </row>
    <row r="5296" spans="8:9" x14ac:dyDescent="0.2">
      <c r="H5296" s="1"/>
      <c r="I5296" s="1"/>
    </row>
    <row r="5297" spans="8:9" x14ac:dyDescent="0.2">
      <c r="H5297" s="1"/>
      <c r="I5297" s="1"/>
    </row>
    <row r="5298" spans="8:9" x14ac:dyDescent="0.2">
      <c r="H5298" s="1"/>
      <c r="I5298" s="1"/>
    </row>
    <row r="5299" spans="8:9" x14ac:dyDescent="0.2">
      <c r="H5299" s="1"/>
      <c r="I5299" s="1"/>
    </row>
    <row r="5300" spans="8:9" x14ac:dyDescent="0.2">
      <c r="H5300" s="1"/>
      <c r="I5300" s="1"/>
    </row>
    <row r="5301" spans="8:9" x14ac:dyDescent="0.2">
      <c r="H5301" s="1"/>
      <c r="I5301" s="1"/>
    </row>
    <row r="5302" spans="8:9" x14ac:dyDescent="0.2">
      <c r="H5302" s="1"/>
      <c r="I5302" s="1"/>
    </row>
    <row r="5303" spans="8:9" x14ac:dyDescent="0.2">
      <c r="H5303" s="1"/>
      <c r="I5303" s="1"/>
    </row>
    <row r="5304" spans="8:9" x14ac:dyDescent="0.2">
      <c r="H5304" s="1"/>
      <c r="I5304" s="1"/>
    </row>
    <row r="5305" spans="8:9" x14ac:dyDescent="0.2">
      <c r="H5305" s="1"/>
      <c r="I5305" s="1"/>
    </row>
    <row r="5306" spans="8:9" x14ac:dyDescent="0.2">
      <c r="H5306" s="1"/>
      <c r="I5306" s="1"/>
    </row>
    <row r="5307" spans="8:9" x14ac:dyDescent="0.2">
      <c r="H5307" s="1"/>
      <c r="I5307" s="1"/>
    </row>
    <row r="5308" spans="8:9" x14ac:dyDescent="0.2">
      <c r="H5308" s="1"/>
      <c r="I5308" s="1"/>
    </row>
    <row r="5309" spans="8:9" x14ac:dyDescent="0.2">
      <c r="H5309" s="1"/>
      <c r="I5309" s="1"/>
    </row>
    <row r="5310" spans="8:9" x14ac:dyDescent="0.2">
      <c r="H5310" s="1"/>
      <c r="I5310" s="1"/>
    </row>
    <row r="5311" spans="8:9" x14ac:dyDescent="0.2">
      <c r="H5311" s="1"/>
      <c r="I5311" s="1"/>
    </row>
    <row r="5312" spans="8:9" x14ac:dyDescent="0.2">
      <c r="H5312" s="1"/>
      <c r="I5312" s="1"/>
    </row>
    <row r="5313" spans="8:9" x14ac:dyDescent="0.2">
      <c r="H5313" s="1"/>
      <c r="I5313" s="1"/>
    </row>
    <row r="5314" spans="8:9" x14ac:dyDescent="0.2">
      <c r="H5314" s="1"/>
      <c r="I5314" s="1"/>
    </row>
    <row r="5315" spans="8:9" x14ac:dyDescent="0.2">
      <c r="H5315" s="1"/>
      <c r="I5315" s="1"/>
    </row>
    <row r="5316" spans="8:9" x14ac:dyDescent="0.2">
      <c r="H5316" s="1"/>
      <c r="I5316" s="1"/>
    </row>
    <row r="5317" spans="8:9" x14ac:dyDescent="0.2">
      <c r="H5317" s="1"/>
      <c r="I5317" s="1"/>
    </row>
    <row r="5318" spans="8:9" x14ac:dyDescent="0.2">
      <c r="H5318" s="1"/>
      <c r="I5318" s="1"/>
    </row>
    <row r="5319" spans="8:9" x14ac:dyDescent="0.2">
      <c r="H5319" s="1"/>
      <c r="I5319" s="1"/>
    </row>
    <row r="5320" spans="8:9" x14ac:dyDescent="0.2">
      <c r="H5320" s="1"/>
      <c r="I5320" s="1"/>
    </row>
    <row r="5321" spans="8:9" x14ac:dyDescent="0.2">
      <c r="H5321" s="1"/>
      <c r="I5321" s="1"/>
    </row>
    <row r="5322" spans="8:9" x14ac:dyDescent="0.2">
      <c r="H5322" s="1"/>
      <c r="I5322" s="1"/>
    </row>
    <row r="5323" spans="8:9" x14ac:dyDescent="0.2">
      <c r="H5323" s="1"/>
      <c r="I5323" s="1"/>
    </row>
    <row r="5324" spans="8:9" x14ac:dyDescent="0.2">
      <c r="H5324" s="1"/>
      <c r="I5324" s="1"/>
    </row>
    <row r="5325" spans="8:9" x14ac:dyDescent="0.2">
      <c r="H5325" s="1"/>
      <c r="I5325" s="1"/>
    </row>
    <row r="5326" spans="8:9" x14ac:dyDescent="0.2">
      <c r="H5326" s="1"/>
      <c r="I5326" s="1"/>
    </row>
    <row r="5327" spans="8:9" x14ac:dyDescent="0.2">
      <c r="H5327" s="1"/>
      <c r="I5327" s="1"/>
    </row>
    <row r="5328" spans="8:9" x14ac:dyDescent="0.2">
      <c r="H5328" s="1"/>
      <c r="I5328" s="1"/>
    </row>
    <row r="5329" spans="8:9" x14ac:dyDescent="0.2">
      <c r="H5329" s="1"/>
      <c r="I5329" s="1"/>
    </row>
    <row r="5330" spans="8:9" x14ac:dyDescent="0.2">
      <c r="H5330" s="1"/>
      <c r="I5330" s="1"/>
    </row>
    <row r="5331" spans="8:9" x14ac:dyDescent="0.2">
      <c r="H5331" s="1"/>
      <c r="I5331" s="1"/>
    </row>
    <row r="5332" spans="8:9" x14ac:dyDescent="0.2">
      <c r="H5332" s="1"/>
      <c r="I5332" s="1"/>
    </row>
    <row r="5333" spans="8:9" x14ac:dyDescent="0.2">
      <c r="H5333" s="1"/>
      <c r="I5333" s="1"/>
    </row>
    <row r="5334" spans="8:9" x14ac:dyDescent="0.2">
      <c r="H5334" s="1"/>
      <c r="I5334" s="1"/>
    </row>
    <row r="5335" spans="8:9" x14ac:dyDescent="0.2">
      <c r="H5335" s="1"/>
      <c r="I5335" s="1"/>
    </row>
    <row r="5336" spans="8:9" x14ac:dyDescent="0.2">
      <c r="H5336" s="1"/>
      <c r="I5336" s="1"/>
    </row>
    <row r="5337" spans="8:9" x14ac:dyDescent="0.2">
      <c r="H5337" s="1"/>
      <c r="I5337" s="1"/>
    </row>
    <row r="5338" spans="8:9" x14ac:dyDescent="0.2">
      <c r="H5338" s="1"/>
      <c r="I5338" s="1"/>
    </row>
    <row r="5339" spans="8:9" x14ac:dyDescent="0.2">
      <c r="H5339" s="1"/>
      <c r="I5339" s="1"/>
    </row>
    <row r="5340" spans="8:9" x14ac:dyDescent="0.2">
      <c r="H5340" s="1"/>
      <c r="I5340" s="1"/>
    </row>
    <row r="5341" spans="8:9" x14ac:dyDescent="0.2">
      <c r="H5341" s="1"/>
      <c r="I5341" s="1"/>
    </row>
    <row r="5342" spans="8:9" x14ac:dyDescent="0.2">
      <c r="H5342" s="1"/>
      <c r="I5342" s="1"/>
    </row>
    <row r="5343" spans="8:9" x14ac:dyDescent="0.2">
      <c r="H5343" s="1"/>
      <c r="I5343" s="1"/>
    </row>
    <row r="5344" spans="8:9" x14ac:dyDescent="0.2">
      <c r="H5344" s="1"/>
      <c r="I5344" s="1"/>
    </row>
    <row r="5345" spans="8:9" x14ac:dyDescent="0.2">
      <c r="H5345" s="1"/>
      <c r="I5345" s="1"/>
    </row>
    <row r="5346" spans="8:9" x14ac:dyDescent="0.2">
      <c r="H5346" s="1"/>
      <c r="I5346" s="1"/>
    </row>
    <row r="5347" spans="8:9" x14ac:dyDescent="0.2">
      <c r="H5347" s="1"/>
      <c r="I5347" s="1"/>
    </row>
    <row r="5348" spans="8:9" x14ac:dyDescent="0.2">
      <c r="H5348" s="1"/>
      <c r="I5348" s="1"/>
    </row>
    <row r="5349" spans="8:9" x14ac:dyDescent="0.2">
      <c r="H5349" s="1"/>
      <c r="I5349" s="1"/>
    </row>
    <row r="5350" spans="8:9" x14ac:dyDescent="0.2">
      <c r="H5350" s="1"/>
      <c r="I5350" s="1"/>
    </row>
    <row r="5351" spans="8:9" x14ac:dyDescent="0.2">
      <c r="H5351" s="1"/>
      <c r="I5351" s="1"/>
    </row>
    <row r="5352" spans="8:9" x14ac:dyDescent="0.2">
      <c r="H5352" s="1"/>
      <c r="I5352" s="1"/>
    </row>
    <row r="5353" spans="8:9" x14ac:dyDescent="0.2">
      <c r="H5353" s="1"/>
      <c r="I5353" s="1"/>
    </row>
    <row r="5354" spans="8:9" x14ac:dyDescent="0.2">
      <c r="H5354" s="1"/>
      <c r="I5354" s="1"/>
    </row>
    <row r="5355" spans="8:9" x14ac:dyDescent="0.2">
      <c r="H5355" s="1"/>
      <c r="I5355" s="1"/>
    </row>
    <row r="5356" spans="8:9" x14ac:dyDescent="0.2">
      <c r="H5356" s="1"/>
      <c r="I5356" s="1"/>
    </row>
    <row r="5357" spans="8:9" x14ac:dyDescent="0.2">
      <c r="H5357" s="1"/>
      <c r="I5357" s="1"/>
    </row>
    <row r="5358" spans="8:9" x14ac:dyDescent="0.2">
      <c r="H5358" s="1"/>
      <c r="I5358" s="1"/>
    </row>
    <row r="5359" spans="8:9" x14ac:dyDescent="0.2">
      <c r="H5359" s="1"/>
      <c r="I5359" s="1"/>
    </row>
    <row r="5360" spans="8:9" x14ac:dyDescent="0.2">
      <c r="H5360" s="1"/>
      <c r="I5360" s="1"/>
    </row>
    <row r="5361" spans="8:9" x14ac:dyDescent="0.2">
      <c r="H5361" s="1"/>
      <c r="I5361" s="1"/>
    </row>
    <row r="5362" spans="8:9" x14ac:dyDescent="0.2">
      <c r="H5362" s="1"/>
      <c r="I5362" s="1"/>
    </row>
    <row r="5363" spans="8:9" x14ac:dyDescent="0.2">
      <c r="H5363" s="1"/>
      <c r="I5363" s="1"/>
    </row>
    <row r="5364" spans="8:9" x14ac:dyDescent="0.2">
      <c r="H5364" s="1"/>
      <c r="I5364" s="1"/>
    </row>
    <row r="5365" spans="8:9" x14ac:dyDescent="0.2">
      <c r="H5365" s="1"/>
      <c r="I5365" s="1"/>
    </row>
    <row r="5366" spans="8:9" x14ac:dyDescent="0.2">
      <c r="H5366" s="1"/>
      <c r="I5366" s="1"/>
    </row>
    <row r="5367" spans="8:9" x14ac:dyDescent="0.2">
      <c r="H5367" s="1"/>
      <c r="I5367" s="1"/>
    </row>
    <row r="5368" spans="8:9" x14ac:dyDescent="0.2">
      <c r="H5368" s="1"/>
      <c r="I5368" s="1"/>
    </row>
    <row r="5369" spans="8:9" x14ac:dyDescent="0.2">
      <c r="H5369" s="1"/>
      <c r="I5369" s="1"/>
    </row>
    <row r="5370" spans="8:9" x14ac:dyDescent="0.2">
      <c r="H5370" s="1"/>
      <c r="I5370" s="1"/>
    </row>
    <row r="5371" spans="8:9" x14ac:dyDescent="0.2">
      <c r="H5371" s="1"/>
      <c r="I5371" s="1"/>
    </row>
    <row r="5372" spans="8:9" x14ac:dyDescent="0.2">
      <c r="H5372" s="1"/>
      <c r="I5372" s="1"/>
    </row>
    <row r="5373" spans="8:9" x14ac:dyDescent="0.2">
      <c r="H5373" s="1"/>
      <c r="I5373" s="1"/>
    </row>
    <row r="5374" spans="8:9" x14ac:dyDescent="0.2">
      <c r="H5374" s="1"/>
      <c r="I5374" s="1"/>
    </row>
    <row r="5375" spans="8:9" x14ac:dyDescent="0.2">
      <c r="H5375" s="1"/>
      <c r="I5375" s="1"/>
    </row>
    <row r="5376" spans="8:9" x14ac:dyDescent="0.2">
      <c r="H5376" s="1"/>
      <c r="I5376" s="1"/>
    </row>
    <row r="5377" spans="8:9" x14ac:dyDescent="0.2">
      <c r="H5377" s="1"/>
      <c r="I5377" s="1"/>
    </row>
    <row r="5378" spans="8:9" x14ac:dyDescent="0.2">
      <c r="H5378" s="1"/>
      <c r="I5378" s="1"/>
    </row>
    <row r="5379" spans="8:9" x14ac:dyDescent="0.2">
      <c r="H5379" s="1"/>
      <c r="I5379" s="1"/>
    </row>
    <row r="5380" spans="8:9" x14ac:dyDescent="0.2">
      <c r="H5380" s="1"/>
      <c r="I5380" s="1"/>
    </row>
    <row r="5381" spans="8:9" x14ac:dyDescent="0.2">
      <c r="H5381" s="1"/>
      <c r="I5381" s="1"/>
    </row>
    <row r="5382" spans="8:9" x14ac:dyDescent="0.2">
      <c r="H5382" s="1"/>
      <c r="I5382" s="1"/>
    </row>
    <row r="5383" spans="8:9" x14ac:dyDescent="0.2">
      <c r="H5383" s="1"/>
      <c r="I5383" s="1"/>
    </row>
    <row r="5384" spans="8:9" x14ac:dyDescent="0.2">
      <c r="H5384" s="1"/>
      <c r="I5384" s="1"/>
    </row>
    <row r="5385" spans="8:9" x14ac:dyDescent="0.2">
      <c r="H5385" s="1"/>
      <c r="I5385" s="1"/>
    </row>
    <row r="5386" spans="8:9" x14ac:dyDescent="0.2">
      <c r="H5386" s="1"/>
      <c r="I5386" s="1"/>
    </row>
    <row r="5387" spans="8:9" x14ac:dyDescent="0.2">
      <c r="H5387" s="1"/>
      <c r="I5387" s="1"/>
    </row>
    <row r="5388" spans="8:9" x14ac:dyDescent="0.2">
      <c r="H5388" s="1"/>
      <c r="I5388" s="1"/>
    </row>
    <row r="5389" spans="8:9" x14ac:dyDescent="0.2">
      <c r="H5389" s="1"/>
      <c r="I5389" s="1"/>
    </row>
    <row r="5390" spans="8:9" x14ac:dyDescent="0.2">
      <c r="H5390" s="1"/>
      <c r="I5390" s="1"/>
    </row>
    <row r="5391" spans="8:9" x14ac:dyDescent="0.2">
      <c r="H5391" s="1"/>
      <c r="I5391" s="1"/>
    </row>
    <row r="5392" spans="8:9" x14ac:dyDescent="0.2">
      <c r="H5392" s="1"/>
      <c r="I5392" s="1"/>
    </row>
    <row r="5393" spans="8:9" x14ac:dyDescent="0.2">
      <c r="H5393" s="1"/>
      <c r="I5393" s="1"/>
    </row>
    <row r="5394" spans="8:9" x14ac:dyDescent="0.2">
      <c r="H5394" s="1"/>
      <c r="I5394" s="1"/>
    </row>
    <row r="5395" spans="8:9" x14ac:dyDescent="0.2">
      <c r="H5395" s="1"/>
      <c r="I5395" s="1"/>
    </row>
    <row r="5396" spans="8:9" x14ac:dyDescent="0.2">
      <c r="H5396" s="1"/>
      <c r="I5396" s="1"/>
    </row>
    <row r="5397" spans="8:9" x14ac:dyDescent="0.2">
      <c r="H5397" s="1"/>
      <c r="I5397" s="1"/>
    </row>
    <row r="5398" spans="8:9" x14ac:dyDescent="0.2">
      <c r="H5398" s="1"/>
      <c r="I5398" s="1"/>
    </row>
    <row r="5399" spans="8:9" x14ac:dyDescent="0.2">
      <c r="H5399" s="1"/>
      <c r="I5399" s="1"/>
    </row>
    <row r="5400" spans="8:9" x14ac:dyDescent="0.2">
      <c r="H5400" s="1"/>
      <c r="I5400" s="1"/>
    </row>
    <row r="5401" spans="8:9" x14ac:dyDescent="0.2">
      <c r="H5401" s="1"/>
      <c r="I5401" s="1"/>
    </row>
    <row r="5402" spans="8:9" x14ac:dyDescent="0.2">
      <c r="H5402" s="1"/>
      <c r="I5402" s="1"/>
    </row>
    <row r="5403" spans="8:9" x14ac:dyDescent="0.2">
      <c r="H5403" s="1"/>
      <c r="I5403" s="1"/>
    </row>
    <row r="5404" spans="8:9" x14ac:dyDescent="0.2">
      <c r="H5404" s="1"/>
      <c r="I5404" s="1"/>
    </row>
    <row r="5405" spans="8:9" x14ac:dyDescent="0.2">
      <c r="H5405" s="1"/>
      <c r="I5405" s="1"/>
    </row>
    <row r="5406" spans="8:9" x14ac:dyDescent="0.2">
      <c r="H5406" s="1"/>
      <c r="I5406" s="1"/>
    </row>
    <row r="5407" spans="8:9" x14ac:dyDescent="0.2">
      <c r="H5407" s="1"/>
      <c r="I5407" s="1"/>
    </row>
    <row r="5408" spans="8:9" x14ac:dyDescent="0.2">
      <c r="H5408" s="1"/>
      <c r="I5408" s="1"/>
    </row>
    <row r="5409" spans="8:9" x14ac:dyDescent="0.2">
      <c r="H5409" s="1"/>
      <c r="I5409" s="1"/>
    </row>
    <row r="5410" spans="8:9" x14ac:dyDescent="0.2">
      <c r="H5410" s="1"/>
      <c r="I5410" s="1"/>
    </row>
    <row r="5411" spans="8:9" x14ac:dyDescent="0.2">
      <c r="H5411" s="1"/>
      <c r="I5411" s="1"/>
    </row>
    <row r="5412" spans="8:9" x14ac:dyDescent="0.2">
      <c r="H5412" s="1"/>
      <c r="I5412" s="1"/>
    </row>
    <row r="5413" spans="8:9" x14ac:dyDescent="0.2">
      <c r="H5413" s="1"/>
      <c r="I5413" s="1"/>
    </row>
    <row r="5414" spans="8:9" x14ac:dyDescent="0.2">
      <c r="H5414" s="1"/>
      <c r="I5414" s="1"/>
    </row>
    <row r="5415" spans="8:9" x14ac:dyDescent="0.2">
      <c r="H5415" s="1"/>
      <c r="I5415" s="1"/>
    </row>
    <row r="5416" spans="8:9" x14ac:dyDescent="0.2">
      <c r="H5416" s="1"/>
      <c r="I5416" s="1"/>
    </row>
    <row r="5417" spans="8:9" x14ac:dyDescent="0.2">
      <c r="H5417" s="1"/>
      <c r="I5417" s="1"/>
    </row>
    <row r="5418" spans="8:9" x14ac:dyDescent="0.2">
      <c r="H5418" s="1"/>
      <c r="I5418" s="1"/>
    </row>
    <row r="5419" spans="8:9" x14ac:dyDescent="0.2">
      <c r="H5419" s="1"/>
      <c r="I5419" s="1"/>
    </row>
    <row r="5420" spans="8:9" x14ac:dyDescent="0.2">
      <c r="H5420" s="1"/>
      <c r="I5420" s="1"/>
    </row>
    <row r="5421" spans="8:9" x14ac:dyDescent="0.2">
      <c r="H5421" s="1"/>
      <c r="I5421" s="1"/>
    </row>
    <row r="5422" spans="8:9" x14ac:dyDescent="0.2">
      <c r="H5422" s="1"/>
      <c r="I5422" s="1"/>
    </row>
    <row r="5423" spans="8:9" x14ac:dyDescent="0.2">
      <c r="H5423" s="1"/>
      <c r="I5423" s="1"/>
    </row>
    <row r="5424" spans="8:9" x14ac:dyDescent="0.2">
      <c r="H5424" s="1"/>
      <c r="I5424" s="1"/>
    </row>
    <row r="5425" spans="8:9" x14ac:dyDescent="0.2">
      <c r="H5425" s="1"/>
      <c r="I5425" s="1"/>
    </row>
    <row r="5426" spans="8:9" x14ac:dyDescent="0.2">
      <c r="H5426" s="1"/>
      <c r="I5426" s="1"/>
    </row>
    <row r="5427" spans="8:9" x14ac:dyDescent="0.2">
      <c r="H5427" s="1"/>
      <c r="I5427" s="1"/>
    </row>
    <row r="5428" spans="8:9" x14ac:dyDescent="0.2">
      <c r="H5428" s="1"/>
      <c r="I5428" s="1"/>
    </row>
    <row r="5429" spans="8:9" x14ac:dyDescent="0.2">
      <c r="H5429" s="1"/>
      <c r="I5429" s="1"/>
    </row>
    <row r="5430" spans="8:9" x14ac:dyDescent="0.2">
      <c r="H5430" s="1"/>
      <c r="I5430" s="1"/>
    </row>
    <row r="5431" spans="8:9" x14ac:dyDescent="0.2">
      <c r="H5431" s="1"/>
      <c r="I5431" s="1"/>
    </row>
    <row r="5432" spans="8:9" x14ac:dyDescent="0.2">
      <c r="H5432" s="1"/>
      <c r="I5432" s="1"/>
    </row>
    <row r="5433" spans="8:9" x14ac:dyDescent="0.2">
      <c r="H5433" s="1"/>
      <c r="I5433" s="1"/>
    </row>
    <row r="5434" spans="8:9" x14ac:dyDescent="0.2">
      <c r="H5434" s="1"/>
      <c r="I5434" s="1"/>
    </row>
    <row r="5435" spans="8:9" x14ac:dyDescent="0.2">
      <c r="H5435" s="1"/>
      <c r="I5435" s="1"/>
    </row>
    <row r="5436" spans="8:9" x14ac:dyDescent="0.2">
      <c r="H5436" s="1"/>
      <c r="I5436" s="1"/>
    </row>
    <row r="5437" spans="8:9" x14ac:dyDescent="0.2">
      <c r="H5437" s="1"/>
      <c r="I5437" s="1"/>
    </row>
    <row r="5438" spans="8:9" x14ac:dyDescent="0.2">
      <c r="H5438" s="1"/>
      <c r="I5438" s="1"/>
    </row>
    <row r="5439" spans="8:9" x14ac:dyDescent="0.2">
      <c r="H5439" s="1"/>
      <c r="I5439" s="1"/>
    </row>
    <row r="5440" spans="8:9" x14ac:dyDescent="0.2">
      <c r="H5440" s="1"/>
      <c r="I5440" s="1"/>
    </row>
    <row r="5441" spans="8:9" x14ac:dyDescent="0.2">
      <c r="H5441" s="1"/>
      <c r="I5441" s="1"/>
    </row>
    <row r="5442" spans="8:9" x14ac:dyDescent="0.2">
      <c r="H5442" s="1"/>
      <c r="I5442" s="1"/>
    </row>
    <row r="5443" spans="8:9" x14ac:dyDescent="0.2">
      <c r="H5443" s="1"/>
      <c r="I5443" s="1"/>
    </row>
    <row r="5444" spans="8:9" x14ac:dyDescent="0.2">
      <c r="H5444" s="1"/>
      <c r="I5444" s="1"/>
    </row>
    <row r="5445" spans="8:9" x14ac:dyDescent="0.2">
      <c r="H5445" s="1"/>
      <c r="I5445" s="1"/>
    </row>
    <row r="5446" spans="8:9" x14ac:dyDescent="0.2">
      <c r="H5446" s="1"/>
      <c r="I5446" s="1"/>
    </row>
    <row r="5447" spans="8:9" x14ac:dyDescent="0.2">
      <c r="H5447" s="1"/>
      <c r="I5447" s="1"/>
    </row>
    <row r="5448" spans="8:9" x14ac:dyDescent="0.2">
      <c r="H5448" s="1"/>
      <c r="I5448" s="1"/>
    </row>
    <row r="5449" spans="8:9" x14ac:dyDescent="0.2">
      <c r="H5449" s="1"/>
      <c r="I5449" s="1"/>
    </row>
    <row r="5450" spans="8:9" x14ac:dyDescent="0.2">
      <c r="H5450" s="1"/>
      <c r="I5450" s="1"/>
    </row>
    <row r="5451" spans="8:9" x14ac:dyDescent="0.2">
      <c r="H5451" s="1"/>
      <c r="I5451" s="1"/>
    </row>
    <row r="5452" spans="8:9" x14ac:dyDescent="0.2">
      <c r="H5452" s="1"/>
      <c r="I5452" s="1"/>
    </row>
    <row r="5453" spans="8:9" x14ac:dyDescent="0.2">
      <c r="H5453" s="1"/>
      <c r="I5453" s="1"/>
    </row>
    <row r="5454" spans="8:9" x14ac:dyDescent="0.2">
      <c r="H5454" s="1"/>
      <c r="I5454" s="1"/>
    </row>
    <row r="5455" spans="8:9" x14ac:dyDescent="0.2">
      <c r="H5455" s="1"/>
      <c r="I5455" s="1"/>
    </row>
    <row r="5456" spans="8:9" x14ac:dyDescent="0.2">
      <c r="H5456" s="1"/>
      <c r="I5456" s="1"/>
    </row>
    <row r="5457" spans="8:9" x14ac:dyDescent="0.2">
      <c r="H5457" s="1"/>
      <c r="I5457" s="1"/>
    </row>
    <row r="5458" spans="8:9" x14ac:dyDescent="0.2">
      <c r="H5458" s="1"/>
      <c r="I5458" s="1"/>
    </row>
    <row r="5459" spans="8:9" x14ac:dyDescent="0.2">
      <c r="H5459" s="1"/>
      <c r="I5459" s="1"/>
    </row>
    <row r="5460" spans="8:9" x14ac:dyDescent="0.2">
      <c r="H5460" s="1"/>
      <c r="I5460" s="1"/>
    </row>
    <row r="5461" spans="8:9" x14ac:dyDescent="0.2">
      <c r="H5461" s="1"/>
      <c r="I5461" s="1"/>
    </row>
    <row r="5462" spans="8:9" x14ac:dyDescent="0.2">
      <c r="H5462" s="1"/>
      <c r="I5462" s="1"/>
    </row>
    <row r="5463" spans="8:9" x14ac:dyDescent="0.2">
      <c r="H5463" s="1"/>
      <c r="I5463" s="1"/>
    </row>
    <row r="5464" spans="8:9" x14ac:dyDescent="0.2">
      <c r="H5464" s="1"/>
      <c r="I5464" s="1"/>
    </row>
    <row r="5465" spans="8:9" x14ac:dyDescent="0.2">
      <c r="H5465" s="1"/>
      <c r="I5465" s="1"/>
    </row>
    <row r="5466" spans="8:9" x14ac:dyDescent="0.2">
      <c r="H5466" s="1"/>
      <c r="I5466" s="1"/>
    </row>
    <row r="5467" spans="8:9" x14ac:dyDescent="0.2">
      <c r="H5467" s="1"/>
      <c r="I5467" s="1"/>
    </row>
    <row r="5468" spans="8:9" x14ac:dyDescent="0.2">
      <c r="H5468" s="1"/>
      <c r="I5468" s="1"/>
    </row>
    <row r="5469" spans="8:9" x14ac:dyDescent="0.2">
      <c r="H5469" s="1"/>
      <c r="I5469" s="1"/>
    </row>
    <row r="5470" spans="8:9" x14ac:dyDescent="0.2">
      <c r="H5470" s="1"/>
      <c r="I5470" s="1"/>
    </row>
    <row r="5471" spans="8:9" x14ac:dyDescent="0.2">
      <c r="H5471" s="1"/>
      <c r="I5471" s="1"/>
    </row>
    <row r="5472" spans="8:9" x14ac:dyDescent="0.2">
      <c r="H5472" s="1"/>
      <c r="I5472" s="1"/>
    </row>
    <row r="5473" spans="8:9" x14ac:dyDescent="0.2">
      <c r="H5473" s="1"/>
      <c r="I5473" s="1"/>
    </row>
    <row r="5474" spans="8:9" x14ac:dyDescent="0.2">
      <c r="H5474" s="1"/>
      <c r="I5474" s="1"/>
    </row>
    <row r="5475" spans="8:9" x14ac:dyDescent="0.2">
      <c r="H5475" s="1"/>
      <c r="I5475" s="1"/>
    </row>
    <row r="5476" spans="8:9" x14ac:dyDescent="0.2">
      <c r="H5476" s="1"/>
      <c r="I5476" s="1"/>
    </row>
    <row r="5477" spans="8:9" x14ac:dyDescent="0.2">
      <c r="H5477" s="1"/>
      <c r="I5477" s="1"/>
    </row>
    <row r="5478" spans="8:9" x14ac:dyDescent="0.2">
      <c r="H5478" s="1"/>
      <c r="I5478" s="1"/>
    </row>
    <row r="5479" spans="8:9" x14ac:dyDescent="0.2">
      <c r="H5479" s="1"/>
      <c r="I5479" s="1"/>
    </row>
    <row r="5480" spans="8:9" x14ac:dyDescent="0.2">
      <c r="H5480" s="1"/>
      <c r="I5480" s="1"/>
    </row>
    <row r="5481" spans="8:9" x14ac:dyDescent="0.2">
      <c r="H5481" s="1"/>
      <c r="I5481" s="1"/>
    </row>
    <row r="5482" spans="8:9" x14ac:dyDescent="0.2">
      <c r="H5482" s="1"/>
      <c r="I5482" s="1"/>
    </row>
    <row r="5483" spans="8:9" x14ac:dyDescent="0.2">
      <c r="H5483" s="1"/>
      <c r="I5483" s="1"/>
    </row>
    <row r="5484" spans="8:9" x14ac:dyDescent="0.2">
      <c r="H5484" s="1"/>
      <c r="I5484" s="1"/>
    </row>
    <row r="5485" spans="8:9" x14ac:dyDescent="0.2">
      <c r="H5485" s="1"/>
      <c r="I5485" s="1"/>
    </row>
    <row r="5486" spans="8:9" x14ac:dyDescent="0.2">
      <c r="H5486" s="1"/>
      <c r="I5486" s="1"/>
    </row>
    <row r="5487" spans="8:9" x14ac:dyDescent="0.2">
      <c r="H5487" s="1"/>
      <c r="I5487" s="1"/>
    </row>
    <row r="5488" spans="8:9" x14ac:dyDescent="0.2">
      <c r="H5488" s="1"/>
      <c r="I5488" s="1"/>
    </row>
    <row r="5489" spans="8:9" x14ac:dyDescent="0.2">
      <c r="H5489" s="1"/>
      <c r="I5489" s="1"/>
    </row>
    <row r="5490" spans="8:9" x14ac:dyDescent="0.2">
      <c r="H5490" s="1"/>
      <c r="I5490" s="1"/>
    </row>
    <row r="5491" spans="8:9" x14ac:dyDescent="0.2">
      <c r="H5491" s="1"/>
      <c r="I5491" s="1"/>
    </row>
    <row r="5492" spans="8:9" x14ac:dyDescent="0.2">
      <c r="H5492" s="1"/>
      <c r="I5492" s="1"/>
    </row>
    <row r="5493" spans="8:9" x14ac:dyDescent="0.2">
      <c r="H5493" s="1"/>
      <c r="I5493" s="1"/>
    </row>
    <row r="5494" spans="8:9" x14ac:dyDescent="0.2">
      <c r="H5494" s="1"/>
      <c r="I5494" s="1"/>
    </row>
    <row r="5495" spans="8:9" x14ac:dyDescent="0.2">
      <c r="H5495" s="1"/>
      <c r="I5495" s="1"/>
    </row>
    <row r="5496" spans="8:9" x14ac:dyDescent="0.2">
      <c r="H5496" s="1"/>
      <c r="I5496" s="1"/>
    </row>
    <row r="5497" spans="8:9" x14ac:dyDescent="0.2">
      <c r="H5497" s="1"/>
      <c r="I5497" s="1"/>
    </row>
    <row r="5498" spans="8:9" x14ac:dyDescent="0.2">
      <c r="H5498" s="1"/>
      <c r="I5498" s="1"/>
    </row>
    <row r="5499" spans="8:9" x14ac:dyDescent="0.2">
      <c r="H5499" s="1"/>
      <c r="I5499" s="1"/>
    </row>
    <row r="5500" spans="8:9" x14ac:dyDescent="0.2">
      <c r="H5500" s="1"/>
      <c r="I5500" s="1"/>
    </row>
    <row r="5501" spans="8:9" x14ac:dyDescent="0.2">
      <c r="H5501" s="1"/>
      <c r="I5501" s="1"/>
    </row>
    <row r="5502" spans="8:9" x14ac:dyDescent="0.2">
      <c r="H5502" s="1"/>
      <c r="I5502" s="1"/>
    </row>
    <row r="5503" spans="8:9" x14ac:dyDescent="0.2">
      <c r="H5503" s="1"/>
      <c r="I5503" s="1"/>
    </row>
    <row r="5504" spans="8:9" x14ac:dyDescent="0.2">
      <c r="H5504" s="1"/>
      <c r="I5504" s="1"/>
    </row>
    <row r="5505" spans="8:9" x14ac:dyDescent="0.2">
      <c r="H5505" s="1"/>
      <c r="I5505" s="1"/>
    </row>
    <row r="5506" spans="8:9" x14ac:dyDescent="0.2">
      <c r="H5506" s="1"/>
      <c r="I5506" s="1"/>
    </row>
    <row r="5507" spans="8:9" x14ac:dyDescent="0.2">
      <c r="H5507" s="1"/>
      <c r="I5507" s="1"/>
    </row>
    <row r="5508" spans="8:9" x14ac:dyDescent="0.2">
      <c r="H5508" s="1"/>
      <c r="I5508" s="1"/>
    </row>
    <row r="5509" spans="8:9" x14ac:dyDescent="0.2">
      <c r="H5509" s="1"/>
      <c r="I5509" s="1"/>
    </row>
    <row r="5510" spans="8:9" x14ac:dyDescent="0.2">
      <c r="H5510" s="1"/>
      <c r="I5510" s="1"/>
    </row>
    <row r="5511" spans="8:9" x14ac:dyDescent="0.2">
      <c r="H5511" s="1"/>
      <c r="I5511" s="1"/>
    </row>
    <row r="5512" spans="8:9" x14ac:dyDescent="0.2">
      <c r="H5512" s="1"/>
      <c r="I5512" s="1"/>
    </row>
    <row r="5513" spans="8:9" x14ac:dyDescent="0.2">
      <c r="H5513" s="1"/>
      <c r="I5513" s="1"/>
    </row>
    <row r="5514" spans="8:9" x14ac:dyDescent="0.2">
      <c r="H5514" s="1"/>
      <c r="I5514" s="1"/>
    </row>
    <row r="5515" spans="8:9" x14ac:dyDescent="0.2">
      <c r="H5515" s="1"/>
      <c r="I5515" s="1"/>
    </row>
    <row r="5516" spans="8:9" x14ac:dyDescent="0.2">
      <c r="H5516" s="1"/>
      <c r="I5516" s="1"/>
    </row>
    <row r="5517" spans="8:9" x14ac:dyDescent="0.2">
      <c r="H5517" s="1"/>
      <c r="I5517" s="1"/>
    </row>
    <row r="5518" spans="8:9" x14ac:dyDescent="0.2">
      <c r="H5518" s="1"/>
      <c r="I5518" s="1"/>
    </row>
    <row r="5519" spans="8:9" x14ac:dyDescent="0.2">
      <c r="H5519" s="1"/>
      <c r="I5519" s="1"/>
    </row>
    <row r="5520" spans="8:9" x14ac:dyDescent="0.2">
      <c r="H5520" s="1"/>
      <c r="I5520" s="1"/>
    </row>
    <row r="5521" spans="8:9" x14ac:dyDescent="0.2">
      <c r="H5521" s="1"/>
      <c r="I5521" s="1"/>
    </row>
    <row r="5522" spans="8:9" x14ac:dyDescent="0.2">
      <c r="H5522" s="1"/>
      <c r="I5522" s="1"/>
    </row>
    <row r="5523" spans="8:9" x14ac:dyDescent="0.2">
      <c r="H5523" s="1"/>
      <c r="I5523" s="1"/>
    </row>
    <row r="5524" spans="8:9" x14ac:dyDescent="0.2">
      <c r="H5524" s="1"/>
      <c r="I5524" s="1"/>
    </row>
    <row r="5525" spans="8:9" x14ac:dyDescent="0.2">
      <c r="H5525" s="1"/>
      <c r="I5525" s="1"/>
    </row>
    <row r="5526" spans="8:9" x14ac:dyDescent="0.2">
      <c r="H5526" s="1"/>
      <c r="I5526" s="1"/>
    </row>
    <row r="5527" spans="8:9" x14ac:dyDescent="0.2">
      <c r="H5527" s="1"/>
      <c r="I5527" s="1"/>
    </row>
    <row r="5528" spans="8:9" x14ac:dyDescent="0.2">
      <c r="H5528" s="1"/>
      <c r="I5528" s="1"/>
    </row>
    <row r="5529" spans="8:9" x14ac:dyDescent="0.2">
      <c r="H5529" s="1"/>
      <c r="I5529" s="1"/>
    </row>
    <row r="5530" spans="8:9" x14ac:dyDescent="0.2">
      <c r="H5530" s="1"/>
      <c r="I5530" s="1"/>
    </row>
    <row r="5531" spans="8:9" x14ac:dyDescent="0.2">
      <c r="H5531" s="1"/>
      <c r="I5531" s="1"/>
    </row>
    <row r="5532" spans="8:9" x14ac:dyDescent="0.2">
      <c r="H5532" s="1"/>
      <c r="I5532" s="1"/>
    </row>
    <row r="5533" spans="8:9" x14ac:dyDescent="0.2">
      <c r="H5533" s="1"/>
      <c r="I5533" s="1"/>
    </row>
    <row r="5534" spans="8:9" x14ac:dyDescent="0.2">
      <c r="H5534" s="1"/>
      <c r="I5534" s="1"/>
    </row>
    <row r="5535" spans="8:9" x14ac:dyDescent="0.2">
      <c r="H5535" s="1"/>
      <c r="I5535" s="1"/>
    </row>
    <row r="5536" spans="8:9" x14ac:dyDescent="0.2">
      <c r="H5536" s="1"/>
      <c r="I5536" s="1"/>
    </row>
    <row r="5537" spans="8:9" x14ac:dyDescent="0.2">
      <c r="H5537" s="1"/>
      <c r="I5537" s="1"/>
    </row>
    <row r="5538" spans="8:9" x14ac:dyDescent="0.2">
      <c r="H5538" s="1"/>
      <c r="I5538" s="1"/>
    </row>
    <row r="5539" spans="8:9" x14ac:dyDescent="0.2">
      <c r="H5539" s="1"/>
      <c r="I5539" s="1"/>
    </row>
    <row r="5540" spans="8:9" x14ac:dyDescent="0.2">
      <c r="H5540" s="1"/>
      <c r="I5540" s="1"/>
    </row>
    <row r="5541" spans="8:9" x14ac:dyDescent="0.2">
      <c r="H5541" s="1"/>
      <c r="I5541" s="1"/>
    </row>
    <row r="5542" spans="8:9" x14ac:dyDescent="0.2">
      <c r="H5542" s="1"/>
      <c r="I5542" s="1"/>
    </row>
    <row r="5543" spans="8:9" x14ac:dyDescent="0.2">
      <c r="H5543" s="1"/>
      <c r="I5543" s="1"/>
    </row>
    <row r="5544" spans="8:9" x14ac:dyDescent="0.2">
      <c r="H5544" s="1"/>
      <c r="I5544" s="1"/>
    </row>
    <row r="5545" spans="8:9" x14ac:dyDescent="0.2">
      <c r="H5545" s="1"/>
      <c r="I5545" s="1"/>
    </row>
    <row r="5546" spans="8:9" x14ac:dyDescent="0.2">
      <c r="H5546" s="1"/>
      <c r="I5546" s="1"/>
    </row>
    <row r="5547" spans="8:9" x14ac:dyDescent="0.2">
      <c r="H5547" s="1"/>
      <c r="I5547" s="1"/>
    </row>
    <row r="5548" spans="8:9" x14ac:dyDescent="0.2">
      <c r="H5548" s="1"/>
      <c r="I5548" s="1"/>
    </row>
    <row r="5549" spans="8:9" x14ac:dyDescent="0.2">
      <c r="H5549" s="1"/>
      <c r="I5549" s="1"/>
    </row>
    <row r="5550" spans="8:9" x14ac:dyDescent="0.2">
      <c r="H5550" s="1"/>
      <c r="I5550" s="1"/>
    </row>
    <row r="5551" spans="8:9" x14ac:dyDescent="0.2">
      <c r="H5551" s="1"/>
      <c r="I5551" s="1"/>
    </row>
    <row r="5552" spans="8:9" x14ac:dyDescent="0.2">
      <c r="H5552" s="1"/>
      <c r="I5552" s="1"/>
    </row>
    <row r="5553" spans="8:9" x14ac:dyDescent="0.2">
      <c r="H5553" s="1"/>
      <c r="I5553" s="1"/>
    </row>
    <row r="5554" spans="8:9" x14ac:dyDescent="0.2">
      <c r="H5554" s="1"/>
      <c r="I5554" s="1"/>
    </row>
    <row r="5555" spans="8:9" x14ac:dyDescent="0.2">
      <c r="H5555" s="1"/>
      <c r="I5555" s="1"/>
    </row>
    <row r="5556" spans="8:9" x14ac:dyDescent="0.2">
      <c r="H5556" s="1"/>
      <c r="I5556" s="1"/>
    </row>
    <row r="5557" spans="8:9" x14ac:dyDescent="0.2">
      <c r="H5557" s="1"/>
      <c r="I5557" s="1"/>
    </row>
    <row r="5558" spans="8:9" x14ac:dyDescent="0.2">
      <c r="H5558" s="1"/>
      <c r="I5558" s="1"/>
    </row>
    <row r="5559" spans="8:9" x14ac:dyDescent="0.2">
      <c r="H5559" s="1"/>
      <c r="I5559" s="1"/>
    </row>
    <row r="5560" spans="8:9" x14ac:dyDescent="0.2">
      <c r="H5560" s="1"/>
      <c r="I5560" s="1"/>
    </row>
    <row r="5561" spans="8:9" x14ac:dyDescent="0.2">
      <c r="H5561" s="1"/>
      <c r="I5561" s="1"/>
    </row>
    <row r="5562" spans="8:9" x14ac:dyDescent="0.2">
      <c r="H5562" s="1"/>
      <c r="I5562" s="1"/>
    </row>
    <row r="5563" spans="8:9" x14ac:dyDescent="0.2">
      <c r="H5563" s="1"/>
      <c r="I5563" s="1"/>
    </row>
    <row r="5564" spans="8:9" x14ac:dyDescent="0.2">
      <c r="H5564" s="1"/>
      <c r="I5564" s="1"/>
    </row>
    <row r="5565" spans="8:9" x14ac:dyDescent="0.2">
      <c r="H5565" s="1"/>
      <c r="I5565" s="1"/>
    </row>
    <row r="5566" spans="8:9" x14ac:dyDescent="0.2">
      <c r="H5566" s="1"/>
      <c r="I5566" s="1"/>
    </row>
    <row r="5567" spans="8:9" x14ac:dyDescent="0.2">
      <c r="H5567" s="1"/>
      <c r="I5567" s="1"/>
    </row>
    <row r="5568" spans="8:9" x14ac:dyDescent="0.2">
      <c r="H5568" s="1"/>
      <c r="I5568" s="1"/>
    </row>
    <row r="5569" spans="8:9" x14ac:dyDescent="0.2">
      <c r="H5569" s="1"/>
      <c r="I5569" s="1"/>
    </row>
    <row r="5570" spans="8:9" x14ac:dyDescent="0.2">
      <c r="H5570" s="1"/>
      <c r="I5570" s="1"/>
    </row>
    <row r="5571" spans="8:9" x14ac:dyDescent="0.2">
      <c r="H5571" s="1"/>
      <c r="I5571" s="1"/>
    </row>
    <row r="5572" spans="8:9" x14ac:dyDescent="0.2">
      <c r="H5572" s="1"/>
      <c r="I5572" s="1"/>
    </row>
    <row r="5573" spans="8:9" x14ac:dyDescent="0.2">
      <c r="H5573" s="1"/>
      <c r="I5573" s="1"/>
    </row>
    <row r="5574" spans="8:9" x14ac:dyDescent="0.2">
      <c r="H5574" s="1"/>
      <c r="I5574" s="1"/>
    </row>
    <row r="5575" spans="8:9" x14ac:dyDescent="0.2">
      <c r="H5575" s="1"/>
      <c r="I5575" s="1"/>
    </row>
    <row r="5576" spans="8:9" x14ac:dyDescent="0.2">
      <c r="H5576" s="1"/>
      <c r="I5576" s="1"/>
    </row>
    <row r="5577" spans="8:9" x14ac:dyDescent="0.2">
      <c r="H5577" s="1"/>
      <c r="I5577" s="1"/>
    </row>
    <row r="5578" spans="8:9" x14ac:dyDescent="0.2">
      <c r="H5578" s="1"/>
      <c r="I5578" s="1"/>
    </row>
    <row r="5579" spans="8:9" x14ac:dyDescent="0.2">
      <c r="H5579" s="1"/>
      <c r="I5579" s="1"/>
    </row>
    <row r="5580" spans="8:9" x14ac:dyDescent="0.2">
      <c r="H5580" s="1"/>
      <c r="I5580" s="1"/>
    </row>
    <row r="5581" spans="8:9" x14ac:dyDescent="0.2">
      <c r="H5581" s="1"/>
      <c r="I5581" s="1"/>
    </row>
    <row r="5582" spans="8:9" x14ac:dyDescent="0.2">
      <c r="H5582" s="1"/>
      <c r="I5582" s="1"/>
    </row>
    <row r="5583" spans="8:9" x14ac:dyDescent="0.2">
      <c r="H5583" s="1"/>
      <c r="I5583" s="1"/>
    </row>
    <row r="5584" spans="8:9" x14ac:dyDescent="0.2">
      <c r="H5584" s="1"/>
      <c r="I5584" s="1"/>
    </row>
    <row r="5585" spans="8:9" x14ac:dyDescent="0.2">
      <c r="H5585" s="1"/>
      <c r="I5585" s="1"/>
    </row>
    <row r="5586" spans="8:9" x14ac:dyDescent="0.2">
      <c r="H5586" s="1"/>
      <c r="I5586" s="1"/>
    </row>
    <row r="5587" spans="8:9" x14ac:dyDescent="0.2">
      <c r="H5587" s="1"/>
      <c r="I5587" s="1"/>
    </row>
    <row r="5588" spans="8:9" x14ac:dyDescent="0.2">
      <c r="H5588" s="1"/>
      <c r="I5588" s="1"/>
    </row>
    <row r="5589" spans="8:9" x14ac:dyDescent="0.2">
      <c r="H5589" s="1"/>
      <c r="I5589" s="1"/>
    </row>
    <row r="5590" spans="8:9" x14ac:dyDescent="0.2">
      <c r="H5590" s="1"/>
      <c r="I5590" s="1"/>
    </row>
    <row r="5591" spans="8:9" x14ac:dyDescent="0.2">
      <c r="H5591" s="1"/>
      <c r="I5591" s="1"/>
    </row>
    <row r="5592" spans="8:9" x14ac:dyDescent="0.2">
      <c r="H5592" s="1"/>
      <c r="I5592" s="1"/>
    </row>
    <row r="5593" spans="8:9" x14ac:dyDescent="0.2">
      <c r="H5593" s="1"/>
      <c r="I5593" s="1"/>
    </row>
    <row r="5594" spans="8:9" x14ac:dyDescent="0.2">
      <c r="H5594" s="1"/>
      <c r="I5594" s="1"/>
    </row>
    <row r="5595" spans="8:9" x14ac:dyDescent="0.2">
      <c r="H5595" s="1"/>
      <c r="I5595" s="1"/>
    </row>
    <row r="5596" spans="8:9" x14ac:dyDescent="0.2">
      <c r="H5596" s="1"/>
      <c r="I5596" s="1"/>
    </row>
    <row r="5597" spans="8:9" x14ac:dyDescent="0.2">
      <c r="H5597" s="1"/>
      <c r="I5597" s="1"/>
    </row>
    <row r="5598" spans="8:9" x14ac:dyDescent="0.2">
      <c r="H5598" s="1"/>
      <c r="I5598" s="1"/>
    </row>
    <row r="5599" spans="8:9" x14ac:dyDescent="0.2">
      <c r="H5599" s="1"/>
      <c r="I5599" s="1"/>
    </row>
    <row r="5600" spans="8:9" x14ac:dyDescent="0.2">
      <c r="H5600" s="1"/>
      <c r="I5600" s="1"/>
    </row>
    <row r="5601" spans="8:9" x14ac:dyDescent="0.2">
      <c r="H5601" s="1"/>
      <c r="I5601" s="1"/>
    </row>
    <row r="5602" spans="8:9" x14ac:dyDescent="0.2">
      <c r="H5602" s="1"/>
      <c r="I5602" s="1"/>
    </row>
    <row r="5603" spans="8:9" x14ac:dyDescent="0.2">
      <c r="H5603" s="1"/>
      <c r="I5603" s="1"/>
    </row>
    <row r="5604" spans="8:9" x14ac:dyDescent="0.2">
      <c r="H5604" s="1"/>
      <c r="I5604" s="1"/>
    </row>
    <row r="5605" spans="8:9" x14ac:dyDescent="0.2">
      <c r="H5605" s="1"/>
      <c r="I5605" s="1"/>
    </row>
    <row r="5606" spans="8:9" x14ac:dyDescent="0.2">
      <c r="H5606" s="1"/>
      <c r="I5606" s="1"/>
    </row>
    <row r="5607" spans="8:9" x14ac:dyDescent="0.2">
      <c r="H5607" s="1"/>
      <c r="I5607" s="1"/>
    </row>
    <row r="5608" spans="8:9" x14ac:dyDescent="0.2">
      <c r="H5608" s="1"/>
      <c r="I5608" s="1"/>
    </row>
    <row r="5609" spans="8:9" x14ac:dyDescent="0.2">
      <c r="H5609" s="1"/>
      <c r="I5609" s="1"/>
    </row>
    <row r="5610" spans="8:9" x14ac:dyDescent="0.2">
      <c r="H5610" s="1"/>
      <c r="I5610" s="1"/>
    </row>
    <row r="5611" spans="8:9" x14ac:dyDescent="0.2">
      <c r="H5611" s="1"/>
      <c r="I5611" s="1"/>
    </row>
    <row r="5612" spans="8:9" x14ac:dyDescent="0.2">
      <c r="H5612" s="1"/>
      <c r="I5612" s="1"/>
    </row>
    <row r="5613" spans="8:9" x14ac:dyDescent="0.2">
      <c r="H5613" s="1"/>
      <c r="I5613" s="1"/>
    </row>
    <row r="5614" spans="8:9" x14ac:dyDescent="0.2">
      <c r="H5614" s="1"/>
      <c r="I5614" s="1"/>
    </row>
    <row r="5615" spans="8:9" x14ac:dyDescent="0.2">
      <c r="H5615" s="1"/>
      <c r="I5615" s="1"/>
    </row>
    <row r="5616" spans="8:9" x14ac:dyDescent="0.2">
      <c r="H5616" s="1"/>
      <c r="I5616" s="1"/>
    </row>
    <row r="5617" spans="8:9" x14ac:dyDescent="0.2">
      <c r="H5617" s="1"/>
      <c r="I5617" s="1"/>
    </row>
    <row r="5618" spans="8:9" x14ac:dyDescent="0.2">
      <c r="H5618" s="1"/>
      <c r="I5618" s="1"/>
    </row>
    <row r="5619" spans="8:9" x14ac:dyDescent="0.2">
      <c r="H5619" s="1"/>
      <c r="I5619" s="1"/>
    </row>
    <row r="5620" spans="8:9" x14ac:dyDescent="0.2">
      <c r="H5620" s="1"/>
      <c r="I5620" s="1"/>
    </row>
    <row r="5621" spans="8:9" x14ac:dyDescent="0.2">
      <c r="H5621" s="1"/>
      <c r="I5621" s="1"/>
    </row>
    <row r="5622" spans="8:9" x14ac:dyDescent="0.2">
      <c r="H5622" s="1"/>
      <c r="I5622" s="1"/>
    </row>
    <row r="5623" spans="8:9" x14ac:dyDescent="0.2">
      <c r="H5623" s="1"/>
      <c r="I5623" s="1"/>
    </row>
    <row r="5624" spans="8:9" x14ac:dyDescent="0.2">
      <c r="H5624" s="1"/>
      <c r="I5624" s="1"/>
    </row>
    <row r="5625" spans="8:9" x14ac:dyDescent="0.2">
      <c r="H5625" s="1"/>
      <c r="I5625" s="1"/>
    </row>
    <row r="5626" spans="8:9" x14ac:dyDescent="0.2">
      <c r="H5626" s="1"/>
      <c r="I5626" s="1"/>
    </row>
    <row r="5627" spans="8:9" x14ac:dyDescent="0.2">
      <c r="H5627" s="1"/>
      <c r="I5627" s="1"/>
    </row>
    <row r="5628" spans="8:9" x14ac:dyDescent="0.2">
      <c r="H5628" s="1"/>
      <c r="I5628" s="1"/>
    </row>
    <row r="5629" spans="8:9" x14ac:dyDescent="0.2">
      <c r="H5629" s="1"/>
      <c r="I5629" s="1"/>
    </row>
    <row r="5630" spans="8:9" x14ac:dyDescent="0.2">
      <c r="H5630" s="1"/>
      <c r="I5630" s="1"/>
    </row>
    <row r="5631" spans="8:9" x14ac:dyDescent="0.2">
      <c r="H5631" s="1"/>
      <c r="I5631" s="1"/>
    </row>
    <row r="5632" spans="8:9" x14ac:dyDescent="0.2">
      <c r="H5632" s="1"/>
      <c r="I5632" s="1"/>
    </row>
    <row r="5633" spans="8:9" x14ac:dyDescent="0.2">
      <c r="H5633" s="1"/>
      <c r="I5633" s="1"/>
    </row>
    <row r="5634" spans="8:9" x14ac:dyDescent="0.2">
      <c r="H5634" s="1"/>
      <c r="I5634" s="1"/>
    </row>
    <row r="5635" spans="8:9" x14ac:dyDescent="0.2">
      <c r="H5635" s="1"/>
      <c r="I5635" s="1"/>
    </row>
    <row r="5636" spans="8:9" x14ac:dyDescent="0.2">
      <c r="H5636" s="1"/>
      <c r="I5636" s="1"/>
    </row>
    <row r="5637" spans="8:9" x14ac:dyDescent="0.2">
      <c r="H5637" s="1"/>
      <c r="I5637" s="1"/>
    </row>
    <row r="5638" spans="8:9" x14ac:dyDescent="0.2">
      <c r="H5638" s="1"/>
      <c r="I5638" s="1"/>
    </row>
    <row r="5639" spans="8:9" x14ac:dyDescent="0.2">
      <c r="H5639" s="1"/>
      <c r="I5639" s="1"/>
    </row>
    <row r="5640" spans="8:9" x14ac:dyDescent="0.2">
      <c r="H5640" s="1"/>
      <c r="I5640" s="1"/>
    </row>
    <row r="5641" spans="8:9" x14ac:dyDescent="0.2">
      <c r="H5641" s="1"/>
      <c r="I5641" s="1"/>
    </row>
    <row r="5642" spans="8:9" x14ac:dyDescent="0.2">
      <c r="H5642" s="1"/>
      <c r="I5642" s="1"/>
    </row>
    <row r="5643" spans="8:9" x14ac:dyDescent="0.2">
      <c r="H5643" s="1"/>
      <c r="I5643" s="1"/>
    </row>
    <row r="5644" spans="8:9" x14ac:dyDescent="0.2">
      <c r="H5644" s="1"/>
      <c r="I5644" s="1"/>
    </row>
    <row r="5645" spans="8:9" x14ac:dyDescent="0.2">
      <c r="H5645" s="1"/>
      <c r="I5645" s="1"/>
    </row>
    <row r="5646" spans="8:9" x14ac:dyDescent="0.2">
      <c r="H5646" s="1"/>
      <c r="I5646" s="1"/>
    </row>
    <row r="5647" spans="8:9" x14ac:dyDescent="0.2">
      <c r="H5647" s="1"/>
      <c r="I5647" s="1"/>
    </row>
    <row r="5648" spans="8:9" x14ac:dyDescent="0.2">
      <c r="H5648" s="1"/>
      <c r="I5648" s="1"/>
    </row>
    <row r="5649" spans="8:9" x14ac:dyDescent="0.2">
      <c r="H5649" s="1"/>
      <c r="I5649" s="1"/>
    </row>
    <row r="5650" spans="8:9" x14ac:dyDescent="0.2">
      <c r="H5650" s="1"/>
      <c r="I5650" s="1"/>
    </row>
    <row r="5651" spans="8:9" x14ac:dyDescent="0.2">
      <c r="H5651" s="1"/>
      <c r="I5651" s="1"/>
    </row>
    <row r="5652" spans="8:9" x14ac:dyDescent="0.2">
      <c r="H5652" s="1"/>
      <c r="I5652" s="1"/>
    </row>
    <row r="5653" spans="8:9" x14ac:dyDescent="0.2">
      <c r="H5653" s="1"/>
      <c r="I5653" s="1"/>
    </row>
    <row r="5654" spans="8:9" x14ac:dyDescent="0.2">
      <c r="H5654" s="1"/>
      <c r="I5654" s="1"/>
    </row>
    <row r="5655" spans="8:9" x14ac:dyDescent="0.2">
      <c r="H5655" s="1"/>
      <c r="I5655" s="1"/>
    </row>
    <row r="5656" spans="8:9" x14ac:dyDescent="0.2">
      <c r="H5656" s="1"/>
      <c r="I5656" s="1"/>
    </row>
    <row r="5657" spans="8:9" x14ac:dyDescent="0.2">
      <c r="H5657" s="1"/>
      <c r="I5657" s="1"/>
    </row>
    <row r="5658" spans="8:9" x14ac:dyDescent="0.2">
      <c r="H5658" s="1"/>
      <c r="I5658" s="1"/>
    </row>
    <row r="5659" spans="8:9" x14ac:dyDescent="0.2">
      <c r="H5659" s="1"/>
      <c r="I5659" s="1"/>
    </row>
    <row r="5660" spans="8:9" x14ac:dyDescent="0.2">
      <c r="H5660" s="1"/>
      <c r="I5660" s="1"/>
    </row>
    <row r="5661" spans="8:9" x14ac:dyDescent="0.2">
      <c r="H5661" s="1"/>
      <c r="I5661" s="1"/>
    </row>
    <row r="5662" spans="8:9" x14ac:dyDescent="0.2">
      <c r="H5662" s="1"/>
      <c r="I5662" s="1"/>
    </row>
    <row r="5663" spans="8:9" x14ac:dyDescent="0.2">
      <c r="H5663" s="1"/>
      <c r="I5663" s="1"/>
    </row>
    <row r="5664" spans="8:9" x14ac:dyDescent="0.2">
      <c r="H5664" s="1"/>
      <c r="I5664" s="1"/>
    </row>
    <row r="5665" spans="8:9" x14ac:dyDescent="0.2">
      <c r="H5665" s="1"/>
      <c r="I5665" s="1"/>
    </row>
    <row r="5666" spans="8:9" x14ac:dyDescent="0.2">
      <c r="H5666" s="1"/>
      <c r="I5666" s="1"/>
    </row>
    <row r="5667" spans="8:9" x14ac:dyDescent="0.2">
      <c r="H5667" s="1"/>
      <c r="I5667" s="1"/>
    </row>
    <row r="5668" spans="8:9" x14ac:dyDescent="0.2">
      <c r="H5668" s="1"/>
      <c r="I5668" s="1"/>
    </row>
    <row r="5669" spans="8:9" x14ac:dyDescent="0.2">
      <c r="H5669" s="1"/>
      <c r="I5669" s="1"/>
    </row>
    <row r="5670" spans="8:9" x14ac:dyDescent="0.2">
      <c r="H5670" s="1"/>
      <c r="I5670" s="1"/>
    </row>
    <row r="5671" spans="8:9" x14ac:dyDescent="0.2">
      <c r="H5671" s="1"/>
      <c r="I5671" s="1"/>
    </row>
    <row r="5672" spans="8:9" x14ac:dyDescent="0.2">
      <c r="H5672" s="1"/>
      <c r="I5672" s="1"/>
    </row>
    <row r="5673" spans="8:9" x14ac:dyDescent="0.2">
      <c r="H5673" s="1"/>
      <c r="I5673" s="1"/>
    </row>
    <row r="5674" spans="8:9" x14ac:dyDescent="0.2">
      <c r="H5674" s="1"/>
      <c r="I5674" s="1"/>
    </row>
    <row r="5675" spans="8:9" x14ac:dyDescent="0.2">
      <c r="H5675" s="1"/>
      <c r="I5675" s="1"/>
    </row>
    <row r="5676" spans="8:9" x14ac:dyDescent="0.2">
      <c r="H5676" s="1"/>
      <c r="I5676" s="1"/>
    </row>
    <row r="5677" spans="8:9" x14ac:dyDescent="0.2">
      <c r="H5677" s="1"/>
      <c r="I5677" s="1"/>
    </row>
    <row r="5678" spans="8:9" x14ac:dyDescent="0.2">
      <c r="H5678" s="1"/>
      <c r="I5678" s="1"/>
    </row>
    <row r="5679" spans="8:9" x14ac:dyDescent="0.2">
      <c r="H5679" s="1"/>
      <c r="I5679" s="1"/>
    </row>
    <row r="5680" spans="8:9" x14ac:dyDescent="0.2">
      <c r="H5680" s="1"/>
      <c r="I5680" s="1"/>
    </row>
    <row r="5681" spans="8:9" x14ac:dyDescent="0.2">
      <c r="H5681" s="1"/>
      <c r="I5681" s="1"/>
    </row>
    <row r="5682" spans="8:9" x14ac:dyDescent="0.2">
      <c r="H5682" s="1"/>
      <c r="I5682" s="1"/>
    </row>
    <row r="5683" spans="8:9" x14ac:dyDescent="0.2">
      <c r="H5683" s="1"/>
      <c r="I5683" s="1"/>
    </row>
    <row r="5684" spans="8:9" x14ac:dyDescent="0.2">
      <c r="H5684" s="1"/>
      <c r="I5684" s="1"/>
    </row>
    <row r="5685" spans="8:9" x14ac:dyDescent="0.2">
      <c r="H5685" s="1"/>
      <c r="I5685" s="1"/>
    </row>
    <row r="5686" spans="8:9" x14ac:dyDescent="0.2">
      <c r="H5686" s="1"/>
      <c r="I5686" s="1"/>
    </row>
    <row r="5687" spans="8:9" x14ac:dyDescent="0.2">
      <c r="H5687" s="1"/>
      <c r="I5687" s="1"/>
    </row>
    <row r="5688" spans="8:9" x14ac:dyDescent="0.2">
      <c r="H5688" s="1"/>
      <c r="I5688" s="1"/>
    </row>
    <row r="5689" spans="8:9" x14ac:dyDescent="0.2">
      <c r="H5689" s="1"/>
      <c r="I5689" s="1"/>
    </row>
    <row r="5690" spans="8:9" x14ac:dyDescent="0.2">
      <c r="H5690" s="1"/>
      <c r="I5690" s="1"/>
    </row>
    <row r="5691" spans="8:9" x14ac:dyDescent="0.2">
      <c r="H5691" s="1"/>
      <c r="I5691" s="1"/>
    </row>
    <row r="5692" spans="8:9" x14ac:dyDescent="0.2">
      <c r="H5692" s="1"/>
      <c r="I5692" s="1"/>
    </row>
    <row r="5693" spans="8:9" x14ac:dyDescent="0.2">
      <c r="H5693" s="1"/>
      <c r="I5693" s="1"/>
    </row>
    <row r="5694" spans="8:9" x14ac:dyDescent="0.2">
      <c r="H5694" s="1"/>
      <c r="I5694" s="1"/>
    </row>
    <row r="5695" spans="8:9" x14ac:dyDescent="0.2">
      <c r="H5695" s="1"/>
      <c r="I5695" s="1"/>
    </row>
    <row r="5696" spans="8:9" x14ac:dyDescent="0.2">
      <c r="H5696" s="1"/>
      <c r="I5696" s="1"/>
    </row>
    <row r="5697" spans="8:9" x14ac:dyDescent="0.2">
      <c r="H5697" s="1"/>
      <c r="I5697" s="1"/>
    </row>
    <row r="5698" spans="8:9" x14ac:dyDescent="0.2">
      <c r="H5698" s="1"/>
      <c r="I5698" s="1"/>
    </row>
    <row r="5699" spans="8:9" x14ac:dyDescent="0.2">
      <c r="H5699" s="1"/>
      <c r="I5699" s="1"/>
    </row>
    <row r="5700" spans="8:9" x14ac:dyDescent="0.2">
      <c r="H5700" s="1"/>
      <c r="I5700" s="1"/>
    </row>
    <row r="5701" spans="8:9" x14ac:dyDescent="0.2">
      <c r="H5701" s="1"/>
      <c r="I5701" s="1"/>
    </row>
    <row r="5702" spans="8:9" x14ac:dyDescent="0.2">
      <c r="H5702" s="1"/>
      <c r="I5702" s="1"/>
    </row>
    <row r="5703" spans="8:9" x14ac:dyDescent="0.2">
      <c r="H5703" s="1"/>
      <c r="I5703" s="1"/>
    </row>
    <row r="5704" spans="8:9" x14ac:dyDescent="0.2">
      <c r="H5704" s="1"/>
      <c r="I5704" s="1"/>
    </row>
    <row r="5705" spans="8:9" x14ac:dyDescent="0.2">
      <c r="H5705" s="1"/>
      <c r="I5705" s="1"/>
    </row>
    <row r="5706" spans="8:9" x14ac:dyDescent="0.2">
      <c r="H5706" s="1"/>
      <c r="I5706" s="1"/>
    </row>
    <row r="5707" spans="8:9" x14ac:dyDescent="0.2">
      <c r="H5707" s="1"/>
      <c r="I5707" s="1"/>
    </row>
    <row r="5708" spans="8:9" x14ac:dyDescent="0.2">
      <c r="H5708" s="1"/>
      <c r="I5708" s="1"/>
    </row>
    <row r="5709" spans="8:9" x14ac:dyDescent="0.2">
      <c r="H5709" s="1"/>
      <c r="I5709" s="1"/>
    </row>
    <row r="5710" spans="8:9" x14ac:dyDescent="0.2">
      <c r="H5710" s="1"/>
      <c r="I5710" s="1"/>
    </row>
    <row r="5711" spans="8:9" x14ac:dyDescent="0.2">
      <c r="H5711" s="1"/>
      <c r="I5711" s="1"/>
    </row>
    <row r="5712" spans="8:9" x14ac:dyDescent="0.2">
      <c r="H5712" s="1"/>
      <c r="I5712" s="1"/>
    </row>
    <row r="5713" spans="8:9" x14ac:dyDescent="0.2">
      <c r="H5713" s="1"/>
      <c r="I5713" s="1"/>
    </row>
    <row r="5714" spans="8:9" x14ac:dyDescent="0.2">
      <c r="H5714" s="1"/>
      <c r="I5714" s="1"/>
    </row>
    <row r="5715" spans="8:9" x14ac:dyDescent="0.2">
      <c r="H5715" s="1"/>
      <c r="I5715" s="1"/>
    </row>
    <row r="5716" spans="8:9" x14ac:dyDescent="0.2">
      <c r="H5716" s="1"/>
      <c r="I5716" s="1"/>
    </row>
    <row r="5717" spans="8:9" x14ac:dyDescent="0.2">
      <c r="H5717" s="1"/>
      <c r="I5717" s="1"/>
    </row>
    <row r="5718" spans="8:9" x14ac:dyDescent="0.2">
      <c r="H5718" s="1"/>
      <c r="I5718" s="1"/>
    </row>
    <row r="5719" spans="8:9" x14ac:dyDescent="0.2">
      <c r="H5719" s="1"/>
      <c r="I5719" s="1"/>
    </row>
    <row r="5720" spans="8:9" x14ac:dyDescent="0.2">
      <c r="H5720" s="1"/>
      <c r="I5720" s="1"/>
    </row>
    <row r="5721" spans="8:9" x14ac:dyDescent="0.2">
      <c r="H5721" s="1"/>
      <c r="I5721" s="1"/>
    </row>
    <row r="5722" spans="8:9" x14ac:dyDescent="0.2">
      <c r="H5722" s="1"/>
      <c r="I5722" s="1"/>
    </row>
    <row r="5723" spans="8:9" x14ac:dyDescent="0.2">
      <c r="H5723" s="1"/>
      <c r="I5723" s="1"/>
    </row>
    <row r="5724" spans="8:9" x14ac:dyDescent="0.2">
      <c r="H5724" s="1"/>
      <c r="I5724" s="1"/>
    </row>
    <row r="5725" spans="8:9" x14ac:dyDescent="0.2">
      <c r="H5725" s="1"/>
      <c r="I5725" s="1"/>
    </row>
    <row r="5726" spans="8:9" x14ac:dyDescent="0.2">
      <c r="H5726" s="1"/>
      <c r="I5726" s="1"/>
    </row>
    <row r="5727" spans="8:9" x14ac:dyDescent="0.2">
      <c r="H5727" s="1"/>
      <c r="I5727" s="1"/>
    </row>
    <row r="5728" spans="8:9" x14ac:dyDescent="0.2">
      <c r="H5728" s="1"/>
      <c r="I5728" s="1"/>
    </row>
    <row r="5729" spans="8:9" x14ac:dyDescent="0.2">
      <c r="H5729" s="1"/>
      <c r="I5729" s="1"/>
    </row>
    <row r="5730" spans="8:9" x14ac:dyDescent="0.2">
      <c r="H5730" s="1"/>
      <c r="I5730" s="1"/>
    </row>
    <row r="5731" spans="8:9" x14ac:dyDescent="0.2">
      <c r="H5731" s="1"/>
      <c r="I5731" s="1"/>
    </row>
    <row r="5732" spans="8:9" x14ac:dyDescent="0.2">
      <c r="H5732" s="1"/>
      <c r="I5732" s="1"/>
    </row>
    <row r="5733" spans="8:9" x14ac:dyDescent="0.2">
      <c r="H5733" s="1"/>
      <c r="I5733" s="1"/>
    </row>
    <row r="5734" spans="8:9" x14ac:dyDescent="0.2">
      <c r="H5734" s="1"/>
      <c r="I5734" s="1"/>
    </row>
    <row r="5735" spans="8:9" x14ac:dyDescent="0.2">
      <c r="H5735" s="1"/>
      <c r="I5735" s="1"/>
    </row>
    <row r="5736" spans="8:9" x14ac:dyDescent="0.2">
      <c r="H5736" s="1"/>
      <c r="I5736" s="1"/>
    </row>
    <row r="5737" spans="8:9" x14ac:dyDescent="0.2">
      <c r="H5737" s="1"/>
      <c r="I5737" s="1"/>
    </row>
    <row r="5738" spans="8:9" x14ac:dyDescent="0.2">
      <c r="H5738" s="1"/>
      <c r="I5738" s="1"/>
    </row>
    <row r="5739" spans="8:9" x14ac:dyDescent="0.2">
      <c r="H5739" s="1"/>
      <c r="I5739" s="1"/>
    </row>
    <row r="5740" spans="8:9" x14ac:dyDescent="0.2">
      <c r="H5740" s="1"/>
      <c r="I5740" s="1"/>
    </row>
    <row r="5741" spans="8:9" x14ac:dyDescent="0.2">
      <c r="H5741" s="1"/>
      <c r="I5741" s="1"/>
    </row>
    <row r="5742" spans="8:9" x14ac:dyDescent="0.2">
      <c r="H5742" s="1"/>
      <c r="I5742" s="1"/>
    </row>
    <row r="5743" spans="8:9" x14ac:dyDescent="0.2">
      <c r="H5743" s="1"/>
      <c r="I5743" s="1"/>
    </row>
    <row r="5744" spans="8:9" x14ac:dyDescent="0.2">
      <c r="H5744" s="1"/>
      <c r="I5744" s="1"/>
    </row>
    <row r="5745" spans="8:9" x14ac:dyDescent="0.2">
      <c r="H5745" s="1"/>
      <c r="I5745" s="1"/>
    </row>
    <row r="5746" spans="8:9" x14ac:dyDescent="0.2">
      <c r="H5746" s="1"/>
      <c r="I5746" s="1"/>
    </row>
    <row r="5747" spans="8:9" x14ac:dyDescent="0.2">
      <c r="H5747" s="1"/>
      <c r="I5747" s="1"/>
    </row>
    <row r="5748" spans="8:9" x14ac:dyDescent="0.2">
      <c r="H5748" s="1"/>
      <c r="I5748" s="1"/>
    </row>
    <row r="5749" spans="8:9" x14ac:dyDescent="0.2">
      <c r="H5749" s="1"/>
      <c r="I5749" s="1"/>
    </row>
    <row r="5750" spans="8:9" x14ac:dyDescent="0.2">
      <c r="H5750" s="1"/>
      <c r="I5750" s="1"/>
    </row>
    <row r="5751" spans="8:9" x14ac:dyDescent="0.2">
      <c r="H5751" s="1"/>
      <c r="I5751" s="1"/>
    </row>
    <row r="5752" spans="8:9" x14ac:dyDescent="0.2">
      <c r="H5752" s="1"/>
      <c r="I5752" s="1"/>
    </row>
    <row r="5753" spans="8:9" x14ac:dyDescent="0.2">
      <c r="H5753" s="1"/>
      <c r="I5753" s="1"/>
    </row>
    <row r="5754" spans="8:9" x14ac:dyDescent="0.2">
      <c r="H5754" s="1"/>
      <c r="I5754" s="1"/>
    </row>
    <row r="5755" spans="8:9" x14ac:dyDescent="0.2">
      <c r="H5755" s="1"/>
      <c r="I5755" s="1"/>
    </row>
    <row r="5756" spans="8:9" x14ac:dyDescent="0.2">
      <c r="H5756" s="1"/>
      <c r="I5756" s="1"/>
    </row>
    <row r="5757" spans="8:9" x14ac:dyDescent="0.2">
      <c r="H5757" s="1"/>
      <c r="I5757" s="1"/>
    </row>
    <row r="5758" spans="8:9" x14ac:dyDescent="0.2">
      <c r="H5758" s="1"/>
      <c r="I5758" s="1"/>
    </row>
    <row r="5759" spans="8:9" x14ac:dyDescent="0.2">
      <c r="H5759" s="1"/>
      <c r="I5759" s="1"/>
    </row>
    <row r="5760" spans="8:9" x14ac:dyDescent="0.2">
      <c r="H5760" s="1"/>
      <c r="I5760" s="1"/>
    </row>
    <row r="5761" spans="8:9" x14ac:dyDescent="0.2">
      <c r="H5761" s="1"/>
      <c r="I5761" s="1"/>
    </row>
    <row r="5762" spans="8:9" x14ac:dyDescent="0.2">
      <c r="H5762" s="1"/>
      <c r="I5762" s="1"/>
    </row>
    <row r="5763" spans="8:9" x14ac:dyDescent="0.2">
      <c r="H5763" s="1"/>
      <c r="I5763" s="1"/>
    </row>
    <row r="5764" spans="8:9" x14ac:dyDescent="0.2">
      <c r="H5764" s="1"/>
      <c r="I5764" s="1"/>
    </row>
    <row r="5765" spans="8:9" x14ac:dyDescent="0.2">
      <c r="H5765" s="1"/>
      <c r="I5765" s="1"/>
    </row>
    <row r="5766" spans="8:9" x14ac:dyDescent="0.2">
      <c r="H5766" s="1"/>
      <c r="I5766" s="1"/>
    </row>
    <row r="5767" spans="8:9" x14ac:dyDescent="0.2">
      <c r="H5767" s="1"/>
      <c r="I5767" s="1"/>
    </row>
    <row r="5768" spans="8:9" x14ac:dyDescent="0.2">
      <c r="H5768" s="1"/>
      <c r="I5768" s="1"/>
    </row>
    <row r="5769" spans="8:9" x14ac:dyDescent="0.2">
      <c r="H5769" s="1"/>
      <c r="I5769" s="1"/>
    </row>
    <row r="5770" spans="8:9" x14ac:dyDescent="0.2">
      <c r="H5770" s="1"/>
      <c r="I5770" s="1"/>
    </row>
    <row r="5771" spans="8:9" x14ac:dyDescent="0.2">
      <c r="H5771" s="1"/>
      <c r="I5771" s="1"/>
    </row>
    <row r="5772" spans="8:9" x14ac:dyDescent="0.2">
      <c r="H5772" s="1"/>
      <c r="I5772" s="1"/>
    </row>
    <row r="5773" spans="8:9" x14ac:dyDescent="0.2">
      <c r="H5773" s="1"/>
      <c r="I5773" s="1"/>
    </row>
    <row r="5774" spans="8:9" x14ac:dyDescent="0.2">
      <c r="H5774" s="1"/>
      <c r="I5774" s="1"/>
    </row>
    <row r="5775" spans="8:9" x14ac:dyDescent="0.2">
      <c r="H5775" s="1"/>
      <c r="I5775" s="1"/>
    </row>
    <row r="5776" spans="8:9" x14ac:dyDescent="0.2">
      <c r="H5776" s="1"/>
      <c r="I5776" s="1"/>
    </row>
    <row r="5777" spans="8:9" x14ac:dyDescent="0.2">
      <c r="H5777" s="1"/>
      <c r="I5777" s="1"/>
    </row>
    <row r="5778" spans="8:9" x14ac:dyDescent="0.2">
      <c r="H5778" s="1"/>
      <c r="I5778" s="1"/>
    </row>
    <row r="5779" spans="8:9" x14ac:dyDescent="0.2">
      <c r="H5779" s="1"/>
      <c r="I5779" s="1"/>
    </row>
    <row r="5780" spans="8:9" x14ac:dyDescent="0.2">
      <c r="H5780" s="1"/>
      <c r="I5780" s="1"/>
    </row>
    <row r="5781" spans="8:9" x14ac:dyDescent="0.2">
      <c r="H5781" s="1"/>
      <c r="I5781" s="1"/>
    </row>
    <row r="5782" spans="8:9" x14ac:dyDescent="0.2">
      <c r="H5782" s="1"/>
      <c r="I5782" s="1"/>
    </row>
    <row r="5783" spans="8:9" x14ac:dyDescent="0.2">
      <c r="H5783" s="1"/>
      <c r="I5783" s="1"/>
    </row>
    <row r="5784" spans="8:9" x14ac:dyDescent="0.2">
      <c r="H5784" s="1"/>
      <c r="I5784" s="1"/>
    </row>
    <row r="5785" spans="8:9" x14ac:dyDescent="0.2">
      <c r="H5785" s="1"/>
      <c r="I5785" s="1"/>
    </row>
    <row r="5786" spans="8:9" x14ac:dyDescent="0.2">
      <c r="H5786" s="1"/>
      <c r="I5786" s="1"/>
    </row>
    <row r="5787" spans="8:9" x14ac:dyDescent="0.2">
      <c r="H5787" s="1"/>
      <c r="I5787" s="1"/>
    </row>
    <row r="5788" spans="8:9" x14ac:dyDescent="0.2">
      <c r="H5788" s="1"/>
      <c r="I5788" s="1"/>
    </row>
    <row r="5789" spans="8:9" x14ac:dyDescent="0.2">
      <c r="H5789" s="1"/>
      <c r="I5789" s="1"/>
    </row>
    <row r="5790" spans="8:9" x14ac:dyDescent="0.2">
      <c r="H5790" s="1"/>
      <c r="I5790" s="1"/>
    </row>
    <row r="5791" spans="8:9" x14ac:dyDescent="0.2">
      <c r="H5791" s="1"/>
      <c r="I5791" s="1"/>
    </row>
    <row r="5792" spans="8:9" x14ac:dyDescent="0.2">
      <c r="H5792" s="1"/>
      <c r="I5792" s="1"/>
    </row>
    <row r="5793" spans="8:9" x14ac:dyDescent="0.2">
      <c r="H5793" s="1"/>
      <c r="I5793" s="1"/>
    </row>
    <row r="5794" spans="8:9" x14ac:dyDescent="0.2">
      <c r="H5794" s="1"/>
      <c r="I5794" s="1"/>
    </row>
    <row r="5795" spans="8:9" x14ac:dyDescent="0.2">
      <c r="H5795" s="1"/>
      <c r="I5795" s="1"/>
    </row>
    <row r="5796" spans="8:9" x14ac:dyDescent="0.2">
      <c r="H5796" s="1"/>
      <c r="I5796" s="1"/>
    </row>
    <row r="5797" spans="8:9" x14ac:dyDescent="0.2">
      <c r="H5797" s="1"/>
      <c r="I5797" s="1"/>
    </row>
    <row r="5798" spans="8:9" x14ac:dyDescent="0.2">
      <c r="H5798" s="1"/>
      <c r="I5798" s="1"/>
    </row>
    <row r="5799" spans="8:9" x14ac:dyDescent="0.2">
      <c r="H5799" s="1"/>
      <c r="I5799" s="1"/>
    </row>
    <row r="5800" spans="8:9" x14ac:dyDescent="0.2">
      <c r="H5800" s="1"/>
      <c r="I5800" s="1"/>
    </row>
    <row r="5801" spans="8:9" x14ac:dyDescent="0.2">
      <c r="H5801" s="1"/>
      <c r="I5801" s="1"/>
    </row>
    <row r="5802" spans="8:9" x14ac:dyDescent="0.2">
      <c r="H5802" s="1"/>
      <c r="I5802" s="1"/>
    </row>
    <row r="5803" spans="8:9" x14ac:dyDescent="0.2">
      <c r="H5803" s="1"/>
      <c r="I5803" s="1"/>
    </row>
    <row r="5804" spans="8:9" x14ac:dyDescent="0.2">
      <c r="H5804" s="1"/>
      <c r="I5804" s="1"/>
    </row>
    <row r="5805" spans="8:9" x14ac:dyDescent="0.2">
      <c r="H5805" s="1"/>
      <c r="I5805" s="1"/>
    </row>
    <row r="5806" spans="8:9" x14ac:dyDescent="0.2">
      <c r="H5806" s="1"/>
      <c r="I5806" s="1"/>
    </row>
    <row r="5807" spans="8:9" x14ac:dyDescent="0.2">
      <c r="H5807" s="1"/>
      <c r="I5807" s="1"/>
    </row>
    <row r="5808" spans="8:9" x14ac:dyDescent="0.2">
      <c r="H5808" s="1"/>
      <c r="I5808" s="1"/>
    </row>
    <row r="5809" spans="8:9" x14ac:dyDescent="0.2">
      <c r="H5809" s="1"/>
      <c r="I5809" s="1"/>
    </row>
    <row r="5810" spans="8:9" x14ac:dyDescent="0.2">
      <c r="H5810" s="1"/>
      <c r="I5810" s="1"/>
    </row>
    <row r="5811" spans="8:9" x14ac:dyDescent="0.2">
      <c r="H5811" s="1"/>
      <c r="I5811" s="1"/>
    </row>
    <row r="5812" spans="8:9" x14ac:dyDescent="0.2">
      <c r="H5812" s="1"/>
      <c r="I5812" s="1"/>
    </row>
    <row r="5813" spans="8:9" x14ac:dyDescent="0.2">
      <c r="H5813" s="1"/>
      <c r="I5813" s="1"/>
    </row>
    <row r="5814" spans="8:9" x14ac:dyDescent="0.2">
      <c r="H5814" s="1"/>
      <c r="I5814" s="1"/>
    </row>
    <row r="5815" spans="8:9" x14ac:dyDescent="0.2">
      <c r="H5815" s="1"/>
      <c r="I5815" s="1"/>
    </row>
    <row r="5816" spans="8:9" x14ac:dyDescent="0.2">
      <c r="H5816" s="1"/>
      <c r="I5816" s="1"/>
    </row>
    <row r="5817" spans="8:9" x14ac:dyDescent="0.2">
      <c r="H5817" s="1"/>
      <c r="I5817" s="1"/>
    </row>
    <row r="5818" spans="8:9" x14ac:dyDescent="0.2">
      <c r="H5818" s="1"/>
      <c r="I5818" s="1"/>
    </row>
    <row r="5819" spans="8:9" x14ac:dyDescent="0.2">
      <c r="H5819" s="1"/>
      <c r="I5819" s="1"/>
    </row>
    <row r="5820" spans="8:9" x14ac:dyDescent="0.2">
      <c r="H5820" s="1"/>
      <c r="I5820" s="1"/>
    </row>
    <row r="5821" spans="8:9" x14ac:dyDescent="0.2">
      <c r="H5821" s="1"/>
      <c r="I5821" s="1"/>
    </row>
    <row r="5822" spans="8:9" x14ac:dyDescent="0.2">
      <c r="H5822" s="1"/>
      <c r="I5822" s="1"/>
    </row>
    <row r="5823" spans="8:9" x14ac:dyDescent="0.2">
      <c r="H5823" s="1"/>
      <c r="I5823" s="1"/>
    </row>
    <row r="5824" spans="8:9" x14ac:dyDescent="0.2">
      <c r="H5824" s="1"/>
      <c r="I5824" s="1"/>
    </row>
    <row r="5825" spans="8:9" x14ac:dyDescent="0.2">
      <c r="H5825" s="1"/>
      <c r="I5825" s="1"/>
    </row>
    <row r="5826" spans="8:9" x14ac:dyDescent="0.2">
      <c r="H5826" s="1"/>
      <c r="I5826" s="1"/>
    </row>
    <row r="5827" spans="8:9" x14ac:dyDescent="0.2">
      <c r="H5827" s="1"/>
      <c r="I5827" s="1"/>
    </row>
    <row r="5828" spans="8:9" x14ac:dyDescent="0.2">
      <c r="H5828" s="1"/>
      <c r="I5828" s="1"/>
    </row>
    <row r="5829" spans="8:9" x14ac:dyDescent="0.2">
      <c r="H5829" s="1"/>
      <c r="I5829" s="1"/>
    </row>
    <row r="5830" spans="8:9" x14ac:dyDescent="0.2">
      <c r="H5830" s="1"/>
      <c r="I5830" s="1"/>
    </row>
    <row r="5831" spans="8:9" x14ac:dyDescent="0.2">
      <c r="H5831" s="1"/>
      <c r="I5831" s="1"/>
    </row>
    <row r="5832" spans="8:9" x14ac:dyDescent="0.2">
      <c r="H5832" s="1"/>
      <c r="I5832" s="1"/>
    </row>
    <row r="5833" spans="8:9" x14ac:dyDescent="0.2">
      <c r="H5833" s="1"/>
      <c r="I5833" s="1"/>
    </row>
    <row r="5834" spans="8:9" x14ac:dyDescent="0.2">
      <c r="H5834" s="1"/>
      <c r="I5834" s="1"/>
    </row>
    <row r="5835" spans="8:9" x14ac:dyDescent="0.2">
      <c r="H5835" s="1"/>
      <c r="I5835" s="1"/>
    </row>
    <row r="5836" spans="8:9" x14ac:dyDescent="0.2">
      <c r="H5836" s="1"/>
      <c r="I5836" s="1"/>
    </row>
    <row r="5837" spans="8:9" x14ac:dyDescent="0.2">
      <c r="H5837" s="1"/>
      <c r="I5837" s="1"/>
    </row>
    <row r="5838" spans="8:9" x14ac:dyDescent="0.2">
      <c r="H5838" s="1"/>
      <c r="I5838" s="1"/>
    </row>
    <row r="5839" spans="8:9" x14ac:dyDescent="0.2">
      <c r="H5839" s="1"/>
      <c r="I5839" s="1"/>
    </row>
    <row r="5840" spans="8:9" x14ac:dyDescent="0.2">
      <c r="H5840" s="1"/>
      <c r="I5840" s="1"/>
    </row>
    <row r="5841" spans="8:9" x14ac:dyDescent="0.2">
      <c r="H5841" s="1"/>
      <c r="I5841" s="1"/>
    </row>
    <row r="5842" spans="8:9" x14ac:dyDescent="0.2">
      <c r="H5842" s="1"/>
      <c r="I5842" s="1"/>
    </row>
    <row r="5843" spans="8:9" x14ac:dyDescent="0.2">
      <c r="H5843" s="1"/>
      <c r="I5843" s="1"/>
    </row>
    <row r="5844" spans="8:9" x14ac:dyDescent="0.2">
      <c r="H5844" s="1"/>
      <c r="I5844" s="1"/>
    </row>
    <row r="5845" spans="8:9" x14ac:dyDescent="0.2">
      <c r="H5845" s="1"/>
      <c r="I5845" s="1"/>
    </row>
    <row r="5846" spans="8:9" x14ac:dyDescent="0.2">
      <c r="H5846" s="1"/>
      <c r="I5846" s="1"/>
    </row>
    <row r="5847" spans="8:9" x14ac:dyDescent="0.2">
      <c r="H5847" s="1"/>
      <c r="I5847" s="1"/>
    </row>
    <row r="5848" spans="8:9" x14ac:dyDescent="0.2">
      <c r="H5848" s="1"/>
      <c r="I5848" s="1"/>
    </row>
    <row r="5849" spans="8:9" x14ac:dyDescent="0.2">
      <c r="H5849" s="1"/>
      <c r="I5849" s="1"/>
    </row>
    <row r="5850" spans="8:9" x14ac:dyDescent="0.2">
      <c r="H5850" s="1"/>
      <c r="I5850" s="1"/>
    </row>
    <row r="5851" spans="8:9" x14ac:dyDescent="0.2">
      <c r="H5851" s="1"/>
      <c r="I5851" s="1"/>
    </row>
    <row r="5852" spans="8:9" x14ac:dyDescent="0.2">
      <c r="H5852" s="1"/>
      <c r="I5852" s="1"/>
    </row>
    <row r="5853" spans="8:9" x14ac:dyDescent="0.2">
      <c r="H5853" s="1"/>
      <c r="I5853" s="1"/>
    </row>
    <row r="5854" spans="8:9" x14ac:dyDescent="0.2">
      <c r="H5854" s="1"/>
      <c r="I5854" s="1"/>
    </row>
    <row r="5855" spans="8:9" x14ac:dyDescent="0.2">
      <c r="H5855" s="1"/>
      <c r="I5855" s="1"/>
    </row>
    <row r="5856" spans="8:9" x14ac:dyDescent="0.2">
      <c r="H5856" s="1"/>
      <c r="I5856" s="1"/>
    </row>
    <row r="5857" spans="8:9" x14ac:dyDescent="0.2">
      <c r="H5857" s="1"/>
      <c r="I5857" s="1"/>
    </row>
    <row r="5858" spans="8:9" x14ac:dyDescent="0.2">
      <c r="H5858" s="1"/>
      <c r="I5858" s="1"/>
    </row>
    <row r="5859" spans="8:9" x14ac:dyDescent="0.2">
      <c r="H5859" s="1"/>
      <c r="I5859" s="1"/>
    </row>
    <row r="5860" spans="8:9" x14ac:dyDescent="0.2">
      <c r="H5860" s="1"/>
      <c r="I5860" s="1"/>
    </row>
    <row r="5861" spans="8:9" x14ac:dyDescent="0.2">
      <c r="H5861" s="1"/>
      <c r="I5861" s="1"/>
    </row>
    <row r="5862" spans="8:9" x14ac:dyDescent="0.2">
      <c r="H5862" s="1"/>
      <c r="I5862" s="1"/>
    </row>
    <row r="5863" spans="8:9" x14ac:dyDescent="0.2">
      <c r="H5863" s="1"/>
      <c r="I5863" s="1"/>
    </row>
    <row r="5864" spans="8:9" x14ac:dyDescent="0.2">
      <c r="H5864" s="1"/>
      <c r="I5864" s="1"/>
    </row>
    <row r="5865" spans="8:9" x14ac:dyDescent="0.2">
      <c r="H5865" s="1"/>
      <c r="I5865" s="1"/>
    </row>
    <row r="5866" spans="8:9" x14ac:dyDescent="0.2">
      <c r="H5866" s="1"/>
      <c r="I5866" s="1"/>
    </row>
    <row r="5867" spans="8:9" x14ac:dyDescent="0.2">
      <c r="H5867" s="1"/>
      <c r="I5867" s="1"/>
    </row>
    <row r="5868" spans="8:9" x14ac:dyDescent="0.2">
      <c r="H5868" s="1"/>
      <c r="I5868" s="1"/>
    </row>
    <row r="5869" spans="8:9" x14ac:dyDescent="0.2">
      <c r="H5869" s="1"/>
      <c r="I5869" s="1"/>
    </row>
    <row r="5870" spans="8:9" x14ac:dyDescent="0.2">
      <c r="H5870" s="1"/>
      <c r="I5870" s="1"/>
    </row>
    <row r="5871" spans="8:9" x14ac:dyDescent="0.2">
      <c r="H5871" s="1"/>
      <c r="I5871" s="1"/>
    </row>
    <row r="5872" spans="8:9" x14ac:dyDescent="0.2">
      <c r="H5872" s="1"/>
      <c r="I5872" s="1"/>
    </row>
    <row r="5873" spans="8:9" x14ac:dyDescent="0.2">
      <c r="H5873" s="1"/>
      <c r="I5873" s="1"/>
    </row>
    <row r="5874" spans="8:9" x14ac:dyDescent="0.2">
      <c r="H5874" s="1"/>
      <c r="I5874" s="1"/>
    </row>
    <row r="5875" spans="8:9" x14ac:dyDescent="0.2">
      <c r="H5875" s="1"/>
      <c r="I5875" s="1"/>
    </row>
    <row r="5876" spans="8:9" x14ac:dyDescent="0.2">
      <c r="H5876" s="1"/>
      <c r="I5876" s="1"/>
    </row>
    <row r="5877" spans="8:9" x14ac:dyDescent="0.2">
      <c r="H5877" s="1"/>
      <c r="I5877" s="1"/>
    </row>
    <row r="5878" spans="8:9" x14ac:dyDescent="0.2">
      <c r="H5878" s="1"/>
      <c r="I5878" s="1"/>
    </row>
    <row r="5879" spans="8:9" x14ac:dyDescent="0.2">
      <c r="H5879" s="1"/>
      <c r="I5879" s="1"/>
    </row>
    <row r="5880" spans="8:9" x14ac:dyDescent="0.2">
      <c r="H5880" s="1"/>
      <c r="I5880" s="1"/>
    </row>
    <row r="5881" spans="8:9" x14ac:dyDescent="0.2">
      <c r="H5881" s="1"/>
      <c r="I5881" s="1"/>
    </row>
    <row r="5882" spans="8:9" x14ac:dyDescent="0.2">
      <c r="H5882" s="1"/>
      <c r="I5882" s="1"/>
    </row>
    <row r="5883" spans="8:9" x14ac:dyDescent="0.2">
      <c r="H5883" s="1"/>
      <c r="I5883" s="1"/>
    </row>
    <row r="5884" spans="8:9" x14ac:dyDescent="0.2">
      <c r="H5884" s="1"/>
      <c r="I5884" s="1"/>
    </row>
    <row r="5885" spans="8:9" x14ac:dyDescent="0.2">
      <c r="H5885" s="1"/>
      <c r="I5885" s="1"/>
    </row>
    <row r="5886" spans="8:9" x14ac:dyDescent="0.2">
      <c r="H5886" s="1"/>
      <c r="I5886" s="1"/>
    </row>
    <row r="5887" spans="8:9" x14ac:dyDescent="0.2">
      <c r="H5887" s="1"/>
      <c r="I5887" s="1"/>
    </row>
    <row r="5888" spans="8:9" x14ac:dyDescent="0.2">
      <c r="H5888" s="1"/>
      <c r="I5888" s="1"/>
    </row>
    <row r="5889" spans="8:9" x14ac:dyDescent="0.2">
      <c r="H5889" s="1"/>
      <c r="I5889" s="1"/>
    </row>
    <row r="5890" spans="8:9" x14ac:dyDescent="0.2">
      <c r="H5890" s="1"/>
      <c r="I5890" s="1"/>
    </row>
    <row r="5891" spans="8:9" x14ac:dyDescent="0.2">
      <c r="H5891" s="1"/>
      <c r="I5891" s="1"/>
    </row>
    <row r="5892" spans="8:9" x14ac:dyDescent="0.2">
      <c r="H5892" s="1"/>
      <c r="I5892" s="1"/>
    </row>
    <row r="5893" spans="8:9" x14ac:dyDescent="0.2">
      <c r="H5893" s="1"/>
      <c r="I5893" s="1"/>
    </row>
    <row r="5894" spans="8:9" x14ac:dyDescent="0.2">
      <c r="H5894" s="1"/>
      <c r="I5894" s="1"/>
    </row>
    <row r="5895" spans="8:9" x14ac:dyDescent="0.2">
      <c r="H5895" s="1"/>
      <c r="I5895" s="1"/>
    </row>
    <row r="5896" spans="8:9" x14ac:dyDescent="0.2">
      <c r="H5896" s="1"/>
      <c r="I5896" s="1"/>
    </row>
    <row r="5897" spans="8:9" x14ac:dyDescent="0.2">
      <c r="H5897" s="1"/>
      <c r="I5897" s="1"/>
    </row>
    <row r="5898" spans="8:9" x14ac:dyDescent="0.2">
      <c r="H5898" s="1"/>
      <c r="I5898" s="1"/>
    </row>
    <row r="5899" spans="8:9" x14ac:dyDescent="0.2">
      <c r="H5899" s="1"/>
      <c r="I5899" s="1"/>
    </row>
    <row r="5900" spans="8:9" x14ac:dyDescent="0.2">
      <c r="H5900" s="1"/>
      <c r="I5900" s="1"/>
    </row>
    <row r="5901" spans="8:9" x14ac:dyDescent="0.2">
      <c r="H5901" s="1"/>
      <c r="I5901" s="1"/>
    </row>
    <row r="5902" spans="8:9" x14ac:dyDescent="0.2">
      <c r="H5902" s="1"/>
      <c r="I5902" s="1"/>
    </row>
    <row r="5903" spans="8:9" x14ac:dyDescent="0.2">
      <c r="H5903" s="1"/>
      <c r="I5903" s="1"/>
    </row>
    <row r="5904" spans="8:9" x14ac:dyDescent="0.2">
      <c r="H5904" s="1"/>
      <c r="I5904" s="1"/>
    </row>
    <row r="5905" spans="8:9" x14ac:dyDescent="0.2">
      <c r="H5905" s="1"/>
      <c r="I5905" s="1"/>
    </row>
    <row r="5906" spans="8:9" x14ac:dyDescent="0.2">
      <c r="H5906" s="1"/>
      <c r="I5906" s="1"/>
    </row>
    <row r="5907" spans="8:9" x14ac:dyDescent="0.2">
      <c r="H5907" s="1"/>
      <c r="I5907" s="1"/>
    </row>
    <row r="5908" spans="8:9" x14ac:dyDescent="0.2">
      <c r="H5908" s="1"/>
      <c r="I5908" s="1"/>
    </row>
    <row r="5909" spans="8:9" x14ac:dyDescent="0.2">
      <c r="H5909" s="1"/>
      <c r="I5909" s="1"/>
    </row>
    <row r="5910" spans="8:9" x14ac:dyDescent="0.2">
      <c r="H5910" s="1"/>
      <c r="I5910" s="1"/>
    </row>
    <row r="5911" spans="8:9" x14ac:dyDescent="0.2">
      <c r="H5911" s="1"/>
      <c r="I5911" s="1"/>
    </row>
    <row r="5912" spans="8:9" x14ac:dyDescent="0.2">
      <c r="H5912" s="1"/>
      <c r="I5912" s="1"/>
    </row>
    <row r="5913" spans="8:9" x14ac:dyDescent="0.2">
      <c r="H5913" s="1"/>
      <c r="I5913" s="1"/>
    </row>
    <row r="5914" spans="8:9" x14ac:dyDescent="0.2">
      <c r="H5914" s="1"/>
      <c r="I5914" s="1"/>
    </row>
    <row r="5915" spans="8:9" x14ac:dyDescent="0.2">
      <c r="H5915" s="1"/>
      <c r="I5915" s="1"/>
    </row>
    <row r="5916" spans="8:9" x14ac:dyDescent="0.2">
      <c r="H5916" s="1"/>
      <c r="I5916" s="1"/>
    </row>
    <row r="5917" spans="8:9" x14ac:dyDescent="0.2">
      <c r="H5917" s="1"/>
      <c r="I5917" s="1"/>
    </row>
    <row r="5918" spans="8:9" x14ac:dyDescent="0.2">
      <c r="H5918" s="1"/>
      <c r="I5918" s="1"/>
    </row>
    <row r="5919" spans="8:9" x14ac:dyDescent="0.2">
      <c r="H5919" s="1"/>
      <c r="I5919" s="1"/>
    </row>
    <row r="5920" spans="8:9" x14ac:dyDescent="0.2">
      <c r="H5920" s="1"/>
      <c r="I5920" s="1"/>
    </row>
    <row r="5921" spans="8:9" x14ac:dyDescent="0.2">
      <c r="H5921" s="1"/>
      <c r="I5921" s="1"/>
    </row>
    <row r="5922" spans="8:9" x14ac:dyDescent="0.2">
      <c r="H5922" s="1"/>
      <c r="I5922" s="1"/>
    </row>
    <row r="5923" spans="8:9" x14ac:dyDescent="0.2">
      <c r="H5923" s="1"/>
      <c r="I5923" s="1"/>
    </row>
    <row r="5924" spans="8:9" x14ac:dyDescent="0.2">
      <c r="H5924" s="1"/>
      <c r="I5924" s="1"/>
    </row>
    <row r="5925" spans="8:9" x14ac:dyDescent="0.2">
      <c r="H5925" s="1"/>
      <c r="I5925" s="1"/>
    </row>
    <row r="5926" spans="8:9" x14ac:dyDescent="0.2">
      <c r="H5926" s="1"/>
      <c r="I5926" s="1"/>
    </row>
    <row r="5927" spans="8:9" x14ac:dyDescent="0.2">
      <c r="H5927" s="1"/>
      <c r="I5927" s="1"/>
    </row>
    <row r="5928" spans="8:9" x14ac:dyDescent="0.2">
      <c r="H5928" s="1"/>
      <c r="I5928" s="1"/>
    </row>
    <row r="5929" spans="8:9" x14ac:dyDescent="0.2">
      <c r="H5929" s="1"/>
      <c r="I5929" s="1"/>
    </row>
    <row r="5930" spans="8:9" x14ac:dyDescent="0.2">
      <c r="H5930" s="1"/>
      <c r="I5930" s="1"/>
    </row>
    <row r="5931" spans="8:9" x14ac:dyDescent="0.2">
      <c r="H5931" s="1"/>
      <c r="I5931" s="1"/>
    </row>
    <row r="5932" spans="8:9" x14ac:dyDescent="0.2">
      <c r="H5932" s="1"/>
      <c r="I5932" s="1"/>
    </row>
    <row r="5933" spans="8:9" x14ac:dyDescent="0.2">
      <c r="H5933" s="1"/>
      <c r="I5933" s="1"/>
    </row>
    <row r="5934" spans="8:9" x14ac:dyDescent="0.2">
      <c r="H5934" s="1"/>
      <c r="I5934" s="1"/>
    </row>
    <row r="5935" spans="8:9" x14ac:dyDescent="0.2">
      <c r="H5935" s="1"/>
      <c r="I5935" s="1"/>
    </row>
    <row r="5936" spans="8:9" x14ac:dyDescent="0.2">
      <c r="H5936" s="1"/>
      <c r="I5936" s="1"/>
    </row>
    <row r="5937" spans="8:9" x14ac:dyDescent="0.2">
      <c r="H5937" s="1"/>
      <c r="I5937" s="1"/>
    </row>
    <row r="5938" spans="8:9" x14ac:dyDescent="0.2">
      <c r="H5938" s="1"/>
      <c r="I5938" s="1"/>
    </row>
    <row r="5939" spans="8:9" x14ac:dyDescent="0.2">
      <c r="H5939" s="1"/>
      <c r="I5939" s="1"/>
    </row>
    <row r="5940" spans="8:9" x14ac:dyDescent="0.2">
      <c r="H5940" s="1"/>
      <c r="I5940" s="1"/>
    </row>
    <row r="5941" spans="8:9" x14ac:dyDescent="0.2">
      <c r="H5941" s="1"/>
      <c r="I5941" s="1"/>
    </row>
    <row r="5942" spans="8:9" x14ac:dyDescent="0.2">
      <c r="H5942" s="1"/>
      <c r="I5942" s="1"/>
    </row>
    <row r="5943" spans="8:9" x14ac:dyDescent="0.2">
      <c r="H5943" s="1"/>
      <c r="I5943" s="1"/>
    </row>
    <row r="5944" spans="8:9" x14ac:dyDescent="0.2">
      <c r="H5944" s="1"/>
      <c r="I5944" s="1"/>
    </row>
    <row r="5945" spans="8:9" x14ac:dyDescent="0.2">
      <c r="H5945" s="1"/>
      <c r="I5945" s="1"/>
    </row>
    <row r="5946" spans="8:9" x14ac:dyDescent="0.2">
      <c r="H5946" s="1"/>
      <c r="I5946" s="1"/>
    </row>
    <row r="5947" spans="8:9" x14ac:dyDescent="0.2">
      <c r="H5947" s="1"/>
      <c r="I5947" s="1"/>
    </row>
    <row r="5948" spans="8:9" x14ac:dyDescent="0.2">
      <c r="H5948" s="1"/>
      <c r="I5948" s="1"/>
    </row>
    <row r="5949" spans="8:9" x14ac:dyDescent="0.2">
      <c r="H5949" s="1"/>
      <c r="I5949" s="1"/>
    </row>
    <row r="5950" spans="8:9" x14ac:dyDescent="0.2">
      <c r="H5950" s="1"/>
      <c r="I5950" s="1"/>
    </row>
    <row r="5951" spans="8:9" x14ac:dyDescent="0.2">
      <c r="H5951" s="1"/>
      <c r="I5951" s="1"/>
    </row>
    <row r="5952" spans="8:9" x14ac:dyDescent="0.2">
      <c r="H5952" s="1"/>
      <c r="I5952" s="1"/>
    </row>
    <row r="5953" spans="8:9" x14ac:dyDescent="0.2">
      <c r="H5953" s="1"/>
      <c r="I5953" s="1"/>
    </row>
    <row r="5954" spans="8:9" x14ac:dyDescent="0.2">
      <c r="H5954" s="1"/>
      <c r="I5954" s="1"/>
    </row>
    <row r="5955" spans="8:9" x14ac:dyDescent="0.2">
      <c r="H5955" s="1"/>
      <c r="I5955" s="1"/>
    </row>
    <row r="5956" spans="8:9" x14ac:dyDescent="0.2">
      <c r="H5956" s="1"/>
      <c r="I5956" s="1"/>
    </row>
    <row r="5957" spans="8:9" x14ac:dyDescent="0.2">
      <c r="H5957" s="1"/>
      <c r="I5957" s="1"/>
    </row>
    <row r="5958" spans="8:9" x14ac:dyDescent="0.2">
      <c r="H5958" s="1"/>
      <c r="I5958" s="1"/>
    </row>
    <row r="5959" spans="8:9" x14ac:dyDescent="0.2">
      <c r="H5959" s="1"/>
      <c r="I5959" s="1"/>
    </row>
    <row r="5960" spans="8:9" x14ac:dyDescent="0.2">
      <c r="H5960" s="1"/>
      <c r="I5960" s="1"/>
    </row>
    <row r="5961" spans="8:9" x14ac:dyDescent="0.2">
      <c r="H5961" s="1"/>
      <c r="I5961" s="1"/>
    </row>
    <row r="5962" spans="8:9" x14ac:dyDescent="0.2">
      <c r="H5962" s="1"/>
      <c r="I5962" s="1"/>
    </row>
    <row r="5963" spans="8:9" x14ac:dyDescent="0.2">
      <c r="H5963" s="1"/>
      <c r="I5963" s="1"/>
    </row>
    <row r="5964" spans="8:9" x14ac:dyDescent="0.2">
      <c r="H5964" s="1"/>
      <c r="I5964" s="1"/>
    </row>
    <row r="5965" spans="8:9" x14ac:dyDescent="0.2">
      <c r="H5965" s="1"/>
      <c r="I5965" s="1"/>
    </row>
    <row r="5966" spans="8:9" x14ac:dyDescent="0.2">
      <c r="H5966" s="1"/>
      <c r="I5966" s="1"/>
    </row>
    <row r="5967" spans="8:9" x14ac:dyDescent="0.2">
      <c r="H5967" s="1"/>
      <c r="I5967" s="1"/>
    </row>
    <row r="5968" spans="8:9" x14ac:dyDescent="0.2">
      <c r="H5968" s="1"/>
      <c r="I5968" s="1"/>
    </row>
    <row r="5969" spans="8:9" x14ac:dyDescent="0.2">
      <c r="H5969" s="1"/>
      <c r="I5969" s="1"/>
    </row>
    <row r="5970" spans="8:9" x14ac:dyDescent="0.2">
      <c r="H5970" s="1"/>
      <c r="I5970" s="1"/>
    </row>
    <row r="5971" spans="8:9" x14ac:dyDescent="0.2">
      <c r="H5971" s="1"/>
      <c r="I5971" s="1"/>
    </row>
    <row r="5972" spans="8:9" x14ac:dyDescent="0.2">
      <c r="H5972" s="1"/>
      <c r="I5972" s="1"/>
    </row>
    <row r="5973" spans="8:9" x14ac:dyDescent="0.2">
      <c r="H5973" s="1"/>
      <c r="I5973" s="1"/>
    </row>
    <row r="5974" spans="8:9" x14ac:dyDescent="0.2">
      <c r="H5974" s="1"/>
      <c r="I5974" s="1"/>
    </row>
    <row r="5975" spans="8:9" x14ac:dyDescent="0.2">
      <c r="H5975" s="1"/>
      <c r="I5975" s="1"/>
    </row>
    <row r="5976" spans="8:9" x14ac:dyDescent="0.2">
      <c r="H5976" s="1"/>
      <c r="I5976" s="1"/>
    </row>
    <row r="5977" spans="8:9" x14ac:dyDescent="0.2">
      <c r="H5977" s="1"/>
      <c r="I5977" s="1"/>
    </row>
    <row r="5978" spans="8:9" x14ac:dyDescent="0.2">
      <c r="H5978" s="1"/>
      <c r="I5978" s="1"/>
    </row>
    <row r="5979" spans="8:9" x14ac:dyDescent="0.2">
      <c r="H5979" s="1"/>
      <c r="I5979" s="1"/>
    </row>
    <row r="5980" spans="8:9" x14ac:dyDescent="0.2">
      <c r="H5980" s="1"/>
      <c r="I5980" s="1"/>
    </row>
    <row r="5981" spans="8:9" x14ac:dyDescent="0.2">
      <c r="H5981" s="1"/>
      <c r="I5981" s="1"/>
    </row>
    <row r="5982" spans="8:9" x14ac:dyDescent="0.2">
      <c r="H5982" s="1"/>
      <c r="I5982" s="1"/>
    </row>
    <row r="5983" spans="8:9" x14ac:dyDescent="0.2">
      <c r="H5983" s="1"/>
      <c r="I5983" s="1"/>
    </row>
    <row r="5984" spans="8:9" x14ac:dyDescent="0.2">
      <c r="H5984" s="1"/>
      <c r="I5984" s="1"/>
    </row>
    <row r="5985" spans="8:9" x14ac:dyDescent="0.2">
      <c r="H5985" s="1"/>
      <c r="I5985" s="1"/>
    </row>
    <row r="5986" spans="8:9" x14ac:dyDescent="0.2">
      <c r="H5986" s="1"/>
      <c r="I5986" s="1"/>
    </row>
    <row r="5987" spans="8:9" x14ac:dyDescent="0.2">
      <c r="H5987" s="1"/>
      <c r="I5987" s="1"/>
    </row>
    <row r="5988" spans="8:9" x14ac:dyDescent="0.2">
      <c r="H5988" s="1"/>
      <c r="I5988" s="1"/>
    </row>
    <row r="5989" spans="8:9" x14ac:dyDescent="0.2">
      <c r="H5989" s="1"/>
      <c r="I5989" s="1"/>
    </row>
    <row r="5990" spans="8:9" x14ac:dyDescent="0.2">
      <c r="H5990" s="1"/>
      <c r="I5990" s="1"/>
    </row>
    <row r="5991" spans="8:9" x14ac:dyDescent="0.2">
      <c r="H5991" s="1"/>
      <c r="I5991" s="1"/>
    </row>
    <row r="5992" spans="8:9" x14ac:dyDescent="0.2">
      <c r="H5992" s="1"/>
      <c r="I5992" s="1"/>
    </row>
    <row r="5993" spans="8:9" x14ac:dyDescent="0.2">
      <c r="H5993" s="1"/>
      <c r="I5993" s="1"/>
    </row>
    <row r="5994" spans="8:9" x14ac:dyDescent="0.2">
      <c r="H5994" s="1"/>
      <c r="I5994" s="1"/>
    </row>
    <row r="5995" spans="8:9" x14ac:dyDescent="0.2">
      <c r="H5995" s="1"/>
      <c r="I5995" s="1"/>
    </row>
    <row r="5996" spans="8:9" x14ac:dyDescent="0.2">
      <c r="H5996" s="1"/>
      <c r="I5996" s="1"/>
    </row>
    <row r="5997" spans="8:9" x14ac:dyDescent="0.2">
      <c r="H5997" s="1"/>
      <c r="I5997" s="1"/>
    </row>
    <row r="5998" spans="8:9" x14ac:dyDescent="0.2">
      <c r="H5998" s="1"/>
      <c r="I5998" s="1"/>
    </row>
    <row r="5999" spans="8:9" x14ac:dyDescent="0.2">
      <c r="H5999" s="1"/>
      <c r="I5999" s="1"/>
    </row>
    <row r="6000" spans="8:9" x14ac:dyDescent="0.2">
      <c r="H6000" s="1"/>
      <c r="I6000" s="1"/>
    </row>
    <row r="6001" spans="8:9" x14ac:dyDescent="0.2">
      <c r="H6001" s="1"/>
      <c r="I6001" s="1"/>
    </row>
    <row r="6002" spans="8:9" x14ac:dyDescent="0.2">
      <c r="H6002" s="1"/>
      <c r="I6002" s="1"/>
    </row>
    <row r="6003" spans="8:9" x14ac:dyDescent="0.2">
      <c r="H6003" s="1"/>
      <c r="I6003" s="1"/>
    </row>
    <row r="6004" spans="8:9" x14ac:dyDescent="0.2">
      <c r="H6004" s="1"/>
      <c r="I6004" s="1"/>
    </row>
    <row r="6005" spans="8:9" x14ac:dyDescent="0.2">
      <c r="H6005" s="1"/>
      <c r="I6005" s="1"/>
    </row>
    <row r="6006" spans="8:9" x14ac:dyDescent="0.2">
      <c r="H6006" s="1"/>
      <c r="I6006" s="1"/>
    </row>
    <row r="6007" spans="8:9" x14ac:dyDescent="0.2">
      <c r="H6007" s="1"/>
      <c r="I6007" s="1"/>
    </row>
    <row r="6008" spans="8:9" x14ac:dyDescent="0.2">
      <c r="H6008" s="1"/>
      <c r="I6008" s="1"/>
    </row>
    <row r="6009" spans="8:9" x14ac:dyDescent="0.2">
      <c r="H6009" s="1"/>
      <c r="I6009" s="1"/>
    </row>
    <row r="6010" spans="8:9" x14ac:dyDescent="0.2">
      <c r="H6010" s="1"/>
      <c r="I6010" s="1"/>
    </row>
    <row r="6011" spans="8:9" x14ac:dyDescent="0.2">
      <c r="H6011" s="1"/>
      <c r="I6011" s="1"/>
    </row>
    <row r="6012" spans="8:9" x14ac:dyDescent="0.2">
      <c r="H6012" s="1"/>
      <c r="I6012" s="1"/>
    </row>
    <row r="6013" spans="8:9" x14ac:dyDescent="0.2">
      <c r="H6013" s="1"/>
      <c r="I6013" s="1"/>
    </row>
    <row r="6014" spans="8:9" x14ac:dyDescent="0.2">
      <c r="H6014" s="1"/>
      <c r="I6014" s="1"/>
    </row>
    <row r="6015" spans="8:9" x14ac:dyDescent="0.2">
      <c r="H6015" s="1"/>
      <c r="I6015" s="1"/>
    </row>
    <row r="6016" spans="8:9" x14ac:dyDescent="0.2">
      <c r="H6016" s="1"/>
      <c r="I6016" s="1"/>
    </row>
    <row r="6017" spans="8:9" x14ac:dyDescent="0.2">
      <c r="H6017" s="1"/>
      <c r="I6017" s="1"/>
    </row>
    <row r="6018" spans="8:9" x14ac:dyDescent="0.2">
      <c r="H6018" s="1"/>
      <c r="I6018" s="1"/>
    </row>
    <row r="6019" spans="8:9" x14ac:dyDescent="0.2">
      <c r="H6019" s="1"/>
      <c r="I6019" s="1"/>
    </row>
    <row r="6020" spans="8:9" x14ac:dyDescent="0.2">
      <c r="H6020" s="1"/>
      <c r="I6020" s="1"/>
    </row>
    <row r="6021" spans="8:9" x14ac:dyDescent="0.2">
      <c r="H6021" s="1"/>
      <c r="I6021" s="1"/>
    </row>
    <row r="6022" spans="8:9" x14ac:dyDescent="0.2">
      <c r="H6022" s="1"/>
      <c r="I6022" s="1"/>
    </row>
    <row r="6023" spans="8:9" x14ac:dyDescent="0.2">
      <c r="H6023" s="1"/>
      <c r="I6023" s="1"/>
    </row>
    <row r="6024" spans="8:9" x14ac:dyDescent="0.2">
      <c r="H6024" s="1"/>
      <c r="I6024" s="1"/>
    </row>
    <row r="6025" spans="8:9" x14ac:dyDescent="0.2">
      <c r="H6025" s="1"/>
      <c r="I6025" s="1"/>
    </row>
    <row r="6026" spans="8:9" x14ac:dyDescent="0.2">
      <c r="H6026" s="1"/>
      <c r="I6026" s="1"/>
    </row>
    <row r="6027" spans="8:9" x14ac:dyDescent="0.2">
      <c r="H6027" s="1"/>
      <c r="I6027" s="1"/>
    </row>
    <row r="6028" spans="8:9" x14ac:dyDescent="0.2">
      <c r="H6028" s="1"/>
      <c r="I6028" s="1"/>
    </row>
    <row r="6029" spans="8:9" x14ac:dyDescent="0.2">
      <c r="H6029" s="1"/>
      <c r="I6029" s="1"/>
    </row>
    <row r="6030" spans="8:9" x14ac:dyDescent="0.2">
      <c r="H6030" s="1"/>
      <c r="I6030" s="1"/>
    </row>
    <row r="6031" spans="8:9" x14ac:dyDescent="0.2">
      <c r="H6031" s="1"/>
      <c r="I6031" s="1"/>
    </row>
    <row r="6032" spans="8:9" x14ac:dyDescent="0.2">
      <c r="H6032" s="1"/>
      <c r="I6032" s="1"/>
    </row>
    <row r="6033" spans="8:9" x14ac:dyDescent="0.2">
      <c r="H6033" s="1"/>
      <c r="I6033" s="1"/>
    </row>
    <row r="6034" spans="8:9" x14ac:dyDescent="0.2">
      <c r="H6034" s="1"/>
      <c r="I6034" s="1"/>
    </row>
    <row r="6035" spans="8:9" x14ac:dyDescent="0.2">
      <c r="H6035" s="1"/>
      <c r="I6035" s="1"/>
    </row>
    <row r="6036" spans="8:9" x14ac:dyDescent="0.2">
      <c r="H6036" s="1"/>
      <c r="I6036" s="1"/>
    </row>
    <row r="6037" spans="8:9" x14ac:dyDescent="0.2">
      <c r="H6037" s="1"/>
      <c r="I6037" s="1"/>
    </row>
    <row r="6038" spans="8:9" x14ac:dyDescent="0.2">
      <c r="H6038" s="1"/>
      <c r="I6038" s="1"/>
    </row>
    <row r="6039" spans="8:9" x14ac:dyDescent="0.2">
      <c r="H6039" s="1"/>
      <c r="I6039" s="1"/>
    </row>
    <row r="6040" spans="8:9" x14ac:dyDescent="0.2">
      <c r="H6040" s="1"/>
      <c r="I6040" s="1"/>
    </row>
    <row r="6041" spans="8:9" x14ac:dyDescent="0.2">
      <c r="H6041" s="1"/>
      <c r="I6041" s="1"/>
    </row>
    <row r="6042" spans="8:9" x14ac:dyDescent="0.2">
      <c r="H6042" s="1"/>
      <c r="I6042" s="1"/>
    </row>
    <row r="6043" spans="8:9" x14ac:dyDescent="0.2">
      <c r="H6043" s="1"/>
      <c r="I6043" s="1"/>
    </row>
    <row r="6044" spans="8:9" x14ac:dyDescent="0.2">
      <c r="H6044" s="1"/>
      <c r="I6044" s="1"/>
    </row>
    <row r="6045" spans="8:9" x14ac:dyDescent="0.2">
      <c r="H6045" s="1"/>
      <c r="I6045" s="1"/>
    </row>
    <row r="6046" spans="8:9" x14ac:dyDescent="0.2">
      <c r="H6046" s="1"/>
      <c r="I6046" s="1"/>
    </row>
    <row r="6047" spans="8:9" x14ac:dyDescent="0.2">
      <c r="H6047" s="1"/>
      <c r="I6047" s="1"/>
    </row>
    <row r="6048" spans="8:9" x14ac:dyDescent="0.2">
      <c r="H6048" s="1"/>
      <c r="I6048" s="1"/>
    </row>
    <row r="6049" spans="8:9" x14ac:dyDescent="0.2">
      <c r="H6049" s="1"/>
      <c r="I6049" s="1"/>
    </row>
    <row r="6050" spans="8:9" x14ac:dyDescent="0.2">
      <c r="H6050" s="1"/>
      <c r="I6050" s="1"/>
    </row>
    <row r="6051" spans="8:9" x14ac:dyDescent="0.2">
      <c r="H6051" s="1"/>
      <c r="I6051" s="1"/>
    </row>
    <row r="6052" spans="8:9" x14ac:dyDescent="0.2">
      <c r="H6052" s="1"/>
      <c r="I6052" s="1"/>
    </row>
    <row r="6053" spans="8:9" x14ac:dyDescent="0.2">
      <c r="H6053" s="1"/>
      <c r="I6053" s="1"/>
    </row>
    <row r="6054" spans="8:9" x14ac:dyDescent="0.2">
      <c r="H6054" s="1"/>
      <c r="I6054" s="1"/>
    </row>
    <row r="6055" spans="8:9" x14ac:dyDescent="0.2">
      <c r="H6055" s="1"/>
      <c r="I6055" s="1"/>
    </row>
    <row r="6056" spans="8:9" x14ac:dyDescent="0.2">
      <c r="H6056" s="1"/>
      <c r="I6056" s="1"/>
    </row>
    <row r="6057" spans="8:9" x14ac:dyDescent="0.2">
      <c r="H6057" s="1"/>
      <c r="I6057" s="1"/>
    </row>
    <row r="6058" spans="8:9" x14ac:dyDescent="0.2">
      <c r="H6058" s="1"/>
      <c r="I6058" s="1"/>
    </row>
    <row r="6059" spans="8:9" x14ac:dyDescent="0.2">
      <c r="H6059" s="1"/>
      <c r="I6059" s="1"/>
    </row>
    <row r="6060" spans="8:9" x14ac:dyDescent="0.2">
      <c r="H6060" s="1"/>
      <c r="I6060" s="1"/>
    </row>
    <row r="6061" spans="8:9" x14ac:dyDescent="0.2">
      <c r="H6061" s="1"/>
      <c r="I6061" s="1"/>
    </row>
    <row r="6062" spans="8:9" x14ac:dyDescent="0.2">
      <c r="H6062" s="1"/>
      <c r="I6062" s="1"/>
    </row>
    <row r="6063" spans="8:9" x14ac:dyDescent="0.2">
      <c r="H6063" s="1"/>
      <c r="I6063" s="1"/>
    </row>
    <row r="6064" spans="8:9" x14ac:dyDescent="0.2">
      <c r="H6064" s="1"/>
      <c r="I6064" s="1"/>
    </row>
    <row r="6065" spans="8:9" x14ac:dyDescent="0.2">
      <c r="H6065" s="1"/>
      <c r="I6065" s="1"/>
    </row>
    <row r="6066" spans="8:9" x14ac:dyDescent="0.2">
      <c r="H6066" s="1"/>
      <c r="I6066" s="1"/>
    </row>
    <row r="6067" spans="8:9" x14ac:dyDescent="0.2">
      <c r="H6067" s="1"/>
      <c r="I6067" s="1"/>
    </row>
    <row r="6068" spans="8:9" x14ac:dyDescent="0.2">
      <c r="H6068" s="1"/>
      <c r="I6068" s="1"/>
    </row>
    <row r="6069" spans="8:9" x14ac:dyDescent="0.2">
      <c r="H6069" s="1"/>
      <c r="I6069" s="1"/>
    </row>
    <row r="6070" spans="8:9" x14ac:dyDescent="0.2">
      <c r="H6070" s="1"/>
      <c r="I6070" s="1"/>
    </row>
    <row r="6071" spans="8:9" x14ac:dyDescent="0.2">
      <c r="H6071" s="1"/>
      <c r="I6071" s="1"/>
    </row>
    <row r="6072" spans="8:9" x14ac:dyDescent="0.2">
      <c r="H6072" s="1"/>
      <c r="I6072" s="1"/>
    </row>
    <row r="6073" spans="8:9" x14ac:dyDescent="0.2">
      <c r="H6073" s="1"/>
      <c r="I6073" s="1"/>
    </row>
    <row r="6074" spans="8:9" x14ac:dyDescent="0.2">
      <c r="H6074" s="1"/>
      <c r="I6074" s="1"/>
    </row>
    <row r="6075" spans="8:9" x14ac:dyDescent="0.2">
      <c r="H6075" s="1"/>
      <c r="I6075" s="1"/>
    </row>
    <row r="6076" spans="8:9" x14ac:dyDescent="0.2">
      <c r="H6076" s="1"/>
      <c r="I6076" s="1"/>
    </row>
    <row r="6077" spans="8:9" x14ac:dyDescent="0.2">
      <c r="H6077" s="1"/>
      <c r="I6077" s="1"/>
    </row>
    <row r="6078" spans="8:9" x14ac:dyDescent="0.2">
      <c r="H6078" s="1"/>
      <c r="I6078" s="1"/>
    </row>
    <row r="6079" spans="8:9" x14ac:dyDescent="0.2">
      <c r="H6079" s="1"/>
      <c r="I6079" s="1"/>
    </row>
    <row r="6080" spans="8:9" x14ac:dyDescent="0.2">
      <c r="H6080" s="1"/>
      <c r="I6080" s="1"/>
    </row>
    <row r="6081" spans="8:9" x14ac:dyDescent="0.2">
      <c r="H6081" s="1"/>
      <c r="I6081" s="1"/>
    </row>
    <row r="6082" spans="8:9" x14ac:dyDescent="0.2">
      <c r="H6082" s="1"/>
      <c r="I6082" s="1"/>
    </row>
    <row r="6083" spans="8:9" x14ac:dyDescent="0.2">
      <c r="H6083" s="1"/>
      <c r="I6083" s="1"/>
    </row>
    <row r="6084" spans="8:9" x14ac:dyDescent="0.2">
      <c r="H6084" s="1"/>
      <c r="I6084" s="1"/>
    </row>
    <row r="6085" spans="8:9" x14ac:dyDescent="0.2">
      <c r="H6085" s="1"/>
      <c r="I6085" s="1"/>
    </row>
    <row r="6086" spans="8:9" x14ac:dyDescent="0.2">
      <c r="H6086" s="1"/>
      <c r="I6086" s="1"/>
    </row>
    <row r="6087" spans="8:9" x14ac:dyDescent="0.2">
      <c r="H6087" s="1"/>
      <c r="I6087" s="1"/>
    </row>
    <row r="6088" spans="8:9" x14ac:dyDescent="0.2">
      <c r="H6088" s="1"/>
      <c r="I6088" s="1"/>
    </row>
    <row r="6089" spans="8:9" x14ac:dyDescent="0.2">
      <c r="H6089" s="1"/>
      <c r="I6089" s="1"/>
    </row>
    <row r="6090" spans="8:9" x14ac:dyDescent="0.2">
      <c r="H6090" s="1"/>
      <c r="I6090" s="1"/>
    </row>
    <row r="6091" spans="8:9" x14ac:dyDescent="0.2">
      <c r="H6091" s="1"/>
      <c r="I6091" s="1"/>
    </row>
    <row r="6092" spans="8:9" x14ac:dyDescent="0.2">
      <c r="H6092" s="1"/>
      <c r="I6092" s="1"/>
    </row>
    <row r="6093" spans="8:9" x14ac:dyDescent="0.2">
      <c r="H6093" s="1"/>
      <c r="I6093" s="1"/>
    </row>
    <row r="6094" spans="8:9" x14ac:dyDescent="0.2">
      <c r="H6094" s="1"/>
      <c r="I6094" s="1"/>
    </row>
    <row r="6095" spans="8:9" x14ac:dyDescent="0.2">
      <c r="H6095" s="1"/>
      <c r="I6095" s="1"/>
    </row>
    <row r="6096" spans="8:9" x14ac:dyDescent="0.2">
      <c r="H6096" s="1"/>
      <c r="I6096" s="1"/>
    </row>
    <row r="6097" spans="8:9" x14ac:dyDescent="0.2">
      <c r="H6097" s="1"/>
      <c r="I6097" s="1"/>
    </row>
    <row r="6098" spans="8:9" x14ac:dyDescent="0.2">
      <c r="H6098" s="1"/>
      <c r="I6098" s="1"/>
    </row>
    <row r="6099" spans="8:9" x14ac:dyDescent="0.2">
      <c r="H6099" s="1"/>
      <c r="I6099" s="1"/>
    </row>
    <row r="6100" spans="8:9" x14ac:dyDescent="0.2">
      <c r="H6100" s="1"/>
      <c r="I6100" s="1"/>
    </row>
    <row r="6101" spans="8:9" x14ac:dyDescent="0.2">
      <c r="H6101" s="1"/>
      <c r="I6101" s="1"/>
    </row>
    <row r="6102" spans="8:9" x14ac:dyDescent="0.2">
      <c r="H6102" s="1"/>
      <c r="I6102" s="1"/>
    </row>
    <row r="6103" spans="8:9" x14ac:dyDescent="0.2">
      <c r="H6103" s="1"/>
      <c r="I6103" s="1"/>
    </row>
    <row r="6104" spans="8:9" x14ac:dyDescent="0.2">
      <c r="H6104" s="1"/>
      <c r="I6104" s="1"/>
    </row>
    <row r="6105" spans="8:9" x14ac:dyDescent="0.2">
      <c r="H6105" s="1"/>
      <c r="I6105" s="1"/>
    </row>
    <row r="6106" spans="8:9" x14ac:dyDescent="0.2">
      <c r="H6106" s="1"/>
      <c r="I6106" s="1"/>
    </row>
    <row r="6107" spans="8:9" x14ac:dyDescent="0.2">
      <c r="H6107" s="1"/>
      <c r="I6107" s="1"/>
    </row>
    <row r="6108" spans="8:9" x14ac:dyDescent="0.2">
      <c r="H6108" s="1"/>
      <c r="I6108" s="1"/>
    </row>
    <row r="6109" spans="8:9" x14ac:dyDescent="0.2">
      <c r="H6109" s="1"/>
      <c r="I6109" s="1"/>
    </row>
    <row r="6110" spans="8:9" x14ac:dyDescent="0.2">
      <c r="H6110" s="1"/>
      <c r="I6110" s="1"/>
    </row>
    <row r="6111" spans="8:9" x14ac:dyDescent="0.2">
      <c r="H6111" s="1"/>
      <c r="I6111" s="1"/>
    </row>
    <row r="6112" spans="8:9" x14ac:dyDescent="0.2">
      <c r="H6112" s="1"/>
      <c r="I6112" s="1"/>
    </row>
    <row r="6113" spans="8:9" x14ac:dyDescent="0.2">
      <c r="H6113" s="1"/>
      <c r="I6113" s="1"/>
    </row>
    <row r="6114" spans="8:9" x14ac:dyDescent="0.2">
      <c r="H6114" s="1"/>
      <c r="I6114" s="1"/>
    </row>
    <row r="6115" spans="8:9" x14ac:dyDescent="0.2">
      <c r="H6115" s="1"/>
      <c r="I6115" s="1"/>
    </row>
    <row r="6116" spans="8:9" x14ac:dyDescent="0.2">
      <c r="H6116" s="1"/>
      <c r="I6116" s="1"/>
    </row>
    <row r="6117" spans="8:9" x14ac:dyDescent="0.2">
      <c r="H6117" s="1"/>
      <c r="I6117" s="1"/>
    </row>
    <row r="6118" spans="8:9" x14ac:dyDescent="0.2">
      <c r="H6118" s="1"/>
      <c r="I6118" s="1"/>
    </row>
    <row r="6119" spans="8:9" x14ac:dyDescent="0.2">
      <c r="H6119" s="1"/>
      <c r="I6119" s="1"/>
    </row>
    <row r="6120" spans="8:9" x14ac:dyDescent="0.2">
      <c r="H6120" s="1"/>
      <c r="I6120" s="1"/>
    </row>
    <row r="6121" spans="8:9" x14ac:dyDescent="0.2">
      <c r="H6121" s="1"/>
      <c r="I6121" s="1"/>
    </row>
    <row r="6122" spans="8:9" x14ac:dyDescent="0.2">
      <c r="H6122" s="1"/>
      <c r="I6122" s="1"/>
    </row>
    <row r="6123" spans="8:9" x14ac:dyDescent="0.2">
      <c r="H6123" s="1"/>
      <c r="I6123" s="1"/>
    </row>
    <row r="6124" spans="8:9" x14ac:dyDescent="0.2">
      <c r="H6124" s="1"/>
      <c r="I6124" s="1"/>
    </row>
    <row r="6125" spans="8:9" x14ac:dyDescent="0.2">
      <c r="H6125" s="1"/>
      <c r="I6125" s="1"/>
    </row>
    <row r="6126" spans="8:9" x14ac:dyDescent="0.2">
      <c r="H6126" s="1"/>
      <c r="I6126" s="1"/>
    </row>
    <row r="6127" spans="8:9" x14ac:dyDescent="0.2">
      <c r="H6127" s="1"/>
      <c r="I6127" s="1"/>
    </row>
    <row r="6128" spans="8:9" x14ac:dyDescent="0.2">
      <c r="H6128" s="1"/>
      <c r="I6128" s="1"/>
    </row>
    <row r="6129" spans="8:9" x14ac:dyDescent="0.2">
      <c r="H6129" s="1"/>
      <c r="I6129" s="1"/>
    </row>
    <row r="6130" spans="8:9" x14ac:dyDescent="0.2">
      <c r="H6130" s="1"/>
      <c r="I6130" s="1"/>
    </row>
    <row r="6131" spans="8:9" x14ac:dyDescent="0.2">
      <c r="H6131" s="1"/>
      <c r="I6131" s="1"/>
    </row>
    <row r="6132" spans="8:9" x14ac:dyDescent="0.2">
      <c r="H6132" s="1"/>
      <c r="I6132" s="1"/>
    </row>
    <row r="6133" spans="8:9" x14ac:dyDescent="0.2">
      <c r="H6133" s="1"/>
      <c r="I6133" s="1"/>
    </row>
    <row r="6134" spans="8:9" x14ac:dyDescent="0.2">
      <c r="H6134" s="1"/>
      <c r="I6134" s="1"/>
    </row>
    <row r="6135" spans="8:9" x14ac:dyDescent="0.2">
      <c r="H6135" s="1"/>
      <c r="I6135" s="1"/>
    </row>
    <row r="6136" spans="8:9" x14ac:dyDescent="0.2">
      <c r="H6136" s="1"/>
      <c r="I6136" s="1"/>
    </row>
    <row r="6137" spans="8:9" x14ac:dyDescent="0.2">
      <c r="H6137" s="1"/>
      <c r="I6137" s="1"/>
    </row>
    <row r="6138" spans="8:9" x14ac:dyDescent="0.2">
      <c r="H6138" s="1"/>
      <c r="I6138" s="1"/>
    </row>
    <row r="6139" spans="8:9" x14ac:dyDescent="0.2">
      <c r="H6139" s="1"/>
      <c r="I6139" s="1"/>
    </row>
    <row r="6140" spans="8:9" x14ac:dyDescent="0.2">
      <c r="H6140" s="1"/>
      <c r="I6140" s="1"/>
    </row>
    <row r="6141" spans="8:9" x14ac:dyDescent="0.2">
      <c r="H6141" s="1"/>
      <c r="I6141" s="1"/>
    </row>
    <row r="6142" spans="8:9" x14ac:dyDescent="0.2">
      <c r="H6142" s="1"/>
      <c r="I6142" s="1"/>
    </row>
    <row r="6143" spans="8:9" x14ac:dyDescent="0.2">
      <c r="H6143" s="1"/>
      <c r="I6143" s="1"/>
    </row>
    <row r="6144" spans="8:9" x14ac:dyDescent="0.2">
      <c r="H6144" s="1"/>
      <c r="I6144" s="1"/>
    </row>
    <row r="6145" spans="8:9" x14ac:dyDescent="0.2">
      <c r="H6145" s="1"/>
      <c r="I6145" s="1"/>
    </row>
    <row r="6146" spans="8:9" x14ac:dyDescent="0.2">
      <c r="H6146" s="1"/>
      <c r="I6146" s="1"/>
    </row>
    <row r="6147" spans="8:9" x14ac:dyDescent="0.2">
      <c r="H6147" s="1"/>
      <c r="I6147" s="1"/>
    </row>
    <row r="6148" spans="8:9" x14ac:dyDescent="0.2">
      <c r="H6148" s="1"/>
      <c r="I6148" s="1"/>
    </row>
    <row r="6149" spans="8:9" x14ac:dyDescent="0.2">
      <c r="H6149" s="1"/>
      <c r="I6149" s="1"/>
    </row>
    <row r="6150" spans="8:9" x14ac:dyDescent="0.2">
      <c r="H6150" s="1"/>
      <c r="I6150" s="1"/>
    </row>
    <row r="6151" spans="8:9" x14ac:dyDescent="0.2">
      <c r="H6151" s="1"/>
      <c r="I6151" s="1"/>
    </row>
    <row r="6152" spans="8:9" x14ac:dyDescent="0.2">
      <c r="H6152" s="1"/>
      <c r="I6152" s="1"/>
    </row>
    <row r="6153" spans="8:9" x14ac:dyDescent="0.2">
      <c r="H6153" s="1"/>
      <c r="I6153" s="1"/>
    </row>
    <row r="6154" spans="8:9" x14ac:dyDescent="0.2">
      <c r="H6154" s="1"/>
      <c r="I6154" s="1"/>
    </row>
    <row r="6155" spans="8:9" x14ac:dyDescent="0.2">
      <c r="H6155" s="1"/>
      <c r="I6155" s="1"/>
    </row>
    <row r="6156" spans="8:9" x14ac:dyDescent="0.2">
      <c r="H6156" s="1"/>
      <c r="I6156" s="1"/>
    </row>
    <row r="6157" spans="8:9" x14ac:dyDescent="0.2">
      <c r="H6157" s="1"/>
      <c r="I6157" s="1"/>
    </row>
    <row r="6158" spans="8:9" x14ac:dyDescent="0.2">
      <c r="H6158" s="1"/>
      <c r="I6158" s="1"/>
    </row>
    <row r="6159" spans="8:9" x14ac:dyDescent="0.2">
      <c r="H6159" s="1"/>
      <c r="I6159" s="1"/>
    </row>
    <row r="6160" spans="8:9" x14ac:dyDescent="0.2">
      <c r="H6160" s="1"/>
      <c r="I6160" s="1"/>
    </row>
    <row r="6161" spans="8:9" x14ac:dyDescent="0.2">
      <c r="H6161" s="1"/>
      <c r="I6161" s="1"/>
    </row>
    <row r="6162" spans="8:9" x14ac:dyDescent="0.2">
      <c r="H6162" s="1"/>
      <c r="I6162" s="1"/>
    </row>
    <row r="6163" spans="8:9" x14ac:dyDescent="0.2">
      <c r="H6163" s="1"/>
      <c r="I6163" s="1"/>
    </row>
    <row r="6164" spans="8:9" x14ac:dyDescent="0.2">
      <c r="H6164" s="1"/>
      <c r="I6164" s="1"/>
    </row>
    <row r="6165" spans="8:9" x14ac:dyDescent="0.2">
      <c r="H6165" s="1"/>
      <c r="I6165" s="1"/>
    </row>
    <row r="6166" spans="8:9" x14ac:dyDescent="0.2">
      <c r="H6166" s="1"/>
      <c r="I6166" s="1"/>
    </row>
    <row r="6167" spans="8:9" x14ac:dyDescent="0.2">
      <c r="H6167" s="1"/>
      <c r="I6167" s="1"/>
    </row>
    <row r="6168" spans="8:9" x14ac:dyDescent="0.2">
      <c r="H6168" s="1"/>
      <c r="I6168" s="1"/>
    </row>
    <row r="6169" spans="8:9" x14ac:dyDescent="0.2">
      <c r="H6169" s="1"/>
      <c r="I6169" s="1"/>
    </row>
    <row r="6170" spans="8:9" x14ac:dyDescent="0.2">
      <c r="H6170" s="1"/>
      <c r="I6170" s="1"/>
    </row>
    <row r="6171" spans="8:9" x14ac:dyDescent="0.2">
      <c r="H6171" s="1"/>
      <c r="I6171" s="1"/>
    </row>
    <row r="6172" spans="8:9" x14ac:dyDescent="0.2">
      <c r="H6172" s="1"/>
      <c r="I6172" s="1"/>
    </row>
    <row r="6173" spans="8:9" x14ac:dyDescent="0.2">
      <c r="H6173" s="1"/>
      <c r="I6173" s="1"/>
    </row>
    <row r="6174" spans="8:9" x14ac:dyDescent="0.2">
      <c r="H6174" s="1"/>
      <c r="I6174" s="1"/>
    </row>
    <row r="6175" spans="8:9" x14ac:dyDescent="0.2">
      <c r="H6175" s="1"/>
      <c r="I6175" s="1"/>
    </row>
    <row r="6176" spans="8:9" x14ac:dyDescent="0.2">
      <c r="H6176" s="1"/>
      <c r="I6176" s="1"/>
    </row>
    <row r="6177" spans="8:9" x14ac:dyDescent="0.2">
      <c r="H6177" s="1"/>
      <c r="I6177" s="1"/>
    </row>
    <row r="6178" spans="8:9" x14ac:dyDescent="0.2">
      <c r="H6178" s="1"/>
      <c r="I6178" s="1"/>
    </row>
    <row r="6179" spans="8:9" x14ac:dyDescent="0.2">
      <c r="H6179" s="1"/>
      <c r="I6179" s="1"/>
    </row>
    <row r="6180" spans="8:9" x14ac:dyDescent="0.2">
      <c r="H6180" s="1"/>
      <c r="I6180" s="1"/>
    </row>
    <row r="6181" spans="8:9" x14ac:dyDescent="0.2">
      <c r="H6181" s="1"/>
      <c r="I6181" s="1"/>
    </row>
    <row r="6182" spans="8:9" x14ac:dyDescent="0.2">
      <c r="H6182" s="1"/>
      <c r="I6182" s="1"/>
    </row>
    <row r="6183" spans="8:9" x14ac:dyDescent="0.2">
      <c r="H6183" s="1"/>
      <c r="I6183" s="1"/>
    </row>
    <row r="6184" spans="8:9" x14ac:dyDescent="0.2">
      <c r="H6184" s="1"/>
      <c r="I6184" s="1"/>
    </row>
    <row r="6185" spans="8:9" x14ac:dyDescent="0.2">
      <c r="H6185" s="1"/>
      <c r="I6185" s="1"/>
    </row>
    <row r="6186" spans="8:9" x14ac:dyDescent="0.2">
      <c r="H6186" s="1"/>
      <c r="I6186" s="1"/>
    </row>
    <row r="6187" spans="8:9" x14ac:dyDescent="0.2">
      <c r="H6187" s="1"/>
      <c r="I6187" s="1"/>
    </row>
    <row r="6188" spans="8:9" x14ac:dyDescent="0.2">
      <c r="H6188" s="1"/>
      <c r="I6188" s="1"/>
    </row>
    <row r="6189" spans="8:9" x14ac:dyDescent="0.2">
      <c r="H6189" s="1"/>
      <c r="I6189" s="1"/>
    </row>
    <row r="6190" spans="8:9" x14ac:dyDescent="0.2">
      <c r="H6190" s="1"/>
      <c r="I6190" s="1"/>
    </row>
    <row r="6191" spans="8:9" x14ac:dyDescent="0.2">
      <c r="H6191" s="1"/>
      <c r="I6191" s="1"/>
    </row>
    <row r="6192" spans="8:9" x14ac:dyDescent="0.2">
      <c r="H6192" s="1"/>
      <c r="I6192" s="1"/>
    </row>
    <row r="6193" spans="8:9" x14ac:dyDescent="0.2">
      <c r="H6193" s="1"/>
      <c r="I6193" s="1"/>
    </row>
    <row r="6194" spans="8:9" x14ac:dyDescent="0.2">
      <c r="H6194" s="1"/>
      <c r="I6194" s="1"/>
    </row>
    <row r="6195" spans="8:9" x14ac:dyDescent="0.2">
      <c r="H6195" s="1"/>
      <c r="I6195" s="1"/>
    </row>
    <row r="6196" spans="8:9" x14ac:dyDescent="0.2">
      <c r="H6196" s="1"/>
      <c r="I6196" s="1"/>
    </row>
    <row r="6197" spans="8:9" x14ac:dyDescent="0.2">
      <c r="H6197" s="1"/>
      <c r="I6197" s="1"/>
    </row>
    <row r="6198" spans="8:9" x14ac:dyDescent="0.2">
      <c r="H6198" s="1"/>
      <c r="I6198" s="1"/>
    </row>
    <row r="6199" spans="8:9" x14ac:dyDescent="0.2">
      <c r="H6199" s="1"/>
      <c r="I6199" s="1"/>
    </row>
    <row r="6200" spans="8:9" x14ac:dyDescent="0.2">
      <c r="H6200" s="1"/>
      <c r="I6200" s="1"/>
    </row>
    <row r="6201" spans="8:9" x14ac:dyDescent="0.2">
      <c r="H6201" s="1"/>
      <c r="I6201" s="1"/>
    </row>
    <row r="6202" spans="8:9" x14ac:dyDescent="0.2">
      <c r="H6202" s="1"/>
      <c r="I6202" s="1"/>
    </row>
    <row r="6203" spans="8:9" x14ac:dyDescent="0.2">
      <c r="H6203" s="1"/>
      <c r="I6203" s="1"/>
    </row>
    <row r="6204" spans="8:9" x14ac:dyDescent="0.2">
      <c r="H6204" s="1"/>
      <c r="I6204" s="1"/>
    </row>
    <row r="6205" spans="8:9" x14ac:dyDescent="0.2">
      <c r="H6205" s="1"/>
      <c r="I6205" s="1"/>
    </row>
    <row r="6206" spans="8:9" x14ac:dyDescent="0.2">
      <c r="H6206" s="1"/>
      <c r="I6206" s="1"/>
    </row>
    <row r="6207" spans="8:9" x14ac:dyDescent="0.2">
      <c r="H6207" s="1"/>
      <c r="I6207" s="1"/>
    </row>
    <row r="6208" spans="8:9" x14ac:dyDescent="0.2">
      <c r="H6208" s="1"/>
      <c r="I6208" s="1"/>
    </row>
    <row r="6209" spans="8:9" x14ac:dyDescent="0.2">
      <c r="H6209" s="1"/>
      <c r="I6209" s="1"/>
    </row>
    <row r="6210" spans="8:9" x14ac:dyDescent="0.2">
      <c r="H6210" s="1"/>
      <c r="I6210" s="1"/>
    </row>
    <row r="6211" spans="8:9" x14ac:dyDescent="0.2">
      <c r="H6211" s="1"/>
      <c r="I6211" s="1"/>
    </row>
    <row r="6212" spans="8:9" x14ac:dyDescent="0.2">
      <c r="H6212" s="1"/>
      <c r="I6212" s="1"/>
    </row>
    <row r="6213" spans="8:9" x14ac:dyDescent="0.2">
      <c r="H6213" s="1"/>
      <c r="I6213" s="1"/>
    </row>
    <row r="6214" spans="8:9" x14ac:dyDescent="0.2">
      <c r="H6214" s="1"/>
      <c r="I6214" s="1"/>
    </row>
    <row r="6215" spans="8:9" x14ac:dyDescent="0.2">
      <c r="H6215" s="1"/>
      <c r="I6215" s="1"/>
    </row>
    <row r="6216" spans="8:9" x14ac:dyDescent="0.2">
      <c r="H6216" s="1"/>
      <c r="I6216" s="1"/>
    </row>
    <row r="6217" spans="8:9" x14ac:dyDescent="0.2">
      <c r="H6217" s="1"/>
      <c r="I6217" s="1"/>
    </row>
    <row r="6218" spans="8:9" x14ac:dyDescent="0.2">
      <c r="H6218" s="1"/>
      <c r="I6218" s="1"/>
    </row>
    <row r="6219" spans="8:9" x14ac:dyDescent="0.2">
      <c r="H6219" s="1"/>
      <c r="I6219" s="1"/>
    </row>
    <row r="6220" spans="8:9" x14ac:dyDescent="0.2">
      <c r="H6220" s="1"/>
      <c r="I6220" s="1"/>
    </row>
    <row r="6221" spans="8:9" x14ac:dyDescent="0.2">
      <c r="H6221" s="1"/>
      <c r="I6221" s="1"/>
    </row>
    <row r="6222" spans="8:9" x14ac:dyDescent="0.2">
      <c r="H6222" s="1"/>
      <c r="I6222" s="1"/>
    </row>
    <row r="6223" spans="8:9" x14ac:dyDescent="0.2">
      <c r="H6223" s="1"/>
      <c r="I6223" s="1"/>
    </row>
    <row r="6224" spans="8:9" x14ac:dyDescent="0.2">
      <c r="H6224" s="1"/>
      <c r="I6224" s="1"/>
    </row>
    <row r="6225" spans="8:9" x14ac:dyDescent="0.2">
      <c r="H6225" s="1"/>
      <c r="I6225" s="1"/>
    </row>
    <row r="6226" spans="8:9" x14ac:dyDescent="0.2">
      <c r="H6226" s="1"/>
      <c r="I6226" s="1"/>
    </row>
    <row r="6227" spans="8:9" x14ac:dyDescent="0.2">
      <c r="H6227" s="1"/>
      <c r="I6227" s="1"/>
    </row>
    <row r="6228" spans="8:9" x14ac:dyDescent="0.2">
      <c r="H6228" s="1"/>
      <c r="I6228" s="1"/>
    </row>
    <row r="6229" spans="8:9" x14ac:dyDescent="0.2">
      <c r="H6229" s="1"/>
      <c r="I6229" s="1"/>
    </row>
    <row r="6230" spans="8:9" x14ac:dyDescent="0.2">
      <c r="H6230" s="1"/>
      <c r="I6230" s="1"/>
    </row>
    <row r="6231" spans="8:9" x14ac:dyDescent="0.2">
      <c r="H6231" s="1"/>
      <c r="I6231" s="1"/>
    </row>
    <row r="6232" spans="8:9" x14ac:dyDescent="0.2">
      <c r="H6232" s="1"/>
      <c r="I6232" s="1"/>
    </row>
    <row r="6233" spans="8:9" x14ac:dyDescent="0.2">
      <c r="H6233" s="1"/>
      <c r="I6233" s="1"/>
    </row>
    <row r="6234" spans="8:9" x14ac:dyDescent="0.2">
      <c r="H6234" s="1"/>
      <c r="I6234" s="1"/>
    </row>
    <row r="6235" spans="8:9" x14ac:dyDescent="0.2">
      <c r="H6235" s="1"/>
      <c r="I6235" s="1"/>
    </row>
    <row r="6236" spans="8:9" x14ac:dyDescent="0.2">
      <c r="H6236" s="1"/>
      <c r="I6236" s="1"/>
    </row>
    <row r="6237" spans="8:9" x14ac:dyDescent="0.2">
      <c r="H6237" s="1"/>
      <c r="I6237" s="1"/>
    </row>
    <row r="6238" spans="8:9" x14ac:dyDescent="0.2">
      <c r="H6238" s="1"/>
      <c r="I6238" s="1"/>
    </row>
    <row r="6239" spans="8:9" x14ac:dyDescent="0.2">
      <c r="H6239" s="1"/>
      <c r="I6239" s="1"/>
    </row>
    <row r="6240" spans="8:9" x14ac:dyDescent="0.2">
      <c r="H6240" s="1"/>
      <c r="I6240" s="1"/>
    </row>
    <row r="6241" spans="8:9" x14ac:dyDescent="0.2">
      <c r="H6241" s="1"/>
      <c r="I6241" s="1"/>
    </row>
    <row r="6242" spans="8:9" x14ac:dyDescent="0.2">
      <c r="H6242" s="1"/>
      <c r="I6242" s="1"/>
    </row>
    <row r="6243" spans="8:9" x14ac:dyDescent="0.2">
      <c r="H6243" s="1"/>
      <c r="I6243" s="1"/>
    </row>
    <row r="6244" spans="8:9" x14ac:dyDescent="0.2">
      <c r="H6244" s="1"/>
      <c r="I6244" s="1"/>
    </row>
    <row r="6245" spans="8:9" x14ac:dyDescent="0.2">
      <c r="H6245" s="1"/>
      <c r="I6245" s="1"/>
    </row>
    <row r="6246" spans="8:9" x14ac:dyDescent="0.2">
      <c r="H6246" s="1"/>
      <c r="I6246" s="1"/>
    </row>
    <row r="6247" spans="8:9" x14ac:dyDescent="0.2">
      <c r="H6247" s="1"/>
      <c r="I6247" s="1"/>
    </row>
    <row r="6248" spans="8:9" x14ac:dyDescent="0.2">
      <c r="H6248" s="1"/>
      <c r="I6248" s="1"/>
    </row>
    <row r="6249" spans="8:9" x14ac:dyDescent="0.2">
      <c r="H6249" s="1"/>
      <c r="I6249" s="1"/>
    </row>
    <row r="6250" spans="8:9" x14ac:dyDescent="0.2">
      <c r="H6250" s="1"/>
      <c r="I6250" s="1"/>
    </row>
    <row r="6251" spans="8:9" x14ac:dyDescent="0.2">
      <c r="H6251" s="1"/>
      <c r="I6251" s="1"/>
    </row>
    <row r="6252" spans="8:9" x14ac:dyDescent="0.2">
      <c r="H6252" s="1"/>
      <c r="I6252" s="1"/>
    </row>
    <row r="6253" spans="8:9" x14ac:dyDescent="0.2">
      <c r="H6253" s="1"/>
      <c r="I6253" s="1"/>
    </row>
    <row r="6254" spans="8:9" x14ac:dyDescent="0.2">
      <c r="H6254" s="1"/>
      <c r="I6254" s="1"/>
    </row>
    <row r="6255" spans="8:9" x14ac:dyDescent="0.2">
      <c r="H6255" s="1"/>
      <c r="I6255" s="1"/>
    </row>
    <row r="6256" spans="8:9" x14ac:dyDescent="0.2">
      <c r="H6256" s="1"/>
      <c r="I6256" s="1"/>
    </row>
    <row r="6257" spans="8:9" x14ac:dyDescent="0.2">
      <c r="H6257" s="1"/>
      <c r="I6257" s="1"/>
    </row>
    <row r="6258" spans="8:9" x14ac:dyDescent="0.2">
      <c r="H6258" s="1"/>
      <c r="I6258" s="1"/>
    </row>
    <row r="6259" spans="8:9" x14ac:dyDescent="0.2">
      <c r="H6259" s="1"/>
      <c r="I6259" s="1"/>
    </row>
    <row r="6260" spans="8:9" x14ac:dyDescent="0.2">
      <c r="H6260" s="1"/>
      <c r="I6260" s="1"/>
    </row>
    <row r="6261" spans="8:9" x14ac:dyDescent="0.2">
      <c r="H6261" s="1"/>
      <c r="I6261" s="1"/>
    </row>
    <row r="6262" spans="8:9" x14ac:dyDescent="0.2">
      <c r="H6262" s="1"/>
      <c r="I6262" s="1"/>
    </row>
    <row r="6263" spans="8:9" x14ac:dyDescent="0.2">
      <c r="H6263" s="1"/>
      <c r="I6263" s="1"/>
    </row>
    <row r="6264" spans="8:9" x14ac:dyDescent="0.2">
      <c r="H6264" s="1"/>
      <c r="I6264" s="1"/>
    </row>
    <row r="6265" spans="8:9" x14ac:dyDescent="0.2">
      <c r="H6265" s="1"/>
      <c r="I6265" s="1"/>
    </row>
    <row r="6266" spans="8:9" x14ac:dyDescent="0.2">
      <c r="H6266" s="1"/>
      <c r="I6266" s="1"/>
    </row>
    <row r="6267" spans="8:9" x14ac:dyDescent="0.2">
      <c r="H6267" s="1"/>
      <c r="I6267" s="1"/>
    </row>
    <row r="6268" spans="8:9" x14ac:dyDescent="0.2">
      <c r="H6268" s="1"/>
      <c r="I6268" s="1"/>
    </row>
    <row r="6269" spans="8:9" x14ac:dyDescent="0.2">
      <c r="H6269" s="1"/>
      <c r="I6269" s="1"/>
    </row>
    <row r="6270" spans="8:9" x14ac:dyDescent="0.2">
      <c r="H6270" s="1"/>
      <c r="I6270" s="1"/>
    </row>
    <row r="6271" spans="8:9" x14ac:dyDescent="0.2">
      <c r="H6271" s="1"/>
      <c r="I6271" s="1"/>
    </row>
    <row r="6272" spans="8:9" x14ac:dyDescent="0.2">
      <c r="H6272" s="1"/>
      <c r="I6272" s="1"/>
    </row>
    <row r="6273" spans="8:9" x14ac:dyDescent="0.2">
      <c r="H6273" s="1"/>
      <c r="I6273" s="1"/>
    </row>
    <row r="6274" spans="8:9" x14ac:dyDescent="0.2">
      <c r="H6274" s="1"/>
      <c r="I6274" s="1"/>
    </row>
    <row r="6275" spans="8:9" x14ac:dyDescent="0.2">
      <c r="H6275" s="1"/>
      <c r="I6275" s="1"/>
    </row>
    <row r="6276" spans="8:9" x14ac:dyDescent="0.2">
      <c r="H6276" s="1"/>
      <c r="I6276" s="1"/>
    </row>
    <row r="6277" spans="8:9" x14ac:dyDescent="0.2">
      <c r="H6277" s="1"/>
      <c r="I6277" s="1"/>
    </row>
    <row r="6278" spans="8:9" x14ac:dyDescent="0.2">
      <c r="H6278" s="1"/>
      <c r="I6278" s="1"/>
    </row>
    <row r="6279" spans="8:9" x14ac:dyDescent="0.2">
      <c r="H6279" s="1"/>
      <c r="I6279" s="1"/>
    </row>
    <row r="6280" spans="8:9" x14ac:dyDescent="0.2">
      <c r="H6280" s="1"/>
      <c r="I6280" s="1"/>
    </row>
    <row r="6281" spans="8:9" x14ac:dyDescent="0.2">
      <c r="H6281" s="1"/>
      <c r="I6281" s="1"/>
    </row>
    <row r="6282" spans="8:9" x14ac:dyDescent="0.2">
      <c r="H6282" s="1"/>
      <c r="I6282" s="1"/>
    </row>
    <row r="6283" spans="8:9" x14ac:dyDescent="0.2">
      <c r="H6283" s="1"/>
      <c r="I6283" s="1"/>
    </row>
    <row r="6284" spans="8:9" x14ac:dyDescent="0.2">
      <c r="H6284" s="1"/>
      <c r="I6284" s="1"/>
    </row>
    <row r="6285" spans="8:9" x14ac:dyDescent="0.2">
      <c r="H6285" s="1"/>
      <c r="I6285" s="1"/>
    </row>
    <row r="6286" spans="8:9" x14ac:dyDescent="0.2">
      <c r="H6286" s="1"/>
      <c r="I6286" s="1"/>
    </row>
    <row r="6287" spans="8:9" x14ac:dyDescent="0.2">
      <c r="H6287" s="1"/>
      <c r="I6287" s="1"/>
    </row>
    <row r="6288" spans="8:9" x14ac:dyDescent="0.2">
      <c r="H6288" s="1"/>
      <c r="I6288" s="1"/>
    </row>
    <row r="6289" spans="8:9" x14ac:dyDescent="0.2">
      <c r="H6289" s="1"/>
      <c r="I6289" s="1"/>
    </row>
    <row r="6290" spans="8:9" x14ac:dyDescent="0.2">
      <c r="H6290" s="1"/>
      <c r="I6290" s="1"/>
    </row>
    <row r="6291" spans="8:9" x14ac:dyDescent="0.2">
      <c r="H6291" s="1"/>
      <c r="I6291" s="1"/>
    </row>
    <row r="6292" spans="8:9" x14ac:dyDescent="0.2">
      <c r="H6292" s="1"/>
      <c r="I6292" s="1"/>
    </row>
    <row r="6293" spans="8:9" x14ac:dyDescent="0.2">
      <c r="H6293" s="1"/>
      <c r="I6293" s="1"/>
    </row>
    <row r="6294" spans="8:9" x14ac:dyDescent="0.2">
      <c r="H6294" s="1"/>
      <c r="I6294" s="1"/>
    </row>
    <row r="6295" spans="8:9" x14ac:dyDescent="0.2">
      <c r="H6295" s="1"/>
      <c r="I6295" s="1"/>
    </row>
    <row r="6296" spans="8:9" x14ac:dyDescent="0.2">
      <c r="H6296" s="1"/>
      <c r="I6296" s="1"/>
    </row>
    <row r="6297" spans="8:9" x14ac:dyDescent="0.2">
      <c r="H6297" s="1"/>
      <c r="I6297" s="1"/>
    </row>
    <row r="6298" spans="8:9" x14ac:dyDescent="0.2">
      <c r="H6298" s="1"/>
      <c r="I6298" s="1"/>
    </row>
    <row r="6299" spans="8:9" x14ac:dyDescent="0.2">
      <c r="H6299" s="1"/>
      <c r="I6299" s="1"/>
    </row>
    <row r="6300" spans="8:9" x14ac:dyDescent="0.2">
      <c r="H6300" s="1"/>
      <c r="I6300" s="1"/>
    </row>
    <row r="6301" spans="8:9" x14ac:dyDescent="0.2">
      <c r="H6301" s="1"/>
      <c r="I6301" s="1"/>
    </row>
    <row r="6302" spans="8:9" x14ac:dyDescent="0.2">
      <c r="H6302" s="1"/>
      <c r="I6302" s="1"/>
    </row>
    <row r="6303" spans="8:9" x14ac:dyDescent="0.2">
      <c r="H6303" s="1"/>
      <c r="I6303" s="1"/>
    </row>
    <row r="6304" spans="8:9" x14ac:dyDescent="0.2">
      <c r="H6304" s="1"/>
      <c r="I6304" s="1"/>
    </row>
    <row r="6305" spans="8:9" x14ac:dyDescent="0.2">
      <c r="H6305" s="1"/>
      <c r="I6305" s="1"/>
    </row>
    <row r="6306" spans="8:9" x14ac:dyDescent="0.2">
      <c r="H6306" s="1"/>
      <c r="I6306" s="1"/>
    </row>
    <row r="6307" spans="8:9" x14ac:dyDescent="0.2">
      <c r="H6307" s="1"/>
      <c r="I6307" s="1"/>
    </row>
    <row r="6308" spans="8:9" x14ac:dyDescent="0.2">
      <c r="H6308" s="1"/>
      <c r="I6308" s="1"/>
    </row>
    <row r="6309" spans="8:9" x14ac:dyDescent="0.2">
      <c r="H6309" s="1"/>
      <c r="I6309" s="1"/>
    </row>
    <row r="6310" spans="8:9" x14ac:dyDescent="0.2">
      <c r="H6310" s="1"/>
      <c r="I6310" s="1"/>
    </row>
    <row r="6311" spans="8:9" x14ac:dyDescent="0.2">
      <c r="H6311" s="1"/>
      <c r="I6311" s="1"/>
    </row>
    <row r="6312" spans="8:9" x14ac:dyDescent="0.2">
      <c r="H6312" s="1"/>
      <c r="I6312" s="1"/>
    </row>
    <row r="6313" spans="8:9" x14ac:dyDescent="0.2">
      <c r="H6313" s="1"/>
      <c r="I6313" s="1"/>
    </row>
    <row r="6314" spans="8:9" x14ac:dyDescent="0.2">
      <c r="H6314" s="1"/>
      <c r="I6314" s="1"/>
    </row>
    <row r="6315" spans="8:9" x14ac:dyDescent="0.2">
      <c r="H6315" s="1"/>
      <c r="I6315" s="1"/>
    </row>
    <row r="6316" spans="8:9" x14ac:dyDescent="0.2">
      <c r="H6316" s="1"/>
      <c r="I6316" s="1"/>
    </row>
    <row r="6317" spans="8:9" x14ac:dyDescent="0.2">
      <c r="H6317" s="1"/>
      <c r="I6317" s="1"/>
    </row>
    <row r="6318" spans="8:9" x14ac:dyDescent="0.2">
      <c r="H6318" s="1"/>
      <c r="I6318" s="1"/>
    </row>
    <row r="6319" spans="8:9" x14ac:dyDescent="0.2">
      <c r="H6319" s="1"/>
      <c r="I6319" s="1"/>
    </row>
    <row r="6320" spans="8:9" x14ac:dyDescent="0.2">
      <c r="H6320" s="1"/>
      <c r="I6320" s="1"/>
    </row>
    <row r="6321" spans="8:9" x14ac:dyDescent="0.2">
      <c r="H6321" s="1"/>
      <c r="I6321" s="1"/>
    </row>
    <row r="6322" spans="8:9" x14ac:dyDescent="0.2">
      <c r="H6322" s="1"/>
      <c r="I6322" s="1"/>
    </row>
    <row r="6323" spans="8:9" x14ac:dyDescent="0.2">
      <c r="H6323" s="1"/>
      <c r="I6323" s="1"/>
    </row>
    <row r="6324" spans="8:9" x14ac:dyDescent="0.2">
      <c r="H6324" s="1"/>
      <c r="I6324" s="1"/>
    </row>
    <row r="6325" spans="8:9" x14ac:dyDescent="0.2">
      <c r="H6325" s="1"/>
      <c r="I6325" s="1"/>
    </row>
    <row r="6326" spans="8:9" x14ac:dyDescent="0.2">
      <c r="H6326" s="1"/>
      <c r="I6326" s="1"/>
    </row>
    <row r="6327" spans="8:9" x14ac:dyDescent="0.2">
      <c r="H6327" s="1"/>
      <c r="I6327" s="1"/>
    </row>
    <row r="6328" spans="8:9" x14ac:dyDescent="0.2">
      <c r="H6328" s="1"/>
      <c r="I6328" s="1"/>
    </row>
    <row r="6329" spans="8:9" x14ac:dyDescent="0.2">
      <c r="H6329" s="1"/>
      <c r="I6329" s="1"/>
    </row>
    <row r="6330" spans="8:9" x14ac:dyDescent="0.2">
      <c r="H6330" s="1"/>
      <c r="I6330" s="1"/>
    </row>
    <row r="6331" spans="8:9" x14ac:dyDescent="0.2">
      <c r="H6331" s="1"/>
      <c r="I6331" s="1"/>
    </row>
    <row r="6332" spans="8:9" x14ac:dyDescent="0.2">
      <c r="H6332" s="1"/>
      <c r="I6332" s="1"/>
    </row>
    <row r="6333" spans="8:9" x14ac:dyDescent="0.2">
      <c r="H6333" s="1"/>
      <c r="I6333" s="1"/>
    </row>
    <row r="6334" spans="8:9" x14ac:dyDescent="0.2">
      <c r="H6334" s="1"/>
      <c r="I6334" s="1"/>
    </row>
    <row r="6335" spans="8:9" x14ac:dyDescent="0.2">
      <c r="H6335" s="1"/>
      <c r="I6335" s="1"/>
    </row>
    <row r="6336" spans="8:9" x14ac:dyDescent="0.2">
      <c r="H6336" s="1"/>
      <c r="I6336" s="1"/>
    </row>
    <row r="6337" spans="8:9" x14ac:dyDescent="0.2">
      <c r="H6337" s="1"/>
      <c r="I6337" s="1"/>
    </row>
    <row r="6338" spans="8:9" x14ac:dyDescent="0.2">
      <c r="H6338" s="1"/>
      <c r="I6338" s="1"/>
    </row>
    <row r="6339" spans="8:9" x14ac:dyDescent="0.2">
      <c r="H6339" s="1"/>
      <c r="I6339" s="1"/>
    </row>
    <row r="6340" spans="8:9" x14ac:dyDescent="0.2">
      <c r="H6340" s="1"/>
      <c r="I6340" s="1"/>
    </row>
    <row r="6341" spans="8:9" x14ac:dyDescent="0.2">
      <c r="H6341" s="1"/>
      <c r="I6341" s="1"/>
    </row>
    <row r="6342" spans="8:9" x14ac:dyDescent="0.2">
      <c r="H6342" s="1"/>
      <c r="I6342" s="1"/>
    </row>
    <row r="6343" spans="8:9" x14ac:dyDescent="0.2">
      <c r="H6343" s="1"/>
      <c r="I6343" s="1"/>
    </row>
    <row r="6344" spans="8:9" x14ac:dyDescent="0.2">
      <c r="H6344" s="1"/>
      <c r="I6344" s="1"/>
    </row>
    <row r="6345" spans="8:9" x14ac:dyDescent="0.2">
      <c r="H6345" s="1"/>
      <c r="I6345" s="1"/>
    </row>
    <row r="6346" spans="8:9" x14ac:dyDescent="0.2">
      <c r="H6346" s="1"/>
      <c r="I6346" s="1"/>
    </row>
    <row r="6347" spans="8:9" x14ac:dyDescent="0.2">
      <c r="H6347" s="1"/>
      <c r="I6347" s="1"/>
    </row>
    <row r="6348" spans="8:9" x14ac:dyDescent="0.2">
      <c r="H6348" s="1"/>
      <c r="I6348" s="1"/>
    </row>
    <row r="6349" spans="8:9" x14ac:dyDescent="0.2">
      <c r="H6349" s="1"/>
      <c r="I6349" s="1"/>
    </row>
    <row r="6350" spans="8:9" x14ac:dyDescent="0.2">
      <c r="H6350" s="1"/>
      <c r="I6350" s="1"/>
    </row>
    <row r="6351" spans="8:9" x14ac:dyDescent="0.2">
      <c r="H6351" s="1"/>
      <c r="I6351" s="1"/>
    </row>
    <row r="6352" spans="8:9" x14ac:dyDescent="0.2">
      <c r="H6352" s="1"/>
      <c r="I6352" s="1"/>
    </row>
    <row r="6353" spans="8:9" x14ac:dyDescent="0.2">
      <c r="H6353" s="1"/>
      <c r="I6353" s="1"/>
    </row>
    <row r="6354" spans="8:9" x14ac:dyDescent="0.2">
      <c r="H6354" s="1"/>
      <c r="I6354" s="1"/>
    </row>
    <row r="6355" spans="8:9" x14ac:dyDescent="0.2">
      <c r="H6355" s="1"/>
      <c r="I6355" s="1"/>
    </row>
    <row r="6356" spans="8:9" x14ac:dyDescent="0.2">
      <c r="H6356" s="1"/>
      <c r="I6356" s="1"/>
    </row>
    <row r="6357" spans="8:9" x14ac:dyDescent="0.2">
      <c r="H6357" s="1"/>
      <c r="I6357" s="1"/>
    </row>
    <row r="6358" spans="8:9" x14ac:dyDescent="0.2">
      <c r="H6358" s="1"/>
      <c r="I6358" s="1"/>
    </row>
    <row r="6359" spans="8:9" x14ac:dyDescent="0.2">
      <c r="H6359" s="1"/>
      <c r="I6359" s="1"/>
    </row>
    <row r="6360" spans="8:9" x14ac:dyDescent="0.2">
      <c r="H6360" s="1"/>
      <c r="I6360" s="1"/>
    </row>
    <row r="6361" spans="8:9" x14ac:dyDescent="0.2">
      <c r="H6361" s="1"/>
      <c r="I6361" s="1"/>
    </row>
    <row r="6362" spans="8:9" x14ac:dyDescent="0.2">
      <c r="H6362" s="1"/>
      <c r="I6362" s="1"/>
    </row>
    <row r="6363" spans="8:9" x14ac:dyDescent="0.2">
      <c r="H6363" s="1"/>
      <c r="I6363" s="1"/>
    </row>
    <row r="6364" spans="8:9" x14ac:dyDescent="0.2">
      <c r="H6364" s="1"/>
      <c r="I6364" s="1"/>
    </row>
    <row r="6365" spans="8:9" x14ac:dyDescent="0.2">
      <c r="H6365" s="1"/>
      <c r="I6365" s="1"/>
    </row>
    <row r="6366" spans="8:9" x14ac:dyDescent="0.2">
      <c r="H6366" s="1"/>
      <c r="I6366" s="1"/>
    </row>
    <row r="6367" spans="8:9" x14ac:dyDescent="0.2">
      <c r="H6367" s="1"/>
      <c r="I6367" s="1"/>
    </row>
    <row r="6368" spans="8:9" x14ac:dyDescent="0.2">
      <c r="H6368" s="1"/>
      <c r="I6368" s="1"/>
    </row>
    <row r="6369" spans="8:9" x14ac:dyDescent="0.2">
      <c r="H6369" s="1"/>
      <c r="I6369" s="1"/>
    </row>
    <row r="6370" spans="8:9" x14ac:dyDescent="0.2">
      <c r="H6370" s="1"/>
      <c r="I6370" s="1"/>
    </row>
    <row r="6371" spans="8:9" x14ac:dyDescent="0.2">
      <c r="H6371" s="1"/>
      <c r="I6371" s="1"/>
    </row>
    <row r="6372" spans="8:9" x14ac:dyDescent="0.2">
      <c r="H6372" s="1"/>
      <c r="I6372" s="1"/>
    </row>
    <row r="6373" spans="8:9" x14ac:dyDescent="0.2">
      <c r="H6373" s="1"/>
      <c r="I6373" s="1"/>
    </row>
    <row r="6374" spans="8:9" x14ac:dyDescent="0.2">
      <c r="H6374" s="1"/>
      <c r="I6374" s="1"/>
    </row>
    <row r="6375" spans="8:9" x14ac:dyDescent="0.2">
      <c r="H6375" s="1"/>
      <c r="I6375" s="1"/>
    </row>
    <row r="6376" spans="8:9" x14ac:dyDescent="0.2">
      <c r="H6376" s="1"/>
      <c r="I6376" s="1"/>
    </row>
    <row r="6377" spans="8:9" x14ac:dyDescent="0.2">
      <c r="H6377" s="1"/>
      <c r="I6377" s="1"/>
    </row>
    <row r="6378" spans="8:9" x14ac:dyDescent="0.2">
      <c r="H6378" s="1"/>
      <c r="I6378" s="1"/>
    </row>
    <row r="6379" spans="8:9" x14ac:dyDescent="0.2">
      <c r="H6379" s="1"/>
      <c r="I6379" s="1"/>
    </row>
    <row r="6380" spans="8:9" x14ac:dyDescent="0.2">
      <c r="H6380" s="1"/>
      <c r="I6380" s="1"/>
    </row>
    <row r="6381" spans="8:9" x14ac:dyDescent="0.2">
      <c r="H6381" s="1"/>
      <c r="I6381" s="1"/>
    </row>
    <row r="6382" spans="8:9" x14ac:dyDescent="0.2">
      <c r="H6382" s="1"/>
      <c r="I6382" s="1"/>
    </row>
    <row r="6383" spans="8:9" x14ac:dyDescent="0.2">
      <c r="H6383" s="1"/>
      <c r="I6383" s="1"/>
    </row>
    <row r="6384" spans="8:9" x14ac:dyDescent="0.2">
      <c r="H6384" s="1"/>
      <c r="I6384" s="1"/>
    </row>
    <row r="6385" spans="8:9" x14ac:dyDescent="0.2">
      <c r="H6385" s="1"/>
      <c r="I6385" s="1"/>
    </row>
    <row r="6386" spans="8:9" x14ac:dyDescent="0.2">
      <c r="H6386" s="1"/>
      <c r="I6386" s="1"/>
    </row>
    <row r="6387" spans="8:9" x14ac:dyDescent="0.2">
      <c r="H6387" s="1"/>
      <c r="I6387" s="1"/>
    </row>
    <row r="6388" spans="8:9" x14ac:dyDescent="0.2">
      <c r="H6388" s="1"/>
      <c r="I6388" s="1"/>
    </row>
    <row r="6389" spans="8:9" x14ac:dyDescent="0.2">
      <c r="H6389" s="1"/>
      <c r="I6389" s="1"/>
    </row>
    <row r="6390" spans="8:9" x14ac:dyDescent="0.2">
      <c r="H6390" s="1"/>
      <c r="I6390" s="1"/>
    </row>
    <row r="6391" spans="8:9" x14ac:dyDescent="0.2">
      <c r="H6391" s="1"/>
      <c r="I6391" s="1"/>
    </row>
    <row r="6392" spans="8:9" x14ac:dyDescent="0.2">
      <c r="H6392" s="1"/>
      <c r="I6392" s="1"/>
    </row>
    <row r="6393" spans="8:9" x14ac:dyDescent="0.2">
      <c r="H6393" s="1"/>
      <c r="I6393" s="1"/>
    </row>
    <row r="6394" spans="8:9" x14ac:dyDescent="0.2">
      <c r="H6394" s="1"/>
      <c r="I6394" s="1"/>
    </row>
    <row r="6395" spans="8:9" x14ac:dyDescent="0.2">
      <c r="H6395" s="1"/>
      <c r="I6395" s="1"/>
    </row>
    <row r="6396" spans="8:9" x14ac:dyDescent="0.2">
      <c r="H6396" s="1"/>
      <c r="I6396" s="1"/>
    </row>
    <row r="6397" spans="8:9" x14ac:dyDescent="0.2">
      <c r="H6397" s="1"/>
      <c r="I6397" s="1"/>
    </row>
    <row r="6398" spans="8:9" x14ac:dyDescent="0.2">
      <c r="H6398" s="1"/>
      <c r="I6398" s="1"/>
    </row>
    <row r="6399" spans="8:9" x14ac:dyDescent="0.2">
      <c r="H6399" s="1"/>
      <c r="I6399" s="1"/>
    </row>
    <row r="6400" spans="8:9" x14ac:dyDescent="0.2">
      <c r="H6400" s="1"/>
      <c r="I6400" s="1"/>
    </row>
    <row r="6401" spans="8:9" x14ac:dyDescent="0.2">
      <c r="H6401" s="1"/>
      <c r="I6401" s="1"/>
    </row>
    <row r="6402" spans="8:9" x14ac:dyDescent="0.2">
      <c r="H6402" s="1"/>
      <c r="I6402" s="1"/>
    </row>
    <row r="6403" spans="8:9" x14ac:dyDescent="0.2">
      <c r="H6403" s="1"/>
      <c r="I6403" s="1"/>
    </row>
    <row r="6404" spans="8:9" x14ac:dyDescent="0.2">
      <c r="H6404" s="1"/>
      <c r="I6404" s="1"/>
    </row>
    <row r="6405" spans="8:9" x14ac:dyDescent="0.2">
      <c r="H6405" s="1"/>
      <c r="I6405" s="1"/>
    </row>
    <row r="6406" spans="8:9" x14ac:dyDescent="0.2">
      <c r="H6406" s="1"/>
      <c r="I6406" s="1"/>
    </row>
    <row r="6407" spans="8:9" x14ac:dyDescent="0.2">
      <c r="H6407" s="1"/>
      <c r="I6407" s="1"/>
    </row>
    <row r="6408" spans="8:9" x14ac:dyDescent="0.2">
      <c r="H6408" s="1"/>
      <c r="I6408" s="1"/>
    </row>
    <row r="6409" spans="8:9" x14ac:dyDescent="0.2">
      <c r="H6409" s="1"/>
      <c r="I6409" s="1"/>
    </row>
    <row r="6410" spans="8:9" x14ac:dyDescent="0.2">
      <c r="H6410" s="1"/>
      <c r="I6410" s="1"/>
    </row>
    <row r="6411" spans="8:9" x14ac:dyDescent="0.2">
      <c r="H6411" s="1"/>
      <c r="I6411" s="1"/>
    </row>
    <row r="6412" spans="8:9" x14ac:dyDescent="0.2">
      <c r="H6412" s="1"/>
      <c r="I6412" s="1"/>
    </row>
    <row r="6413" spans="8:9" x14ac:dyDescent="0.2">
      <c r="H6413" s="1"/>
      <c r="I6413" s="1"/>
    </row>
    <row r="6414" spans="8:9" x14ac:dyDescent="0.2">
      <c r="H6414" s="1"/>
      <c r="I6414" s="1"/>
    </row>
    <row r="6415" spans="8:9" x14ac:dyDescent="0.2">
      <c r="H6415" s="1"/>
      <c r="I6415" s="1"/>
    </row>
    <row r="6416" spans="8:9" x14ac:dyDescent="0.2">
      <c r="H6416" s="1"/>
      <c r="I6416" s="1"/>
    </row>
    <row r="6417" spans="8:9" x14ac:dyDescent="0.2">
      <c r="H6417" s="1"/>
      <c r="I6417" s="1"/>
    </row>
    <row r="6418" spans="8:9" x14ac:dyDescent="0.2">
      <c r="H6418" s="1"/>
      <c r="I6418" s="1"/>
    </row>
    <row r="6419" spans="8:9" x14ac:dyDescent="0.2">
      <c r="H6419" s="1"/>
      <c r="I6419" s="1"/>
    </row>
    <row r="6420" spans="8:9" x14ac:dyDescent="0.2">
      <c r="H6420" s="1"/>
      <c r="I6420" s="1"/>
    </row>
    <row r="6421" spans="8:9" x14ac:dyDescent="0.2">
      <c r="H6421" s="1"/>
      <c r="I6421" s="1"/>
    </row>
    <row r="6422" spans="8:9" x14ac:dyDescent="0.2">
      <c r="H6422" s="1"/>
      <c r="I6422" s="1"/>
    </row>
    <row r="6423" spans="8:9" x14ac:dyDescent="0.2">
      <c r="H6423" s="1"/>
      <c r="I6423" s="1"/>
    </row>
    <row r="6424" spans="8:9" x14ac:dyDescent="0.2">
      <c r="H6424" s="1"/>
      <c r="I6424" s="1"/>
    </row>
    <row r="6425" spans="8:9" x14ac:dyDescent="0.2">
      <c r="H6425" s="1"/>
      <c r="I6425" s="1"/>
    </row>
    <row r="6426" spans="8:9" x14ac:dyDescent="0.2">
      <c r="H6426" s="1"/>
      <c r="I6426" s="1"/>
    </row>
    <row r="6427" spans="8:9" x14ac:dyDescent="0.2">
      <c r="H6427" s="1"/>
      <c r="I6427" s="1"/>
    </row>
    <row r="6428" spans="8:9" x14ac:dyDescent="0.2">
      <c r="H6428" s="1"/>
      <c r="I6428" s="1"/>
    </row>
    <row r="6429" spans="8:9" x14ac:dyDescent="0.2">
      <c r="H6429" s="1"/>
      <c r="I6429" s="1"/>
    </row>
    <row r="6430" spans="8:9" x14ac:dyDescent="0.2">
      <c r="H6430" s="1"/>
      <c r="I6430" s="1"/>
    </row>
    <row r="6431" spans="8:9" x14ac:dyDescent="0.2">
      <c r="H6431" s="1"/>
      <c r="I6431" s="1"/>
    </row>
    <row r="6432" spans="8:9" x14ac:dyDescent="0.2">
      <c r="H6432" s="1"/>
      <c r="I6432" s="1"/>
    </row>
    <row r="6433" spans="8:9" x14ac:dyDescent="0.2">
      <c r="H6433" s="1"/>
      <c r="I6433" s="1"/>
    </row>
    <row r="6434" spans="8:9" x14ac:dyDescent="0.2">
      <c r="H6434" s="1"/>
      <c r="I6434" s="1"/>
    </row>
    <row r="6435" spans="8:9" x14ac:dyDescent="0.2">
      <c r="H6435" s="1"/>
      <c r="I6435" s="1"/>
    </row>
    <row r="6436" spans="8:9" x14ac:dyDescent="0.2">
      <c r="H6436" s="1"/>
      <c r="I6436" s="1"/>
    </row>
    <row r="6437" spans="8:9" x14ac:dyDescent="0.2">
      <c r="H6437" s="1"/>
      <c r="I6437" s="1"/>
    </row>
    <row r="6438" spans="8:9" x14ac:dyDescent="0.2">
      <c r="H6438" s="1"/>
      <c r="I6438" s="1"/>
    </row>
    <row r="6439" spans="8:9" x14ac:dyDescent="0.2">
      <c r="H6439" s="1"/>
      <c r="I6439" s="1"/>
    </row>
    <row r="6440" spans="8:9" x14ac:dyDescent="0.2">
      <c r="H6440" s="1"/>
      <c r="I6440" s="1"/>
    </row>
    <row r="6441" spans="8:9" x14ac:dyDescent="0.2">
      <c r="H6441" s="1"/>
      <c r="I6441" s="1"/>
    </row>
    <row r="6442" spans="8:9" x14ac:dyDescent="0.2">
      <c r="H6442" s="1"/>
      <c r="I6442" s="1"/>
    </row>
    <row r="6443" spans="8:9" x14ac:dyDescent="0.2">
      <c r="H6443" s="1"/>
      <c r="I6443" s="1"/>
    </row>
    <row r="6444" spans="8:9" x14ac:dyDescent="0.2">
      <c r="H6444" s="1"/>
      <c r="I6444" s="1"/>
    </row>
    <row r="6445" spans="8:9" x14ac:dyDescent="0.2">
      <c r="H6445" s="1"/>
      <c r="I6445" s="1"/>
    </row>
    <row r="6446" spans="8:9" x14ac:dyDescent="0.2">
      <c r="H6446" s="1"/>
      <c r="I6446" s="1"/>
    </row>
    <row r="6447" spans="8:9" x14ac:dyDescent="0.2">
      <c r="H6447" s="1"/>
      <c r="I6447" s="1"/>
    </row>
    <row r="6448" spans="8:9" x14ac:dyDescent="0.2">
      <c r="H6448" s="1"/>
      <c r="I6448" s="1"/>
    </row>
    <row r="6449" spans="8:9" x14ac:dyDescent="0.2">
      <c r="H6449" s="1"/>
      <c r="I6449" s="1"/>
    </row>
    <row r="6450" spans="8:9" x14ac:dyDescent="0.2">
      <c r="H6450" s="1"/>
      <c r="I6450" s="1"/>
    </row>
    <row r="6451" spans="8:9" x14ac:dyDescent="0.2">
      <c r="H6451" s="1"/>
      <c r="I6451" s="1"/>
    </row>
    <row r="6452" spans="8:9" x14ac:dyDescent="0.2">
      <c r="H6452" s="1"/>
      <c r="I6452" s="1"/>
    </row>
    <row r="6453" spans="8:9" x14ac:dyDescent="0.2">
      <c r="H6453" s="1"/>
      <c r="I6453" s="1"/>
    </row>
    <row r="6454" spans="8:9" x14ac:dyDescent="0.2">
      <c r="H6454" s="1"/>
      <c r="I6454" s="1"/>
    </row>
    <row r="6455" spans="8:9" x14ac:dyDescent="0.2">
      <c r="H6455" s="1"/>
      <c r="I6455" s="1"/>
    </row>
    <row r="6456" spans="8:9" x14ac:dyDescent="0.2">
      <c r="H6456" s="1"/>
      <c r="I6456" s="1"/>
    </row>
    <row r="6457" spans="8:9" x14ac:dyDescent="0.2">
      <c r="H6457" s="1"/>
      <c r="I6457" s="1"/>
    </row>
    <row r="6458" spans="8:9" x14ac:dyDescent="0.2">
      <c r="H6458" s="1"/>
      <c r="I6458" s="1"/>
    </row>
    <row r="6459" spans="8:9" x14ac:dyDescent="0.2">
      <c r="H6459" s="1"/>
      <c r="I6459" s="1"/>
    </row>
    <row r="6460" spans="8:9" x14ac:dyDescent="0.2">
      <c r="H6460" s="1"/>
      <c r="I6460" s="1"/>
    </row>
    <row r="6461" spans="8:9" x14ac:dyDescent="0.2">
      <c r="H6461" s="1"/>
      <c r="I6461" s="1"/>
    </row>
    <row r="6462" spans="8:9" x14ac:dyDescent="0.2">
      <c r="H6462" s="1"/>
      <c r="I6462" s="1"/>
    </row>
    <row r="6463" spans="8:9" x14ac:dyDescent="0.2">
      <c r="H6463" s="1"/>
      <c r="I6463" s="1"/>
    </row>
    <row r="6464" spans="8:9" x14ac:dyDescent="0.2">
      <c r="H6464" s="1"/>
      <c r="I6464" s="1"/>
    </row>
    <row r="6465" spans="8:9" x14ac:dyDescent="0.2">
      <c r="H6465" s="1"/>
      <c r="I6465" s="1"/>
    </row>
    <row r="6466" spans="8:9" x14ac:dyDescent="0.2">
      <c r="H6466" s="1"/>
      <c r="I6466" s="1"/>
    </row>
    <row r="6467" spans="8:9" x14ac:dyDescent="0.2">
      <c r="H6467" s="1"/>
      <c r="I6467" s="1"/>
    </row>
    <row r="6468" spans="8:9" x14ac:dyDescent="0.2">
      <c r="H6468" s="1"/>
      <c r="I6468" s="1"/>
    </row>
    <row r="6469" spans="8:9" x14ac:dyDescent="0.2">
      <c r="H6469" s="1"/>
      <c r="I6469" s="1"/>
    </row>
    <row r="6470" spans="8:9" x14ac:dyDescent="0.2">
      <c r="H6470" s="1"/>
      <c r="I6470" s="1"/>
    </row>
    <row r="6471" spans="8:9" x14ac:dyDescent="0.2">
      <c r="H6471" s="1"/>
      <c r="I6471" s="1"/>
    </row>
    <row r="6472" spans="8:9" x14ac:dyDescent="0.2">
      <c r="H6472" s="1"/>
      <c r="I6472" s="1"/>
    </row>
    <row r="6473" spans="8:9" x14ac:dyDescent="0.2">
      <c r="H6473" s="1"/>
      <c r="I6473" s="1"/>
    </row>
    <row r="6474" spans="8:9" x14ac:dyDescent="0.2">
      <c r="H6474" s="1"/>
      <c r="I6474" s="1"/>
    </row>
    <row r="6475" spans="8:9" x14ac:dyDescent="0.2">
      <c r="H6475" s="1"/>
      <c r="I6475" s="1"/>
    </row>
    <row r="6476" spans="8:9" x14ac:dyDescent="0.2">
      <c r="H6476" s="1"/>
      <c r="I6476" s="1"/>
    </row>
    <row r="6477" spans="8:9" x14ac:dyDescent="0.2">
      <c r="H6477" s="1"/>
      <c r="I6477" s="1"/>
    </row>
    <row r="6478" spans="8:9" x14ac:dyDescent="0.2">
      <c r="H6478" s="1"/>
      <c r="I6478" s="1"/>
    </row>
    <row r="6479" spans="8:9" x14ac:dyDescent="0.2">
      <c r="H6479" s="1"/>
      <c r="I6479" s="1"/>
    </row>
    <row r="6480" spans="8:9" x14ac:dyDescent="0.2">
      <c r="H6480" s="1"/>
      <c r="I6480" s="1"/>
    </row>
    <row r="6481" spans="8:9" x14ac:dyDescent="0.2">
      <c r="H6481" s="1"/>
      <c r="I6481" s="1"/>
    </row>
    <row r="6482" spans="8:9" x14ac:dyDescent="0.2">
      <c r="H6482" s="1"/>
      <c r="I6482" s="1"/>
    </row>
    <row r="6483" spans="8:9" x14ac:dyDescent="0.2">
      <c r="H6483" s="1"/>
      <c r="I6483" s="1"/>
    </row>
    <row r="6484" spans="8:9" x14ac:dyDescent="0.2">
      <c r="H6484" s="1"/>
      <c r="I6484" s="1"/>
    </row>
    <row r="6485" spans="8:9" x14ac:dyDescent="0.2">
      <c r="H6485" s="1"/>
      <c r="I6485" s="1"/>
    </row>
    <row r="6486" spans="8:9" x14ac:dyDescent="0.2">
      <c r="H6486" s="1"/>
      <c r="I6486" s="1"/>
    </row>
    <row r="6487" spans="8:9" x14ac:dyDescent="0.2">
      <c r="H6487" s="1"/>
      <c r="I6487" s="1"/>
    </row>
    <row r="6488" spans="8:9" x14ac:dyDescent="0.2">
      <c r="H6488" s="1"/>
      <c r="I6488" s="1"/>
    </row>
    <row r="6489" spans="8:9" x14ac:dyDescent="0.2">
      <c r="H6489" s="1"/>
      <c r="I6489" s="1"/>
    </row>
    <row r="6490" spans="8:9" x14ac:dyDescent="0.2">
      <c r="H6490" s="1"/>
      <c r="I6490" s="1"/>
    </row>
    <row r="6491" spans="8:9" x14ac:dyDescent="0.2">
      <c r="H6491" s="1"/>
      <c r="I6491" s="1"/>
    </row>
    <row r="6492" spans="8:9" x14ac:dyDescent="0.2">
      <c r="H6492" s="1"/>
      <c r="I6492" s="1"/>
    </row>
    <row r="6493" spans="8:9" x14ac:dyDescent="0.2">
      <c r="H6493" s="1"/>
      <c r="I6493" s="1"/>
    </row>
    <row r="6494" spans="8:9" x14ac:dyDescent="0.2">
      <c r="H6494" s="1"/>
      <c r="I6494" s="1"/>
    </row>
    <row r="6495" spans="8:9" x14ac:dyDescent="0.2">
      <c r="H6495" s="1"/>
      <c r="I6495" s="1"/>
    </row>
    <row r="6496" spans="8:9" x14ac:dyDescent="0.2">
      <c r="H6496" s="1"/>
      <c r="I6496" s="1"/>
    </row>
    <row r="6497" spans="8:9" x14ac:dyDescent="0.2">
      <c r="H6497" s="1"/>
      <c r="I6497" s="1"/>
    </row>
    <row r="6498" spans="8:9" x14ac:dyDescent="0.2">
      <c r="H6498" s="1"/>
      <c r="I6498" s="1"/>
    </row>
    <row r="6499" spans="8:9" x14ac:dyDescent="0.2">
      <c r="H6499" s="1"/>
      <c r="I6499" s="1"/>
    </row>
    <row r="6500" spans="8:9" x14ac:dyDescent="0.2">
      <c r="H6500" s="1"/>
      <c r="I6500" s="1"/>
    </row>
    <row r="6501" spans="8:9" x14ac:dyDescent="0.2">
      <c r="H6501" s="1"/>
      <c r="I6501" s="1"/>
    </row>
    <row r="6502" spans="8:9" x14ac:dyDescent="0.2">
      <c r="H6502" s="1"/>
      <c r="I6502" s="1"/>
    </row>
    <row r="6503" spans="8:9" x14ac:dyDescent="0.2">
      <c r="H6503" s="1"/>
      <c r="I6503" s="1"/>
    </row>
    <row r="6504" spans="8:9" x14ac:dyDescent="0.2">
      <c r="H6504" s="1"/>
      <c r="I6504" s="1"/>
    </row>
    <row r="6505" spans="8:9" x14ac:dyDescent="0.2">
      <c r="H6505" s="1"/>
      <c r="I6505" s="1"/>
    </row>
    <row r="6506" spans="8:9" x14ac:dyDescent="0.2">
      <c r="H6506" s="1"/>
      <c r="I6506" s="1"/>
    </row>
    <row r="6507" spans="8:9" x14ac:dyDescent="0.2">
      <c r="H6507" s="1"/>
      <c r="I6507" s="1"/>
    </row>
    <row r="6508" spans="8:9" x14ac:dyDescent="0.2">
      <c r="H6508" s="1"/>
      <c r="I6508" s="1"/>
    </row>
    <row r="6509" spans="8:9" x14ac:dyDescent="0.2">
      <c r="H6509" s="1"/>
      <c r="I6509" s="1"/>
    </row>
    <row r="6510" spans="8:9" x14ac:dyDescent="0.2">
      <c r="H6510" s="1"/>
      <c r="I6510" s="1"/>
    </row>
    <row r="6511" spans="8:9" x14ac:dyDescent="0.2">
      <c r="H6511" s="1"/>
      <c r="I6511" s="1"/>
    </row>
    <row r="6512" spans="8:9" x14ac:dyDescent="0.2">
      <c r="H6512" s="1"/>
      <c r="I6512" s="1"/>
    </row>
    <row r="6513" spans="8:9" x14ac:dyDescent="0.2">
      <c r="H6513" s="1"/>
      <c r="I6513" s="1"/>
    </row>
    <row r="6514" spans="8:9" x14ac:dyDescent="0.2">
      <c r="H6514" s="1"/>
      <c r="I6514" s="1"/>
    </row>
    <row r="6515" spans="8:9" x14ac:dyDescent="0.2">
      <c r="H6515" s="1"/>
      <c r="I6515" s="1"/>
    </row>
    <row r="6516" spans="8:9" x14ac:dyDescent="0.2">
      <c r="H6516" s="1"/>
      <c r="I6516" s="1"/>
    </row>
    <row r="6517" spans="8:9" x14ac:dyDescent="0.2">
      <c r="H6517" s="1"/>
      <c r="I6517" s="1"/>
    </row>
    <row r="6518" spans="8:9" x14ac:dyDescent="0.2">
      <c r="H6518" s="1"/>
      <c r="I6518" s="1"/>
    </row>
    <row r="6519" spans="8:9" x14ac:dyDescent="0.2">
      <c r="H6519" s="1"/>
      <c r="I6519" s="1"/>
    </row>
    <row r="6520" spans="8:9" x14ac:dyDescent="0.2">
      <c r="H6520" s="1"/>
      <c r="I6520" s="1"/>
    </row>
    <row r="6521" spans="8:9" x14ac:dyDescent="0.2">
      <c r="H6521" s="1"/>
      <c r="I6521" s="1"/>
    </row>
    <row r="6522" spans="8:9" x14ac:dyDescent="0.2">
      <c r="H6522" s="1"/>
      <c r="I6522" s="1"/>
    </row>
    <row r="6523" spans="8:9" x14ac:dyDescent="0.2">
      <c r="H6523" s="1"/>
      <c r="I6523" s="1"/>
    </row>
    <row r="6524" spans="8:9" x14ac:dyDescent="0.2">
      <c r="H6524" s="1"/>
      <c r="I6524" s="1"/>
    </row>
    <row r="6525" spans="8:9" x14ac:dyDescent="0.2">
      <c r="H6525" s="1"/>
      <c r="I6525" s="1"/>
    </row>
    <row r="6526" spans="8:9" x14ac:dyDescent="0.2">
      <c r="H6526" s="1"/>
      <c r="I6526" s="1"/>
    </row>
    <row r="6527" spans="8:9" x14ac:dyDescent="0.2">
      <c r="H6527" s="1"/>
      <c r="I6527" s="1"/>
    </row>
    <row r="6528" spans="8:9" x14ac:dyDescent="0.2">
      <c r="H6528" s="1"/>
      <c r="I6528" s="1"/>
    </row>
    <row r="6529" spans="8:9" x14ac:dyDescent="0.2">
      <c r="H6529" s="1"/>
      <c r="I6529" s="1"/>
    </row>
    <row r="6530" spans="8:9" x14ac:dyDescent="0.2">
      <c r="H6530" s="1"/>
      <c r="I6530" s="1"/>
    </row>
    <row r="6531" spans="8:9" x14ac:dyDescent="0.2">
      <c r="H6531" s="1"/>
      <c r="I6531" s="1"/>
    </row>
    <row r="6532" spans="8:9" x14ac:dyDescent="0.2">
      <c r="H6532" s="1"/>
      <c r="I6532" s="1"/>
    </row>
    <row r="6533" spans="8:9" x14ac:dyDescent="0.2">
      <c r="H6533" s="1"/>
      <c r="I6533" s="1"/>
    </row>
    <row r="6534" spans="8:9" x14ac:dyDescent="0.2">
      <c r="H6534" s="1"/>
      <c r="I6534" s="1"/>
    </row>
    <row r="6535" spans="8:9" x14ac:dyDescent="0.2">
      <c r="H6535" s="1"/>
      <c r="I6535" s="1"/>
    </row>
    <row r="6536" spans="8:9" x14ac:dyDescent="0.2">
      <c r="H6536" s="1"/>
      <c r="I6536" s="1"/>
    </row>
    <row r="6537" spans="8:9" x14ac:dyDescent="0.2">
      <c r="H6537" s="1"/>
      <c r="I6537" s="1"/>
    </row>
    <row r="6538" spans="8:9" x14ac:dyDescent="0.2">
      <c r="H6538" s="1"/>
      <c r="I6538" s="1"/>
    </row>
    <row r="6539" spans="8:9" x14ac:dyDescent="0.2">
      <c r="H6539" s="1"/>
      <c r="I6539" s="1"/>
    </row>
    <row r="6540" spans="8:9" x14ac:dyDescent="0.2">
      <c r="H6540" s="1"/>
      <c r="I6540" s="1"/>
    </row>
    <row r="6541" spans="8:9" x14ac:dyDescent="0.2">
      <c r="H6541" s="1"/>
      <c r="I6541" s="1"/>
    </row>
    <row r="6542" spans="8:9" x14ac:dyDescent="0.2">
      <c r="H6542" s="1"/>
      <c r="I6542" s="1"/>
    </row>
    <row r="6543" spans="8:9" x14ac:dyDescent="0.2">
      <c r="H6543" s="1"/>
      <c r="I6543" s="1"/>
    </row>
    <row r="6544" spans="8:9" x14ac:dyDescent="0.2">
      <c r="H6544" s="1"/>
      <c r="I6544" s="1"/>
    </row>
    <row r="6545" spans="8:9" x14ac:dyDescent="0.2">
      <c r="H6545" s="1"/>
      <c r="I6545" s="1"/>
    </row>
    <row r="6546" spans="8:9" x14ac:dyDescent="0.2">
      <c r="H6546" s="1"/>
      <c r="I6546" s="1"/>
    </row>
    <row r="6547" spans="8:9" x14ac:dyDescent="0.2">
      <c r="H6547" s="1"/>
      <c r="I6547" s="1"/>
    </row>
    <row r="6548" spans="8:9" x14ac:dyDescent="0.2">
      <c r="H6548" s="1"/>
      <c r="I6548" s="1"/>
    </row>
    <row r="6549" spans="8:9" x14ac:dyDescent="0.2">
      <c r="H6549" s="1"/>
      <c r="I6549" s="1"/>
    </row>
    <row r="6550" spans="8:9" x14ac:dyDescent="0.2">
      <c r="H6550" s="1"/>
      <c r="I6550" s="1"/>
    </row>
    <row r="6551" spans="8:9" x14ac:dyDescent="0.2">
      <c r="H6551" s="1"/>
      <c r="I6551" s="1"/>
    </row>
    <row r="6552" spans="8:9" x14ac:dyDescent="0.2">
      <c r="H6552" s="1"/>
      <c r="I6552" s="1"/>
    </row>
    <row r="6553" spans="8:9" x14ac:dyDescent="0.2">
      <c r="H6553" s="1"/>
      <c r="I6553" s="1"/>
    </row>
    <row r="6554" spans="8:9" x14ac:dyDescent="0.2">
      <c r="H6554" s="1"/>
      <c r="I6554" s="1"/>
    </row>
    <row r="6555" spans="8:9" x14ac:dyDescent="0.2">
      <c r="H6555" s="1"/>
      <c r="I6555" s="1"/>
    </row>
    <row r="6556" spans="8:9" x14ac:dyDescent="0.2">
      <c r="H6556" s="1"/>
      <c r="I6556" s="1"/>
    </row>
    <row r="6557" spans="8:9" x14ac:dyDescent="0.2">
      <c r="H6557" s="1"/>
      <c r="I6557" s="1"/>
    </row>
    <row r="6558" spans="8:9" x14ac:dyDescent="0.2">
      <c r="H6558" s="1"/>
      <c r="I6558" s="1"/>
    </row>
    <row r="6559" spans="8:9" x14ac:dyDescent="0.2">
      <c r="H6559" s="1"/>
      <c r="I6559" s="1"/>
    </row>
    <row r="6560" spans="8:9" x14ac:dyDescent="0.2">
      <c r="H6560" s="1"/>
      <c r="I6560" s="1"/>
    </row>
    <row r="6561" spans="8:9" x14ac:dyDescent="0.2">
      <c r="H6561" s="1"/>
      <c r="I6561" s="1"/>
    </row>
    <row r="6562" spans="8:9" x14ac:dyDescent="0.2">
      <c r="H6562" s="1"/>
      <c r="I6562" s="1"/>
    </row>
    <row r="6563" spans="8:9" x14ac:dyDescent="0.2">
      <c r="H6563" s="1"/>
      <c r="I6563" s="1"/>
    </row>
    <row r="6564" spans="8:9" x14ac:dyDescent="0.2">
      <c r="H6564" s="1"/>
      <c r="I6564" s="1"/>
    </row>
    <row r="6565" spans="8:9" x14ac:dyDescent="0.2">
      <c r="H6565" s="1"/>
      <c r="I6565" s="1"/>
    </row>
    <row r="6566" spans="8:9" x14ac:dyDescent="0.2">
      <c r="H6566" s="1"/>
      <c r="I6566" s="1"/>
    </row>
    <row r="6567" spans="8:9" x14ac:dyDescent="0.2">
      <c r="H6567" s="1"/>
      <c r="I6567" s="1"/>
    </row>
    <row r="6568" spans="8:9" x14ac:dyDescent="0.2">
      <c r="H6568" s="1"/>
      <c r="I6568" s="1"/>
    </row>
    <row r="6569" spans="8:9" x14ac:dyDescent="0.2">
      <c r="H6569" s="1"/>
      <c r="I6569" s="1"/>
    </row>
    <row r="6570" spans="8:9" x14ac:dyDescent="0.2">
      <c r="H6570" s="1"/>
      <c r="I6570" s="1"/>
    </row>
    <row r="6571" spans="8:9" x14ac:dyDescent="0.2">
      <c r="H6571" s="1"/>
      <c r="I6571" s="1"/>
    </row>
    <row r="6572" spans="8:9" x14ac:dyDescent="0.2">
      <c r="H6572" s="1"/>
      <c r="I6572" s="1"/>
    </row>
    <row r="6573" spans="8:9" x14ac:dyDescent="0.2">
      <c r="H6573" s="1"/>
      <c r="I6573" s="1"/>
    </row>
    <row r="6574" spans="8:9" x14ac:dyDescent="0.2">
      <c r="H6574" s="1"/>
      <c r="I6574" s="1"/>
    </row>
    <row r="6575" spans="8:9" x14ac:dyDescent="0.2">
      <c r="H6575" s="1"/>
      <c r="I6575" s="1"/>
    </row>
    <row r="6576" spans="8:9" x14ac:dyDescent="0.2">
      <c r="H6576" s="1"/>
      <c r="I6576" s="1"/>
    </row>
    <row r="6577" spans="8:9" x14ac:dyDescent="0.2">
      <c r="H6577" s="1"/>
      <c r="I6577" s="1"/>
    </row>
    <row r="6578" spans="8:9" x14ac:dyDescent="0.2">
      <c r="H6578" s="1"/>
      <c r="I6578" s="1"/>
    </row>
    <row r="6579" spans="8:9" x14ac:dyDescent="0.2">
      <c r="H6579" s="1"/>
      <c r="I6579" s="1"/>
    </row>
    <row r="6580" spans="8:9" x14ac:dyDescent="0.2">
      <c r="H6580" s="1"/>
      <c r="I6580" s="1"/>
    </row>
    <row r="6581" spans="8:9" x14ac:dyDescent="0.2">
      <c r="H6581" s="1"/>
      <c r="I6581" s="1"/>
    </row>
    <row r="6582" spans="8:9" x14ac:dyDescent="0.2">
      <c r="H6582" s="1"/>
      <c r="I6582" s="1"/>
    </row>
    <row r="6583" spans="8:9" x14ac:dyDescent="0.2">
      <c r="H6583" s="1"/>
      <c r="I6583" s="1"/>
    </row>
    <row r="6584" spans="8:9" x14ac:dyDescent="0.2">
      <c r="H6584" s="1"/>
      <c r="I6584" s="1"/>
    </row>
    <row r="6585" spans="8:9" x14ac:dyDescent="0.2">
      <c r="H6585" s="1"/>
      <c r="I6585" s="1"/>
    </row>
    <row r="6586" spans="8:9" x14ac:dyDescent="0.2">
      <c r="H6586" s="1"/>
      <c r="I6586" s="1"/>
    </row>
    <row r="6587" spans="8:9" x14ac:dyDescent="0.2">
      <c r="H6587" s="1"/>
      <c r="I6587" s="1"/>
    </row>
    <row r="6588" spans="8:9" x14ac:dyDescent="0.2">
      <c r="H6588" s="1"/>
      <c r="I6588" s="1"/>
    </row>
    <row r="6589" spans="8:9" x14ac:dyDescent="0.2">
      <c r="H6589" s="1"/>
      <c r="I6589" s="1"/>
    </row>
    <row r="6590" spans="8:9" x14ac:dyDescent="0.2">
      <c r="H6590" s="1"/>
      <c r="I6590" s="1"/>
    </row>
    <row r="6591" spans="8:9" x14ac:dyDescent="0.2">
      <c r="H6591" s="1"/>
      <c r="I6591" s="1"/>
    </row>
    <row r="6592" spans="8:9" x14ac:dyDescent="0.2">
      <c r="H6592" s="1"/>
      <c r="I6592" s="1"/>
    </row>
    <row r="6593" spans="8:9" x14ac:dyDescent="0.2">
      <c r="H6593" s="1"/>
      <c r="I6593" s="1"/>
    </row>
    <row r="6594" spans="8:9" x14ac:dyDescent="0.2">
      <c r="H6594" s="1"/>
      <c r="I6594" s="1"/>
    </row>
    <row r="6595" spans="8:9" x14ac:dyDescent="0.2">
      <c r="H6595" s="1"/>
      <c r="I6595" s="1"/>
    </row>
    <row r="6596" spans="8:9" x14ac:dyDescent="0.2">
      <c r="H6596" s="1"/>
      <c r="I6596" s="1"/>
    </row>
    <row r="6597" spans="8:9" x14ac:dyDescent="0.2">
      <c r="H6597" s="1"/>
      <c r="I6597" s="1"/>
    </row>
    <row r="6598" spans="8:9" x14ac:dyDescent="0.2">
      <c r="H6598" s="1"/>
      <c r="I6598" s="1"/>
    </row>
    <row r="6599" spans="8:9" x14ac:dyDescent="0.2">
      <c r="H6599" s="1"/>
      <c r="I6599" s="1"/>
    </row>
    <row r="6600" spans="8:9" x14ac:dyDescent="0.2">
      <c r="H6600" s="1"/>
      <c r="I6600" s="1"/>
    </row>
    <row r="6601" spans="8:9" x14ac:dyDescent="0.2">
      <c r="H6601" s="1"/>
      <c r="I6601" s="1"/>
    </row>
    <row r="6602" spans="8:9" x14ac:dyDescent="0.2">
      <c r="H6602" s="1"/>
      <c r="I6602" s="1"/>
    </row>
    <row r="6603" spans="8:9" x14ac:dyDescent="0.2">
      <c r="H6603" s="1"/>
      <c r="I6603" s="1"/>
    </row>
    <row r="6604" spans="8:9" x14ac:dyDescent="0.2">
      <c r="H6604" s="1"/>
      <c r="I6604" s="1"/>
    </row>
    <row r="6605" spans="8:9" x14ac:dyDescent="0.2">
      <c r="H6605" s="1"/>
      <c r="I6605" s="1"/>
    </row>
    <row r="6606" spans="8:9" x14ac:dyDescent="0.2">
      <c r="H6606" s="1"/>
      <c r="I6606" s="1"/>
    </row>
    <row r="6607" spans="8:9" x14ac:dyDescent="0.2">
      <c r="H6607" s="1"/>
      <c r="I6607" s="1"/>
    </row>
    <row r="6608" spans="8:9" x14ac:dyDescent="0.2">
      <c r="H6608" s="1"/>
      <c r="I6608" s="1"/>
    </row>
    <row r="6609" spans="8:9" x14ac:dyDescent="0.2">
      <c r="H6609" s="1"/>
      <c r="I6609" s="1"/>
    </row>
    <row r="6610" spans="8:9" x14ac:dyDescent="0.2">
      <c r="H6610" s="1"/>
      <c r="I6610" s="1"/>
    </row>
    <row r="6611" spans="8:9" x14ac:dyDescent="0.2">
      <c r="H6611" s="1"/>
      <c r="I6611" s="1"/>
    </row>
    <row r="6612" spans="8:9" x14ac:dyDescent="0.2">
      <c r="H6612" s="1"/>
      <c r="I6612" s="1"/>
    </row>
    <row r="6613" spans="8:9" x14ac:dyDescent="0.2">
      <c r="H6613" s="1"/>
      <c r="I6613" s="1"/>
    </row>
    <row r="6614" spans="8:9" x14ac:dyDescent="0.2">
      <c r="H6614" s="1"/>
      <c r="I6614" s="1"/>
    </row>
    <row r="6615" spans="8:9" x14ac:dyDescent="0.2">
      <c r="H6615" s="1"/>
      <c r="I6615" s="1"/>
    </row>
    <row r="6616" spans="8:9" x14ac:dyDescent="0.2">
      <c r="H6616" s="1"/>
      <c r="I6616" s="1"/>
    </row>
    <row r="6617" spans="8:9" x14ac:dyDescent="0.2">
      <c r="H6617" s="1"/>
      <c r="I6617" s="1"/>
    </row>
    <row r="6618" spans="8:9" x14ac:dyDescent="0.2">
      <c r="H6618" s="1"/>
      <c r="I6618" s="1"/>
    </row>
    <row r="6619" spans="8:9" x14ac:dyDescent="0.2">
      <c r="H6619" s="1"/>
      <c r="I6619" s="1"/>
    </row>
    <row r="6620" spans="8:9" x14ac:dyDescent="0.2">
      <c r="H6620" s="1"/>
      <c r="I6620" s="1"/>
    </row>
    <row r="6621" spans="8:9" x14ac:dyDescent="0.2">
      <c r="H6621" s="1"/>
      <c r="I6621" s="1"/>
    </row>
    <row r="6622" spans="8:9" x14ac:dyDescent="0.2">
      <c r="H6622" s="1"/>
      <c r="I6622" s="1"/>
    </row>
    <row r="6623" spans="8:9" x14ac:dyDescent="0.2">
      <c r="H6623" s="1"/>
      <c r="I6623" s="1"/>
    </row>
    <row r="6624" spans="8:9" x14ac:dyDescent="0.2">
      <c r="H6624" s="1"/>
      <c r="I6624" s="1"/>
    </row>
    <row r="6625" spans="8:9" x14ac:dyDescent="0.2">
      <c r="H6625" s="1"/>
      <c r="I6625" s="1"/>
    </row>
    <row r="6626" spans="8:9" x14ac:dyDescent="0.2">
      <c r="H6626" s="1"/>
      <c r="I6626" s="1"/>
    </row>
    <row r="6627" spans="8:9" x14ac:dyDescent="0.2">
      <c r="H6627" s="1"/>
      <c r="I6627" s="1"/>
    </row>
    <row r="6628" spans="8:9" x14ac:dyDescent="0.2">
      <c r="H6628" s="1"/>
      <c r="I6628" s="1"/>
    </row>
    <row r="6629" spans="8:9" x14ac:dyDescent="0.2">
      <c r="H6629" s="1"/>
      <c r="I6629" s="1"/>
    </row>
    <row r="6630" spans="8:9" x14ac:dyDescent="0.2">
      <c r="H6630" s="1"/>
      <c r="I6630" s="1"/>
    </row>
    <row r="6631" spans="8:9" x14ac:dyDescent="0.2">
      <c r="H6631" s="1"/>
      <c r="I6631" s="1"/>
    </row>
    <row r="6632" spans="8:9" x14ac:dyDescent="0.2">
      <c r="H6632" s="1"/>
      <c r="I6632" s="1"/>
    </row>
    <row r="6633" spans="8:9" x14ac:dyDescent="0.2">
      <c r="H6633" s="1"/>
      <c r="I6633" s="1"/>
    </row>
    <row r="6634" spans="8:9" x14ac:dyDescent="0.2">
      <c r="H6634" s="1"/>
      <c r="I6634" s="1"/>
    </row>
    <row r="6635" spans="8:9" x14ac:dyDescent="0.2">
      <c r="H6635" s="1"/>
      <c r="I6635" s="1"/>
    </row>
    <row r="6636" spans="8:9" x14ac:dyDescent="0.2">
      <c r="H6636" s="1"/>
      <c r="I6636" s="1"/>
    </row>
    <row r="6637" spans="8:9" x14ac:dyDescent="0.2">
      <c r="H6637" s="1"/>
      <c r="I6637" s="1"/>
    </row>
    <row r="6638" spans="8:9" x14ac:dyDescent="0.2">
      <c r="H6638" s="1"/>
      <c r="I6638" s="1"/>
    </row>
    <row r="6639" spans="8:9" x14ac:dyDescent="0.2">
      <c r="H6639" s="1"/>
      <c r="I6639" s="1"/>
    </row>
    <row r="6640" spans="8:9" x14ac:dyDescent="0.2">
      <c r="H6640" s="1"/>
      <c r="I6640" s="1"/>
    </row>
    <row r="6641" spans="8:9" x14ac:dyDescent="0.2">
      <c r="H6641" s="1"/>
      <c r="I6641" s="1"/>
    </row>
    <row r="6642" spans="8:9" x14ac:dyDescent="0.2">
      <c r="H6642" s="1"/>
      <c r="I6642" s="1"/>
    </row>
    <row r="6643" spans="8:9" x14ac:dyDescent="0.2">
      <c r="H6643" s="1"/>
      <c r="I6643" s="1"/>
    </row>
    <row r="6644" spans="8:9" x14ac:dyDescent="0.2">
      <c r="H6644" s="1"/>
      <c r="I6644" s="1"/>
    </row>
    <row r="6645" spans="8:9" x14ac:dyDescent="0.2">
      <c r="H6645" s="1"/>
      <c r="I6645" s="1"/>
    </row>
    <row r="6646" spans="8:9" x14ac:dyDescent="0.2">
      <c r="H6646" s="1"/>
      <c r="I6646" s="1"/>
    </row>
    <row r="6647" spans="8:9" x14ac:dyDescent="0.2">
      <c r="H6647" s="1"/>
      <c r="I6647" s="1"/>
    </row>
    <row r="6648" spans="8:9" x14ac:dyDescent="0.2">
      <c r="H6648" s="1"/>
      <c r="I6648" s="1"/>
    </row>
    <row r="6649" spans="8:9" x14ac:dyDescent="0.2">
      <c r="H6649" s="1"/>
      <c r="I6649" s="1"/>
    </row>
    <row r="6650" spans="8:9" x14ac:dyDescent="0.2">
      <c r="H6650" s="1"/>
      <c r="I6650" s="1"/>
    </row>
    <row r="6651" spans="8:9" x14ac:dyDescent="0.2">
      <c r="H6651" s="1"/>
      <c r="I6651" s="1"/>
    </row>
    <row r="6652" spans="8:9" x14ac:dyDescent="0.2">
      <c r="H6652" s="1"/>
      <c r="I6652" s="1"/>
    </row>
    <row r="6653" spans="8:9" x14ac:dyDescent="0.2">
      <c r="H6653" s="1"/>
      <c r="I6653" s="1"/>
    </row>
    <row r="6654" spans="8:9" x14ac:dyDescent="0.2">
      <c r="H6654" s="1"/>
      <c r="I6654" s="1"/>
    </row>
    <row r="6655" spans="8:9" x14ac:dyDescent="0.2">
      <c r="H6655" s="1"/>
      <c r="I6655" s="1"/>
    </row>
    <row r="6656" spans="8:9" x14ac:dyDescent="0.2">
      <c r="H6656" s="1"/>
      <c r="I6656" s="1"/>
    </row>
    <row r="6657" spans="8:9" x14ac:dyDescent="0.2">
      <c r="H6657" s="1"/>
      <c r="I6657" s="1"/>
    </row>
    <row r="6658" spans="8:9" x14ac:dyDescent="0.2">
      <c r="H6658" s="1"/>
      <c r="I6658" s="1"/>
    </row>
    <row r="6659" spans="8:9" x14ac:dyDescent="0.2">
      <c r="H6659" s="1"/>
      <c r="I6659" s="1"/>
    </row>
    <row r="6660" spans="8:9" x14ac:dyDescent="0.2">
      <c r="H6660" s="1"/>
      <c r="I6660" s="1"/>
    </row>
    <row r="6661" spans="8:9" x14ac:dyDescent="0.2">
      <c r="H6661" s="1"/>
      <c r="I6661" s="1"/>
    </row>
    <row r="6662" spans="8:9" x14ac:dyDescent="0.2">
      <c r="H6662" s="1"/>
      <c r="I6662" s="1"/>
    </row>
    <row r="6663" spans="8:9" x14ac:dyDescent="0.2">
      <c r="H6663" s="1"/>
      <c r="I6663" s="1"/>
    </row>
    <row r="6664" spans="8:9" x14ac:dyDescent="0.2">
      <c r="H6664" s="1"/>
      <c r="I6664" s="1"/>
    </row>
    <row r="6665" spans="8:9" x14ac:dyDescent="0.2">
      <c r="H6665" s="1"/>
      <c r="I6665" s="1"/>
    </row>
    <row r="6666" spans="8:9" x14ac:dyDescent="0.2">
      <c r="H6666" s="1"/>
      <c r="I6666" s="1"/>
    </row>
    <row r="6667" spans="8:9" x14ac:dyDescent="0.2">
      <c r="H6667" s="1"/>
      <c r="I6667" s="1"/>
    </row>
    <row r="6668" spans="8:9" x14ac:dyDescent="0.2">
      <c r="H6668" s="1"/>
      <c r="I6668" s="1"/>
    </row>
    <row r="6669" spans="8:9" x14ac:dyDescent="0.2">
      <c r="H6669" s="1"/>
      <c r="I6669" s="1"/>
    </row>
    <row r="6670" spans="8:9" x14ac:dyDescent="0.2">
      <c r="H6670" s="1"/>
      <c r="I6670" s="1"/>
    </row>
    <row r="6671" spans="8:9" x14ac:dyDescent="0.2">
      <c r="H6671" s="1"/>
      <c r="I6671" s="1"/>
    </row>
    <row r="6672" spans="8:9" x14ac:dyDescent="0.2">
      <c r="H6672" s="1"/>
      <c r="I6672" s="1"/>
    </row>
    <row r="6673" spans="8:9" x14ac:dyDescent="0.2">
      <c r="H6673" s="1"/>
      <c r="I6673" s="1"/>
    </row>
    <row r="6674" spans="8:9" x14ac:dyDescent="0.2">
      <c r="H6674" s="1"/>
      <c r="I6674" s="1"/>
    </row>
    <row r="6675" spans="8:9" x14ac:dyDescent="0.2">
      <c r="H6675" s="1"/>
      <c r="I6675" s="1"/>
    </row>
    <row r="6676" spans="8:9" x14ac:dyDescent="0.2">
      <c r="H6676" s="1"/>
      <c r="I6676" s="1"/>
    </row>
    <row r="6677" spans="8:9" x14ac:dyDescent="0.2">
      <c r="H6677" s="1"/>
      <c r="I6677" s="1"/>
    </row>
    <row r="6678" spans="8:9" x14ac:dyDescent="0.2">
      <c r="H6678" s="1"/>
      <c r="I6678" s="1"/>
    </row>
    <row r="6679" spans="8:9" x14ac:dyDescent="0.2">
      <c r="H6679" s="1"/>
      <c r="I6679" s="1"/>
    </row>
    <row r="6680" spans="8:9" x14ac:dyDescent="0.2">
      <c r="H6680" s="1"/>
      <c r="I6680" s="1"/>
    </row>
    <row r="6681" spans="8:9" x14ac:dyDescent="0.2">
      <c r="H6681" s="1"/>
      <c r="I6681" s="1"/>
    </row>
    <row r="6682" spans="8:9" x14ac:dyDescent="0.2">
      <c r="H6682" s="1"/>
      <c r="I6682" s="1"/>
    </row>
    <row r="6683" spans="8:9" x14ac:dyDescent="0.2">
      <c r="H6683" s="1"/>
      <c r="I6683" s="1"/>
    </row>
    <row r="6684" spans="8:9" x14ac:dyDescent="0.2">
      <c r="H6684" s="1"/>
      <c r="I6684" s="1"/>
    </row>
    <row r="6685" spans="8:9" x14ac:dyDescent="0.2">
      <c r="H6685" s="1"/>
      <c r="I6685" s="1"/>
    </row>
    <row r="6686" spans="8:9" x14ac:dyDescent="0.2">
      <c r="H6686" s="1"/>
      <c r="I6686" s="1"/>
    </row>
    <row r="6687" spans="8:9" x14ac:dyDescent="0.2">
      <c r="H6687" s="1"/>
      <c r="I6687" s="1"/>
    </row>
    <row r="6688" spans="8:9" x14ac:dyDescent="0.2">
      <c r="H6688" s="1"/>
      <c r="I6688" s="1"/>
    </row>
    <row r="6689" spans="8:9" x14ac:dyDescent="0.2">
      <c r="H6689" s="1"/>
      <c r="I6689" s="1"/>
    </row>
    <row r="6690" spans="8:9" x14ac:dyDescent="0.2">
      <c r="H6690" s="1"/>
      <c r="I6690" s="1"/>
    </row>
    <row r="6691" spans="8:9" x14ac:dyDescent="0.2">
      <c r="H6691" s="1"/>
      <c r="I6691" s="1"/>
    </row>
    <row r="6692" spans="8:9" x14ac:dyDescent="0.2">
      <c r="H6692" s="1"/>
      <c r="I6692" s="1"/>
    </row>
    <row r="6693" spans="8:9" x14ac:dyDescent="0.2">
      <c r="H6693" s="1"/>
      <c r="I6693" s="1"/>
    </row>
    <row r="6694" spans="8:9" x14ac:dyDescent="0.2">
      <c r="H6694" s="1"/>
      <c r="I6694" s="1"/>
    </row>
    <row r="6695" spans="8:9" x14ac:dyDescent="0.2">
      <c r="H6695" s="1"/>
      <c r="I6695" s="1"/>
    </row>
    <row r="6696" spans="8:9" x14ac:dyDescent="0.2">
      <c r="H6696" s="1"/>
      <c r="I6696" s="1"/>
    </row>
    <row r="6697" spans="8:9" x14ac:dyDescent="0.2">
      <c r="H6697" s="1"/>
      <c r="I6697" s="1"/>
    </row>
    <row r="6698" spans="8:9" x14ac:dyDescent="0.2">
      <c r="H6698" s="1"/>
      <c r="I6698" s="1"/>
    </row>
    <row r="6699" spans="8:9" x14ac:dyDescent="0.2">
      <c r="H6699" s="1"/>
      <c r="I6699" s="1"/>
    </row>
    <row r="6700" spans="8:9" x14ac:dyDescent="0.2">
      <c r="H6700" s="1"/>
      <c r="I6700" s="1"/>
    </row>
    <row r="6701" spans="8:9" x14ac:dyDescent="0.2">
      <c r="H6701" s="1"/>
      <c r="I6701" s="1"/>
    </row>
    <row r="6702" spans="8:9" x14ac:dyDescent="0.2">
      <c r="H6702" s="1"/>
      <c r="I6702" s="1"/>
    </row>
    <row r="6703" spans="8:9" x14ac:dyDescent="0.2">
      <c r="H6703" s="1"/>
      <c r="I6703" s="1"/>
    </row>
    <row r="6704" spans="8:9" x14ac:dyDescent="0.2">
      <c r="H6704" s="1"/>
      <c r="I6704" s="1"/>
    </row>
    <row r="6705" spans="8:9" x14ac:dyDescent="0.2">
      <c r="H6705" s="1"/>
      <c r="I6705" s="1"/>
    </row>
    <row r="6706" spans="8:9" x14ac:dyDescent="0.2">
      <c r="H6706" s="1"/>
      <c r="I6706" s="1"/>
    </row>
    <row r="6707" spans="8:9" x14ac:dyDescent="0.2">
      <c r="H6707" s="1"/>
      <c r="I6707" s="1"/>
    </row>
    <row r="6708" spans="8:9" x14ac:dyDescent="0.2">
      <c r="H6708" s="1"/>
      <c r="I6708" s="1"/>
    </row>
    <row r="6709" spans="8:9" x14ac:dyDescent="0.2">
      <c r="H6709" s="1"/>
      <c r="I6709" s="1"/>
    </row>
    <row r="6710" spans="8:9" x14ac:dyDescent="0.2">
      <c r="H6710" s="1"/>
      <c r="I6710" s="1"/>
    </row>
    <row r="6711" spans="8:9" x14ac:dyDescent="0.2">
      <c r="H6711" s="1"/>
      <c r="I6711" s="1"/>
    </row>
    <row r="6712" spans="8:9" x14ac:dyDescent="0.2">
      <c r="H6712" s="1"/>
      <c r="I6712" s="1"/>
    </row>
    <row r="6713" spans="8:9" x14ac:dyDescent="0.2">
      <c r="H6713" s="1"/>
      <c r="I6713" s="1"/>
    </row>
    <row r="6714" spans="8:9" x14ac:dyDescent="0.2">
      <c r="H6714" s="1"/>
      <c r="I6714" s="1"/>
    </row>
    <row r="6715" spans="8:9" x14ac:dyDescent="0.2">
      <c r="H6715" s="1"/>
      <c r="I6715" s="1"/>
    </row>
    <row r="6716" spans="8:9" x14ac:dyDescent="0.2">
      <c r="H6716" s="1"/>
      <c r="I6716" s="1"/>
    </row>
    <row r="6717" spans="8:9" x14ac:dyDescent="0.2">
      <c r="H6717" s="1"/>
      <c r="I6717" s="1"/>
    </row>
    <row r="6718" spans="8:9" x14ac:dyDescent="0.2">
      <c r="H6718" s="1"/>
      <c r="I6718" s="1"/>
    </row>
    <row r="6719" spans="8:9" x14ac:dyDescent="0.2">
      <c r="H6719" s="1"/>
      <c r="I6719" s="1"/>
    </row>
    <row r="6720" spans="8:9" x14ac:dyDescent="0.2">
      <c r="H6720" s="1"/>
      <c r="I6720" s="1"/>
    </row>
    <row r="6721" spans="8:9" x14ac:dyDescent="0.2">
      <c r="H6721" s="1"/>
      <c r="I6721" s="1"/>
    </row>
    <row r="6722" spans="8:9" x14ac:dyDescent="0.2">
      <c r="H6722" s="1"/>
      <c r="I6722" s="1"/>
    </row>
    <row r="6723" spans="8:9" x14ac:dyDescent="0.2">
      <c r="H6723" s="1"/>
      <c r="I6723" s="1"/>
    </row>
    <row r="6724" spans="8:9" x14ac:dyDescent="0.2">
      <c r="H6724" s="1"/>
      <c r="I6724" s="1"/>
    </row>
    <row r="6725" spans="8:9" x14ac:dyDescent="0.2">
      <c r="H6725" s="1"/>
      <c r="I6725" s="1"/>
    </row>
    <row r="6726" spans="8:9" x14ac:dyDescent="0.2">
      <c r="H6726" s="1"/>
      <c r="I6726" s="1"/>
    </row>
    <row r="6727" spans="8:9" x14ac:dyDescent="0.2">
      <c r="H6727" s="1"/>
      <c r="I6727" s="1"/>
    </row>
    <row r="6728" spans="8:9" x14ac:dyDescent="0.2">
      <c r="H6728" s="1"/>
      <c r="I6728" s="1"/>
    </row>
    <row r="6729" spans="8:9" x14ac:dyDescent="0.2">
      <c r="H6729" s="1"/>
      <c r="I6729" s="1"/>
    </row>
    <row r="6730" spans="8:9" x14ac:dyDescent="0.2">
      <c r="H6730" s="1"/>
      <c r="I6730" s="1"/>
    </row>
    <row r="6731" spans="8:9" x14ac:dyDescent="0.2">
      <c r="H6731" s="1"/>
      <c r="I6731" s="1"/>
    </row>
    <row r="6732" spans="8:9" x14ac:dyDescent="0.2">
      <c r="H6732" s="1"/>
      <c r="I6732" s="1"/>
    </row>
    <row r="6733" spans="8:9" x14ac:dyDescent="0.2">
      <c r="H6733" s="1"/>
      <c r="I6733" s="1"/>
    </row>
    <row r="6734" spans="8:9" x14ac:dyDescent="0.2">
      <c r="H6734" s="1"/>
      <c r="I6734" s="1"/>
    </row>
    <row r="6735" spans="8:9" x14ac:dyDescent="0.2">
      <c r="H6735" s="1"/>
      <c r="I6735" s="1"/>
    </row>
    <row r="6736" spans="8:9" x14ac:dyDescent="0.2">
      <c r="H6736" s="1"/>
      <c r="I6736" s="1"/>
    </row>
    <row r="6737" spans="8:9" x14ac:dyDescent="0.2">
      <c r="H6737" s="1"/>
      <c r="I6737" s="1"/>
    </row>
    <row r="6738" spans="8:9" x14ac:dyDescent="0.2">
      <c r="H6738" s="1"/>
      <c r="I6738" s="1"/>
    </row>
    <row r="6739" spans="8:9" x14ac:dyDescent="0.2">
      <c r="H6739" s="1"/>
      <c r="I6739" s="1"/>
    </row>
    <row r="6740" spans="8:9" x14ac:dyDescent="0.2">
      <c r="H6740" s="1"/>
      <c r="I6740" s="1"/>
    </row>
    <row r="6741" spans="8:9" x14ac:dyDescent="0.2">
      <c r="H6741" s="1"/>
      <c r="I6741" s="1"/>
    </row>
    <row r="6742" spans="8:9" x14ac:dyDescent="0.2">
      <c r="H6742" s="1"/>
      <c r="I6742" s="1"/>
    </row>
    <row r="6743" spans="8:9" x14ac:dyDescent="0.2">
      <c r="H6743" s="1"/>
      <c r="I6743" s="1"/>
    </row>
    <row r="6744" spans="8:9" x14ac:dyDescent="0.2">
      <c r="H6744" s="1"/>
      <c r="I6744" s="1"/>
    </row>
    <row r="6745" spans="8:9" x14ac:dyDescent="0.2">
      <c r="H6745" s="1"/>
      <c r="I6745" s="1"/>
    </row>
    <row r="6746" spans="8:9" x14ac:dyDescent="0.2">
      <c r="H6746" s="1"/>
      <c r="I6746" s="1"/>
    </row>
    <row r="6747" spans="8:9" x14ac:dyDescent="0.2">
      <c r="H6747" s="1"/>
      <c r="I6747" s="1"/>
    </row>
    <row r="6748" spans="8:9" x14ac:dyDescent="0.2">
      <c r="H6748" s="1"/>
      <c r="I6748" s="1"/>
    </row>
    <row r="6749" spans="8:9" x14ac:dyDescent="0.2">
      <c r="H6749" s="1"/>
      <c r="I6749" s="1"/>
    </row>
    <row r="6750" spans="8:9" x14ac:dyDescent="0.2">
      <c r="H6750" s="1"/>
      <c r="I6750" s="1"/>
    </row>
    <row r="6751" spans="8:9" x14ac:dyDescent="0.2">
      <c r="H6751" s="1"/>
      <c r="I6751" s="1"/>
    </row>
    <row r="6752" spans="8:9" x14ac:dyDescent="0.2">
      <c r="H6752" s="1"/>
      <c r="I6752" s="1"/>
    </row>
    <row r="6753" spans="8:9" x14ac:dyDescent="0.2">
      <c r="H6753" s="1"/>
      <c r="I6753" s="1"/>
    </row>
    <row r="6754" spans="8:9" x14ac:dyDescent="0.2">
      <c r="H6754" s="1"/>
      <c r="I6754" s="1"/>
    </row>
    <row r="6755" spans="8:9" x14ac:dyDescent="0.2">
      <c r="H6755" s="1"/>
      <c r="I6755" s="1"/>
    </row>
    <row r="6756" spans="8:9" x14ac:dyDescent="0.2">
      <c r="H6756" s="1"/>
      <c r="I6756" s="1"/>
    </row>
    <row r="6757" spans="8:9" x14ac:dyDescent="0.2">
      <c r="H6757" s="1"/>
      <c r="I6757" s="1"/>
    </row>
    <row r="6758" spans="8:9" x14ac:dyDescent="0.2">
      <c r="H6758" s="1"/>
      <c r="I6758" s="1"/>
    </row>
    <row r="6759" spans="8:9" x14ac:dyDescent="0.2">
      <c r="H6759" s="1"/>
      <c r="I6759" s="1"/>
    </row>
    <row r="6760" spans="8:9" x14ac:dyDescent="0.2">
      <c r="H6760" s="1"/>
      <c r="I6760" s="1"/>
    </row>
    <row r="6761" spans="8:9" x14ac:dyDescent="0.2">
      <c r="H6761" s="1"/>
      <c r="I6761" s="1"/>
    </row>
    <row r="6762" spans="8:9" x14ac:dyDescent="0.2">
      <c r="H6762" s="1"/>
      <c r="I6762" s="1"/>
    </row>
    <row r="6763" spans="8:9" x14ac:dyDescent="0.2">
      <c r="H6763" s="1"/>
      <c r="I6763" s="1"/>
    </row>
    <row r="6764" spans="8:9" x14ac:dyDescent="0.2">
      <c r="H6764" s="1"/>
      <c r="I6764" s="1"/>
    </row>
    <row r="6765" spans="8:9" x14ac:dyDescent="0.2">
      <c r="H6765" s="1"/>
      <c r="I6765" s="1"/>
    </row>
    <row r="6766" spans="8:9" x14ac:dyDescent="0.2">
      <c r="H6766" s="1"/>
      <c r="I6766" s="1"/>
    </row>
    <row r="6767" spans="8:9" x14ac:dyDescent="0.2">
      <c r="H6767" s="1"/>
      <c r="I6767" s="1"/>
    </row>
    <row r="6768" spans="8:9" x14ac:dyDescent="0.2">
      <c r="H6768" s="1"/>
      <c r="I6768" s="1"/>
    </row>
    <row r="6769" spans="8:9" x14ac:dyDescent="0.2">
      <c r="H6769" s="1"/>
      <c r="I6769" s="1"/>
    </row>
    <row r="6770" spans="8:9" x14ac:dyDescent="0.2">
      <c r="H6770" s="1"/>
      <c r="I6770" s="1"/>
    </row>
    <row r="6771" spans="8:9" x14ac:dyDescent="0.2">
      <c r="H6771" s="1"/>
      <c r="I6771" s="1"/>
    </row>
    <row r="6772" spans="8:9" x14ac:dyDescent="0.2">
      <c r="H6772" s="1"/>
      <c r="I6772" s="1"/>
    </row>
    <row r="6773" spans="8:9" x14ac:dyDescent="0.2">
      <c r="H6773" s="1"/>
      <c r="I6773" s="1"/>
    </row>
    <row r="6774" spans="8:9" x14ac:dyDescent="0.2">
      <c r="H6774" s="1"/>
      <c r="I6774" s="1"/>
    </row>
    <row r="6775" spans="8:9" x14ac:dyDescent="0.2">
      <c r="H6775" s="1"/>
      <c r="I6775" s="1"/>
    </row>
    <row r="6776" spans="8:9" x14ac:dyDescent="0.2">
      <c r="H6776" s="1"/>
      <c r="I6776" s="1"/>
    </row>
    <row r="6777" spans="8:9" x14ac:dyDescent="0.2">
      <c r="H6777" s="1"/>
      <c r="I6777" s="1"/>
    </row>
    <row r="6778" spans="8:9" x14ac:dyDescent="0.2">
      <c r="H6778" s="1"/>
      <c r="I6778" s="1"/>
    </row>
    <row r="6779" spans="8:9" x14ac:dyDescent="0.2">
      <c r="H6779" s="1"/>
      <c r="I6779" s="1"/>
    </row>
    <row r="6780" spans="8:9" x14ac:dyDescent="0.2">
      <c r="H6780" s="1"/>
      <c r="I6780" s="1"/>
    </row>
    <row r="6781" spans="8:9" x14ac:dyDescent="0.2">
      <c r="H6781" s="1"/>
      <c r="I6781" s="1"/>
    </row>
    <row r="6782" spans="8:9" x14ac:dyDescent="0.2">
      <c r="H6782" s="1"/>
      <c r="I6782" s="1"/>
    </row>
    <row r="6783" spans="8:9" x14ac:dyDescent="0.2">
      <c r="H6783" s="1"/>
      <c r="I6783" s="1"/>
    </row>
    <row r="6784" spans="8:9" x14ac:dyDescent="0.2">
      <c r="H6784" s="1"/>
      <c r="I6784" s="1"/>
    </row>
    <row r="6785" spans="8:9" x14ac:dyDescent="0.2">
      <c r="H6785" s="1"/>
      <c r="I6785" s="1"/>
    </row>
    <row r="6786" spans="8:9" x14ac:dyDescent="0.2">
      <c r="H6786" s="1"/>
      <c r="I6786" s="1"/>
    </row>
    <row r="6787" spans="8:9" x14ac:dyDescent="0.2">
      <c r="H6787" s="1"/>
      <c r="I6787" s="1"/>
    </row>
    <row r="6788" spans="8:9" x14ac:dyDescent="0.2">
      <c r="H6788" s="1"/>
      <c r="I6788" s="1"/>
    </row>
    <row r="6789" spans="8:9" x14ac:dyDescent="0.2">
      <c r="H6789" s="1"/>
      <c r="I6789" s="1"/>
    </row>
    <row r="6790" spans="8:9" x14ac:dyDescent="0.2">
      <c r="H6790" s="1"/>
      <c r="I6790" s="1"/>
    </row>
    <row r="6791" spans="8:9" x14ac:dyDescent="0.2">
      <c r="H6791" s="1"/>
      <c r="I6791" s="1"/>
    </row>
    <row r="6792" spans="8:9" x14ac:dyDescent="0.2">
      <c r="H6792" s="1"/>
      <c r="I6792" s="1"/>
    </row>
    <row r="6793" spans="8:9" x14ac:dyDescent="0.2">
      <c r="H6793" s="1"/>
      <c r="I6793" s="1"/>
    </row>
    <row r="6794" spans="8:9" x14ac:dyDescent="0.2">
      <c r="H6794" s="1"/>
      <c r="I6794" s="1"/>
    </row>
    <row r="6795" spans="8:9" x14ac:dyDescent="0.2">
      <c r="H6795" s="1"/>
      <c r="I6795" s="1"/>
    </row>
    <row r="6796" spans="8:9" x14ac:dyDescent="0.2">
      <c r="H6796" s="1"/>
      <c r="I6796" s="1"/>
    </row>
    <row r="6797" spans="8:9" x14ac:dyDescent="0.2">
      <c r="H6797" s="1"/>
      <c r="I6797" s="1"/>
    </row>
    <row r="6798" spans="8:9" x14ac:dyDescent="0.2">
      <c r="H6798" s="1"/>
      <c r="I6798" s="1"/>
    </row>
    <row r="6799" spans="8:9" x14ac:dyDescent="0.2">
      <c r="H6799" s="1"/>
      <c r="I6799" s="1"/>
    </row>
    <row r="6800" spans="8:9" x14ac:dyDescent="0.2">
      <c r="H6800" s="1"/>
      <c r="I6800" s="1"/>
    </row>
    <row r="6801" spans="8:9" x14ac:dyDescent="0.2">
      <c r="H6801" s="1"/>
      <c r="I6801" s="1"/>
    </row>
    <row r="6802" spans="8:9" x14ac:dyDescent="0.2">
      <c r="H6802" s="1"/>
      <c r="I6802" s="1"/>
    </row>
    <row r="6803" spans="8:9" x14ac:dyDescent="0.2">
      <c r="H6803" s="1"/>
      <c r="I6803" s="1"/>
    </row>
    <row r="6804" spans="8:9" x14ac:dyDescent="0.2">
      <c r="H6804" s="1"/>
      <c r="I6804" s="1"/>
    </row>
    <row r="6805" spans="8:9" x14ac:dyDescent="0.2">
      <c r="H6805" s="1"/>
      <c r="I6805" s="1"/>
    </row>
    <row r="6806" spans="8:9" x14ac:dyDescent="0.2">
      <c r="H6806" s="1"/>
      <c r="I6806" s="1"/>
    </row>
    <row r="6807" spans="8:9" x14ac:dyDescent="0.2">
      <c r="H6807" s="1"/>
      <c r="I6807" s="1"/>
    </row>
    <row r="6808" spans="8:9" x14ac:dyDescent="0.2">
      <c r="H6808" s="1"/>
      <c r="I6808" s="1"/>
    </row>
    <row r="6809" spans="8:9" x14ac:dyDescent="0.2">
      <c r="H6809" s="1"/>
      <c r="I6809" s="1"/>
    </row>
    <row r="6810" spans="8:9" x14ac:dyDescent="0.2">
      <c r="H6810" s="1"/>
      <c r="I6810" s="1"/>
    </row>
    <row r="6811" spans="8:9" x14ac:dyDescent="0.2">
      <c r="H6811" s="1"/>
      <c r="I6811" s="1"/>
    </row>
    <row r="6812" spans="8:9" x14ac:dyDescent="0.2">
      <c r="H6812" s="1"/>
      <c r="I6812" s="1"/>
    </row>
    <row r="6813" spans="8:9" x14ac:dyDescent="0.2">
      <c r="H6813" s="1"/>
      <c r="I6813" s="1"/>
    </row>
    <row r="6814" spans="8:9" x14ac:dyDescent="0.2">
      <c r="H6814" s="1"/>
      <c r="I6814" s="1"/>
    </row>
    <row r="6815" spans="8:9" x14ac:dyDescent="0.2">
      <c r="H6815" s="1"/>
      <c r="I6815" s="1"/>
    </row>
    <row r="6816" spans="8:9" x14ac:dyDescent="0.2">
      <c r="H6816" s="1"/>
      <c r="I6816" s="1"/>
    </row>
    <row r="6817" spans="8:9" x14ac:dyDescent="0.2">
      <c r="H6817" s="1"/>
      <c r="I6817" s="1"/>
    </row>
    <row r="6818" spans="8:9" x14ac:dyDescent="0.2">
      <c r="H6818" s="1"/>
      <c r="I6818" s="1"/>
    </row>
    <row r="6819" spans="8:9" x14ac:dyDescent="0.2">
      <c r="H6819" s="1"/>
      <c r="I6819" s="1"/>
    </row>
    <row r="6820" spans="8:9" x14ac:dyDescent="0.2">
      <c r="H6820" s="1"/>
      <c r="I6820" s="1"/>
    </row>
    <row r="6821" spans="8:9" x14ac:dyDescent="0.2">
      <c r="H6821" s="1"/>
      <c r="I6821" s="1"/>
    </row>
    <row r="6822" spans="8:9" x14ac:dyDescent="0.2">
      <c r="H6822" s="1"/>
      <c r="I6822" s="1"/>
    </row>
    <row r="6823" spans="8:9" x14ac:dyDescent="0.2">
      <c r="H6823" s="1"/>
      <c r="I6823" s="1"/>
    </row>
    <row r="6824" spans="8:9" x14ac:dyDescent="0.2">
      <c r="H6824" s="1"/>
      <c r="I6824" s="1"/>
    </row>
    <row r="6825" spans="8:9" x14ac:dyDescent="0.2">
      <c r="H6825" s="1"/>
      <c r="I6825" s="1"/>
    </row>
    <row r="6826" spans="8:9" x14ac:dyDescent="0.2">
      <c r="H6826" s="1"/>
      <c r="I6826" s="1"/>
    </row>
    <row r="6827" spans="8:9" x14ac:dyDescent="0.2">
      <c r="H6827" s="1"/>
      <c r="I6827" s="1"/>
    </row>
    <row r="6828" spans="8:9" x14ac:dyDescent="0.2">
      <c r="H6828" s="1"/>
      <c r="I6828" s="1"/>
    </row>
    <row r="6829" spans="8:9" x14ac:dyDescent="0.2">
      <c r="H6829" s="1"/>
      <c r="I6829" s="1"/>
    </row>
    <row r="6830" spans="8:9" x14ac:dyDescent="0.2">
      <c r="H6830" s="1"/>
      <c r="I6830" s="1"/>
    </row>
    <row r="6831" spans="8:9" x14ac:dyDescent="0.2">
      <c r="H6831" s="1"/>
      <c r="I6831" s="1"/>
    </row>
    <row r="6832" spans="8:9" x14ac:dyDescent="0.2">
      <c r="H6832" s="1"/>
      <c r="I6832" s="1"/>
    </row>
    <row r="6833" spans="8:9" x14ac:dyDescent="0.2">
      <c r="H6833" s="1"/>
      <c r="I6833" s="1"/>
    </row>
    <row r="6834" spans="8:9" x14ac:dyDescent="0.2">
      <c r="H6834" s="1"/>
      <c r="I6834" s="1"/>
    </row>
    <row r="6835" spans="8:9" x14ac:dyDescent="0.2">
      <c r="H6835" s="1"/>
      <c r="I6835" s="1"/>
    </row>
    <row r="6836" spans="8:9" x14ac:dyDescent="0.2">
      <c r="H6836" s="1"/>
      <c r="I6836" s="1"/>
    </row>
    <row r="6837" spans="8:9" x14ac:dyDescent="0.2">
      <c r="H6837" s="1"/>
      <c r="I6837" s="1"/>
    </row>
    <row r="6838" spans="8:9" x14ac:dyDescent="0.2">
      <c r="H6838" s="1"/>
      <c r="I6838" s="1"/>
    </row>
    <row r="6839" spans="8:9" x14ac:dyDescent="0.2">
      <c r="H6839" s="1"/>
      <c r="I6839" s="1"/>
    </row>
    <row r="6840" spans="8:9" x14ac:dyDescent="0.2">
      <c r="H6840" s="1"/>
      <c r="I6840" s="1"/>
    </row>
    <row r="6841" spans="8:9" x14ac:dyDescent="0.2">
      <c r="H6841" s="1"/>
      <c r="I6841" s="1"/>
    </row>
    <row r="6842" spans="8:9" x14ac:dyDescent="0.2">
      <c r="H6842" s="1"/>
      <c r="I6842" s="1"/>
    </row>
    <row r="6843" spans="8:9" x14ac:dyDescent="0.2">
      <c r="H6843" s="1"/>
      <c r="I6843" s="1"/>
    </row>
    <row r="6844" spans="8:9" x14ac:dyDescent="0.2">
      <c r="H6844" s="1"/>
      <c r="I6844" s="1"/>
    </row>
    <row r="6845" spans="8:9" x14ac:dyDescent="0.2">
      <c r="H6845" s="1"/>
      <c r="I6845" s="1"/>
    </row>
    <row r="6846" spans="8:9" x14ac:dyDescent="0.2">
      <c r="H6846" s="1"/>
      <c r="I6846" s="1"/>
    </row>
    <row r="6847" spans="8:9" x14ac:dyDescent="0.2">
      <c r="H6847" s="1"/>
      <c r="I6847" s="1"/>
    </row>
    <row r="6848" spans="8:9" x14ac:dyDescent="0.2">
      <c r="H6848" s="1"/>
      <c r="I6848" s="1"/>
    </row>
    <row r="6849" spans="8:9" x14ac:dyDescent="0.2">
      <c r="H6849" s="1"/>
      <c r="I6849" s="1"/>
    </row>
    <row r="6850" spans="8:9" x14ac:dyDescent="0.2">
      <c r="H6850" s="1"/>
      <c r="I6850" s="1"/>
    </row>
    <row r="6851" spans="8:9" x14ac:dyDescent="0.2">
      <c r="H6851" s="1"/>
      <c r="I6851" s="1"/>
    </row>
    <row r="6852" spans="8:9" x14ac:dyDescent="0.2">
      <c r="H6852" s="1"/>
      <c r="I6852" s="1"/>
    </row>
    <row r="6853" spans="8:9" x14ac:dyDescent="0.2">
      <c r="H6853" s="1"/>
      <c r="I6853" s="1"/>
    </row>
    <row r="6854" spans="8:9" x14ac:dyDescent="0.2">
      <c r="H6854" s="1"/>
      <c r="I6854" s="1"/>
    </row>
    <row r="6855" spans="8:9" x14ac:dyDescent="0.2">
      <c r="H6855" s="1"/>
      <c r="I6855" s="1"/>
    </row>
    <row r="6856" spans="8:9" x14ac:dyDescent="0.2">
      <c r="H6856" s="1"/>
      <c r="I6856" s="1"/>
    </row>
    <row r="6857" spans="8:9" x14ac:dyDescent="0.2">
      <c r="H6857" s="1"/>
      <c r="I6857" s="1"/>
    </row>
    <row r="6858" spans="8:9" x14ac:dyDescent="0.2">
      <c r="H6858" s="1"/>
      <c r="I6858" s="1"/>
    </row>
    <row r="6859" spans="8:9" x14ac:dyDescent="0.2">
      <c r="H6859" s="1"/>
      <c r="I6859" s="1"/>
    </row>
    <row r="6860" spans="8:9" x14ac:dyDescent="0.2">
      <c r="H6860" s="1"/>
      <c r="I6860" s="1"/>
    </row>
    <row r="6861" spans="8:9" x14ac:dyDescent="0.2">
      <c r="H6861" s="1"/>
      <c r="I6861" s="1"/>
    </row>
    <row r="6862" spans="8:9" x14ac:dyDescent="0.2">
      <c r="H6862" s="1"/>
      <c r="I6862" s="1"/>
    </row>
    <row r="6863" spans="8:9" x14ac:dyDescent="0.2">
      <c r="H6863" s="1"/>
      <c r="I6863" s="1"/>
    </row>
    <row r="6864" spans="8:9" x14ac:dyDescent="0.2">
      <c r="H6864" s="1"/>
      <c r="I6864" s="1"/>
    </row>
    <row r="6865" spans="8:9" x14ac:dyDescent="0.2">
      <c r="H6865" s="1"/>
      <c r="I6865" s="1"/>
    </row>
    <row r="6866" spans="8:9" x14ac:dyDescent="0.2">
      <c r="H6866" s="1"/>
      <c r="I6866" s="1"/>
    </row>
    <row r="6867" spans="8:9" x14ac:dyDescent="0.2">
      <c r="H6867" s="1"/>
      <c r="I6867" s="1"/>
    </row>
    <row r="6868" spans="8:9" x14ac:dyDescent="0.2">
      <c r="H6868" s="1"/>
      <c r="I6868" s="1"/>
    </row>
    <row r="6869" spans="8:9" x14ac:dyDescent="0.2">
      <c r="H6869" s="1"/>
      <c r="I6869" s="1"/>
    </row>
    <row r="6870" spans="8:9" x14ac:dyDescent="0.2">
      <c r="H6870" s="1"/>
      <c r="I6870" s="1"/>
    </row>
    <row r="6871" spans="8:9" x14ac:dyDescent="0.2">
      <c r="H6871" s="1"/>
      <c r="I6871" s="1"/>
    </row>
    <row r="6872" spans="8:9" x14ac:dyDescent="0.2">
      <c r="H6872" s="1"/>
      <c r="I6872" s="1"/>
    </row>
    <row r="6873" spans="8:9" x14ac:dyDescent="0.2">
      <c r="H6873" s="1"/>
      <c r="I6873" s="1"/>
    </row>
    <row r="6874" spans="8:9" x14ac:dyDescent="0.2">
      <c r="H6874" s="1"/>
      <c r="I6874" s="1"/>
    </row>
    <row r="6875" spans="8:9" x14ac:dyDescent="0.2">
      <c r="H6875" s="1"/>
      <c r="I6875" s="1"/>
    </row>
    <row r="6876" spans="8:9" x14ac:dyDescent="0.2">
      <c r="H6876" s="1"/>
      <c r="I6876" s="1"/>
    </row>
    <row r="6877" spans="8:9" x14ac:dyDescent="0.2">
      <c r="H6877" s="1"/>
      <c r="I6877" s="1"/>
    </row>
    <row r="6878" spans="8:9" x14ac:dyDescent="0.2">
      <c r="H6878" s="1"/>
      <c r="I6878" s="1"/>
    </row>
    <row r="6879" spans="8:9" x14ac:dyDescent="0.2">
      <c r="H6879" s="1"/>
      <c r="I6879" s="1"/>
    </row>
    <row r="6880" spans="8:9" x14ac:dyDescent="0.2">
      <c r="H6880" s="1"/>
      <c r="I6880" s="1"/>
    </row>
    <row r="6881" spans="8:9" x14ac:dyDescent="0.2">
      <c r="H6881" s="1"/>
      <c r="I6881" s="1"/>
    </row>
    <row r="6882" spans="8:9" x14ac:dyDescent="0.2">
      <c r="H6882" s="1"/>
      <c r="I6882" s="1"/>
    </row>
    <row r="6883" spans="8:9" x14ac:dyDescent="0.2">
      <c r="H6883" s="1"/>
      <c r="I6883" s="1"/>
    </row>
    <row r="6884" spans="8:9" x14ac:dyDescent="0.2">
      <c r="H6884" s="1"/>
      <c r="I6884" s="1"/>
    </row>
    <row r="6885" spans="8:9" x14ac:dyDescent="0.2">
      <c r="H6885" s="1"/>
      <c r="I6885" s="1"/>
    </row>
    <row r="6886" spans="8:9" x14ac:dyDescent="0.2">
      <c r="H6886" s="1"/>
      <c r="I6886" s="1"/>
    </row>
    <row r="6887" spans="8:9" x14ac:dyDescent="0.2">
      <c r="H6887" s="1"/>
      <c r="I6887" s="1"/>
    </row>
    <row r="6888" spans="8:9" x14ac:dyDescent="0.2">
      <c r="H6888" s="1"/>
      <c r="I6888" s="1"/>
    </row>
    <row r="6889" spans="8:9" x14ac:dyDescent="0.2">
      <c r="H6889" s="1"/>
      <c r="I6889" s="1"/>
    </row>
    <row r="6890" spans="8:9" x14ac:dyDescent="0.2">
      <c r="H6890" s="1"/>
      <c r="I6890" s="1"/>
    </row>
    <row r="6891" spans="8:9" x14ac:dyDescent="0.2">
      <c r="H6891" s="1"/>
      <c r="I6891" s="1"/>
    </row>
    <row r="6892" spans="8:9" x14ac:dyDescent="0.2">
      <c r="H6892" s="1"/>
      <c r="I6892" s="1"/>
    </row>
    <row r="6893" spans="8:9" x14ac:dyDescent="0.2">
      <c r="H6893" s="1"/>
      <c r="I6893" s="1"/>
    </row>
    <row r="6894" spans="8:9" x14ac:dyDescent="0.2">
      <c r="H6894" s="1"/>
      <c r="I6894" s="1"/>
    </row>
    <row r="6895" spans="8:9" x14ac:dyDescent="0.2">
      <c r="H6895" s="1"/>
      <c r="I6895" s="1"/>
    </row>
    <row r="6896" spans="8:9" x14ac:dyDescent="0.2">
      <c r="H6896" s="1"/>
      <c r="I6896" s="1"/>
    </row>
    <row r="6897" spans="8:9" x14ac:dyDescent="0.2">
      <c r="H6897" s="1"/>
      <c r="I6897" s="1"/>
    </row>
    <row r="6898" spans="8:9" x14ac:dyDescent="0.2">
      <c r="H6898" s="1"/>
      <c r="I6898" s="1"/>
    </row>
    <row r="6899" spans="8:9" x14ac:dyDescent="0.2">
      <c r="H6899" s="1"/>
      <c r="I6899" s="1"/>
    </row>
    <row r="6900" spans="8:9" x14ac:dyDescent="0.2">
      <c r="H6900" s="1"/>
      <c r="I6900" s="1"/>
    </row>
    <row r="6901" spans="8:9" x14ac:dyDescent="0.2">
      <c r="H6901" s="1"/>
      <c r="I6901" s="1"/>
    </row>
    <row r="6902" spans="8:9" x14ac:dyDescent="0.2">
      <c r="H6902" s="1"/>
      <c r="I6902" s="1"/>
    </row>
    <row r="6903" spans="8:9" x14ac:dyDescent="0.2">
      <c r="H6903" s="1"/>
      <c r="I6903" s="1"/>
    </row>
    <row r="6904" spans="8:9" x14ac:dyDescent="0.2">
      <c r="H6904" s="1"/>
      <c r="I6904" s="1"/>
    </row>
    <row r="6905" spans="8:9" x14ac:dyDescent="0.2">
      <c r="H6905" s="1"/>
      <c r="I6905" s="1"/>
    </row>
    <row r="6906" spans="8:9" x14ac:dyDescent="0.2">
      <c r="H6906" s="1"/>
      <c r="I6906" s="1"/>
    </row>
    <row r="6907" spans="8:9" x14ac:dyDescent="0.2">
      <c r="H6907" s="1"/>
      <c r="I6907" s="1"/>
    </row>
    <row r="6908" spans="8:9" x14ac:dyDescent="0.2">
      <c r="H6908" s="1"/>
      <c r="I6908" s="1"/>
    </row>
    <row r="6909" spans="8:9" x14ac:dyDescent="0.2">
      <c r="H6909" s="1"/>
      <c r="I6909" s="1"/>
    </row>
    <row r="6910" spans="8:9" x14ac:dyDescent="0.2">
      <c r="H6910" s="1"/>
      <c r="I6910" s="1"/>
    </row>
    <row r="6911" spans="8:9" x14ac:dyDescent="0.2">
      <c r="H6911" s="1"/>
      <c r="I6911" s="1"/>
    </row>
    <row r="6912" spans="8:9" x14ac:dyDescent="0.2">
      <c r="H6912" s="1"/>
      <c r="I6912" s="1"/>
    </row>
    <row r="6913" spans="8:9" x14ac:dyDescent="0.2">
      <c r="H6913" s="1"/>
      <c r="I6913" s="1"/>
    </row>
    <row r="6914" spans="8:9" x14ac:dyDescent="0.2">
      <c r="H6914" s="1"/>
      <c r="I6914" s="1"/>
    </row>
    <row r="6915" spans="8:9" x14ac:dyDescent="0.2">
      <c r="H6915" s="1"/>
      <c r="I6915" s="1"/>
    </row>
    <row r="6916" spans="8:9" x14ac:dyDescent="0.2">
      <c r="H6916" s="1"/>
      <c r="I6916" s="1"/>
    </row>
    <row r="6917" spans="8:9" x14ac:dyDescent="0.2">
      <c r="H6917" s="1"/>
      <c r="I6917" s="1"/>
    </row>
    <row r="6918" spans="8:9" x14ac:dyDescent="0.2">
      <c r="H6918" s="1"/>
      <c r="I6918" s="1"/>
    </row>
    <row r="6919" spans="8:9" x14ac:dyDescent="0.2">
      <c r="H6919" s="1"/>
      <c r="I6919" s="1"/>
    </row>
    <row r="6920" spans="8:9" x14ac:dyDescent="0.2">
      <c r="H6920" s="1"/>
      <c r="I6920" s="1"/>
    </row>
    <row r="6921" spans="8:9" x14ac:dyDescent="0.2">
      <c r="H6921" s="1"/>
      <c r="I6921" s="1"/>
    </row>
    <row r="6922" spans="8:9" x14ac:dyDescent="0.2">
      <c r="H6922" s="1"/>
      <c r="I6922" s="1"/>
    </row>
    <row r="6923" spans="8:9" x14ac:dyDescent="0.2">
      <c r="H6923" s="1"/>
      <c r="I6923" s="1"/>
    </row>
    <row r="6924" spans="8:9" x14ac:dyDescent="0.2">
      <c r="H6924" s="1"/>
      <c r="I6924" s="1"/>
    </row>
    <row r="6925" spans="8:9" x14ac:dyDescent="0.2">
      <c r="H6925" s="1"/>
      <c r="I6925" s="1"/>
    </row>
    <row r="6926" spans="8:9" x14ac:dyDescent="0.2">
      <c r="H6926" s="1"/>
      <c r="I6926" s="1"/>
    </row>
    <row r="6927" spans="8:9" x14ac:dyDescent="0.2">
      <c r="H6927" s="1"/>
      <c r="I6927" s="1"/>
    </row>
    <row r="6928" spans="8:9" x14ac:dyDescent="0.2">
      <c r="H6928" s="1"/>
      <c r="I6928" s="1"/>
    </row>
    <row r="6929" spans="8:9" x14ac:dyDescent="0.2">
      <c r="H6929" s="1"/>
      <c r="I6929" s="1"/>
    </row>
    <row r="6930" spans="8:9" x14ac:dyDescent="0.2">
      <c r="H6930" s="1"/>
      <c r="I6930" s="1"/>
    </row>
    <row r="6931" spans="8:9" x14ac:dyDescent="0.2">
      <c r="H6931" s="1"/>
      <c r="I6931" s="1"/>
    </row>
    <row r="6932" spans="8:9" x14ac:dyDescent="0.2">
      <c r="H6932" s="1"/>
      <c r="I6932" s="1"/>
    </row>
    <row r="6933" spans="8:9" x14ac:dyDescent="0.2">
      <c r="H6933" s="1"/>
      <c r="I6933" s="1"/>
    </row>
    <row r="6934" spans="8:9" x14ac:dyDescent="0.2">
      <c r="H6934" s="1"/>
      <c r="I6934" s="1"/>
    </row>
    <row r="6935" spans="8:9" x14ac:dyDescent="0.2">
      <c r="H6935" s="1"/>
      <c r="I6935" s="1"/>
    </row>
    <row r="6936" spans="8:9" x14ac:dyDescent="0.2">
      <c r="H6936" s="1"/>
      <c r="I6936" s="1"/>
    </row>
    <row r="6937" spans="8:9" x14ac:dyDescent="0.2">
      <c r="H6937" s="1"/>
      <c r="I6937" s="1"/>
    </row>
    <row r="6938" spans="8:9" x14ac:dyDescent="0.2">
      <c r="H6938" s="1"/>
      <c r="I6938" s="1"/>
    </row>
    <row r="6939" spans="8:9" x14ac:dyDescent="0.2">
      <c r="H6939" s="1"/>
      <c r="I6939" s="1"/>
    </row>
    <row r="6940" spans="8:9" x14ac:dyDescent="0.2">
      <c r="H6940" s="1"/>
      <c r="I6940" s="1"/>
    </row>
    <row r="6941" spans="8:9" x14ac:dyDescent="0.2">
      <c r="H6941" s="1"/>
      <c r="I6941" s="1"/>
    </row>
    <row r="6942" spans="8:9" x14ac:dyDescent="0.2">
      <c r="H6942" s="1"/>
      <c r="I6942" s="1"/>
    </row>
    <row r="6943" spans="8:9" x14ac:dyDescent="0.2">
      <c r="H6943" s="1"/>
      <c r="I6943" s="1"/>
    </row>
    <row r="6944" spans="8:9" x14ac:dyDescent="0.2">
      <c r="H6944" s="1"/>
      <c r="I6944" s="1"/>
    </row>
    <row r="6945" spans="8:9" x14ac:dyDescent="0.2">
      <c r="H6945" s="1"/>
      <c r="I6945" s="1"/>
    </row>
    <row r="6946" spans="8:9" x14ac:dyDescent="0.2">
      <c r="H6946" s="1"/>
      <c r="I6946" s="1"/>
    </row>
    <row r="6947" spans="8:9" x14ac:dyDescent="0.2">
      <c r="H6947" s="1"/>
      <c r="I6947" s="1"/>
    </row>
    <row r="6948" spans="8:9" x14ac:dyDescent="0.2">
      <c r="H6948" s="1"/>
      <c r="I6948" s="1"/>
    </row>
    <row r="6949" spans="8:9" x14ac:dyDescent="0.2">
      <c r="H6949" s="1"/>
      <c r="I6949" s="1"/>
    </row>
    <row r="6950" spans="8:9" x14ac:dyDescent="0.2">
      <c r="H6950" s="1"/>
      <c r="I6950" s="1"/>
    </row>
    <row r="6951" spans="8:9" x14ac:dyDescent="0.2">
      <c r="H6951" s="1"/>
      <c r="I6951" s="1"/>
    </row>
    <row r="6952" spans="8:9" x14ac:dyDescent="0.2">
      <c r="H6952" s="1"/>
      <c r="I6952" s="1"/>
    </row>
    <row r="6953" spans="8:9" x14ac:dyDescent="0.2">
      <c r="H6953" s="1"/>
      <c r="I6953" s="1"/>
    </row>
    <row r="6954" spans="8:9" x14ac:dyDescent="0.2">
      <c r="H6954" s="1"/>
      <c r="I6954" s="1"/>
    </row>
    <row r="6955" spans="8:9" x14ac:dyDescent="0.2">
      <c r="H6955" s="1"/>
      <c r="I6955" s="1"/>
    </row>
    <row r="6956" spans="8:9" x14ac:dyDescent="0.2">
      <c r="H6956" s="1"/>
      <c r="I6956" s="1"/>
    </row>
    <row r="6957" spans="8:9" x14ac:dyDescent="0.2">
      <c r="H6957" s="1"/>
      <c r="I6957" s="1"/>
    </row>
    <row r="6958" spans="8:9" x14ac:dyDescent="0.2">
      <c r="H6958" s="1"/>
      <c r="I6958" s="1"/>
    </row>
    <row r="6959" spans="8:9" x14ac:dyDescent="0.2">
      <c r="H6959" s="1"/>
      <c r="I6959" s="1"/>
    </row>
    <row r="6960" spans="8:9" x14ac:dyDescent="0.2">
      <c r="H6960" s="1"/>
      <c r="I6960" s="1"/>
    </row>
    <row r="6961" spans="8:9" x14ac:dyDescent="0.2">
      <c r="H6961" s="1"/>
      <c r="I6961" s="1"/>
    </row>
    <row r="6962" spans="8:9" x14ac:dyDescent="0.2">
      <c r="H6962" s="1"/>
      <c r="I6962" s="1"/>
    </row>
    <row r="6963" spans="8:9" x14ac:dyDescent="0.2">
      <c r="H6963" s="1"/>
      <c r="I6963" s="1"/>
    </row>
    <row r="6964" spans="8:9" x14ac:dyDescent="0.2">
      <c r="H6964" s="1"/>
      <c r="I6964" s="1"/>
    </row>
    <row r="6965" spans="8:9" x14ac:dyDescent="0.2">
      <c r="H6965" s="1"/>
      <c r="I6965" s="1"/>
    </row>
    <row r="6966" spans="8:9" x14ac:dyDescent="0.2">
      <c r="H6966" s="1"/>
      <c r="I6966" s="1"/>
    </row>
    <row r="6967" spans="8:9" x14ac:dyDescent="0.2">
      <c r="H6967" s="1"/>
      <c r="I6967" s="1"/>
    </row>
    <row r="6968" spans="8:9" x14ac:dyDescent="0.2">
      <c r="H6968" s="1"/>
      <c r="I6968" s="1"/>
    </row>
    <row r="6969" spans="8:9" x14ac:dyDescent="0.2">
      <c r="H6969" s="1"/>
      <c r="I6969" s="1"/>
    </row>
    <row r="6970" spans="8:9" x14ac:dyDescent="0.2">
      <c r="H6970" s="1"/>
      <c r="I6970" s="1"/>
    </row>
    <row r="6971" spans="8:9" x14ac:dyDescent="0.2">
      <c r="H6971" s="1"/>
      <c r="I6971" s="1"/>
    </row>
    <row r="6972" spans="8:9" x14ac:dyDescent="0.2">
      <c r="H6972" s="1"/>
      <c r="I6972" s="1"/>
    </row>
    <row r="6973" spans="8:9" x14ac:dyDescent="0.2">
      <c r="H6973" s="1"/>
      <c r="I6973" s="1"/>
    </row>
    <row r="6974" spans="8:9" x14ac:dyDescent="0.2">
      <c r="H6974" s="1"/>
      <c r="I6974" s="1"/>
    </row>
    <row r="6975" spans="8:9" x14ac:dyDescent="0.2">
      <c r="H6975" s="1"/>
      <c r="I6975" s="1"/>
    </row>
    <row r="6976" spans="8:9" x14ac:dyDescent="0.2">
      <c r="H6976" s="1"/>
      <c r="I6976" s="1"/>
    </row>
    <row r="6977" spans="8:9" x14ac:dyDescent="0.2">
      <c r="H6977" s="1"/>
      <c r="I6977" s="1"/>
    </row>
    <row r="6978" spans="8:9" x14ac:dyDescent="0.2">
      <c r="H6978" s="1"/>
      <c r="I6978" s="1"/>
    </row>
    <row r="6979" spans="8:9" x14ac:dyDescent="0.2">
      <c r="H6979" s="1"/>
      <c r="I6979" s="1"/>
    </row>
    <row r="6980" spans="8:9" x14ac:dyDescent="0.2">
      <c r="H6980" s="1"/>
      <c r="I6980" s="1"/>
    </row>
    <row r="6981" spans="8:9" x14ac:dyDescent="0.2">
      <c r="H6981" s="1"/>
      <c r="I6981" s="1"/>
    </row>
    <row r="6982" spans="8:9" x14ac:dyDescent="0.2">
      <c r="H6982" s="1"/>
      <c r="I6982" s="1"/>
    </row>
    <row r="6983" spans="8:9" x14ac:dyDescent="0.2">
      <c r="H6983" s="1"/>
      <c r="I6983" s="1"/>
    </row>
    <row r="6984" spans="8:9" x14ac:dyDescent="0.2">
      <c r="H6984" s="1"/>
      <c r="I6984" s="1"/>
    </row>
    <row r="6985" spans="8:9" x14ac:dyDescent="0.2">
      <c r="H6985" s="1"/>
      <c r="I6985" s="1"/>
    </row>
    <row r="6986" spans="8:9" x14ac:dyDescent="0.2">
      <c r="H6986" s="1"/>
      <c r="I6986" s="1"/>
    </row>
    <row r="6987" spans="8:9" x14ac:dyDescent="0.2">
      <c r="H6987" s="1"/>
      <c r="I6987" s="1"/>
    </row>
    <row r="6988" spans="8:9" x14ac:dyDescent="0.2">
      <c r="H6988" s="1"/>
      <c r="I6988" s="1"/>
    </row>
    <row r="6989" spans="8:9" x14ac:dyDescent="0.2">
      <c r="H6989" s="1"/>
      <c r="I6989" s="1"/>
    </row>
    <row r="6990" spans="8:9" x14ac:dyDescent="0.2">
      <c r="H6990" s="1"/>
      <c r="I6990" s="1"/>
    </row>
    <row r="6991" spans="8:9" x14ac:dyDescent="0.2">
      <c r="H6991" s="1"/>
      <c r="I6991" s="1"/>
    </row>
    <row r="6992" spans="8:9" x14ac:dyDescent="0.2">
      <c r="H6992" s="1"/>
      <c r="I6992" s="1"/>
    </row>
    <row r="6993" spans="8:9" x14ac:dyDescent="0.2">
      <c r="H6993" s="1"/>
      <c r="I6993" s="1"/>
    </row>
    <row r="6994" spans="8:9" x14ac:dyDescent="0.2">
      <c r="H6994" s="1"/>
      <c r="I6994" s="1"/>
    </row>
    <row r="6995" spans="8:9" x14ac:dyDescent="0.2">
      <c r="H6995" s="1"/>
      <c r="I6995" s="1"/>
    </row>
    <row r="6996" spans="8:9" x14ac:dyDescent="0.2">
      <c r="H6996" s="1"/>
      <c r="I6996" s="1"/>
    </row>
    <row r="6997" spans="8:9" x14ac:dyDescent="0.2">
      <c r="H6997" s="1"/>
      <c r="I6997" s="1"/>
    </row>
    <row r="6998" spans="8:9" x14ac:dyDescent="0.2">
      <c r="H6998" s="1"/>
      <c r="I6998" s="1"/>
    </row>
    <row r="6999" spans="8:9" x14ac:dyDescent="0.2">
      <c r="H6999" s="1"/>
      <c r="I6999" s="1"/>
    </row>
    <row r="7000" spans="8:9" x14ac:dyDescent="0.2">
      <c r="H7000" s="1"/>
      <c r="I7000" s="1"/>
    </row>
    <row r="7001" spans="8:9" x14ac:dyDescent="0.2">
      <c r="H7001" s="1"/>
      <c r="I7001" s="1"/>
    </row>
    <row r="7002" spans="8:9" x14ac:dyDescent="0.2">
      <c r="H7002" s="1"/>
      <c r="I7002" s="1"/>
    </row>
    <row r="7003" spans="8:9" x14ac:dyDescent="0.2">
      <c r="H7003" s="1"/>
      <c r="I7003" s="1"/>
    </row>
    <row r="7004" spans="8:9" x14ac:dyDescent="0.2">
      <c r="H7004" s="1"/>
      <c r="I7004" s="1"/>
    </row>
    <row r="7005" spans="8:9" x14ac:dyDescent="0.2">
      <c r="H7005" s="1"/>
      <c r="I7005" s="1"/>
    </row>
    <row r="7006" spans="8:9" x14ac:dyDescent="0.2">
      <c r="H7006" s="1"/>
      <c r="I7006" s="1"/>
    </row>
    <row r="7007" spans="8:9" x14ac:dyDescent="0.2">
      <c r="H7007" s="1"/>
      <c r="I7007" s="1"/>
    </row>
    <row r="7008" spans="8:9" x14ac:dyDescent="0.2">
      <c r="H7008" s="1"/>
      <c r="I7008" s="1"/>
    </row>
    <row r="7009" spans="8:9" x14ac:dyDescent="0.2">
      <c r="H7009" s="1"/>
      <c r="I7009" s="1"/>
    </row>
    <row r="7010" spans="8:9" x14ac:dyDescent="0.2">
      <c r="H7010" s="1"/>
      <c r="I7010" s="1"/>
    </row>
    <row r="7011" spans="8:9" x14ac:dyDescent="0.2">
      <c r="H7011" s="1"/>
      <c r="I7011" s="1"/>
    </row>
    <row r="7012" spans="8:9" x14ac:dyDescent="0.2">
      <c r="H7012" s="1"/>
      <c r="I7012" s="1"/>
    </row>
    <row r="7013" spans="8:9" x14ac:dyDescent="0.2">
      <c r="H7013" s="1"/>
      <c r="I7013" s="1"/>
    </row>
    <row r="7014" spans="8:9" x14ac:dyDescent="0.2">
      <c r="H7014" s="1"/>
      <c r="I7014" s="1"/>
    </row>
    <row r="7015" spans="8:9" x14ac:dyDescent="0.2">
      <c r="H7015" s="1"/>
      <c r="I7015" s="1"/>
    </row>
    <row r="7016" spans="8:9" x14ac:dyDescent="0.2">
      <c r="H7016" s="1"/>
      <c r="I7016" s="1"/>
    </row>
    <row r="7017" spans="8:9" x14ac:dyDescent="0.2">
      <c r="H7017" s="1"/>
      <c r="I7017" s="1"/>
    </row>
    <row r="7018" spans="8:9" x14ac:dyDescent="0.2">
      <c r="H7018" s="1"/>
      <c r="I7018" s="1"/>
    </row>
    <row r="7019" spans="8:9" x14ac:dyDescent="0.2">
      <c r="H7019" s="1"/>
      <c r="I7019" s="1"/>
    </row>
    <row r="7020" spans="8:9" x14ac:dyDescent="0.2">
      <c r="H7020" s="1"/>
      <c r="I7020" s="1"/>
    </row>
    <row r="7021" spans="8:9" x14ac:dyDescent="0.2">
      <c r="H7021" s="1"/>
      <c r="I7021" s="1"/>
    </row>
    <row r="7022" spans="8:9" x14ac:dyDescent="0.2">
      <c r="H7022" s="1"/>
      <c r="I7022" s="1"/>
    </row>
    <row r="7023" spans="8:9" x14ac:dyDescent="0.2">
      <c r="H7023" s="1"/>
      <c r="I7023" s="1"/>
    </row>
    <row r="7024" spans="8:9" x14ac:dyDescent="0.2">
      <c r="H7024" s="1"/>
      <c r="I7024" s="1"/>
    </row>
    <row r="7025" spans="8:9" x14ac:dyDescent="0.2">
      <c r="H7025" s="1"/>
      <c r="I7025" s="1"/>
    </row>
    <row r="7026" spans="8:9" x14ac:dyDescent="0.2">
      <c r="H7026" s="1"/>
      <c r="I7026" s="1"/>
    </row>
    <row r="7027" spans="8:9" x14ac:dyDescent="0.2">
      <c r="H7027" s="1"/>
      <c r="I7027" s="1"/>
    </row>
    <row r="7028" spans="8:9" x14ac:dyDescent="0.2">
      <c r="H7028" s="1"/>
      <c r="I7028" s="1"/>
    </row>
    <row r="7029" spans="8:9" x14ac:dyDescent="0.2">
      <c r="H7029" s="1"/>
      <c r="I7029" s="1"/>
    </row>
    <row r="7030" spans="8:9" x14ac:dyDescent="0.2">
      <c r="H7030" s="1"/>
      <c r="I7030" s="1"/>
    </row>
    <row r="7031" spans="8:9" x14ac:dyDescent="0.2">
      <c r="H7031" s="1"/>
      <c r="I7031" s="1"/>
    </row>
    <row r="7032" spans="8:9" x14ac:dyDescent="0.2">
      <c r="H7032" s="1"/>
      <c r="I7032" s="1"/>
    </row>
    <row r="7033" spans="8:9" x14ac:dyDescent="0.2">
      <c r="H7033" s="1"/>
      <c r="I7033" s="1"/>
    </row>
    <row r="7034" spans="8:9" x14ac:dyDescent="0.2">
      <c r="H7034" s="1"/>
      <c r="I7034" s="1"/>
    </row>
    <row r="7035" spans="8:9" x14ac:dyDescent="0.2">
      <c r="H7035" s="1"/>
      <c r="I7035" s="1"/>
    </row>
    <row r="7036" spans="8:9" x14ac:dyDescent="0.2">
      <c r="H7036" s="1"/>
      <c r="I7036" s="1"/>
    </row>
    <row r="7037" spans="8:9" x14ac:dyDescent="0.2">
      <c r="H7037" s="1"/>
      <c r="I7037" s="1"/>
    </row>
    <row r="7038" spans="8:9" x14ac:dyDescent="0.2">
      <c r="H7038" s="1"/>
      <c r="I7038" s="1"/>
    </row>
    <row r="7039" spans="8:9" x14ac:dyDescent="0.2">
      <c r="H7039" s="1"/>
      <c r="I7039" s="1"/>
    </row>
    <row r="7040" spans="8:9" x14ac:dyDescent="0.2">
      <c r="H7040" s="1"/>
      <c r="I7040" s="1"/>
    </row>
    <row r="7041" spans="8:9" x14ac:dyDescent="0.2">
      <c r="H7041" s="1"/>
      <c r="I7041" s="1"/>
    </row>
    <row r="7042" spans="8:9" x14ac:dyDescent="0.2">
      <c r="H7042" s="1"/>
      <c r="I7042" s="1"/>
    </row>
    <row r="7043" spans="8:9" x14ac:dyDescent="0.2">
      <c r="H7043" s="1"/>
      <c r="I7043" s="1"/>
    </row>
    <row r="7044" spans="8:9" x14ac:dyDescent="0.2">
      <c r="H7044" s="1"/>
      <c r="I7044" s="1"/>
    </row>
    <row r="7045" spans="8:9" x14ac:dyDescent="0.2">
      <c r="H7045" s="1"/>
      <c r="I7045" s="1"/>
    </row>
    <row r="7046" spans="8:9" x14ac:dyDescent="0.2">
      <c r="H7046" s="1"/>
      <c r="I7046" s="1"/>
    </row>
    <row r="7047" spans="8:9" x14ac:dyDescent="0.2">
      <c r="H7047" s="1"/>
      <c r="I7047" s="1"/>
    </row>
    <row r="7048" spans="8:9" x14ac:dyDescent="0.2">
      <c r="H7048" s="1"/>
      <c r="I7048" s="1"/>
    </row>
    <row r="7049" spans="8:9" x14ac:dyDescent="0.2">
      <c r="H7049" s="1"/>
      <c r="I7049" s="1"/>
    </row>
    <row r="7050" spans="8:9" x14ac:dyDescent="0.2">
      <c r="H7050" s="1"/>
      <c r="I7050" s="1"/>
    </row>
    <row r="7051" spans="8:9" x14ac:dyDescent="0.2">
      <c r="H7051" s="1"/>
      <c r="I7051" s="1"/>
    </row>
    <row r="7052" spans="8:9" x14ac:dyDescent="0.2">
      <c r="H7052" s="1"/>
      <c r="I7052" s="1"/>
    </row>
    <row r="7053" spans="8:9" x14ac:dyDescent="0.2">
      <c r="H7053" s="1"/>
      <c r="I7053" s="1"/>
    </row>
    <row r="7054" spans="8:9" x14ac:dyDescent="0.2">
      <c r="H7054" s="1"/>
      <c r="I7054" s="1"/>
    </row>
    <row r="7055" spans="8:9" x14ac:dyDescent="0.2">
      <c r="H7055" s="1"/>
      <c r="I7055" s="1"/>
    </row>
    <row r="7056" spans="8:9" x14ac:dyDescent="0.2">
      <c r="H7056" s="1"/>
      <c r="I7056" s="1"/>
    </row>
    <row r="7057" spans="8:9" x14ac:dyDescent="0.2">
      <c r="H7057" s="1"/>
      <c r="I7057" s="1"/>
    </row>
    <row r="7058" spans="8:9" x14ac:dyDescent="0.2">
      <c r="H7058" s="1"/>
      <c r="I7058" s="1"/>
    </row>
    <row r="7059" spans="8:9" x14ac:dyDescent="0.2">
      <c r="H7059" s="1"/>
      <c r="I7059" s="1"/>
    </row>
    <row r="7060" spans="8:9" x14ac:dyDescent="0.2">
      <c r="H7060" s="1"/>
      <c r="I7060" s="1"/>
    </row>
    <row r="7061" spans="8:9" x14ac:dyDescent="0.2">
      <c r="H7061" s="1"/>
      <c r="I7061" s="1"/>
    </row>
    <row r="7062" spans="8:9" x14ac:dyDescent="0.2">
      <c r="H7062" s="1"/>
      <c r="I7062" s="1"/>
    </row>
    <row r="7063" spans="8:9" x14ac:dyDescent="0.2">
      <c r="H7063" s="1"/>
      <c r="I7063" s="1"/>
    </row>
    <row r="7064" spans="8:9" x14ac:dyDescent="0.2">
      <c r="H7064" s="1"/>
      <c r="I7064" s="1"/>
    </row>
    <row r="7065" spans="8:9" x14ac:dyDescent="0.2">
      <c r="H7065" s="1"/>
      <c r="I7065" s="1"/>
    </row>
    <row r="7066" spans="8:9" x14ac:dyDescent="0.2">
      <c r="H7066" s="1"/>
      <c r="I7066" s="1"/>
    </row>
    <row r="7067" spans="8:9" x14ac:dyDescent="0.2">
      <c r="H7067" s="1"/>
      <c r="I7067" s="1"/>
    </row>
    <row r="7068" spans="8:9" x14ac:dyDescent="0.2">
      <c r="H7068" s="1"/>
      <c r="I7068" s="1"/>
    </row>
    <row r="7069" spans="8:9" x14ac:dyDescent="0.2">
      <c r="H7069" s="1"/>
      <c r="I7069" s="1"/>
    </row>
    <row r="7070" spans="8:9" x14ac:dyDescent="0.2">
      <c r="H7070" s="1"/>
      <c r="I7070" s="1"/>
    </row>
    <row r="7071" spans="8:9" x14ac:dyDescent="0.2">
      <c r="H7071" s="1"/>
      <c r="I7071" s="1"/>
    </row>
    <row r="7072" spans="8:9" x14ac:dyDescent="0.2">
      <c r="H7072" s="1"/>
      <c r="I7072" s="1"/>
    </row>
    <row r="7073" spans="8:9" x14ac:dyDescent="0.2">
      <c r="H7073" s="1"/>
      <c r="I7073" s="1"/>
    </row>
    <row r="7074" spans="8:9" x14ac:dyDescent="0.2">
      <c r="H7074" s="1"/>
      <c r="I7074" s="1"/>
    </row>
    <row r="7075" spans="8:9" x14ac:dyDescent="0.2">
      <c r="H7075" s="1"/>
      <c r="I7075" s="1"/>
    </row>
    <row r="7076" spans="8:9" x14ac:dyDescent="0.2">
      <c r="H7076" s="1"/>
      <c r="I7076" s="1"/>
    </row>
    <row r="7077" spans="8:9" x14ac:dyDescent="0.2">
      <c r="H7077" s="1"/>
      <c r="I7077" s="1"/>
    </row>
    <row r="7078" spans="8:9" x14ac:dyDescent="0.2">
      <c r="H7078" s="1"/>
      <c r="I7078" s="1"/>
    </row>
    <row r="7079" spans="8:9" x14ac:dyDescent="0.2">
      <c r="H7079" s="1"/>
      <c r="I7079" s="1"/>
    </row>
    <row r="7080" spans="8:9" x14ac:dyDescent="0.2">
      <c r="H7080" s="1"/>
      <c r="I7080" s="1"/>
    </row>
    <row r="7081" spans="8:9" x14ac:dyDescent="0.2">
      <c r="H7081" s="1"/>
      <c r="I7081" s="1"/>
    </row>
    <row r="7082" spans="8:9" x14ac:dyDescent="0.2">
      <c r="H7082" s="1"/>
      <c r="I7082" s="1"/>
    </row>
    <row r="7083" spans="8:9" x14ac:dyDescent="0.2">
      <c r="H7083" s="1"/>
      <c r="I7083" s="1"/>
    </row>
    <row r="7084" spans="8:9" x14ac:dyDescent="0.2">
      <c r="H7084" s="1"/>
      <c r="I7084" s="1"/>
    </row>
    <row r="7085" spans="8:9" x14ac:dyDescent="0.2">
      <c r="H7085" s="1"/>
      <c r="I7085" s="1"/>
    </row>
    <row r="7086" spans="8:9" x14ac:dyDescent="0.2">
      <c r="H7086" s="1"/>
      <c r="I7086" s="1"/>
    </row>
    <row r="7087" spans="8:9" x14ac:dyDescent="0.2">
      <c r="H7087" s="1"/>
      <c r="I7087" s="1"/>
    </row>
    <row r="7088" spans="8:9" x14ac:dyDescent="0.2">
      <c r="H7088" s="1"/>
      <c r="I7088" s="1"/>
    </row>
    <row r="7089" spans="8:9" x14ac:dyDescent="0.2">
      <c r="H7089" s="1"/>
      <c r="I7089" s="1"/>
    </row>
    <row r="7090" spans="8:9" x14ac:dyDescent="0.2">
      <c r="H7090" s="1"/>
      <c r="I7090" s="1"/>
    </row>
    <row r="7091" spans="8:9" x14ac:dyDescent="0.2">
      <c r="H7091" s="1"/>
      <c r="I7091" s="1"/>
    </row>
    <row r="7092" spans="8:9" x14ac:dyDescent="0.2">
      <c r="H7092" s="1"/>
      <c r="I7092" s="1"/>
    </row>
    <row r="7093" spans="8:9" x14ac:dyDescent="0.2">
      <c r="H7093" s="1"/>
      <c r="I7093" s="1"/>
    </row>
    <row r="7094" spans="8:9" x14ac:dyDescent="0.2">
      <c r="H7094" s="1"/>
      <c r="I7094" s="1"/>
    </row>
    <row r="7095" spans="8:9" x14ac:dyDescent="0.2">
      <c r="H7095" s="1"/>
      <c r="I7095" s="1"/>
    </row>
    <row r="7096" spans="8:9" x14ac:dyDescent="0.2">
      <c r="H7096" s="1"/>
      <c r="I7096" s="1"/>
    </row>
    <row r="7097" spans="8:9" x14ac:dyDescent="0.2">
      <c r="H7097" s="1"/>
      <c r="I7097" s="1"/>
    </row>
    <row r="7098" spans="8:9" x14ac:dyDescent="0.2">
      <c r="H7098" s="1"/>
      <c r="I7098" s="1"/>
    </row>
    <row r="7099" spans="8:9" x14ac:dyDescent="0.2">
      <c r="H7099" s="1"/>
      <c r="I7099" s="1"/>
    </row>
    <row r="7100" spans="8:9" x14ac:dyDescent="0.2">
      <c r="H7100" s="1"/>
      <c r="I7100" s="1"/>
    </row>
    <row r="7101" spans="8:9" x14ac:dyDescent="0.2">
      <c r="H7101" s="1"/>
      <c r="I7101" s="1"/>
    </row>
    <row r="7102" spans="8:9" x14ac:dyDescent="0.2">
      <c r="H7102" s="1"/>
      <c r="I7102" s="1"/>
    </row>
    <row r="7103" spans="8:9" x14ac:dyDescent="0.2">
      <c r="H7103" s="1"/>
      <c r="I7103" s="1"/>
    </row>
    <row r="7104" spans="8:9" x14ac:dyDescent="0.2">
      <c r="H7104" s="1"/>
      <c r="I7104" s="1"/>
    </row>
    <row r="7105" spans="8:9" x14ac:dyDescent="0.2">
      <c r="H7105" s="1"/>
      <c r="I7105" s="1"/>
    </row>
    <row r="7106" spans="8:9" x14ac:dyDescent="0.2">
      <c r="H7106" s="1"/>
      <c r="I7106" s="1"/>
    </row>
    <row r="7107" spans="8:9" x14ac:dyDescent="0.2">
      <c r="H7107" s="1"/>
      <c r="I7107" s="1"/>
    </row>
    <row r="7108" spans="8:9" x14ac:dyDescent="0.2">
      <c r="H7108" s="1"/>
      <c r="I7108" s="1"/>
    </row>
    <row r="7109" spans="8:9" x14ac:dyDescent="0.2">
      <c r="H7109" s="1"/>
      <c r="I7109" s="1"/>
    </row>
    <row r="7110" spans="8:9" x14ac:dyDescent="0.2">
      <c r="H7110" s="1"/>
      <c r="I7110" s="1"/>
    </row>
    <row r="7111" spans="8:9" x14ac:dyDescent="0.2">
      <c r="H7111" s="1"/>
      <c r="I7111" s="1"/>
    </row>
    <row r="7112" spans="8:9" x14ac:dyDescent="0.2">
      <c r="H7112" s="1"/>
      <c r="I7112" s="1"/>
    </row>
    <row r="7113" spans="8:9" x14ac:dyDescent="0.2">
      <c r="H7113" s="1"/>
      <c r="I7113" s="1"/>
    </row>
    <row r="7114" spans="8:9" x14ac:dyDescent="0.2">
      <c r="H7114" s="1"/>
      <c r="I7114" s="1"/>
    </row>
    <row r="7115" spans="8:9" x14ac:dyDescent="0.2">
      <c r="H7115" s="1"/>
      <c r="I7115" s="1"/>
    </row>
    <row r="7116" spans="8:9" x14ac:dyDescent="0.2">
      <c r="H7116" s="1"/>
      <c r="I7116" s="1"/>
    </row>
    <row r="7117" spans="8:9" x14ac:dyDescent="0.2">
      <c r="H7117" s="1"/>
      <c r="I7117" s="1"/>
    </row>
    <row r="7118" spans="8:9" x14ac:dyDescent="0.2">
      <c r="H7118" s="1"/>
      <c r="I7118" s="1"/>
    </row>
    <row r="7119" spans="8:9" x14ac:dyDescent="0.2">
      <c r="H7119" s="1"/>
      <c r="I7119" s="1"/>
    </row>
    <row r="7120" spans="8:9" x14ac:dyDescent="0.2">
      <c r="H7120" s="1"/>
      <c r="I7120" s="1"/>
    </row>
    <row r="7121" spans="8:9" x14ac:dyDescent="0.2">
      <c r="H7121" s="1"/>
      <c r="I7121" s="1"/>
    </row>
    <row r="7122" spans="8:9" x14ac:dyDescent="0.2">
      <c r="H7122" s="1"/>
      <c r="I7122" s="1"/>
    </row>
    <row r="7123" spans="8:9" x14ac:dyDescent="0.2">
      <c r="H7123" s="1"/>
      <c r="I7123" s="1"/>
    </row>
    <row r="7124" spans="8:9" x14ac:dyDescent="0.2">
      <c r="H7124" s="1"/>
      <c r="I7124" s="1"/>
    </row>
    <row r="7125" spans="8:9" x14ac:dyDescent="0.2">
      <c r="H7125" s="1"/>
      <c r="I7125" s="1"/>
    </row>
    <row r="7126" spans="8:9" x14ac:dyDescent="0.2">
      <c r="H7126" s="1"/>
      <c r="I7126" s="1"/>
    </row>
    <row r="7127" spans="8:9" x14ac:dyDescent="0.2">
      <c r="H7127" s="1"/>
      <c r="I7127" s="1"/>
    </row>
    <row r="7128" spans="8:9" x14ac:dyDescent="0.2">
      <c r="H7128" s="1"/>
      <c r="I7128" s="1"/>
    </row>
    <row r="7129" spans="8:9" x14ac:dyDescent="0.2">
      <c r="H7129" s="1"/>
      <c r="I7129" s="1"/>
    </row>
    <row r="7130" spans="8:9" x14ac:dyDescent="0.2">
      <c r="H7130" s="1"/>
      <c r="I7130" s="1"/>
    </row>
    <row r="7131" spans="8:9" x14ac:dyDescent="0.2">
      <c r="H7131" s="1"/>
      <c r="I7131" s="1"/>
    </row>
    <row r="7132" spans="8:9" x14ac:dyDescent="0.2">
      <c r="H7132" s="1"/>
      <c r="I7132" s="1"/>
    </row>
    <row r="7133" spans="8:9" x14ac:dyDescent="0.2">
      <c r="H7133" s="1"/>
      <c r="I7133" s="1"/>
    </row>
    <row r="7134" spans="8:9" x14ac:dyDescent="0.2">
      <c r="H7134" s="1"/>
      <c r="I7134" s="1"/>
    </row>
    <row r="7135" spans="8:9" x14ac:dyDescent="0.2">
      <c r="H7135" s="1"/>
      <c r="I7135" s="1"/>
    </row>
    <row r="7136" spans="8:9" x14ac:dyDescent="0.2">
      <c r="H7136" s="1"/>
      <c r="I7136" s="1"/>
    </row>
    <row r="7137" spans="8:9" x14ac:dyDescent="0.2">
      <c r="H7137" s="1"/>
      <c r="I7137" s="1"/>
    </row>
    <row r="7138" spans="8:9" x14ac:dyDescent="0.2">
      <c r="H7138" s="1"/>
      <c r="I7138" s="1"/>
    </row>
    <row r="7139" spans="8:9" x14ac:dyDescent="0.2">
      <c r="H7139" s="1"/>
      <c r="I7139" s="1"/>
    </row>
    <row r="7140" spans="8:9" x14ac:dyDescent="0.2">
      <c r="H7140" s="1"/>
      <c r="I7140" s="1"/>
    </row>
    <row r="7141" spans="8:9" x14ac:dyDescent="0.2">
      <c r="H7141" s="1"/>
      <c r="I7141" s="1"/>
    </row>
    <row r="7142" spans="8:9" x14ac:dyDescent="0.2">
      <c r="H7142" s="1"/>
      <c r="I7142" s="1"/>
    </row>
    <row r="7143" spans="8:9" x14ac:dyDescent="0.2">
      <c r="H7143" s="1"/>
      <c r="I7143" s="1"/>
    </row>
    <row r="7144" spans="8:9" x14ac:dyDescent="0.2">
      <c r="H7144" s="1"/>
      <c r="I7144" s="1"/>
    </row>
    <row r="7145" spans="8:9" x14ac:dyDescent="0.2">
      <c r="H7145" s="1"/>
      <c r="I7145" s="1"/>
    </row>
    <row r="7146" spans="8:9" x14ac:dyDescent="0.2">
      <c r="H7146" s="1"/>
      <c r="I7146" s="1"/>
    </row>
    <row r="7147" spans="8:9" x14ac:dyDescent="0.2">
      <c r="H7147" s="1"/>
      <c r="I7147" s="1"/>
    </row>
    <row r="7148" spans="8:9" x14ac:dyDescent="0.2">
      <c r="H7148" s="1"/>
      <c r="I7148" s="1"/>
    </row>
    <row r="7149" spans="8:9" x14ac:dyDescent="0.2">
      <c r="H7149" s="1"/>
      <c r="I7149" s="1"/>
    </row>
    <row r="7150" spans="8:9" x14ac:dyDescent="0.2">
      <c r="H7150" s="1"/>
      <c r="I7150" s="1"/>
    </row>
    <row r="7151" spans="8:9" x14ac:dyDescent="0.2">
      <c r="H7151" s="1"/>
      <c r="I7151" s="1"/>
    </row>
    <row r="7152" spans="8:9" x14ac:dyDescent="0.2">
      <c r="H7152" s="1"/>
      <c r="I7152" s="1"/>
    </row>
    <row r="7153" spans="8:9" x14ac:dyDescent="0.2">
      <c r="H7153" s="1"/>
      <c r="I7153" s="1"/>
    </row>
    <row r="7154" spans="8:9" x14ac:dyDescent="0.2">
      <c r="H7154" s="1"/>
      <c r="I7154" s="1"/>
    </row>
    <row r="7155" spans="8:9" x14ac:dyDescent="0.2">
      <c r="H7155" s="1"/>
      <c r="I7155" s="1"/>
    </row>
    <row r="7156" spans="8:9" x14ac:dyDescent="0.2">
      <c r="H7156" s="1"/>
      <c r="I7156" s="1"/>
    </row>
    <row r="7157" spans="8:9" x14ac:dyDescent="0.2">
      <c r="H7157" s="1"/>
      <c r="I7157" s="1"/>
    </row>
    <row r="7158" spans="8:9" x14ac:dyDescent="0.2">
      <c r="H7158" s="1"/>
      <c r="I7158" s="1"/>
    </row>
    <row r="7159" spans="8:9" x14ac:dyDescent="0.2">
      <c r="H7159" s="1"/>
      <c r="I7159" s="1"/>
    </row>
    <row r="7160" spans="8:9" x14ac:dyDescent="0.2">
      <c r="H7160" s="1"/>
      <c r="I7160" s="1"/>
    </row>
    <row r="7161" spans="8:9" x14ac:dyDescent="0.2">
      <c r="H7161" s="1"/>
      <c r="I7161" s="1"/>
    </row>
    <row r="7162" spans="8:9" x14ac:dyDescent="0.2">
      <c r="H7162" s="1"/>
      <c r="I7162" s="1"/>
    </row>
    <row r="7163" spans="8:9" x14ac:dyDescent="0.2">
      <c r="H7163" s="1"/>
      <c r="I7163" s="1"/>
    </row>
    <row r="7164" spans="8:9" x14ac:dyDescent="0.2">
      <c r="H7164" s="1"/>
      <c r="I7164" s="1"/>
    </row>
    <row r="7165" spans="8:9" x14ac:dyDescent="0.2">
      <c r="H7165" s="1"/>
      <c r="I7165" s="1"/>
    </row>
    <row r="7166" spans="8:9" x14ac:dyDescent="0.2">
      <c r="H7166" s="1"/>
      <c r="I7166" s="1"/>
    </row>
    <row r="7167" spans="8:9" x14ac:dyDescent="0.2">
      <c r="H7167" s="1"/>
      <c r="I7167" s="1"/>
    </row>
    <row r="7168" spans="8:9" x14ac:dyDescent="0.2">
      <c r="H7168" s="1"/>
      <c r="I7168" s="1"/>
    </row>
    <row r="7169" spans="8:9" x14ac:dyDescent="0.2">
      <c r="H7169" s="1"/>
      <c r="I7169" s="1"/>
    </row>
    <row r="7170" spans="8:9" x14ac:dyDescent="0.2">
      <c r="H7170" s="1"/>
      <c r="I7170" s="1"/>
    </row>
    <row r="7171" spans="8:9" x14ac:dyDescent="0.2">
      <c r="H7171" s="1"/>
      <c r="I7171" s="1"/>
    </row>
    <row r="7172" spans="8:9" x14ac:dyDescent="0.2">
      <c r="H7172" s="1"/>
      <c r="I7172" s="1"/>
    </row>
    <row r="7173" spans="8:9" x14ac:dyDescent="0.2">
      <c r="H7173" s="1"/>
      <c r="I7173" s="1"/>
    </row>
    <row r="7174" spans="8:9" x14ac:dyDescent="0.2">
      <c r="H7174" s="1"/>
      <c r="I7174" s="1"/>
    </row>
    <row r="7175" spans="8:9" x14ac:dyDescent="0.2">
      <c r="H7175" s="1"/>
      <c r="I7175" s="1"/>
    </row>
    <row r="7176" spans="8:9" x14ac:dyDescent="0.2">
      <c r="H7176" s="1"/>
      <c r="I7176" s="1"/>
    </row>
    <row r="7177" spans="8:9" x14ac:dyDescent="0.2">
      <c r="H7177" s="1"/>
      <c r="I7177" s="1"/>
    </row>
    <row r="7178" spans="8:9" x14ac:dyDescent="0.2">
      <c r="H7178" s="1"/>
      <c r="I7178" s="1"/>
    </row>
    <row r="7179" spans="8:9" x14ac:dyDescent="0.2">
      <c r="H7179" s="1"/>
      <c r="I7179" s="1"/>
    </row>
    <row r="7180" spans="8:9" x14ac:dyDescent="0.2">
      <c r="H7180" s="1"/>
      <c r="I7180" s="1"/>
    </row>
    <row r="7181" spans="8:9" x14ac:dyDescent="0.2">
      <c r="H7181" s="1"/>
      <c r="I7181" s="1"/>
    </row>
    <row r="7182" spans="8:9" x14ac:dyDescent="0.2">
      <c r="H7182" s="1"/>
      <c r="I7182" s="1"/>
    </row>
    <row r="7183" spans="8:9" x14ac:dyDescent="0.2">
      <c r="H7183" s="1"/>
      <c r="I7183" s="1"/>
    </row>
    <row r="7184" spans="8:9" x14ac:dyDescent="0.2">
      <c r="H7184" s="1"/>
      <c r="I7184" s="1"/>
    </row>
    <row r="7185" spans="8:9" x14ac:dyDescent="0.2">
      <c r="H7185" s="1"/>
      <c r="I7185" s="1"/>
    </row>
    <row r="7186" spans="8:9" x14ac:dyDescent="0.2">
      <c r="H7186" s="1"/>
      <c r="I7186" s="1"/>
    </row>
    <row r="7187" spans="8:9" x14ac:dyDescent="0.2">
      <c r="H7187" s="1"/>
      <c r="I7187" s="1"/>
    </row>
    <row r="7188" spans="8:9" x14ac:dyDescent="0.2">
      <c r="H7188" s="1"/>
      <c r="I7188" s="1"/>
    </row>
    <row r="7189" spans="8:9" x14ac:dyDescent="0.2">
      <c r="H7189" s="1"/>
      <c r="I7189" s="1"/>
    </row>
    <row r="7190" spans="8:9" x14ac:dyDescent="0.2">
      <c r="H7190" s="1"/>
      <c r="I7190" s="1"/>
    </row>
    <row r="7191" spans="8:9" x14ac:dyDescent="0.2">
      <c r="H7191" s="1"/>
      <c r="I7191" s="1"/>
    </row>
    <row r="7192" spans="8:9" x14ac:dyDescent="0.2">
      <c r="H7192" s="1"/>
      <c r="I7192" s="1"/>
    </row>
    <row r="7193" spans="8:9" x14ac:dyDescent="0.2">
      <c r="H7193" s="1"/>
      <c r="I7193" s="1"/>
    </row>
    <row r="7194" spans="8:9" x14ac:dyDescent="0.2">
      <c r="H7194" s="1"/>
      <c r="I7194" s="1"/>
    </row>
    <row r="7195" spans="8:9" x14ac:dyDescent="0.2">
      <c r="H7195" s="1"/>
      <c r="I7195" s="1"/>
    </row>
    <row r="7196" spans="8:9" x14ac:dyDescent="0.2">
      <c r="H7196" s="1"/>
      <c r="I7196" s="1"/>
    </row>
    <row r="7197" spans="8:9" x14ac:dyDescent="0.2">
      <c r="H7197" s="1"/>
      <c r="I7197" s="1"/>
    </row>
    <row r="7198" spans="8:9" x14ac:dyDescent="0.2">
      <c r="H7198" s="1"/>
      <c r="I7198" s="1"/>
    </row>
    <row r="7199" spans="8:9" x14ac:dyDescent="0.2">
      <c r="H7199" s="1"/>
      <c r="I7199" s="1"/>
    </row>
    <row r="7200" spans="8:9" x14ac:dyDescent="0.2">
      <c r="H7200" s="1"/>
      <c r="I7200" s="1"/>
    </row>
    <row r="7201" spans="8:9" x14ac:dyDescent="0.2">
      <c r="H7201" s="1"/>
      <c r="I7201" s="1"/>
    </row>
    <row r="7202" spans="8:9" x14ac:dyDescent="0.2">
      <c r="H7202" s="1"/>
      <c r="I7202" s="1"/>
    </row>
    <row r="7203" spans="8:9" x14ac:dyDescent="0.2">
      <c r="H7203" s="1"/>
      <c r="I7203" s="1"/>
    </row>
    <row r="7204" spans="8:9" x14ac:dyDescent="0.2">
      <c r="H7204" s="1"/>
      <c r="I7204" s="1"/>
    </row>
    <row r="7205" spans="8:9" x14ac:dyDescent="0.2">
      <c r="H7205" s="1"/>
      <c r="I7205" s="1"/>
    </row>
    <row r="7206" spans="8:9" x14ac:dyDescent="0.2">
      <c r="H7206" s="1"/>
      <c r="I7206" s="1"/>
    </row>
    <row r="7207" spans="8:9" x14ac:dyDescent="0.2">
      <c r="H7207" s="1"/>
      <c r="I7207" s="1"/>
    </row>
    <row r="7208" spans="8:9" x14ac:dyDescent="0.2">
      <c r="H7208" s="1"/>
      <c r="I7208" s="1"/>
    </row>
    <row r="7209" spans="8:9" x14ac:dyDescent="0.2">
      <c r="H7209" s="1"/>
      <c r="I7209" s="1"/>
    </row>
    <row r="7210" spans="8:9" x14ac:dyDescent="0.2">
      <c r="H7210" s="1"/>
      <c r="I7210" s="1"/>
    </row>
    <row r="7211" spans="8:9" x14ac:dyDescent="0.2">
      <c r="H7211" s="1"/>
      <c r="I7211" s="1"/>
    </row>
    <row r="7212" spans="8:9" x14ac:dyDescent="0.2">
      <c r="H7212" s="1"/>
      <c r="I7212" s="1"/>
    </row>
    <row r="7213" spans="8:9" x14ac:dyDescent="0.2">
      <c r="H7213" s="1"/>
      <c r="I7213" s="1"/>
    </row>
    <row r="7214" spans="8:9" x14ac:dyDescent="0.2">
      <c r="H7214" s="1"/>
      <c r="I7214" s="1"/>
    </row>
    <row r="7215" spans="8:9" x14ac:dyDescent="0.2">
      <c r="H7215" s="1"/>
      <c r="I7215" s="1"/>
    </row>
    <row r="7216" spans="8:9" x14ac:dyDescent="0.2">
      <c r="H7216" s="1"/>
      <c r="I7216" s="1"/>
    </row>
    <row r="7217" spans="8:9" x14ac:dyDescent="0.2">
      <c r="H7217" s="1"/>
      <c r="I7217" s="1"/>
    </row>
    <row r="7218" spans="8:9" x14ac:dyDescent="0.2">
      <c r="H7218" s="1"/>
      <c r="I7218" s="1"/>
    </row>
    <row r="7219" spans="8:9" x14ac:dyDescent="0.2">
      <c r="H7219" s="1"/>
      <c r="I7219" s="1"/>
    </row>
    <row r="7220" spans="8:9" x14ac:dyDescent="0.2">
      <c r="H7220" s="1"/>
      <c r="I7220" s="1"/>
    </row>
    <row r="7221" spans="8:9" x14ac:dyDescent="0.2">
      <c r="H7221" s="1"/>
      <c r="I7221" s="1"/>
    </row>
    <row r="7222" spans="8:9" x14ac:dyDescent="0.2">
      <c r="H7222" s="1"/>
      <c r="I7222" s="1"/>
    </row>
    <row r="7223" spans="8:9" x14ac:dyDescent="0.2">
      <c r="H7223" s="1"/>
      <c r="I7223" s="1"/>
    </row>
    <row r="7224" spans="8:9" x14ac:dyDescent="0.2">
      <c r="H7224" s="1"/>
      <c r="I7224" s="1"/>
    </row>
    <row r="7225" spans="8:9" x14ac:dyDescent="0.2">
      <c r="H7225" s="1"/>
      <c r="I7225" s="1"/>
    </row>
    <row r="7226" spans="8:9" x14ac:dyDescent="0.2">
      <c r="H7226" s="1"/>
      <c r="I7226" s="1"/>
    </row>
    <row r="7227" spans="8:9" x14ac:dyDescent="0.2">
      <c r="H7227" s="1"/>
      <c r="I7227" s="1"/>
    </row>
    <row r="7228" spans="8:9" x14ac:dyDescent="0.2">
      <c r="H7228" s="1"/>
      <c r="I7228" s="1"/>
    </row>
    <row r="7229" spans="8:9" x14ac:dyDescent="0.2">
      <c r="H7229" s="1"/>
      <c r="I7229" s="1"/>
    </row>
    <row r="7230" spans="8:9" x14ac:dyDescent="0.2">
      <c r="H7230" s="1"/>
      <c r="I7230" s="1"/>
    </row>
    <row r="7231" spans="8:9" x14ac:dyDescent="0.2">
      <c r="H7231" s="1"/>
      <c r="I7231" s="1"/>
    </row>
    <row r="7232" spans="8:9" x14ac:dyDescent="0.2">
      <c r="H7232" s="1"/>
      <c r="I7232" s="1"/>
    </row>
    <row r="7233" spans="8:9" x14ac:dyDescent="0.2">
      <c r="H7233" s="1"/>
      <c r="I7233" s="1"/>
    </row>
    <row r="7234" spans="8:9" x14ac:dyDescent="0.2">
      <c r="H7234" s="1"/>
      <c r="I7234" s="1"/>
    </row>
    <row r="7235" spans="8:9" x14ac:dyDescent="0.2">
      <c r="H7235" s="1"/>
      <c r="I7235" s="1"/>
    </row>
    <row r="7236" spans="8:9" x14ac:dyDescent="0.2">
      <c r="H7236" s="1"/>
      <c r="I7236" s="1"/>
    </row>
    <row r="7237" spans="8:9" x14ac:dyDescent="0.2">
      <c r="H7237" s="1"/>
      <c r="I7237" s="1"/>
    </row>
    <row r="7238" spans="8:9" x14ac:dyDescent="0.2">
      <c r="H7238" s="1"/>
      <c r="I7238" s="1"/>
    </row>
    <row r="7239" spans="8:9" x14ac:dyDescent="0.2">
      <c r="H7239" s="1"/>
      <c r="I7239" s="1"/>
    </row>
    <row r="7240" spans="8:9" x14ac:dyDescent="0.2">
      <c r="H7240" s="1"/>
      <c r="I7240" s="1"/>
    </row>
    <row r="7241" spans="8:9" x14ac:dyDescent="0.2">
      <c r="H7241" s="1"/>
      <c r="I7241" s="1"/>
    </row>
    <row r="7242" spans="8:9" x14ac:dyDescent="0.2">
      <c r="H7242" s="1"/>
      <c r="I7242" s="1"/>
    </row>
    <row r="7243" spans="8:9" x14ac:dyDescent="0.2">
      <c r="H7243" s="1"/>
      <c r="I7243" s="1"/>
    </row>
    <row r="7244" spans="8:9" x14ac:dyDescent="0.2">
      <c r="H7244" s="1"/>
      <c r="I7244" s="1"/>
    </row>
    <row r="7245" spans="8:9" x14ac:dyDescent="0.2">
      <c r="H7245" s="1"/>
      <c r="I7245" s="1"/>
    </row>
    <row r="7246" spans="8:9" x14ac:dyDescent="0.2">
      <c r="H7246" s="1"/>
      <c r="I7246" s="1"/>
    </row>
    <row r="7247" spans="8:9" x14ac:dyDescent="0.2">
      <c r="H7247" s="1"/>
      <c r="I7247" s="1"/>
    </row>
    <row r="7248" spans="8:9" x14ac:dyDescent="0.2">
      <c r="H7248" s="1"/>
      <c r="I7248" s="1"/>
    </row>
    <row r="7249" spans="8:9" x14ac:dyDescent="0.2">
      <c r="H7249" s="1"/>
      <c r="I7249" s="1"/>
    </row>
    <row r="7250" spans="8:9" x14ac:dyDescent="0.2">
      <c r="H7250" s="1"/>
      <c r="I7250" s="1"/>
    </row>
    <row r="7251" spans="8:9" x14ac:dyDescent="0.2">
      <c r="H7251" s="1"/>
      <c r="I7251" s="1"/>
    </row>
    <row r="7252" spans="8:9" x14ac:dyDescent="0.2">
      <c r="H7252" s="1"/>
      <c r="I7252" s="1"/>
    </row>
    <row r="7253" spans="8:9" x14ac:dyDescent="0.2">
      <c r="H7253" s="1"/>
      <c r="I7253" s="1"/>
    </row>
    <row r="7254" spans="8:9" x14ac:dyDescent="0.2">
      <c r="H7254" s="1"/>
      <c r="I7254" s="1"/>
    </row>
    <row r="7255" spans="8:9" x14ac:dyDescent="0.2">
      <c r="H7255" s="1"/>
      <c r="I7255" s="1"/>
    </row>
    <row r="7256" spans="8:9" x14ac:dyDescent="0.2">
      <c r="H7256" s="1"/>
      <c r="I7256" s="1"/>
    </row>
    <row r="7257" spans="8:9" x14ac:dyDescent="0.2">
      <c r="H7257" s="1"/>
      <c r="I7257" s="1"/>
    </row>
    <row r="7258" spans="8:9" x14ac:dyDescent="0.2">
      <c r="H7258" s="1"/>
      <c r="I7258" s="1"/>
    </row>
    <row r="7259" spans="8:9" x14ac:dyDescent="0.2">
      <c r="H7259" s="1"/>
      <c r="I7259" s="1"/>
    </row>
    <row r="7260" spans="8:9" x14ac:dyDescent="0.2">
      <c r="H7260" s="1"/>
      <c r="I7260" s="1"/>
    </row>
    <row r="7261" spans="8:9" x14ac:dyDescent="0.2">
      <c r="H7261" s="1"/>
      <c r="I7261" s="1"/>
    </row>
    <row r="7262" spans="8:9" x14ac:dyDescent="0.2">
      <c r="H7262" s="1"/>
      <c r="I7262" s="1"/>
    </row>
    <row r="7263" spans="8:9" x14ac:dyDescent="0.2">
      <c r="H7263" s="1"/>
      <c r="I7263" s="1"/>
    </row>
    <row r="7264" spans="8:9" x14ac:dyDescent="0.2">
      <c r="H7264" s="1"/>
      <c r="I7264" s="1"/>
    </row>
    <row r="7265" spans="8:9" x14ac:dyDescent="0.2">
      <c r="H7265" s="1"/>
      <c r="I7265" s="1"/>
    </row>
    <row r="7266" spans="8:9" x14ac:dyDescent="0.2">
      <c r="H7266" s="1"/>
      <c r="I7266" s="1"/>
    </row>
    <row r="7267" spans="8:9" x14ac:dyDescent="0.2">
      <c r="H7267" s="1"/>
      <c r="I7267" s="1"/>
    </row>
    <row r="7268" spans="8:9" x14ac:dyDescent="0.2">
      <c r="H7268" s="1"/>
      <c r="I7268" s="1"/>
    </row>
    <row r="7269" spans="8:9" x14ac:dyDescent="0.2">
      <c r="H7269" s="1"/>
      <c r="I7269" s="1"/>
    </row>
    <row r="7270" spans="8:9" x14ac:dyDescent="0.2">
      <c r="H7270" s="1"/>
      <c r="I7270" s="1"/>
    </row>
    <row r="7271" spans="8:9" x14ac:dyDescent="0.2">
      <c r="H7271" s="1"/>
      <c r="I7271" s="1"/>
    </row>
    <row r="7272" spans="8:9" x14ac:dyDescent="0.2">
      <c r="H7272" s="1"/>
      <c r="I7272" s="1"/>
    </row>
    <row r="7273" spans="8:9" x14ac:dyDescent="0.2">
      <c r="H7273" s="1"/>
      <c r="I7273" s="1"/>
    </row>
    <row r="7274" spans="8:9" x14ac:dyDescent="0.2">
      <c r="H7274" s="1"/>
      <c r="I7274" s="1"/>
    </row>
    <row r="7275" spans="8:9" x14ac:dyDescent="0.2">
      <c r="H7275" s="1"/>
      <c r="I7275" s="1"/>
    </row>
    <row r="7276" spans="8:9" x14ac:dyDescent="0.2">
      <c r="H7276" s="1"/>
      <c r="I7276" s="1"/>
    </row>
    <row r="7277" spans="8:9" x14ac:dyDescent="0.2">
      <c r="H7277" s="1"/>
      <c r="I7277" s="1"/>
    </row>
    <row r="7278" spans="8:9" x14ac:dyDescent="0.2">
      <c r="H7278" s="1"/>
      <c r="I7278" s="1"/>
    </row>
    <row r="7279" spans="8:9" x14ac:dyDescent="0.2">
      <c r="H7279" s="1"/>
      <c r="I7279" s="1"/>
    </row>
    <row r="7280" spans="8:9" x14ac:dyDescent="0.2">
      <c r="H7280" s="1"/>
      <c r="I7280" s="1"/>
    </row>
    <row r="7281" spans="8:9" x14ac:dyDescent="0.2">
      <c r="H7281" s="1"/>
      <c r="I7281" s="1"/>
    </row>
    <row r="7282" spans="8:9" x14ac:dyDescent="0.2">
      <c r="H7282" s="1"/>
      <c r="I7282" s="1"/>
    </row>
    <row r="7283" spans="8:9" x14ac:dyDescent="0.2">
      <c r="H7283" s="1"/>
      <c r="I7283" s="1"/>
    </row>
    <row r="7284" spans="8:9" x14ac:dyDescent="0.2">
      <c r="H7284" s="1"/>
      <c r="I7284" s="1"/>
    </row>
    <row r="7285" spans="8:9" x14ac:dyDescent="0.2">
      <c r="H7285" s="1"/>
      <c r="I7285" s="1"/>
    </row>
    <row r="7286" spans="8:9" x14ac:dyDescent="0.2">
      <c r="H7286" s="1"/>
      <c r="I7286" s="1"/>
    </row>
    <row r="7287" spans="8:9" x14ac:dyDescent="0.2">
      <c r="H7287" s="1"/>
      <c r="I7287" s="1"/>
    </row>
    <row r="7288" spans="8:9" x14ac:dyDescent="0.2">
      <c r="H7288" s="1"/>
      <c r="I7288" s="1"/>
    </row>
    <row r="7289" spans="8:9" x14ac:dyDescent="0.2">
      <c r="H7289" s="1"/>
      <c r="I7289" s="1"/>
    </row>
    <row r="7290" spans="8:9" x14ac:dyDescent="0.2">
      <c r="H7290" s="1"/>
      <c r="I7290" s="1"/>
    </row>
    <row r="7291" spans="8:9" x14ac:dyDescent="0.2">
      <c r="H7291" s="1"/>
      <c r="I7291" s="1"/>
    </row>
    <row r="7292" spans="8:9" x14ac:dyDescent="0.2">
      <c r="H7292" s="1"/>
      <c r="I7292" s="1"/>
    </row>
    <row r="7293" spans="8:9" x14ac:dyDescent="0.2">
      <c r="H7293" s="1"/>
      <c r="I7293" s="1"/>
    </row>
    <row r="7294" spans="8:9" x14ac:dyDescent="0.2">
      <c r="H7294" s="1"/>
      <c r="I7294" s="1"/>
    </row>
    <row r="7295" spans="8:9" x14ac:dyDescent="0.2">
      <c r="H7295" s="1"/>
      <c r="I7295" s="1"/>
    </row>
    <row r="7296" spans="8:9" x14ac:dyDescent="0.2">
      <c r="H7296" s="1"/>
      <c r="I7296" s="1"/>
    </row>
    <row r="7297" spans="8:9" x14ac:dyDescent="0.2">
      <c r="H7297" s="1"/>
      <c r="I7297" s="1"/>
    </row>
    <row r="7298" spans="8:9" x14ac:dyDescent="0.2">
      <c r="H7298" s="1"/>
      <c r="I7298" s="1"/>
    </row>
    <row r="7299" spans="8:9" x14ac:dyDescent="0.2">
      <c r="H7299" s="1"/>
      <c r="I7299" s="1"/>
    </row>
    <row r="7300" spans="8:9" x14ac:dyDescent="0.2">
      <c r="H7300" s="1"/>
      <c r="I7300" s="1"/>
    </row>
    <row r="7301" spans="8:9" x14ac:dyDescent="0.2">
      <c r="H7301" s="1"/>
      <c r="I7301" s="1"/>
    </row>
    <row r="7302" spans="8:9" x14ac:dyDescent="0.2">
      <c r="H7302" s="1"/>
      <c r="I7302" s="1"/>
    </row>
    <row r="7303" spans="8:9" x14ac:dyDescent="0.2">
      <c r="H7303" s="1"/>
      <c r="I7303" s="1"/>
    </row>
    <row r="7304" spans="8:9" x14ac:dyDescent="0.2">
      <c r="H7304" s="1"/>
      <c r="I7304" s="1"/>
    </row>
    <row r="7305" spans="8:9" x14ac:dyDescent="0.2">
      <c r="H7305" s="1"/>
      <c r="I7305" s="1"/>
    </row>
    <row r="7306" spans="8:9" x14ac:dyDescent="0.2">
      <c r="H7306" s="1"/>
      <c r="I7306" s="1"/>
    </row>
    <row r="7307" spans="8:9" x14ac:dyDescent="0.2">
      <c r="H7307" s="1"/>
      <c r="I7307" s="1"/>
    </row>
    <row r="7308" spans="8:9" x14ac:dyDescent="0.2">
      <c r="H7308" s="1"/>
      <c r="I7308" s="1"/>
    </row>
    <row r="7309" spans="8:9" x14ac:dyDescent="0.2">
      <c r="H7309" s="1"/>
      <c r="I7309" s="1"/>
    </row>
    <row r="7310" spans="8:9" x14ac:dyDescent="0.2">
      <c r="H7310" s="1"/>
      <c r="I7310" s="1"/>
    </row>
    <row r="7311" spans="8:9" x14ac:dyDescent="0.2">
      <c r="H7311" s="1"/>
      <c r="I7311" s="1"/>
    </row>
    <row r="7312" spans="8:9" x14ac:dyDescent="0.2">
      <c r="H7312" s="1"/>
      <c r="I7312" s="1"/>
    </row>
    <row r="7313" spans="8:9" x14ac:dyDescent="0.2">
      <c r="H7313" s="1"/>
      <c r="I7313" s="1"/>
    </row>
    <row r="7314" spans="8:9" x14ac:dyDescent="0.2">
      <c r="H7314" s="1"/>
      <c r="I7314" s="1"/>
    </row>
    <row r="7315" spans="8:9" x14ac:dyDescent="0.2">
      <c r="H7315" s="1"/>
      <c r="I7315" s="1"/>
    </row>
    <row r="7316" spans="8:9" x14ac:dyDescent="0.2">
      <c r="H7316" s="1"/>
      <c r="I7316" s="1"/>
    </row>
    <row r="7317" spans="8:9" x14ac:dyDescent="0.2">
      <c r="H7317" s="1"/>
      <c r="I7317" s="1"/>
    </row>
    <row r="7318" spans="8:9" x14ac:dyDescent="0.2">
      <c r="H7318" s="1"/>
      <c r="I7318" s="1"/>
    </row>
    <row r="7319" spans="8:9" x14ac:dyDescent="0.2">
      <c r="H7319" s="1"/>
      <c r="I7319" s="1"/>
    </row>
    <row r="7320" spans="8:9" x14ac:dyDescent="0.2">
      <c r="H7320" s="1"/>
      <c r="I7320" s="1"/>
    </row>
    <row r="7321" spans="8:9" x14ac:dyDescent="0.2">
      <c r="H7321" s="1"/>
      <c r="I7321" s="1"/>
    </row>
    <row r="7322" spans="8:9" x14ac:dyDescent="0.2">
      <c r="H7322" s="1"/>
      <c r="I7322" s="1"/>
    </row>
    <row r="7323" spans="8:9" x14ac:dyDescent="0.2">
      <c r="H7323" s="1"/>
      <c r="I7323" s="1"/>
    </row>
    <row r="7324" spans="8:9" x14ac:dyDescent="0.2">
      <c r="H7324" s="1"/>
      <c r="I7324" s="1"/>
    </row>
    <row r="7325" spans="8:9" x14ac:dyDescent="0.2">
      <c r="H7325" s="1"/>
      <c r="I7325" s="1"/>
    </row>
    <row r="7326" spans="8:9" x14ac:dyDescent="0.2">
      <c r="H7326" s="1"/>
      <c r="I7326" s="1"/>
    </row>
    <row r="7327" spans="8:9" x14ac:dyDescent="0.2">
      <c r="H7327" s="1"/>
      <c r="I7327" s="1"/>
    </row>
    <row r="7328" spans="8:9" x14ac:dyDescent="0.2">
      <c r="H7328" s="1"/>
      <c r="I7328" s="1"/>
    </row>
    <row r="7329" spans="8:9" x14ac:dyDescent="0.2">
      <c r="H7329" s="1"/>
      <c r="I7329" s="1"/>
    </row>
    <row r="7330" spans="8:9" x14ac:dyDescent="0.2">
      <c r="H7330" s="1"/>
      <c r="I7330" s="1"/>
    </row>
    <row r="7331" spans="8:9" x14ac:dyDescent="0.2">
      <c r="H7331" s="1"/>
      <c r="I7331" s="1"/>
    </row>
    <row r="7332" spans="8:9" x14ac:dyDescent="0.2">
      <c r="H7332" s="1"/>
      <c r="I7332" s="1"/>
    </row>
    <row r="7333" spans="8:9" x14ac:dyDescent="0.2">
      <c r="H7333" s="1"/>
      <c r="I7333" s="1"/>
    </row>
    <row r="7334" spans="8:9" x14ac:dyDescent="0.2">
      <c r="H7334" s="1"/>
      <c r="I7334" s="1"/>
    </row>
    <row r="7335" spans="8:9" x14ac:dyDescent="0.2">
      <c r="H7335" s="1"/>
      <c r="I7335" s="1"/>
    </row>
    <row r="7336" spans="8:9" x14ac:dyDescent="0.2">
      <c r="H7336" s="1"/>
      <c r="I7336" s="1"/>
    </row>
    <row r="7337" spans="8:9" x14ac:dyDescent="0.2">
      <c r="H7337" s="1"/>
      <c r="I7337" s="1"/>
    </row>
    <row r="7338" spans="8:9" x14ac:dyDescent="0.2">
      <c r="H7338" s="1"/>
      <c r="I7338" s="1"/>
    </row>
    <row r="7339" spans="8:9" x14ac:dyDescent="0.2">
      <c r="H7339" s="1"/>
      <c r="I7339" s="1"/>
    </row>
    <row r="7340" spans="8:9" x14ac:dyDescent="0.2">
      <c r="H7340" s="1"/>
      <c r="I7340" s="1"/>
    </row>
    <row r="7341" spans="8:9" x14ac:dyDescent="0.2">
      <c r="H7341" s="1"/>
      <c r="I7341" s="1"/>
    </row>
    <row r="7342" spans="8:9" x14ac:dyDescent="0.2">
      <c r="H7342" s="1"/>
      <c r="I7342" s="1"/>
    </row>
    <row r="7343" spans="8:9" x14ac:dyDescent="0.2">
      <c r="H7343" s="1"/>
      <c r="I7343" s="1"/>
    </row>
    <row r="7344" spans="8:9" x14ac:dyDescent="0.2">
      <c r="H7344" s="1"/>
      <c r="I7344" s="1"/>
    </row>
    <row r="7345" spans="8:9" x14ac:dyDescent="0.2">
      <c r="H7345" s="1"/>
      <c r="I7345" s="1"/>
    </row>
    <row r="7346" spans="8:9" x14ac:dyDescent="0.2">
      <c r="H7346" s="1"/>
      <c r="I7346" s="1"/>
    </row>
    <row r="7347" spans="8:9" x14ac:dyDescent="0.2">
      <c r="H7347" s="1"/>
      <c r="I7347" s="1"/>
    </row>
    <row r="7348" spans="8:9" x14ac:dyDescent="0.2">
      <c r="H7348" s="1"/>
      <c r="I7348" s="1"/>
    </row>
    <row r="7349" spans="8:9" x14ac:dyDescent="0.2">
      <c r="H7349" s="1"/>
      <c r="I7349" s="1"/>
    </row>
    <row r="7350" spans="8:9" x14ac:dyDescent="0.2">
      <c r="H7350" s="1"/>
      <c r="I7350" s="1"/>
    </row>
    <row r="7351" spans="8:9" x14ac:dyDescent="0.2">
      <c r="H7351" s="1"/>
      <c r="I7351" s="1"/>
    </row>
    <row r="7352" spans="8:9" x14ac:dyDescent="0.2">
      <c r="H7352" s="1"/>
      <c r="I7352" s="1"/>
    </row>
    <row r="7353" spans="8:9" x14ac:dyDescent="0.2">
      <c r="H7353" s="1"/>
      <c r="I7353" s="1"/>
    </row>
    <row r="7354" spans="8:9" x14ac:dyDescent="0.2">
      <c r="H7354" s="1"/>
      <c r="I7354" s="1"/>
    </row>
    <row r="7355" spans="8:9" x14ac:dyDescent="0.2">
      <c r="H7355" s="1"/>
      <c r="I7355" s="1"/>
    </row>
    <row r="7356" spans="8:9" x14ac:dyDescent="0.2">
      <c r="H7356" s="1"/>
      <c r="I7356" s="1"/>
    </row>
    <row r="7357" spans="8:9" x14ac:dyDescent="0.2">
      <c r="H7357" s="1"/>
      <c r="I7357" s="1"/>
    </row>
    <row r="7358" spans="8:9" x14ac:dyDescent="0.2">
      <c r="H7358" s="1"/>
      <c r="I7358" s="1"/>
    </row>
    <row r="7359" spans="8:9" x14ac:dyDescent="0.2">
      <c r="H7359" s="1"/>
      <c r="I7359" s="1"/>
    </row>
    <row r="7360" spans="8:9" x14ac:dyDescent="0.2">
      <c r="H7360" s="1"/>
      <c r="I7360" s="1"/>
    </row>
    <row r="7361" spans="8:9" x14ac:dyDescent="0.2">
      <c r="H7361" s="1"/>
      <c r="I7361" s="1"/>
    </row>
    <row r="7362" spans="8:9" x14ac:dyDescent="0.2">
      <c r="H7362" s="1"/>
      <c r="I7362" s="1"/>
    </row>
    <row r="7363" spans="8:9" x14ac:dyDescent="0.2">
      <c r="H7363" s="1"/>
      <c r="I7363" s="1"/>
    </row>
    <row r="7364" spans="8:9" x14ac:dyDescent="0.2">
      <c r="H7364" s="1"/>
      <c r="I7364" s="1"/>
    </row>
    <row r="7365" spans="8:9" x14ac:dyDescent="0.2">
      <c r="H7365" s="1"/>
      <c r="I7365" s="1"/>
    </row>
    <row r="7366" spans="8:9" x14ac:dyDescent="0.2">
      <c r="H7366" s="1"/>
      <c r="I7366" s="1"/>
    </row>
    <row r="7367" spans="8:9" x14ac:dyDescent="0.2">
      <c r="H7367" s="1"/>
      <c r="I7367" s="1"/>
    </row>
    <row r="7368" spans="8:9" x14ac:dyDescent="0.2">
      <c r="H7368" s="1"/>
      <c r="I7368" s="1"/>
    </row>
    <row r="7369" spans="8:9" x14ac:dyDescent="0.2">
      <c r="H7369" s="1"/>
      <c r="I7369" s="1"/>
    </row>
    <row r="7370" spans="8:9" x14ac:dyDescent="0.2">
      <c r="H7370" s="1"/>
      <c r="I7370" s="1"/>
    </row>
    <row r="7371" spans="8:9" x14ac:dyDescent="0.2">
      <c r="H7371" s="1"/>
      <c r="I7371" s="1"/>
    </row>
    <row r="7372" spans="8:9" x14ac:dyDescent="0.2">
      <c r="H7372" s="1"/>
      <c r="I7372" s="1"/>
    </row>
    <row r="7373" spans="8:9" x14ac:dyDescent="0.2">
      <c r="H7373" s="1"/>
      <c r="I7373" s="1"/>
    </row>
    <row r="7374" spans="8:9" x14ac:dyDescent="0.2">
      <c r="H7374" s="1"/>
      <c r="I7374" s="1"/>
    </row>
    <row r="7375" spans="8:9" x14ac:dyDescent="0.2">
      <c r="H7375" s="1"/>
      <c r="I7375" s="1"/>
    </row>
    <row r="7376" spans="8:9" x14ac:dyDescent="0.2">
      <c r="H7376" s="1"/>
      <c r="I7376" s="1"/>
    </row>
    <row r="7377" spans="8:9" x14ac:dyDescent="0.2">
      <c r="H7377" s="1"/>
      <c r="I7377" s="1"/>
    </row>
    <row r="7378" spans="8:9" x14ac:dyDescent="0.2">
      <c r="H7378" s="1"/>
      <c r="I7378" s="1"/>
    </row>
    <row r="7379" spans="8:9" x14ac:dyDescent="0.2">
      <c r="H7379" s="1"/>
      <c r="I7379" s="1"/>
    </row>
    <row r="7380" spans="8:9" x14ac:dyDescent="0.2">
      <c r="H7380" s="1"/>
      <c r="I7380" s="1"/>
    </row>
    <row r="7381" spans="8:9" x14ac:dyDescent="0.2">
      <c r="H7381" s="1"/>
      <c r="I7381" s="1"/>
    </row>
    <row r="7382" spans="8:9" x14ac:dyDescent="0.2">
      <c r="H7382" s="1"/>
      <c r="I7382" s="1"/>
    </row>
    <row r="7383" spans="8:9" x14ac:dyDescent="0.2">
      <c r="H7383" s="1"/>
      <c r="I7383" s="1"/>
    </row>
    <row r="7384" spans="8:9" x14ac:dyDescent="0.2">
      <c r="H7384" s="1"/>
      <c r="I7384" s="1"/>
    </row>
    <row r="7385" spans="8:9" x14ac:dyDescent="0.2">
      <c r="H7385" s="1"/>
      <c r="I7385" s="1"/>
    </row>
    <row r="7386" spans="8:9" x14ac:dyDescent="0.2">
      <c r="H7386" s="1"/>
      <c r="I7386" s="1"/>
    </row>
    <row r="7387" spans="8:9" x14ac:dyDescent="0.2">
      <c r="H7387" s="1"/>
      <c r="I7387" s="1"/>
    </row>
    <row r="7388" spans="8:9" x14ac:dyDescent="0.2">
      <c r="H7388" s="1"/>
      <c r="I7388" s="1"/>
    </row>
    <row r="7389" spans="8:9" x14ac:dyDescent="0.2">
      <c r="H7389" s="1"/>
      <c r="I7389" s="1"/>
    </row>
    <row r="7390" spans="8:9" x14ac:dyDescent="0.2">
      <c r="H7390" s="1"/>
      <c r="I7390" s="1"/>
    </row>
    <row r="7391" spans="8:9" x14ac:dyDescent="0.2">
      <c r="H7391" s="1"/>
      <c r="I7391" s="1"/>
    </row>
    <row r="7392" spans="8:9" x14ac:dyDescent="0.2">
      <c r="H7392" s="1"/>
      <c r="I7392" s="1"/>
    </row>
    <row r="7393" spans="8:9" x14ac:dyDescent="0.2">
      <c r="H7393" s="1"/>
      <c r="I7393" s="1"/>
    </row>
    <row r="7394" spans="8:9" x14ac:dyDescent="0.2">
      <c r="H7394" s="1"/>
      <c r="I7394" s="1"/>
    </row>
    <row r="7395" spans="8:9" x14ac:dyDescent="0.2">
      <c r="H7395" s="1"/>
      <c r="I7395" s="1"/>
    </row>
    <row r="7396" spans="8:9" x14ac:dyDescent="0.2">
      <c r="H7396" s="1"/>
      <c r="I7396" s="1"/>
    </row>
    <row r="7397" spans="8:9" x14ac:dyDescent="0.2">
      <c r="H7397" s="1"/>
      <c r="I7397" s="1"/>
    </row>
    <row r="7398" spans="8:9" x14ac:dyDescent="0.2">
      <c r="H7398" s="1"/>
      <c r="I7398" s="1"/>
    </row>
    <row r="7399" spans="8:9" x14ac:dyDescent="0.2">
      <c r="H7399" s="1"/>
      <c r="I7399" s="1"/>
    </row>
    <row r="7400" spans="8:9" x14ac:dyDescent="0.2">
      <c r="H7400" s="1"/>
      <c r="I7400" s="1"/>
    </row>
    <row r="7401" spans="8:9" x14ac:dyDescent="0.2">
      <c r="H7401" s="1"/>
      <c r="I7401" s="1"/>
    </row>
    <row r="7402" spans="8:9" x14ac:dyDescent="0.2">
      <c r="H7402" s="1"/>
      <c r="I7402" s="1"/>
    </row>
    <row r="7403" spans="8:9" x14ac:dyDescent="0.2">
      <c r="H7403" s="1"/>
      <c r="I7403" s="1"/>
    </row>
    <row r="7404" spans="8:9" x14ac:dyDescent="0.2">
      <c r="H7404" s="1"/>
      <c r="I7404" s="1"/>
    </row>
    <row r="7405" spans="8:9" x14ac:dyDescent="0.2">
      <c r="H7405" s="1"/>
      <c r="I7405" s="1"/>
    </row>
    <row r="7406" spans="8:9" x14ac:dyDescent="0.2">
      <c r="H7406" s="1"/>
      <c r="I7406" s="1"/>
    </row>
    <row r="7407" spans="8:9" x14ac:dyDescent="0.2">
      <c r="H7407" s="1"/>
      <c r="I7407" s="1"/>
    </row>
    <row r="7408" spans="8:9" x14ac:dyDescent="0.2">
      <c r="H7408" s="1"/>
      <c r="I7408" s="1"/>
    </row>
    <row r="7409" spans="8:9" x14ac:dyDescent="0.2">
      <c r="H7409" s="1"/>
      <c r="I7409" s="1"/>
    </row>
    <row r="7410" spans="8:9" x14ac:dyDescent="0.2">
      <c r="H7410" s="1"/>
      <c r="I7410" s="1"/>
    </row>
    <row r="7411" spans="8:9" x14ac:dyDescent="0.2">
      <c r="H7411" s="1"/>
      <c r="I7411" s="1"/>
    </row>
    <row r="7412" spans="8:9" x14ac:dyDescent="0.2">
      <c r="H7412" s="1"/>
      <c r="I7412" s="1"/>
    </row>
    <row r="7413" spans="8:9" x14ac:dyDescent="0.2">
      <c r="H7413" s="1"/>
      <c r="I7413" s="1"/>
    </row>
    <row r="7414" spans="8:9" x14ac:dyDescent="0.2">
      <c r="H7414" s="1"/>
      <c r="I7414" s="1"/>
    </row>
    <row r="7415" spans="8:9" x14ac:dyDescent="0.2">
      <c r="H7415" s="1"/>
      <c r="I7415" s="1"/>
    </row>
    <row r="7416" spans="8:9" x14ac:dyDescent="0.2">
      <c r="H7416" s="1"/>
      <c r="I7416" s="1"/>
    </row>
    <row r="7417" spans="8:9" x14ac:dyDescent="0.2">
      <c r="H7417" s="1"/>
      <c r="I7417" s="1"/>
    </row>
    <row r="7418" spans="8:9" x14ac:dyDescent="0.2">
      <c r="H7418" s="1"/>
      <c r="I7418" s="1"/>
    </row>
    <row r="7419" spans="8:9" x14ac:dyDescent="0.2">
      <c r="H7419" s="1"/>
      <c r="I7419" s="1"/>
    </row>
    <row r="7420" spans="8:9" x14ac:dyDescent="0.2">
      <c r="H7420" s="1"/>
      <c r="I7420" s="1"/>
    </row>
    <row r="7421" spans="8:9" x14ac:dyDescent="0.2">
      <c r="H7421" s="1"/>
      <c r="I7421" s="1"/>
    </row>
    <row r="7422" spans="8:9" x14ac:dyDescent="0.2">
      <c r="H7422" s="1"/>
      <c r="I7422" s="1"/>
    </row>
    <row r="7423" spans="8:9" x14ac:dyDescent="0.2">
      <c r="H7423" s="1"/>
      <c r="I7423" s="1"/>
    </row>
    <row r="7424" spans="8:9" x14ac:dyDescent="0.2">
      <c r="H7424" s="1"/>
      <c r="I7424" s="1"/>
    </row>
    <row r="7425" spans="8:9" x14ac:dyDescent="0.2">
      <c r="H7425" s="1"/>
      <c r="I7425" s="1"/>
    </row>
    <row r="7426" spans="8:9" x14ac:dyDescent="0.2">
      <c r="H7426" s="1"/>
      <c r="I7426" s="1"/>
    </row>
    <row r="7427" spans="8:9" x14ac:dyDescent="0.2">
      <c r="H7427" s="1"/>
      <c r="I7427" s="1"/>
    </row>
    <row r="7428" spans="8:9" x14ac:dyDescent="0.2">
      <c r="H7428" s="1"/>
      <c r="I7428" s="1"/>
    </row>
    <row r="7429" spans="8:9" x14ac:dyDescent="0.2">
      <c r="H7429" s="1"/>
      <c r="I7429" s="1"/>
    </row>
    <row r="7430" spans="8:9" x14ac:dyDescent="0.2">
      <c r="H7430" s="1"/>
      <c r="I7430" s="1"/>
    </row>
    <row r="7431" spans="8:9" x14ac:dyDescent="0.2">
      <c r="H7431" s="1"/>
      <c r="I7431" s="1"/>
    </row>
    <row r="7432" spans="8:9" x14ac:dyDescent="0.2">
      <c r="H7432" s="1"/>
      <c r="I7432" s="1"/>
    </row>
    <row r="7433" spans="8:9" x14ac:dyDescent="0.2">
      <c r="H7433" s="1"/>
      <c r="I7433" s="1"/>
    </row>
    <row r="7434" spans="8:9" x14ac:dyDescent="0.2">
      <c r="H7434" s="1"/>
      <c r="I7434" s="1"/>
    </row>
    <row r="7435" spans="8:9" x14ac:dyDescent="0.2">
      <c r="H7435" s="1"/>
      <c r="I7435" s="1"/>
    </row>
    <row r="7436" spans="8:9" x14ac:dyDescent="0.2">
      <c r="H7436" s="1"/>
      <c r="I7436" s="1"/>
    </row>
    <row r="7437" spans="8:9" x14ac:dyDescent="0.2">
      <c r="H7437" s="1"/>
      <c r="I7437" s="1"/>
    </row>
    <row r="7438" spans="8:9" x14ac:dyDescent="0.2">
      <c r="H7438" s="1"/>
      <c r="I7438" s="1"/>
    </row>
    <row r="7439" spans="8:9" x14ac:dyDescent="0.2">
      <c r="H7439" s="1"/>
      <c r="I7439" s="1"/>
    </row>
    <row r="7440" spans="8:9" x14ac:dyDescent="0.2">
      <c r="H7440" s="1"/>
      <c r="I7440" s="1"/>
    </row>
    <row r="7441" spans="8:9" x14ac:dyDescent="0.2">
      <c r="H7441" s="1"/>
      <c r="I7441" s="1"/>
    </row>
    <row r="7442" spans="8:9" x14ac:dyDescent="0.2">
      <c r="H7442" s="1"/>
      <c r="I7442" s="1"/>
    </row>
    <row r="7443" spans="8:9" x14ac:dyDescent="0.2">
      <c r="H7443" s="1"/>
      <c r="I7443" s="1"/>
    </row>
    <row r="7444" spans="8:9" x14ac:dyDescent="0.2">
      <c r="H7444" s="1"/>
      <c r="I7444" s="1"/>
    </row>
    <row r="7445" spans="8:9" x14ac:dyDescent="0.2">
      <c r="H7445" s="1"/>
      <c r="I7445" s="1"/>
    </row>
    <row r="7446" spans="8:9" x14ac:dyDescent="0.2">
      <c r="H7446" s="1"/>
      <c r="I7446" s="1"/>
    </row>
    <row r="7447" spans="8:9" x14ac:dyDescent="0.2">
      <c r="H7447" s="1"/>
      <c r="I7447" s="1"/>
    </row>
    <row r="7448" spans="8:9" x14ac:dyDescent="0.2">
      <c r="H7448" s="1"/>
      <c r="I7448" s="1"/>
    </row>
    <row r="7449" spans="8:9" x14ac:dyDescent="0.2">
      <c r="H7449" s="1"/>
      <c r="I7449" s="1"/>
    </row>
    <row r="7450" spans="8:9" x14ac:dyDescent="0.2">
      <c r="H7450" s="1"/>
      <c r="I7450" s="1"/>
    </row>
    <row r="7451" spans="8:9" x14ac:dyDescent="0.2">
      <c r="H7451" s="1"/>
      <c r="I7451" s="1"/>
    </row>
    <row r="7452" spans="8:9" x14ac:dyDescent="0.2">
      <c r="H7452" s="1"/>
      <c r="I7452" s="1"/>
    </row>
    <row r="7453" spans="8:9" x14ac:dyDescent="0.2">
      <c r="H7453" s="1"/>
      <c r="I7453" s="1"/>
    </row>
    <row r="7454" spans="8:9" x14ac:dyDescent="0.2">
      <c r="H7454" s="1"/>
      <c r="I7454" s="1"/>
    </row>
    <row r="7455" spans="8:9" x14ac:dyDescent="0.2">
      <c r="H7455" s="1"/>
      <c r="I7455" s="1"/>
    </row>
    <row r="7456" spans="8:9" x14ac:dyDescent="0.2">
      <c r="H7456" s="1"/>
      <c r="I7456" s="1"/>
    </row>
    <row r="7457" spans="8:9" x14ac:dyDescent="0.2">
      <c r="H7457" s="1"/>
      <c r="I7457" s="1"/>
    </row>
    <row r="7458" spans="8:9" x14ac:dyDescent="0.2">
      <c r="H7458" s="1"/>
      <c r="I7458" s="1"/>
    </row>
    <row r="7459" spans="8:9" x14ac:dyDescent="0.2">
      <c r="H7459" s="1"/>
      <c r="I7459" s="1"/>
    </row>
    <row r="7460" spans="8:9" x14ac:dyDescent="0.2">
      <c r="H7460" s="1"/>
      <c r="I7460" s="1"/>
    </row>
    <row r="7461" spans="8:9" x14ac:dyDescent="0.2">
      <c r="H7461" s="1"/>
      <c r="I7461" s="1"/>
    </row>
    <row r="7462" spans="8:9" x14ac:dyDescent="0.2">
      <c r="H7462" s="1"/>
      <c r="I7462" s="1"/>
    </row>
    <row r="7463" spans="8:9" x14ac:dyDescent="0.2">
      <c r="H7463" s="1"/>
      <c r="I7463" s="1"/>
    </row>
    <row r="7464" spans="8:9" x14ac:dyDescent="0.2">
      <c r="H7464" s="1"/>
      <c r="I7464" s="1"/>
    </row>
    <row r="7465" spans="8:9" x14ac:dyDescent="0.2">
      <c r="H7465" s="1"/>
      <c r="I7465" s="1"/>
    </row>
    <row r="7466" spans="8:9" x14ac:dyDescent="0.2">
      <c r="H7466" s="1"/>
      <c r="I7466" s="1"/>
    </row>
    <row r="7467" spans="8:9" x14ac:dyDescent="0.2">
      <c r="H7467" s="1"/>
      <c r="I7467" s="1"/>
    </row>
    <row r="7468" spans="8:9" x14ac:dyDescent="0.2">
      <c r="H7468" s="1"/>
      <c r="I7468" s="1"/>
    </row>
    <row r="7469" spans="8:9" x14ac:dyDescent="0.2">
      <c r="H7469" s="1"/>
      <c r="I7469" s="1"/>
    </row>
    <row r="7470" spans="8:9" x14ac:dyDescent="0.2">
      <c r="H7470" s="1"/>
      <c r="I7470" s="1"/>
    </row>
    <row r="7471" spans="8:9" x14ac:dyDescent="0.2">
      <c r="H7471" s="1"/>
      <c r="I7471" s="1"/>
    </row>
    <row r="7472" spans="8:9" x14ac:dyDescent="0.2">
      <c r="H7472" s="1"/>
      <c r="I7472" s="1"/>
    </row>
    <row r="7473" spans="8:9" x14ac:dyDescent="0.2">
      <c r="H7473" s="1"/>
      <c r="I7473" s="1"/>
    </row>
    <row r="7474" spans="8:9" x14ac:dyDescent="0.2">
      <c r="H7474" s="1"/>
      <c r="I7474" s="1"/>
    </row>
    <row r="7475" spans="8:9" x14ac:dyDescent="0.2">
      <c r="H7475" s="1"/>
      <c r="I7475" s="1"/>
    </row>
    <row r="7476" spans="8:9" x14ac:dyDescent="0.2">
      <c r="H7476" s="1"/>
      <c r="I7476" s="1"/>
    </row>
    <row r="7477" spans="8:9" x14ac:dyDescent="0.2">
      <c r="H7477" s="1"/>
      <c r="I7477" s="1"/>
    </row>
    <row r="7478" spans="8:9" x14ac:dyDescent="0.2">
      <c r="H7478" s="1"/>
      <c r="I7478" s="1"/>
    </row>
    <row r="7479" spans="8:9" x14ac:dyDescent="0.2">
      <c r="H7479" s="1"/>
      <c r="I7479" s="1"/>
    </row>
    <row r="7480" spans="8:9" x14ac:dyDescent="0.2">
      <c r="H7480" s="1"/>
      <c r="I7480" s="1"/>
    </row>
    <row r="7481" spans="8:9" x14ac:dyDescent="0.2">
      <c r="H7481" s="1"/>
      <c r="I7481" s="1"/>
    </row>
    <row r="7482" spans="8:9" x14ac:dyDescent="0.2">
      <c r="H7482" s="1"/>
      <c r="I7482" s="1"/>
    </row>
    <row r="7483" spans="8:9" x14ac:dyDescent="0.2">
      <c r="H7483" s="1"/>
      <c r="I7483" s="1"/>
    </row>
    <row r="7484" spans="8:9" x14ac:dyDescent="0.2">
      <c r="H7484" s="1"/>
      <c r="I7484" s="1"/>
    </row>
    <row r="7485" spans="8:9" x14ac:dyDescent="0.2">
      <c r="H7485" s="1"/>
      <c r="I7485" s="1"/>
    </row>
    <row r="7486" spans="8:9" x14ac:dyDescent="0.2">
      <c r="H7486" s="1"/>
      <c r="I7486" s="1"/>
    </row>
    <row r="7487" spans="8:9" x14ac:dyDescent="0.2">
      <c r="H7487" s="1"/>
      <c r="I7487" s="1"/>
    </row>
    <row r="7488" spans="8:9" x14ac:dyDescent="0.2">
      <c r="H7488" s="1"/>
      <c r="I7488" s="1"/>
    </row>
    <row r="7489" spans="8:9" x14ac:dyDescent="0.2">
      <c r="H7489" s="1"/>
      <c r="I7489" s="1"/>
    </row>
    <row r="7490" spans="8:9" x14ac:dyDescent="0.2">
      <c r="H7490" s="1"/>
      <c r="I7490" s="1"/>
    </row>
    <row r="7491" spans="8:9" x14ac:dyDescent="0.2">
      <c r="H7491" s="1"/>
      <c r="I7491" s="1"/>
    </row>
    <row r="7492" spans="8:9" x14ac:dyDescent="0.2">
      <c r="H7492" s="1"/>
      <c r="I7492" s="1"/>
    </row>
    <row r="7493" spans="8:9" x14ac:dyDescent="0.2">
      <c r="H7493" s="1"/>
      <c r="I7493" s="1"/>
    </row>
    <row r="7494" spans="8:9" x14ac:dyDescent="0.2">
      <c r="H7494" s="1"/>
      <c r="I7494" s="1"/>
    </row>
    <row r="7495" spans="8:9" x14ac:dyDescent="0.2">
      <c r="H7495" s="1"/>
      <c r="I7495" s="1"/>
    </row>
    <row r="7496" spans="8:9" x14ac:dyDescent="0.2">
      <c r="H7496" s="1"/>
      <c r="I7496" s="1"/>
    </row>
    <row r="7497" spans="8:9" x14ac:dyDescent="0.2">
      <c r="H7497" s="1"/>
      <c r="I7497" s="1"/>
    </row>
    <row r="7498" spans="8:9" x14ac:dyDescent="0.2">
      <c r="H7498" s="1"/>
      <c r="I7498" s="1"/>
    </row>
    <row r="7499" spans="8:9" x14ac:dyDescent="0.2">
      <c r="H7499" s="1"/>
      <c r="I7499" s="1"/>
    </row>
    <row r="7500" spans="8:9" x14ac:dyDescent="0.2">
      <c r="H7500" s="1"/>
      <c r="I7500" s="1"/>
    </row>
    <row r="7501" spans="8:9" x14ac:dyDescent="0.2">
      <c r="H7501" s="1"/>
      <c r="I7501" s="1"/>
    </row>
    <row r="7502" spans="8:9" x14ac:dyDescent="0.2">
      <c r="H7502" s="1"/>
      <c r="I7502" s="1"/>
    </row>
    <row r="7503" spans="8:9" x14ac:dyDescent="0.2">
      <c r="H7503" s="1"/>
      <c r="I7503" s="1"/>
    </row>
    <row r="7504" spans="8:9" x14ac:dyDescent="0.2">
      <c r="H7504" s="1"/>
      <c r="I7504" s="1"/>
    </row>
    <row r="7505" spans="8:9" x14ac:dyDescent="0.2">
      <c r="H7505" s="1"/>
      <c r="I7505" s="1"/>
    </row>
    <row r="7506" spans="8:9" x14ac:dyDescent="0.2">
      <c r="H7506" s="1"/>
      <c r="I7506" s="1"/>
    </row>
    <row r="7507" spans="8:9" x14ac:dyDescent="0.2">
      <c r="H7507" s="1"/>
      <c r="I7507" s="1"/>
    </row>
    <row r="7508" spans="8:9" x14ac:dyDescent="0.2">
      <c r="H7508" s="1"/>
      <c r="I7508" s="1"/>
    </row>
    <row r="7509" spans="8:9" x14ac:dyDescent="0.2">
      <c r="H7509" s="1"/>
      <c r="I7509" s="1"/>
    </row>
    <row r="7510" spans="8:9" x14ac:dyDescent="0.2">
      <c r="H7510" s="1"/>
      <c r="I7510" s="1"/>
    </row>
    <row r="7511" spans="8:9" x14ac:dyDescent="0.2">
      <c r="H7511" s="1"/>
      <c r="I7511" s="1"/>
    </row>
    <row r="7512" spans="8:9" x14ac:dyDescent="0.2">
      <c r="H7512" s="1"/>
      <c r="I7512" s="1"/>
    </row>
    <row r="7513" spans="8:9" x14ac:dyDescent="0.2">
      <c r="H7513" s="1"/>
      <c r="I7513" s="1"/>
    </row>
    <row r="7514" spans="8:9" x14ac:dyDescent="0.2">
      <c r="H7514" s="1"/>
      <c r="I7514" s="1"/>
    </row>
    <row r="7515" spans="8:9" x14ac:dyDescent="0.2">
      <c r="H7515" s="1"/>
      <c r="I7515" s="1"/>
    </row>
    <row r="7516" spans="8:9" x14ac:dyDescent="0.2">
      <c r="H7516" s="1"/>
      <c r="I7516" s="1"/>
    </row>
    <row r="7517" spans="8:9" x14ac:dyDescent="0.2">
      <c r="H7517" s="1"/>
      <c r="I7517" s="1"/>
    </row>
    <row r="7518" spans="8:9" x14ac:dyDescent="0.2">
      <c r="H7518" s="1"/>
      <c r="I7518" s="1"/>
    </row>
    <row r="7519" spans="8:9" x14ac:dyDescent="0.2">
      <c r="H7519" s="1"/>
      <c r="I7519" s="1"/>
    </row>
    <row r="7520" spans="8:9" x14ac:dyDescent="0.2">
      <c r="H7520" s="1"/>
      <c r="I7520" s="1"/>
    </row>
    <row r="7521" spans="8:9" x14ac:dyDescent="0.2">
      <c r="H7521" s="1"/>
      <c r="I7521" s="1"/>
    </row>
    <row r="7522" spans="8:9" x14ac:dyDescent="0.2">
      <c r="H7522" s="1"/>
      <c r="I7522" s="1"/>
    </row>
    <row r="7523" spans="8:9" x14ac:dyDescent="0.2">
      <c r="H7523" s="1"/>
      <c r="I7523" s="1"/>
    </row>
    <row r="7524" spans="8:9" x14ac:dyDescent="0.2">
      <c r="H7524" s="1"/>
      <c r="I7524" s="1"/>
    </row>
    <row r="7525" spans="8:9" x14ac:dyDescent="0.2">
      <c r="H7525" s="1"/>
      <c r="I7525" s="1"/>
    </row>
    <row r="7526" spans="8:9" x14ac:dyDescent="0.2">
      <c r="H7526" s="1"/>
      <c r="I7526" s="1"/>
    </row>
    <row r="7527" spans="8:9" x14ac:dyDescent="0.2">
      <c r="H7527" s="1"/>
      <c r="I7527" s="1"/>
    </row>
    <row r="7528" spans="8:9" x14ac:dyDescent="0.2">
      <c r="H7528" s="1"/>
      <c r="I7528" s="1"/>
    </row>
    <row r="7529" spans="8:9" x14ac:dyDescent="0.2">
      <c r="H7529" s="1"/>
      <c r="I7529" s="1"/>
    </row>
    <row r="7530" spans="8:9" x14ac:dyDescent="0.2">
      <c r="H7530" s="1"/>
      <c r="I7530" s="1"/>
    </row>
    <row r="7531" spans="8:9" x14ac:dyDescent="0.2">
      <c r="H7531" s="1"/>
      <c r="I7531" s="1"/>
    </row>
    <row r="7532" spans="8:9" x14ac:dyDescent="0.2">
      <c r="H7532" s="1"/>
      <c r="I7532" s="1"/>
    </row>
    <row r="7533" spans="8:9" x14ac:dyDescent="0.2">
      <c r="H7533" s="1"/>
      <c r="I7533" s="1"/>
    </row>
    <row r="7534" spans="8:9" x14ac:dyDescent="0.2">
      <c r="H7534" s="1"/>
      <c r="I7534" s="1"/>
    </row>
    <row r="7535" spans="8:9" x14ac:dyDescent="0.2">
      <c r="H7535" s="1"/>
      <c r="I7535" s="1"/>
    </row>
    <row r="7536" spans="8:9" x14ac:dyDescent="0.2">
      <c r="H7536" s="1"/>
      <c r="I7536" s="1"/>
    </row>
    <row r="7537" spans="8:9" x14ac:dyDescent="0.2">
      <c r="H7537" s="1"/>
      <c r="I7537" s="1"/>
    </row>
    <row r="7538" spans="8:9" x14ac:dyDescent="0.2">
      <c r="H7538" s="1"/>
      <c r="I7538" s="1"/>
    </row>
    <row r="7539" spans="8:9" x14ac:dyDescent="0.2">
      <c r="H7539" s="1"/>
      <c r="I7539" s="1"/>
    </row>
    <row r="7540" spans="8:9" x14ac:dyDescent="0.2">
      <c r="H7540" s="1"/>
      <c r="I7540" s="1"/>
    </row>
    <row r="7541" spans="8:9" x14ac:dyDescent="0.2">
      <c r="H7541" s="1"/>
      <c r="I7541" s="1"/>
    </row>
    <row r="7542" spans="8:9" x14ac:dyDescent="0.2">
      <c r="H7542" s="1"/>
      <c r="I7542" s="1"/>
    </row>
    <row r="7543" spans="8:9" x14ac:dyDescent="0.2">
      <c r="H7543" s="1"/>
      <c r="I7543" s="1"/>
    </row>
    <row r="7544" spans="8:9" x14ac:dyDescent="0.2">
      <c r="H7544" s="1"/>
      <c r="I7544" s="1"/>
    </row>
    <row r="7545" spans="8:9" x14ac:dyDescent="0.2">
      <c r="H7545" s="1"/>
      <c r="I7545" s="1"/>
    </row>
    <row r="7546" spans="8:9" x14ac:dyDescent="0.2">
      <c r="H7546" s="1"/>
      <c r="I7546" s="1"/>
    </row>
    <row r="7547" spans="8:9" x14ac:dyDescent="0.2">
      <c r="H7547" s="1"/>
      <c r="I7547" s="1"/>
    </row>
    <row r="7548" spans="8:9" x14ac:dyDescent="0.2">
      <c r="H7548" s="1"/>
      <c r="I7548" s="1"/>
    </row>
    <row r="7549" spans="8:9" x14ac:dyDescent="0.2">
      <c r="H7549" s="1"/>
      <c r="I7549" s="1"/>
    </row>
    <row r="7550" spans="8:9" x14ac:dyDescent="0.2">
      <c r="H7550" s="1"/>
      <c r="I7550" s="1"/>
    </row>
    <row r="7551" spans="8:9" x14ac:dyDescent="0.2">
      <c r="H7551" s="1"/>
      <c r="I7551" s="1"/>
    </row>
    <row r="7552" spans="8:9" x14ac:dyDescent="0.2">
      <c r="H7552" s="1"/>
      <c r="I7552" s="1"/>
    </row>
    <row r="7553" spans="8:9" x14ac:dyDescent="0.2">
      <c r="H7553" s="1"/>
      <c r="I7553" s="1"/>
    </row>
    <row r="7554" spans="8:9" x14ac:dyDescent="0.2">
      <c r="H7554" s="1"/>
      <c r="I7554" s="1"/>
    </row>
    <row r="7555" spans="8:9" x14ac:dyDescent="0.2">
      <c r="H7555" s="1"/>
      <c r="I7555" s="1"/>
    </row>
    <row r="7556" spans="8:9" x14ac:dyDescent="0.2">
      <c r="H7556" s="1"/>
      <c r="I7556" s="1"/>
    </row>
    <row r="7557" spans="8:9" x14ac:dyDescent="0.2">
      <c r="H7557" s="1"/>
      <c r="I7557" s="1"/>
    </row>
    <row r="7558" spans="8:9" x14ac:dyDescent="0.2">
      <c r="H7558" s="1"/>
      <c r="I7558" s="1"/>
    </row>
    <row r="7559" spans="8:9" x14ac:dyDescent="0.2">
      <c r="H7559" s="1"/>
      <c r="I7559" s="1"/>
    </row>
    <row r="7560" spans="8:9" x14ac:dyDescent="0.2">
      <c r="H7560" s="1"/>
      <c r="I7560" s="1"/>
    </row>
    <row r="7561" spans="8:9" x14ac:dyDescent="0.2">
      <c r="H7561" s="1"/>
      <c r="I7561" s="1"/>
    </row>
    <row r="7562" spans="8:9" x14ac:dyDescent="0.2">
      <c r="H7562" s="1"/>
      <c r="I7562" s="1"/>
    </row>
    <row r="7563" spans="8:9" x14ac:dyDescent="0.2">
      <c r="H7563" s="1"/>
      <c r="I7563" s="1"/>
    </row>
    <row r="7564" spans="8:9" x14ac:dyDescent="0.2">
      <c r="H7564" s="1"/>
      <c r="I7564" s="1"/>
    </row>
    <row r="7565" spans="8:9" x14ac:dyDescent="0.2">
      <c r="H7565" s="1"/>
      <c r="I7565" s="1"/>
    </row>
    <row r="7566" spans="8:9" x14ac:dyDescent="0.2">
      <c r="H7566" s="1"/>
      <c r="I7566" s="1"/>
    </row>
    <row r="7567" spans="8:9" x14ac:dyDescent="0.2">
      <c r="H7567" s="1"/>
      <c r="I7567" s="1"/>
    </row>
    <row r="7568" spans="8:9" x14ac:dyDescent="0.2">
      <c r="H7568" s="1"/>
      <c r="I7568" s="1"/>
    </row>
    <row r="7569" spans="8:9" x14ac:dyDescent="0.2">
      <c r="H7569" s="1"/>
      <c r="I7569" s="1"/>
    </row>
    <row r="7570" spans="8:9" x14ac:dyDescent="0.2">
      <c r="H7570" s="1"/>
      <c r="I7570" s="1"/>
    </row>
    <row r="7571" spans="8:9" x14ac:dyDescent="0.2">
      <c r="H7571" s="1"/>
      <c r="I7571" s="1"/>
    </row>
    <row r="7572" spans="8:9" x14ac:dyDescent="0.2">
      <c r="H7572" s="1"/>
      <c r="I7572" s="1"/>
    </row>
    <row r="7573" spans="8:9" x14ac:dyDescent="0.2">
      <c r="H7573" s="1"/>
      <c r="I7573" s="1"/>
    </row>
    <row r="7574" spans="8:9" x14ac:dyDescent="0.2">
      <c r="H7574" s="1"/>
      <c r="I7574" s="1"/>
    </row>
    <row r="7575" spans="8:9" x14ac:dyDescent="0.2">
      <c r="H7575" s="1"/>
      <c r="I7575" s="1"/>
    </row>
    <row r="7576" spans="8:9" x14ac:dyDescent="0.2">
      <c r="H7576" s="1"/>
      <c r="I7576" s="1"/>
    </row>
    <row r="7577" spans="8:9" x14ac:dyDescent="0.2">
      <c r="H7577" s="1"/>
      <c r="I7577" s="1"/>
    </row>
    <row r="7578" spans="8:9" x14ac:dyDescent="0.2">
      <c r="H7578" s="1"/>
      <c r="I7578" s="1"/>
    </row>
    <row r="7579" spans="8:9" x14ac:dyDescent="0.2">
      <c r="H7579" s="1"/>
      <c r="I7579" s="1"/>
    </row>
    <row r="7580" spans="8:9" x14ac:dyDescent="0.2">
      <c r="H7580" s="1"/>
      <c r="I7580" s="1"/>
    </row>
    <row r="7581" spans="8:9" x14ac:dyDescent="0.2">
      <c r="H7581" s="1"/>
      <c r="I7581" s="1"/>
    </row>
    <row r="7582" spans="8:9" x14ac:dyDescent="0.2">
      <c r="H7582" s="1"/>
      <c r="I7582" s="1"/>
    </row>
    <row r="7583" spans="8:9" x14ac:dyDescent="0.2">
      <c r="H7583" s="1"/>
      <c r="I7583" s="1"/>
    </row>
    <row r="7584" spans="8:9" x14ac:dyDescent="0.2">
      <c r="H7584" s="1"/>
      <c r="I7584" s="1"/>
    </row>
    <row r="7585" spans="8:9" x14ac:dyDescent="0.2">
      <c r="H7585" s="1"/>
      <c r="I7585" s="1"/>
    </row>
    <row r="7586" spans="8:9" x14ac:dyDescent="0.2">
      <c r="H7586" s="1"/>
      <c r="I7586" s="1"/>
    </row>
    <row r="7587" spans="8:9" x14ac:dyDescent="0.2">
      <c r="H7587" s="1"/>
      <c r="I7587" s="1"/>
    </row>
    <row r="7588" spans="8:9" x14ac:dyDescent="0.2">
      <c r="H7588" s="1"/>
      <c r="I7588" s="1"/>
    </row>
    <row r="7589" spans="8:9" x14ac:dyDescent="0.2">
      <c r="H7589" s="1"/>
      <c r="I7589" s="1"/>
    </row>
    <row r="7590" spans="8:9" x14ac:dyDescent="0.2">
      <c r="H7590" s="1"/>
      <c r="I7590" s="1"/>
    </row>
    <row r="7591" spans="8:9" x14ac:dyDescent="0.2">
      <c r="H7591" s="1"/>
      <c r="I7591" s="1"/>
    </row>
    <row r="7592" spans="8:9" x14ac:dyDescent="0.2">
      <c r="H7592" s="1"/>
      <c r="I7592" s="1"/>
    </row>
    <row r="7593" spans="8:9" x14ac:dyDescent="0.2">
      <c r="H7593" s="1"/>
      <c r="I7593" s="1"/>
    </row>
    <row r="7594" spans="8:9" x14ac:dyDescent="0.2">
      <c r="H7594" s="1"/>
      <c r="I7594" s="1"/>
    </row>
    <row r="7595" spans="8:9" x14ac:dyDescent="0.2">
      <c r="H7595" s="1"/>
      <c r="I7595" s="1"/>
    </row>
    <row r="7596" spans="8:9" x14ac:dyDescent="0.2">
      <c r="H7596" s="1"/>
      <c r="I7596" s="1"/>
    </row>
    <row r="7597" spans="8:9" x14ac:dyDescent="0.2">
      <c r="H7597" s="1"/>
      <c r="I7597" s="1"/>
    </row>
    <row r="7598" spans="8:9" x14ac:dyDescent="0.2">
      <c r="H7598" s="1"/>
      <c r="I7598" s="1"/>
    </row>
    <row r="7599" spans="8:9" x14ac:dyDescent="0.2">
      <c r="H7599" s="1"/>
      <c r="I7599" s="1"/>
    </row>
    <row r="7600" spans="8:9" x14ac:dyDescent="0.2">
      <c r="H7600" s="1"/>
      <c r="I7600" s="1"/>
    </row>
    <row r="7601" spans="8:9" x14ac:dyDescent="0.2">
      <c r="H7601" s="1"/>
      <c r="I7601" s="1"/>
    </row>
    <row r="7602" spans="8:9" x14ac:dyDescent="0.2">
      <c r="H7602" s="1"/>
      <c r="I7602" s="1"/>
    </row>
    <row r="7603" spans="8:9" x14ac:dyDescent="0.2">
      <c r="H7603" s="1"/>
      <c r="I7603" s="1"/>
    </row>
    <row r="7604" spans="8:9" x14ac:dyDescent="0.2">
      <c r="H7604" s="1"/>
      <c r="I7604" s="1"/>
    </row>
    <row r="7605" spans="8:9" x14ac:dyDescent="0.2">
      <c r="H7605" s="1"/>
      <c r="I7605" s="1"/>
    </row>
    <row r="7606" spans="8:9" x14ac:dyDescent="0.2">
      <c r="H7606" s="1"/>
      <c r="I7606" s="1"/>
    </row>
    <row r="7607" spans="8:9" x14ac:dyDescent="0.2">
      <c r="H7607" s="1"/>
      <c r="I7607" s="1"/>
    </row>
    <row r="7608" spans="8:9" x14ac:dyDescent="0.2">
      <c r="H7608" s="1"/>
      <c r="I7608" s="1"/>
    </row>
    <row r="7609" spans="8:9" x14ac:dyDescent="0.2">
      <c r="H7609" s="1"/>
      <c r="I7609" s="1"/>
    </row>
    <row r="7610" spans="8:9" x14ac:dyDescent="0.2">
      <c r="H7610" s="1"/>
      <c r="I7610" s="1"/>
    </row>
    <row r="7611" spans="8:9" x14ac:dyDescent="0.2">
      <c r="H7611" s="1"/>
      <c r="I7611" s="1"/>
    </row>
    <row r="7612" spans="8:9" x14ac:dyDescent="0.2">
      <c r="H7612" s="1"/>
      <c r="I7612" s="1"/>
    </row>
    <row r="7613" spans="8:9" x14ac:dyDescent="0.2">
      <c r="H7613" s="1"/>
      <c r="I7613" s="1"/>
    </row>
    <row r="7614" spans="8:9" x14ac:dyDescent="0.2">
      <c r="H7614" s="1"/>
      <c r="I7614" s="1"/>
    </row>
    <row r="7615" spans="8:9" x14ac:dyDescent="0.2">
      <c r="H7615" s="1"/>
      <c r="I7615" s="1"/>
    </row>
    <row r="7616" spans="8:9" x14ac:dyDescent="0.2">
      <c r="H7616" s="1"/>
      <c r="I7616" s="1"/>
    </row>
    <row r="7617" spans="8:9" x14ac:dyDescent="0.2">
      <c r="H7617" s="1"/>
      <c r="I7617" s="1"/>
    </row>
    <row r="7618" spans="8:9" x14ac:dyDescent="0.2">
      <c r="H7618" s="1"/>
      <c r="I7618" s="1"/>
    </row>
    <row r="7619" spans="8:9" x14ac:dyDescent="0.2">
      <c r="H7619" s="1"/>
      <c r="I7619" s="1"/>
    </row>
    <row r="7620" spans="8:9" x14ac:dyDescent="0.2">
      <c r="H7620" s="1"/>
      <c r="I7620" s="1"/>
    </row>
    <row r="7621" spans="8:9" x14ac:dyDescent="0.2">
      <c r="H7621" s="1"/>
      <c r="I7621" s="1"/>
    </row>
    <row r="7622" spans="8:9" x14ac:dyDescent="0.2">
      <c r="H7622" s="1"/>
      <c r="I7622" s="1"/>
    </row>
    <row r="7623" spans="8:9" x14ac:dyDescent="0.2">
      <c r="H7623" s="1"/>
      <c r="I7623" s="1"/>
    </row>
    <row r="7624" spans="8:9" x14ac:dyDescent="0.2">
      <c r="H7624" s="1"/>
      <c r="I7624" s="1"/>
    </row>
    <row r="7625" spans="8:9" x14ac:dyDescent="0.2">
      <c r="H7625" s="1"/>
      <c r="I7625" s="1"/>
    </row>
    <row r="7626" spans="8:9" x14ac:dyDescent="0.2">
      <c r="H7626" s="1"/>
      <c r="I7626" s="1"/>
    </row>
    <row r="7627" spans="8:9" x14ac:dyDescent="0.2">
      <c r="H7627" s="1"/>
      <c r="I7627" s="1"/>
    </row>
    <row r="7628" spans="8:9" x14ac:dyDescent="0.2">
      <c r="H7628" s="1"/>
      <c r="I7628" s="1"/>
    </row>
    <row r="7629" spans="8:9" x14ac:dyDescent="0.2">
      <c r="H7629" s="1"/>
      <c r="I7629" s="1"/>
    </row>
    <row r="7630" spans="8:9" x14ac:dyDescent="0.2">
      <c r="H7630" s="1"/>
      <c r="I7630" s="1"/>
    </row>
    <row r="7631" spans="8:9" x14ac:dyDescent="0.2">
      <c r="H7631" s="1"/>
      <c r="I7631" s="1"/>
    </row>
    <row r="7632" spans="8:9" x14ac:dyDescent="0.2">
      <c r="H7632" s="1"/>
      <c r="I7632" s="1"/>
    </row>
    <row r="7633" spans="8:9" x14ac:dyDescent="0.2">
      <c r="H7633" s="1"/>
      <c r="I7633" s="1"/>
    </row>
    <row r="7634" spans="8:9" x14ac:dyDescent="0.2">
      <c r="H7634" s="1"/>
      <c r="I7634" s="1"/>
    </row>
    <row r="7635" spans="8:9" x14ac:dyDescent="0.2">
      <c r="H7635" s="1"/>
      <c r="I7635" s="1"/>
    </row>
    <row r="7636" spans="8:9" x14ac:dyDescent="0.2">
      <c r="H7636" s="1"/>
      <c r="I7636" s="1"/>
    </row>
    <row r="7637" spans="8:9" x14ac:dyDescent="0.2">
      <c r="H7637" s="1"/>
      <c r="I7637" s="1"/>
    </row>
    <row r="7638" spans="8:9" x14ac:dyDescent="0.2">
      <c r="H7638" s="1"/>
      <c r="I7638" s="1"/>
    </row>
    <row r="7639" spans="8:9" x14ac:dyDescent="0.2">
      <c r="H7639" s="1"/>
      <c r="I7639" s="1"/>
    </row>
    <row r="7640" spans="8:9" x14ac:dyDescent="0.2">
      <c r="H7640" s="1"/>
      <c r="I7640" s="1"/>
    </row>
    <row r="7641" spans="8:9" x14ac:dyDescent="0.2">
      <c r="H7641" s="1"/>
      <c r="I7641" s="1"/>
    </row>
    <row r="7642" spans="8:9" x14ac:dyDescent="0.2">
      <c r="H7642" s="1"/>
      <c r="I7642" s="1"/>
    </row>
    <row r="7643" spans="8:9" x14ac:dyDescent="0.2">
      <c r="H7643" s="1"/>
      <c r="I7643" s="1"/>
    </row>
    <row r="7644" spans="8:9" x14ac:dyDescent="0.2">
      <c r="H7644" s="1"/>
      <c r="I7644" s="1"/>
    </row>
    <row r="7645" spans="8:9" x14ac:dyDescent="0.2">
      <c r="H7645" s="1"/>
      <c r="I7645" s="1"/>
    </row>
    <row r="7646" spans="8:9" x14ac:dyDescent="0.2">
      <c r="H7646" s="1"/>
      <c r="I7646" s="1"/>
    </row>
    <row r="7647" spans="8:9" x14ac:dyDescent="0.2">
      <c r="H7647" s="1"/>
      <c r="I7647" s="1"/>
    </row>
    <row r="7648" spans="8:9" x14ac:dyDescent="0.2">
      <c r="H7648" s="1"/>
      <c r="I7648" s="1"/>
    </row>
    <row r="7649" spans="8:9" x14ac:dyDescent="0.2">
      <c r="H7649" s="1"/>
      <c r="I7649" s="1"/>
    </row>
    <row r="7650" spans="8:9" x14ac:dyDescent="0.2">
      <c r="H7650" s="1"/>
      <c r="I7650" s="1"/>
    </row>
    <row r="7651" spans="8:9" x14ac:dyDescent="0.2">
      <c r="H7651" s="1"/>
      <c r="I7651" s="1"/>
    </row>
    <row r="7652" spans="8:9" x14ac:dyDescent="0.2">
      <c r="H7652" s="1"/>
      <c r="I7652" s="1"/>
    </row>
    <row r="7653" spans="8:9" x14ac:dyDescent="0.2">
      <c r="H7653" s="1"/>
      <c r="I7653" s="1"/>
    </row>
    <row r="7654" spans="8:9" x14ac:dyDescent="0.2">
      <c r="H7654" s="1"/>
      <c r="I7654" s="1"/>
    </row>
    <row r="7655" spans="8:9" x14ac:dyDescent="0.2">
      <c r="H7655" s="1"/>
      <c r="I7655" s="1"/>
    </row>
    <row r="7656" spans="8:9" x14ac:dyDescent="0.2">
      <c r="H7656" s="1"/>
      <c r="I7656" s="1"/>
    </row>
    <row r="7657" spans="8:9" x14ac:dyDescent="0.2">
      <c r="H7657" s="1"/>
      <c r="I7657" s="1"/>
    </row>
    <row r="7658" spans="8:9" x14ac:dyDescent="0.2">
      <c r="H7658" s="1"/>
      <c r="I7658" s="1"/>
    </row>
    <row r="7659" spans="8:9" x14ac:dyDescent="0.2">
      <c r="H7659" s="1"/>
      <c r="I7659" s="1"/>
    </row>
    <row r="7660" spans="8:9" x14ac:dyDescent="0.2">
      <c r="H7660" s="1"/>
      <c r="I7660" s="1"/>
    </row>
    <row r="7661" spans="8:9" x14ac:dyDescent="0.2">
      <c r="H7661" s="1"/>
      <c r="I7661" s="1"/>
    </row>
    <row r="7662" spans="8:9" x14ac:dyDescent="0.2">
      <c r="H7662" s="1"/>
      <c r="I7662" s="1"/>
    </row>
    <row r="7663" spans="8:9" x14ac:dyDescent="0.2">
      <c r="H7663" s="1"/>
      <c r="I7663" s="1"/>
    </row>
    <row r="7664" spans="8:9" x14ac:dyDescent="0.2">
      <c r="H7664" s="1"/>
      <c r="I7664" s="1"/>
    </row>
    <row r="7665" spans="8:9" x14ac:dyDescent="0.2">
      <c r="H7665" s="1"/>
      <c r="I7665" s="1"/>
    </row>
    <row r="7666" spans="8:9" x14ac:dyDescent="0.2">
      <c r="H7666" s="1"/>
      <c r="I7666" s="1"/>
    </row>
    <row r="7667" spans="8:9" x14ac:dyDescent="0.2">
      <c r="H7667" s="1"/>
      <c r="I7667" s="1"/>
    </row>
    <row r="7668" spans="8:9" x14ac:dyDescent="0.2">
      <c r="H7668" s="1"/>
      <c r="I7668" s="1"/>
    </row>
    <row r="7669" spans="8:9" x14ac:dyDescent="0.2">
      <c r="H7669" s="1"/>
      <c r="I7669" s="1"/>
    </row>
    <row r="7670" spans="8:9" x14ac:dyDescent="0.2">
      <c r="H7670" s="1"/>
      <c r="I7670" s="1"/>
    </row>
    <row r="7671" spans="8:9" x14ac:dyDescent="0.2">
      <c r="H7671" s="1"/>
      <c r="I7671" s="1"/>
    </row>
    <row r="7672" spans="8:9" x14ac:dyDescent="0.2">
      <c r="H7672" s="1"/>
      <c r="I7672" s="1"/>
    </row>
    <row r="7673" spans="8:9" x14ac:dyDescent="0.2">
      <c r="H7673" s="1"/>
      <c r="I7673" s="1"/>
    </row>
    <row r="7674" spans="8:9" x14ac:dyDescent="0.2">
      <c r="H7674" s="1"/>
      <c r="I7674" s="1"/>
    </row>
    <row r="7675" spans="8:9" x14ac:dyDescent="0.2">
      <c r="H7675" s="1"/>
      <c r="I7675" s="1"/>
    </row>
    <row r="7676" spans="8:9" x14ac:dyDescent="0.2">
      <c r="H7676" s="1"/>
      <c r="I7676" s="1"/>
    </row>
    <row r="7677" spans="8:9" x14ac:dyDescent="0.2">
      <c r="H7677" s="1"/>
      <c r="I7677" s="1"/>
    </row>
    <row r="7678" spans="8:9" x14ac:dyDescent="0.2">
      <c r="H7678" s="1"/>
      <c r="I7678" s="1"/>
    </row>
    <row r="7679" spans="8:9" x14ac:dyDescent="0.2">
      <c r="H7679" s="1"/>
      <c r="I7679" s="1"/>
    </row>
    <row r="7680" spans="8:9" x14ac:dyDescent="0.2">
      <c r="H7680" s="1"/>
      <c r="I7680" s="1"/>
    </row>
    <row r="7681" spans="8:9" x14ac:dyDescent="0.2">
      <c r="H7681" s="1"/>
      <c r="I7681" s="1"/>
    </row>
    <row r="7682" spans="8:9" x14ac:dyDescent="0.2">
      <c r="H7682" s="1"/>
      <c r="I7682" s="1"/>
    </row>
    <row r="7683" spans="8:9" x14ac:dyDescent="0.2">
      <c r="H7683" s="1"/>
      <c r="I7683" s="1"/>
    </row>
    <row r="7684" spans="8:9" x14ac:dyDescent="0.2">
      <c r="H7684" s="1"/>
      <c r="I7684" s="1"/>
    </row>
    <row r="7685" spans="8:9" x14ac:dyDescent="0.2">
      <c r="H7685" s="1"/>
      <c r="I7685" s="1"/>
    </row>
    <row r="7686" spans="8:9" x14ac:dyDescent="0.2">
      <c r="H7686" s="1"/>
      <c r="I7686" s="1"/>
    </row>
    <row r="7687" spans="8:9" x14ac:dyDescent="0.2">
      <c r="H7687" s="1"/>
      <c r="I7687" s="1"/>
    </row>
    <row r="7688" spans="8:9" x14ac:dyDescent="0.2">
      <c r="H7688" s="1"/>
      <c r="I7688" s="1"/>
    </row>
    <row r="7689" spans="8:9" x14ac:dyDescent="0.2">
      <c r="H7689" s="1"/>
      <c r="I7689" s="1"/>
    </row>
    <row r="7690" spans="8:9" x14ac:dyDescent="0.2">
      <c r="H7690" s="1"/>
      <c r="I7690" s="1"/>
    </row>
    <row r="7691" spans="8:9" x14ac:dyDescent="0.2">
      <c r="H7691" s="1"/>
      <c r="I7691" s="1"/>
    </row>
    <row r="7692" spans="8:9" x14ac:dyDescent="0.2">
      <c r="H7692" s="1"/>
      <c r="I7692" s="1"/>
    </row>
    <row r="7693" spans="8:9" x14ac:dyDescent="0.2">
      <c r="H7693" s="1"/>
      <c r="I7693" s="1"/>
    </row>
    <row r="7694" spans="8:9" x14ac:dyDescent="0.2">
      <c r="H7694" s="1"/>
      <c r="I7694" s="1"/>
    </row>
    <row r="7695" spans="8:9" x14ac:dyDescent="0.2">
      <c r="H7695" s="1"/>
      <c r="I7695" s="1"/>
    </row>
    <row r="7696" spans="8:9" x14ac:dyDescent="0.2">
      <c r="H7696" s="1"/>
      <c r="I7696" s="1"/>
    </row>
    <row r="7697" spans="8:9" x14ac:dyDescent="0.2">
      <c r="H7697" s="1"/>
      <c r="I7697" s="1"/>
    </row>
    <row r="7698" spans="8:9" x14ac:dyDescent="0.2">
      <c r="H7698" s="1"/>
      <c r="I7698" s="1"/>
    </row>
    <row r="7699" spans="8:9" x14ac:dyDescent="0.2">
      <c r="H7699" s="1"/>
      <c r="I7699" s="1"/>
    </row>
    <row r="7700" spans="8:9" x14ac:dyDescent="0.2">
      <c r="H7700" s="1"/>
      <c r="I7700" s="1"/>
    </row>
    <row r="7701" spans="8:9" x14ac:dyDescent="0.2">
      <c r="H7701" s="1"/>
      <c r="I7701" s="1"/>
    </row>
    <row r="7702" spans="8:9" x14ac:dyDescent="0.2">
      <c r="H7702" s="1"/>
      <c r="I7702" s="1"/>
    </row>
    <row r="7703" spans="8:9" x14ac:dyDescent="0.2">
      <c r="H7703" s="1"/>
      <c r="I7703" s="1"/>
    </row>
    <row r="7704" spans="8:9" x14ac:dyDescent="0.2">
      <c r="H7704" s="1"/>
      <c r="I7704" s="1"/>
    </row>
    <row r="7705" spans="8:9" x14ac:dyDescent="0.2">
      <c r="H7705" s="1"/>
      <c r="I7705" s="1"/>
    </row>
    <row r="7706" spans="8:9" x14ac:dyDescent="0.2">
      <c r="H7706" s="1"/>
      <c r="I7706" s="1"/>
    </row>
    <row r="7707" spans="8:9" x14ac:dyDescent="0.2">
      <c r="H7707" s="1"/>
      <c r="I7707" s="1"/>
    </row>
    <row r="7708" spans="8:9" x14ac:dyDescent="0.2">
      <c r="H7708" s="1"/>
      <c r="I7708" s="1"/>
    </row>
    <row r="7709" spans="8:9" x14ac:dyDescent="0.2">
      <c r="H7709" s="1"/>
      <c r="I7709" s="1"/>
    </row>
    <row r="7710" spans="8:9" x14ac:dyDescent="0.2">
      <c r="H7710" s="1"/>
      <c r="I7710" s="1"/>
    </row>
    <row r="7711" spans="8:9" x14ac:dyDescent="0.2">
      <c r="H7711" s="1"/>
      <c r="I7711" s="1"/>
    </row>
    <row r="7712" spans="8:9" x14ac:dyDescent="0.2">
      <c r="H7712" s="1"/>
      <c r="I7712" s="1"/>
    </row>
    <row r="7713" spans="8:9" x14ac:dyDescent="0.2">
      <c r="H7713" s="1"/>
      <c r="I7713" s="1"/>
    </row>
    <row r="7714" spans="8:9" x14ac:dyDescent="0.2">
      <c r="H7714" s="1"/>
      <c r="I7714" s="1"/>
    </row>
    <row r="7715" spans="8:9" x14ac:dyDescent="0.2">
      <c r="H7715" s="1"/>
      <c r="I7715" s="1"/>
    </row>
    <row r="7716" spans="8:9" x14ac:dyDescent="0.2">
      <c r="H7716" s="1"/>
      <c r="I7716" s="1"/>
    </row>
    <row r="7717" spans="8:9" x14ac:dyDescent="0.2">
      <c r="H7717" s="1"/>
      <c r="I7717" s="1"/>
    </row>
    <row r="7718" spans="8:9" x14ac:dyDescent="0.2">
      <c r="H7718" s="1"/>
      <c r="I7718" s="1"/>
    </row>
    <row r="7719" spans="8:9" x14ac:dyDescent="0.2">
      <c r="H7719" s="1"/>
      <c r="I7719" s="1"/>
    </row>
    <row r="7720" spans="8:9" x14ac:dyDescent="0.2">
      <c r="H7720" s="1"/>
      <c r="I7720" s="1"/>
    </row>
    <row r="7721" spans="8:9" x14ac:dyDescent="0.2">
      <c r="H7721" s="1"/>
      <c r="I7721" s="1"/>
    </row>
    <row r="7722" spans="8:9" x14ac:dyDescent="0.2">
      <c r="H7722" s="1"/>
      <c r="I7722" s="1"/>
    </row>
    <row r="7723" spans="8:9" x14ac:dyDescent="0.2">
      <c r="H7723" s="1"/>
      <c r="I7723" s="1"/>
    </row>
    <row r="7724" spans="8:9" x14ac:dyDescent="0.2">
      <c r="H7724" s="1"/>
      <c r="I7724" s="1"/>
    </row>
    <row r="7725" spans="8:9" x14ac:dyDescent="0.2">
      <c r="H7725" s="1"/>
      <c r="I7725" s="1"/>
    </row>
    <row r="7726" spans="8:9" x14ac:dyDescent="0.2">
      <c r="H7726" s="1"/>
      <c r="I7726" s="1"/>
    </row>
    <row r="7727" spans="8:9" x14ac:dyDescent="0.2">
      <c r="H7727" s="1"/>
      <c r="I7727" s="1"/>
    </row>
    <row r="7728" spans="8:9" x14ac:dyDescent="0.2">
      <c r="H7728" s="1"/>
      <c r="I7728" s="1"/>
    </row>
    <row r="7729" spans="8:9" x14ac:dyDescent="0.2">
      <c r="H7729" s="1"/>
      <c r="I7729" s="1"/>
    </row>
    <row r="7730" spans="8:9" x14ac:dyDescent="0.2">
      <c r="H7730" s="1"/>
      <c r="I7730" s="1"/>
    </row>
    <row r="7731" spans="8:9" x14ac:dyDescent="0.2">
      <c r="H7731" s="1"/>
      <c r="I7731" s="1"/>
    </row>
    <row r="7732" spans="8:9" x14ac:dyDescent="0.2">
      <c r="H7732" s="1"/>
      <c r="I7732" s="1"/>
    </row>
    <row r="7733" spans="8:9" x14ac:dyDescent="0.2">
      <c r="H7733" s="1"/>
      <c r="I7733" s="1"/>
    </row>
    <row r="7734" spans="8:9" x14ac:dyDescent="0.2">
      <c r="H7734" s="1"/>
      <c r="I7734" s="1"/>
    </row>
    <row r="7735" spans="8:9" x14ac:dyDescent="0.2">
      <c r="H7735" s="1"/>
      <c r="I7735" s="1"/>
    </row>
    <row r="7736" spans="8:9" x14ac:dyDescent="0.2">
      <c r="H7736" s="1"/>
      <c r="I7736" s="1"/>
    </row>
    <row r="7737" spans="8:9" x14ac:dyDescent="0.2">
      <c r="H7737" s="1"/>
      <c r="I7737" s="1"/>
    </row>
    <row r="7738" spans="8:9" x14ac:dyDescent="0.2">
      <c r="H7738" s="1"/>
      <c r="I7738" s="1"/>
    </row>
    <row r="7739" spans="8:9" x14ac:dyDescent="0.2">
      <c r="H7739" s="1"/>
      <c r="I7739" s="1"/>
    </row>
    <row r="7740" spans="8:9" x14ac:dyDescent="0.2">
      <c r="H7740" s="1"/>
      <c r="I7740" s="1"/>
    </row>
    <row r="7741" spans="8:9" x14ac:dyDescent="0.2">
      <c r="H7741" s="1"/>
      <c r="I7741" s="1"/>
    </row>
    <row r="7742" spans="8:9" x14ac:dyDescent="0.2">
      <c r="H7742" s="1"/>
      <c r="I7742" s="1"/>
    </row>
    <row r="7743" spans="8:9" x14ac:dyDescent="0.2">
      <c r="H7743" s="1"/>
      <c r="I7743" s="1"/>
    </row>
    <row r="7744" spans="8:9" x14ac:dyDescent="0.2">
      <c r="H7744" s="1"/>
      <c r="I7744" s="1"/>
    </row>
    <row r="7745" spans="8:9" x14ac:dyDescent="0.2">
      <c r="H7745" s="1"/>
      <c r="I7745" s="1"/>
    </row>
    <row r="7746" spans="8:9" x14ac:dyDescent="0.2">
      <c r="H7746" s="1"/>
      <c r="I7746" s="1"/>
    </row>
    <row r="7747" spans="8:9" x14ac:dyDescent="0.2">
      <c r="H7747" s="1"/>
      <c r="I7747" s="1"/>
    </row>
    <row r="7748" spans="8:9" x14ac:dyDescent="0.2">
      <c r="H7748" s="1"/>
      <c r="I7748" s="1"/>
    </row>
    <row r="7749" spans="8:9" x14ac:dyDescent="0.2">
      <c r="H7749" s="1"/>
      <c r="I7749" s="1"/>
    </row>
    <row r="7750" spans="8:9" x14ac:dyDescent="0.2">
      <c r="H7750" s="1"/>
      <c r="I7750" s="1"/>
    </row>
    <row r="7751" spans="8:9" x14ac:dyDescent="0.2">
      <c r="H7751" s="1"/>
      <c r="I7751" s="1"/>
    </row>
    <row r="7752" spans="8:9" x14ac:dyDescent="0.2">
      <c r="H7752" s="1"/>
      <c r="I7752" s="1"/>
    </row>
    <row r="7753" spans="8:9" x14ac:dyDescent="0.2">
      <c r="H7753" s="1"/>
      <c r="I7753" s="1"/>
    </row>
    <row r="7754" spans="8:9" x14ac:dyDescent="0.2">
      <c r="H7754" s="1"/>
      <c r="I7754" s="1"/>
    </row>
    <row r="7755" spans="8:9" x14ac:dyDescent="0.2">
      <c r="H7755" s="1"/>
      <c r="I7755" s="1"/>
    </row>
    <row r="7756" spans="8:9" x14ac:dyDescent="0.2">
      <c r="H7756" s="1"/>
      <c r="I7756" s="1"/>
    </row>
    <row r="7757" spans="8:9" x14ac:dyDescent="0.2">
      <c r="H7757" s="1"/>
      <c r="I7757" s="1"/>
    </row>
    <row r="7758" spans="8:9" x14ac:dyDescent="0.2">
      <c r="H7758" s="1"/>
      <c r="I7758" s="1"/>
    </row>
    <row r="7759" spans="8:9" x14ac:dyDescent="0.2">
      <c r="H7759" s="1"/>
      <c r="I7759" s="1"/>
    </row>
    <row r="7760" spans="8:9" x14ac:dyDescent="0.2">
      <c r="H7760" s="1"/>
      <c r="I7760" s="1"/>
    </row>
    <row r="7761" spans="8:9" x14ac:dyDescent="0.2">
      <c r="H7761" s="1"/>
      <c r="I7761" s="1"/>
    </row>
    <row r="7762" spans="8:9" x14ac:dyDescent="0.2">
      <c r="H7762" s="1"/>
      <c r="I7762" s="1"/>
    </row>
    <row r="7763" spans="8:9" x14ac:dyDescent="0.2">
      <c r="H7763" s="1"/>
      <c r="I7763" s="1"/>
    </row>
    <row r="7764" spans="8:9" x14ac:dyDescent="0.2">
      <c r="H7764" s="1"/>
      <c r="I7764" s="1"/>
    </row>
    <row r="7765" spans="8:9" x14ac:dyDescent="0.2">
      <c r="H7765" s="1"/>
      <c r="I7765" s="1"/>
    </row>
    <row r="7766" spans="8:9" x14ac:dyDescent="0.2">
      <c r="H7766" s="1"/>
      <c r="I7766" s="1"/>
    </row>
    <row r="7767" spans="8:9" x14ac:dyDescent="0.2">
      <c r="H7767" s="1"/>
      <c r="I7767" s="1"/>
    </row>
    <row r="7768" spans="8:9" x14ac:dyDescent="0.2">
      <c r="H7768" s="1"/>
      <c r="I7768" s="1"/>
    </row>
    <row r="7769" spans="8:9" x14ac:dyDescent="0.2">
      <c r="H7769" s="1"/>
      <c r="I7769" s="1"/>
    </row>
    <row r="7770" spans="8:9" x14ac:dyDescent="0.2">
      <c r="H7770" s="1"/>
      <c r="I7770" s="1"/>
    </row>
    <row r="7771" spans="8:9" x14ac:dyDescent="0.2">
      <c r="H7771" s="1"/>
      <c r="I7771" s="1"/>
    </row>
    <row r="7772" spans="8:9" x14ac:dyDescent="0.2">
      <c r="H7772" s="1"/>
      <c r="I7772" s="1"/>
    </row>
    <row r="7773" spans="8:9" x14ac:dyDescent="0.2">
      <c r="H7773" s="1"/>
      <c r="I7773" s="1"/>
    </row>
    <row r="7774" spans="8:9" x14ac:dyDescent="0.2">
      <c r="H7774" s="1"/>
      <c r="I7774" s="1"/>
    </row>
    <row r="7775" spans="8:9" x14ac:dyDescent="0.2">
      <c r="H7775" s="1"/>
      <c r="I7775" s="1"/>
    </row>
    <row r="7776" spans="8:9" x14ac:dyDescent="0.2">
      <c r="H7776" s="1"/>
      <c r="I7776" s="1"/>
    </row>
    <row r="7777" spans="8:9" x14ac:dyDescent="0.2">
      <c r="H7777" s="1"/>
      <c r="I7777" s="1"/>
    </row>
    <row r="7778" spans="8:9" x14ac:dyDescent="0.2">
      <c r="H7778" s="1"/>
      <c r="I7778" s="1"/>
    </row>
    <row r="7779" spans="8:9" x14ac:dyDescent="0.2">
      <c r="H7779" s="1"/>
      <c r="I7779" s="1"/>
    </row>
    <row r="7780" spans="8:9" x14ac:dyDescent="0.2">
      <c r="H7780" s="1"/>
      <c r="I7780" s="1"/>
    </row>
    <row r="7781" spans="8:9" x14ac:dyDescent="0.2">
      <c r="H7781" s="1"/>
      <c r="I7781" s="1"/>
    </row>
    <row r="7782" spans="8:9" x14ac:dyDescent="0.2">
      <c r="H7782" s="1"/>
      <c r="I7782" s="1"/>
    </row>
    <row r="7783" spans="8:9" x14ac:dyDescent="0.2">
      <c r="H7783" s="1"/>
      <c r="I7783" s="1"/>
    </row>
    <row r="7784" spans="8:9" x14ac:dyDescent="0.2">
      <c r="H7784" s="1"/>
      <c r="I7784" s="1"/>
    </row>
    <row r="7785" spans="8:9" x14ac:dyDescent="0.2">
      <c r="H7785" s="1"/>
      <c r="I7785" s="1"/>
    </row>
    <row r="7786" spans="8:9" x14ac:dyDescent="0.2">
      <c r="H7786" s="1"/>
      <c r="I7786" s="1"/>
    </row>
    <row r="7787" spans="8:9" x14ac:dyDescent="0.2">
      <c r="H7787" s="1"/>
      <c r="I7787" s="1"/>
    </row>
    <row r="7788" spans="8:9" x14ac:dyDescent="0.2">
      <c r="H7788" s="1"/>
      <c r="I7788" s="1"/>
    </row>
    <row r="7789" spans="8:9" x14ac:dyDescent="0.2">
      <c r="H7789" s="1"/>
      <c r="I7789" s="1"/>
    </row>
    <row r="7790" spans="8:9" x14ac:dyDescent="0.2">
      <c r="H7790" s="1"/>
      <c r="I7790" s="1"/>
    </row>
    <row r="7791" spans="8:9" x14ac:dyDescent="0.2">
      <c r="H7791" s="1"/>
      <c r="I7791" s="1"/>
    </row>
    <row r="7792" spans="8:9" x14ac:dyDescent="0.2">
      <c r="H7792" s="1"/>
      <c r="I7792" s="1"/>
    </row>
    <row r="7793" spans="8:9" x14ac:dyDescent="0.2">
      <c r="H7793" s="1"/>
      <c r="I7793" s="1"/>
    </row>
    <row r="7794" spans="8:9" x14ac:dyDescent="0.2">
      <c r="H7794" s="1"/>
      <c r="I7794" s="1"/>
    </row>
    <row r="7795" spans="8:9" x14ac:dyDescent="0.2">
      <c r="H7795" s="1"/>
      <c r="I7795" s="1"/>
    </row>
    <row r="7796" spans="8:9" x14ac:dyDescent="0.2">
      <c r="H7796" s="1"/>
      <c r="I7796" s="1"/>
    </row>
    <row r="7797" spans="8:9" x14ac:dyDescent="0.2">
      <c r="H7797" s="1"/>
      <c r="I7797" s="1"/>
    </row>
    <row r="7798" spans="8:9" x14ac:dyDescent="0.2">
      <c r="H7798" s="1"/>
      <c r="I7798" s="1"/>
    </row>
    <row r="7799" spans="8:9" x14ac:dyDescent="0.2">
      <c r="H7799" s="1"/>
      <c r="I7799" s="1"/>
    </row>
    <row r="7800" spans="8:9" x14ac:dyDescent="0.2">
      <c r="H7800" s="1"/>
      <c r="I7800" s="1"/>
    </row>
    <row r="7801" spans="8:9" x14ac:dyDescent="0.2">
      <c r="H7801" s="1"/>
      <c r="I7801" s="1"/>
    </row>
    <row r="7802" spans="8:9" x14ac:dyDescent="0.2">
      <c r="H7802" s="1"/>
      <c r="I7802" s="1"/>
    </row>
    <row r="7803" spans="8:9" x14ac:dyDescent="0.2">
      <c r="H7803" s="1"/>
      <c r="I7803" s="1"/>
    </row>
    <row r="7804" spans="8:9" x14ac:dyDescent="0.2">
      <c r="H7804" s="1"/>
      <c r="I7804" s="1"/>
    </row>
    <row r="7805" spans="8:9" x14ac:dyDescent="0.2">
      <c r="H7805" s="1"/>
      <c r="I7805" s="1"/>
    </row>
    <row r="7806" spans="8:9" x14ac:dyDescent="0.2">
      <c r="H7806" s="1"/>
      <c r="I7806" s="1"/>
    </row>
    <row r="7807" spans="8:9" x14ac:dyDescent="0.2">
      <c r="H7807" s="1"/>
      <c r="I7807" s="1"/>
    </row>
    <row r="7808" spans="8:9" x14ac:dyDescent="0.2">
      <c r="H7808" s="1"/>
      <c r="I7808" s="1"/>
    </row>
    <row r="7809" spans="8:9" x14ac:dyDescent="0.2">
      <c r="H7809" s="1"/>
      <c r="I7809" s="1"/>
    </row>
    <row r="7810" spans="8:9" x14ac:dyDescent="0.2">
      <c r="H7810" s="1"/>
      <c r="I7810" s="1"/>
    </row>
    <row r="7811" spans="8:9" x14ac:dyDescent="0.2">
      <c r="H7811" s="1"/>
      <c r="I7811" s="1"/>
    </row>
    <row r="7812" spans="8:9" x14ac:dyDescent="0.2">
      <c r="H7812" s="1"/>
      <c r="I7812" s="1"/>
    </row>
    <row r="7813" spans="8:9" x14ac:dyDescent="0.2">
      <c r="H7813" s="1"/>
      <c r="I7813" s="1"/>
    </row>
    <row r="7814" spans="8:9" x14ac:dyDescent="0.2">
      <c r="H7814" s="1"/>
      <c r="I7814" s="1"/>
    </row>
    <row r="7815" spans="8:9" x14ac:dyDescent="0.2">
      <c r="H7815" s="1"/>
      <c r="I7815" s="1"/>
    </row>
    <row r="7816" spans="8:9" x14ac:dyDescent="0.2">
      <c r="H7816" s="1"/>
      <c r="I7816" s="1"/>
    </row>
    <row r="7817" spans="8:9" x14ac:dyDescent="0.2">
      <c r="H7817" s="1"/>
      <c r="I7817" s="1"/>
    </row>
    <row r="7818" spans="8:9" x14ac:dyDescent="0.2">
      <c r="H7818" s="1"/>
      <c r="I7818" s="1"/>
    </row>
    <row r="7819" spans="8:9" x14ac:dyDescent="0.2">
      <c r="H7819" s="1"/>
      <c r="I7819" s="1"/>
    </row>
    <row r="7820" spans="8:9" x14ac:dyDescent="0.2">
      <c r="H7820" s="1"/>
      <c r="I7820" s="1"/>
    </row>
    <row r="7821" spans="8:9" x14ac:dyDescent="0.2">
      <c r="H7821" s="1"/>
      <c r="I7821" s="1"/>
    </row>
    <row r="7822" spans="8:9" x14ac:dyDescent="0.2">
      <c r="H7822" s="1"/>
      <c r="I7822" s="1"/>
    </row>
    <row r="7823" spans="8:9" x14ac:dyDescent="0.2">
      <c r="H7823" s="1"/>
      <c r="I7823" s="1"/>
    </row>
    <row r="7824" spans="8:9" x14ac:dyDescent="0.2">
      <c r="H7824" s="1"/>
      <c r="I7824" s="1"/>
    </row>
    <row r="7825" spans="8:9" x14ac:dyDescent="0.2">
      <c r="H7825" s="1"/>
      <c r="I7825" s="1"/>
    </row>
    <row r="7826" spans="8:9" x14ac:dyDescent="0.2">
      <c r="H7826" s="1"/>
      <c r="I7826" s="1"/>
    </row>
    <row r="7827" spans="8:9" x14ac:dyDescent="0.2">
      <c r="H7827" s="1"/>
      <c r="I7827" s="1"/>
    </row>
    <row r="7828" spans="8:9" x14ac:dyDescent="0.2">
      <c r="H7828" s="1"/>
      <c r="I7828" s="1"/>
    </row>
    <row r="7829" spans="8:9" x14ac:dyDescent="0.2">
      <c r="H7829" s="1"/>
      <c r="I7829" s="1"/>
    </row>
    <row r="7830" spans="8:9" x14ac:dyDescent="0.2">
      <c r="H7830" s="1"/>
      <c r="I7830" s="1"/>
    </row>
    <row r="7831" spans="8:9" x14ac:dyDescent="0.2">
      <c r="H7831" s="1"/>
      <c r="I7831" s="1"/>
    </row>
    <row r="7832" spans="8:9" x14ac:dyDescent="0.2">
      <c r="H7832" s="1"/>
      <c r="I7832" s="1"/>
    </row>
    <row r="7833" spans="8:9" x14ac:dyDescent="0.2">
      <c r="H7833" s="1"/>
      <c r="I7833" s="1"/>
    </row>
    <row r="7834" spans="8:9" x14ac:dyDescent="0.2">
      <c r="H7834" s="1"/>
      <c r="I7834" s="1"/>
    </row>
    <row r="7835" spans="8:9" x14ac:dyDescent="0.2">
      <c r="H7835" s="1"/>
      <c r="I7835" s="1"/>
    </row>
    <row r="7836" spans="8:9" x14ac:dyDescent="0.2">
      <c r="H7836" s="1"/>
      <c r="I7836" s="1"/>
    </row>
    <row r="7837" spans="8:9" x14ac:dyDescent="0.2">
      <c r="H7837" s="1"/>
      <c r="I7837" s="1"/>
    </row>
    <row r="7838" spans="8:9" x14ac:dyDescent="0.2">
      <c r="H7838" s="1"/>
      <c r="I7838" s="1"/>
    </row>
    <row r="7839" spans="8:9" x14ac:dyDescent="0.2">
      <c r="H7839" s="1"/>
      <c r="I7839" s="1"/>
    </row>
    <row r="7840" spans="8:9" x14ac:dyDescent="0.2">
      <c r="H7840" s="1"/>
      <c r="I7840" s="1"/>
    </row>
    <row r="7841" spans="8:9" x14ac:dyDescent="0.2">
      <c r="H7841" s="1"/>
      <c r="I7841" s="1"/>
    </row>
    <row r="7842" spans="8:9" x14ac:dyDescent="0.2">
      <c r="H7842" s="1"/>
      <c r="I7842" s="1"/>
    </row>
    <row r="7843" spans="8:9" x14ac:dyDescent="0.2">
      <c r="H7843" s="1"/>
      <c r="I7843" s="1"/>
    </row>
    <row r="7844" spans="8:9" x14ac:dyDescent="0.2">
      <c r="H7844" s="1"/>
      <c r="I7844" s="1"/>
    </row>
    <row r="7845" spans="8:9" x14ac:dyDescent="0.2">
      <c r="H7845" s="1"/>
      <c r="I7845" s="1"/>
    </row>
    <row r="7846" spans="8:9" x14ac:dyDescent="0.2">
      <c r="H7846" s="1"/>
      <c r="I7846" s="1"/>
    </row>
    <row r="7847" spans="8:9" x14ac:dyDescent="0.2">
      <c r="H7847" s="1"/>
      <c r="I7847" s="1"/>
    </row>
    <row r="7848" spans="8:9" x14ac:dyDescent="0.2">
      <c r="H7848" s="1"/>
      <c r="I7848" s="1"/>
    </row>
    <row r="7849" spans="8:9" x14ac:dyDescent="0.2">
      <c r="H7849" s="1"/>
      <c r="I7849" s="1"/>
    </row>
    <row r="7850" spans="8:9" x14ac:dyDescent="0.2">
      <c r="H7850" s="1"/>
      <c r="I7850" s="1"/>
    </row>
    <row r="7851" spans="8:9" x14ac:dyDescent="0.2">
      <c r="H7851" s="1"/>
      <c r="I7851" s="1"/>
    </row>
    <row r="7852" spans="8:9" x14ac:dyDescent="0.2">
      <c r="H7852" s="1"/>
      <c r="I7852" s="1"/>
    </row>
    <row r="7853" spans="8:9" x14ac:dyDescent="0.2">
      <c r="H7853" s="1"/>
      <c r="I7853" s="1"/>
    </row>
    <row r="7854" spans="8:9" x14ac:dyDescent="0.2">
      <c r="H7854" s="1"/>
      <c r="I7854" s="1"/>
    </row>
    <row r="7855" spans="8:9" x14ac:dyDescent="0.2">
      <c r="H7855" s="1"/>
      <c r="I7855" s="1"/>
    </row>
    <row r="7856" spans="8:9" x14ac:dyDescent="0.2">
      <c r="H7856" s="1"/>
      <c r="I7856" s="1"/>
    </row>
    <row r="7857" spans="8:9" x14ac:dyDescent="0.2">
      <c r="H7857" s="1"/>
      <c r="I7857" s="1"/>
    </row>
    <row r="7858" spans="8:9" x14ac:dyDescent="0.2">
      <c r="H7858" s="1"/>
      <c r="I7858" s="1"/>
    </row>
    <row r="7859" spans="8:9" x14ac:dyDescent="0.2">
      <c r="H7859" s="1"/>
      <c r="I7859" s="1"/>
    </row>
    <row r="7860" spans="8:9" x14ac:dyDescent="0.2">
      <c r="H7860" s="1"/>
      <c r="I7860" s="1"/>
    </row>
    <row r="7861" spans="8:9" x14ac:dyDescent="0.2">
      <c r="H7861" s="1"/>
      <c r="I7861" s="1"/>
    </row>
    <row r="7862" spans="8:9" x14ac:dyDescent="0.2">
      <c r="H7862" s="1"/>
      <c r="I7862" s="1"/>
    </row>
    <row r="7863" spans="8:9" x14ac:dyDescent="0.2">
      <c r="H7863" s="1"/>
      <c r="I7863" s="1"/>
    </row>
    <row r="7864" spans="8:9" x14ac:dyDescent="0.2">
      <c r="H7864" s="1"/>
      <c r="I7864" s="1"/>
    </row>
    <row r="7865" spans="8:9" x14ac:dyDescent="0.2">
      <c r="H7865" s="1"/>
      <c r="I7865" s="1"/>
    </row>
    <row r="7866" spans="8:9" x14ac:dyDescent="0.2">
      <c r="H7866" s="1"/>
      <c r="I7866" s="1"/>
    </row>
    <row r="7867" spans="8:9" x14ac:dyDescent="0.2">
      <c r="H7867" s="1"/>
      <c r="I7867" s="1"/>
    </row>
    <row r="7868" spans="8:9" x14ac:dyDescent="0.2">
      <c r="H7868" s="1"/>
      <c r="I7868" s="1"/>
    </row>
    <row r="7869" spans="8:9" x14ac:dyDescent="0.2">
      <c r="H7869" s="1"/>
      <c r="I7869" s="1"/>
    </row>
    <row r="7870" spans="8:9" x14ac:dyDescent="0.2">
      <c r="H7870" s="1"/>
      <c r="I7870" s="1"/>
    </row>
    <row r="7871" spans="8:9" x14ac:dyDescent="0.2">
      <c r="H7871" s="1"/>
      <c r="I7871" s="1"/>
    </row>
    <row r="7872" spans="8:9" x14ac:dyDescent="0.2">
      <c r="H7872" s="1"/>
      <c r="I7872" s="1"/>
    </row>
    <row r="7873" spans="8:9" x14ac:dyDescent="0.2">
      <c r="H7873" s="1"/>
      <c r="I7873" s="1"/>
    </row>
    <row r="7874" spans="8:9" x14ac:dyDescent="0.2">
      <c r="H7874" s="1"/>
      <c r="I7874" s="1"/>
    </row>
    <row r="7875" spans="8:9" x14ac:dyDescent="0.2">
      <c r="H7875" s="1"/>
      <c r="I7875" s="1"/>
    </row>
    <row r="7876" spans="8:9" x14ac:dyDescent="0.2">
      <c r="H7876" s="1"/>
      <c r="I7876" s="1"/>
    </row>
    <row r="7877" spans="8:9" x14ac:dyDescent="0.2">
      <c r="H7877" s="1"/>
      <c r="I7877" s="1"/>
    </row>
    <row r="7878" spans="8:9" x14ac:dyDescent="0.2">
      <c r="H7878" s="1"/>
      <c r="I7878" s="1"/>
    </row>
    <row r="7879" spans="8:9" x14ac:dyDescent="0.2">
      <c r="H7879" s="1"/>
      <c r="I7879" s="1"/>
    </row>
    <row r="7880" spans="8:9" x14ac:dyDescent="0.2">
      <c r="H7880" s="1"/>
      <c r="I7880" s="1"/>
    </row>
    <row r="7881" spans="8:9" x14ac:dyDescent="0.2">
      <c r="H7881" s="1"/>
      <c r="I7881" s="1"/>
    </row>
    <row r="7882" spans="8:9" x14ac:dyDescent="0.2">
      <c r="H7882" s="1"/>
      <c r="I7882" s="1"/>
    </row>
    <row r="7883" spans="8:9" x14ac:dyDescent="0.2">
      <c r="H7883" s="1"/>
      <c r="I7883" s="1"/>
    </row>
    <row r="7884" spans="8:9" x14ac:dyDescent="0.2">
      <c r="H7884" s="1"/>
      <c r="I7884" s="1"/>
    </row>
    <row r="7885" spans="8:9" x14ac:dyDescent="0.2">
      <c r="H7885" s="1"/>
      <c r="I7885" s="1"/>
    </row>
    <row r="7886" spans="8:9" x14ac:dyDescent="0.2">
      <c r="H7886" s="1"/>
      <c r="I7886" s="1"/>
    </row>
    <row r="7887" spans="8:9" x14ac:dyDescent="0.2">
      <c r="H7887" s="1"/>
      <c r="I7887" s="1"/>
    </row>
    <row r="7888" spans="8:9" x14ac:dyDescent="0.2">
      <c r="H7888" s="1"/>
      <c r="I7888" s="1"/>
    </row>
    <row r="7889" spans="8:9" x14ac:dyDescent="0.2">
      <c r="H7889" s="1"/>
      <c r="I7889" s="1"/>
    </row>
    <row r="7890" spans="8:9" x14ac:dyDescent="0.2">
      <c r="H7890" s="1"/>
      <c r="I7890" s="1"/>
    </row>
    <row r="7891" spans="8:9" x14ac:dyDescent="0.2">
      <c r="H7891" s="1"/>
      <c r="I7891" s="1"/>
    </row>
    <row r="7892" spans="8:9" x14ac:dyDescent="0.2">
      <c r="H7892" s="1"/>
      <c r="I7892" s="1"/>
    </row>
    <row r="7893" spans="8:9" x14ac:dyDescent="0.2">
      <c r="H7893" s="1"/>
      <c r="I7893" s="1"/>
    </row>
    <row r="7894" spans="8:9" x14ac:dyDescent="0.2">
      <c r="H7894" s="1"/>
      <c r="I7894" s="1"/>
    </row>
    <row r="7895" spans="8:9" x14ac:dyDescent="0.2">
      <c r="H7895" s="1"/>
      <c r="I7895" s="1"/>
    </row>
    <row r="7896" spans="8:9" x14ac:dyDescent="0.2">
      <c r="H7896" s="1"/>
      <c r="I7896" s="1"/>
    </row>
    <row r="7897" spans="8:9" x14ac:dyDescent="0.2">
      <c r="H7897" s="1"/>
      <c r="I7897" s="1"/>
    </row>
    <row r="7898" spans="8:9" x14ac:dyDescent="0.2">
      <c r="H7898" s="1"/>
      <c r="I7898" s="1"/>
    </row>
    <row r="7899" spans="8:9" x14ac:dyDescent="0.2">
      <c r="H7899" s="1"/>
      <c r="I7899" s="1"/>
    </row>
    <row r="7900" spans="8:9" x14ac:dyDescent="0.2">
      <c r="H7900" s="1"/>
      <c r="I7900" s="1"/>
    </row>
    <row r="7901" spans="8:9" x14ac:dyDescent="0.2">
      <c r="H7901" s="1"/>
      <c r="I7901" s="1"/>
    </row>
    <row r="7902" spans="8:9" x14ac:dyDescent="0.2">
      <c r="H7902" s="1"/>
      <c r="I7902" s="1"/>
    </row>
    <row r="7903" spans="8:9" x14ac:dyDescent="0.2">
      <c r="H7903" s="1"/>
      <c r="I7903" s="1"/>
    </row>
    <row r="7904" spans="8:9" x14ac:dyDescent="0.2">
      <c r="H7904" s="1"/>
      <c r="I7904" s="1"/>
    </row>
    <row r="7905" spans="8:9" x14ac:dyDescent="0.2">
      <c r="H7905" s="1"/>
      <c r="I7905" s="1"/>
    </row>
    <row r="7906" spans="8:9" x14ac:dyDescent="0.2">
      <c r="H7906" s="1"/>
      <c r="I7906" s="1"/>
    </row>
    <row r="7907" spans="8:9" x14ac:dyDescent="0.2">
      <c r="H7907" s="1"/>
      <c r="I7907" s="1"/>
    </row>
    <row r="7908" spans="8:9" x14ac:dyDescent="0.2">
      <c r="H7908" s="1"/>
      <c r="I7908" s="1"/>
    </row>
    <row r="7909" spans="8:9" x14ac:dyDescent="0.2">
      <c r="H7909" s="1"/>
      <c r="I7909" s="1"/>
    </row>
    <row r="7910" spans="8:9" x14ac:dyDescent="0.2">
      <c r="H7910" s="1"/>
      <c r="I7910" s="1"/>
    </row>
    <row r="7911" spans="8:9" x14ac:dyDescent="0.2">
      <c r="H7911" s="1"/>
      <c r="I7911" s="1"/>
    </row>
    <row r="7912" spans="8:9" x14ac:dyDescent="0.2">
      <c r="H7912" s="1"/>
      <c r="I7912" s="1"/>
    </row>
    <row r="7913" spans="8:9" x14ac:dyDescent="0.2">
      <c r="H7913" s="1"/>
      <c r="I7913" s="1"/>
    </row>
    <row r="7914" spans="8:9" x14ac:dyDescent="0.2">
      <c r="H7914" s="1"/>
      <c r="I7914" s="1"/>
    </row>
    <row r="7915" spans="8:9" x14ac:dyDescent="0.2">
      <c r="H7915" s="1"/>
      <c r="I7915" s="1"/>
    </row>
    <row r="7916" spans="8:9" x14ac:dyDescent="0.2">
      <c r="H7916" s="1"/>
      <c r="I7916" s="1"/>
    </row>
    <row r="7917" spans="8:9" x14ac:dyDescent="0.2">
      <c r="H7917" s="1"/>
      <c r="I7917" s="1"/>
    </row>
    <row r="7918" spans="8:9" x14ac:dyDescent="0.2">
      <c r="H7918" s="1"/>
      <c r="I7918" s="1"/>
    </row>
    <row r="7919" spans="8:9" x14ac:dyDescent="0.2">
      <c r="H7919" s="1"/>
      <c r="I7919" s="1"/>
    </row>
    <row r="7920" spans="8:9" x14ac:dyDescent="0.2">
      <c r="H7920" s="1"/>
      <c r="I7920" s="1"/>
    </row>
    <row r="7921" spans="8:9" x14ac:dyDescent="0.2">
      <c r="H7921" s="1"/>
      <c r="I7921" s="1"/>
    </row>
    <row r="7922" spans="8:9" x14ac:dyDescent="0.2">
      <c r="H7922" s="1"/>
      <c r="I7922" s="1"/>
    </row>
    <row r="7923" spans="8:9" x14ac:dyDescent="0.2">
      <c r="H7923" s="1"/>
      <c r="I7923" s="1"/>
    </row>
    <row r="7924" spans="8:9" x14ac:dyDescent="0.2">
      <c r="H7924" s="1"/>
      <c r="I7924" s="1"/>
    </row>
    <row r="7925" spans="8:9" x14ac:dyDescent="0.2">
      <c r="H7925" s="1"/>
      <c r="I7925" s="1"/>
    </row>
    <row r="7926" spans="8:9" x14ac:dyDescent="0.2">
      <c r="H7926" s="1"/>
      <c r="I7926" s="1"/>
    </row>
    <row r="7927" spans="8:9" x14ac:dyDescent="0.2">
      <c r="H7927" s="1"/>
      <c r="I7927" s="1"/>
    </row>
    <row r="7928" spans="8:9" x14ac:dyDescent="0.2">
      <c r="H7928" s="1"/>
      <c r="I7928" s="1"/>
    </row>
    <row r="7929" spans="8:9" x14ac:dyDescent="0.2">
      <c r="H7929" s="1"/>
      <c r="I7929" s="1"/>
    </row>
    <row r="7930" spans="8:9" x14ac:dyDescent="0.2">
      <c r="H7930" s="1"/>
      <c r="I7930" s="1"/>
    </row>
    <row r="7931" spans="8:9" x14ac:dyDescent="0.2">
      <c r="H7931" s="1"/>
      <c r="I7931" s="1"/>
    </row>
    <row r="7932" spans="8:9" x14ac:dyDescent="0.2">
      <c r="H7932" s="1"/>
      <c r="I7932" s="1"/>
    </row>
    <row r="7933" spans="8:9" x14ac:dyDescent="0.2">
      <c r="H7933" s="1"/>
      <c r="I7933" s="1"/>
    </row>
    <row r="7934" spans="8:9" x14ac:dyDescent="0.2">
      <c r="H7934" s="1"/>
      <c r="I7934" s="1"/>
    </row>
    <row r="7935" spans="8:9" x14ac:dyDescent="0.2">
      <c r="H7935" s="1"/>
      <c r="I7935" s="1"/>
    </row>
    <row r="7936" spans="8:9" x14ac:dyDescent="0.2">
      <c r="H7936" s="1"/>
      <c r="I7936" s="1"/>
    </row>
    <row r="7937" spans="8:9" x14ac:dyDescent="0.2">
      <c r="H7937" s="1"/>
      <c r="I7937" s="1"/>
    </row>
    <row r="7938" spans="8:9" x14ac:dyDescent="0.2">
      <c r="H7938" s="1"/>
      <c r="I7938" s="1"/>
    </row>
    <row r="7939" spans="8:9" x14ac:dyDescent="0.2">
      <c r="H7939" s="1"/>
      <c r="I7939" s="1"/>
    </row>
    <row r="7940" spans="8:9" x14ac:dyDescent="0.2">
      <c r="H7940" s="1"/>
      <c r="I7940" s="1"/>
    </row>
    <row r="7941" spans="8:9" x14ac:dyDescent="0.2">
      <c r="H7941" s="1"/>
      <c r="I7941" s="1"/>
    </row>
    <row r="7942" spans="8:9" x14ac:dyDescent="0.2">
      <c r="H7942" s="1"/>
      <c r="I7942" s="1"/>
    </row>
    <row r="7943" spans="8:9" x14ac:dyDescent="0.2">
      <c r="H7943" s="1"/>
      <c r="I7943" s="1"/>
    </row>
    <row r="7944" spans="8:9" x14ac:dyDescent="0.2">
      <c r="H7944" s="1"/>
      <c r="I7944" s="1"/>
    </row>
    <row r="7945" spans="8:9" x14ac:dyDescent="0.2">
      <c r="H7945" s="1"/>
      <c r="I7945" s="1"/>
    </row>
    <row r="7946" spans="8:9" x14ac:dyDescent="0.2">
      <c r="H7946" s="1"/>
      <c r="I7946" s="1"/>
    </row>
    <row r="7947" spans="8:9" x14ac:dyDescent="0.2">
      <c r="H7947" s="1"/>
      <c r="I7947" s="1"/>
    </row>
    <row r="7948" spans="8:9" x14ac:dyDescent="0.2">
      <c r="H7948" s="1"/>
      <c r="I7948" s="1"/>
    </row>
    <row r="7949" spans="8:9" x14ac:dyDescent="0.2">
      <c r="H7949" s="1"/>
      <c r="I7949" s="1"/>
    </row>
    <row r="7950" spans="8:9" x14ac:dyDescent="0.2">
      <c r="H7950" s="1"/>
      <c r="I7950" s="1"/>
    </row>
    <row r="7951" spans="8:9" x14ac:dyDescent="0.2">
      <c r="H7951" s="1"/>
      <c r="I7951" s="1"/>
    </row>
    <row r="7952" spans="8:9" x14ac:dyDescent="0.2">
      <c r="H7952" s="1"/>
      <c r="I7952" s="1"/>
    </row>
    <row r="7953" spans="8:9" x14ac:dyDescent="0.2">
      <c r="H7953" s="1"/>
      <c r="I7953" s="1"/>
    </row>
    <row r="7954" spans="8:9" x14ac:dyDescent="0.2">
      <c r="H7954" s="1"/>
      <c r="I7954" s="1"/>
    </row>
    <row r="7955" spans="8:9" x14ac:dyDescent="0.2">
      <c r="H7955" s="1"/>
      <c r="I7955" s="1"/>
    </row>
    <row r="7956" spans="8:9" x14ac:dyDescent="0.2">
      <c r="H7956" s="1"/>
      <c r="I7956" s="1"/>
    </row>
    <row r="7957" spans="8:9" x14ac:dyDescent="0.2">
      <c r="H7957" s="1"/>
      <c r="I7957" s="1"/>
    </row>
    <row r="7958" spans="8:9" x14ac:dyDescent="0.2">
      <c r="H7958" s="1"/>
      <c r="I7958" s="1"/>
    </row>
    <row r="7959" spans="8:9" x14ac:dyDescent="0.2">
      <c r="H7959" s="1"/>
      <c r="I7959" s="1"/>
    </row>
    <row r="7960" spans="8:9" x14ac:dyDescent="0.2">
      <c r="H7960" s="1"/>
      <c r="I7960" s="1"/>
    </row>
    <row r="7961" spans="8:9" x14ac:dyDescent="0.2">
      <c r="H7961" s="1"/>
      <c r="I7961" s="1"/>
    </row>
    <row r="7962" spans="8:9" x14ac:dyDescent="0.2">
      <c r="H7962" s="1"/>
      <c r="I7962" s="1"/>
    </row>
    <row r="7963" spans="8:9" x14ac:dyDescent="0.2">
      <c r="H7963" s="1"/>
      <c r="I7963" s="1"/>
    </row>
    <row r="7964" spans="8:9" x14ac:dyDescent="0.2">
      <c r="H7964" s="1"/>
      <c r="I7964" s="1"/>
    </row>
    <row r="7965" spans="8:9" x14ac:dyDescent="0.2">
      <c r="H7965" s="1"/>
      <c r="I7965" s="1"/>
    </row>
    <row r="7966" spans="8:9" x14ac:dyDescent="0.2">
      <c r="H7966" s="1"/>
      <c r="I7966" s="1"/>
    </row>
    <row r="7967" spans="8:9" x14ac:dyDescent="0.2">
      <c r="H7967" s="1"/>
      <c r="I7967" s="1"/>
    </row>
    <row r="7968" spans="8:9" x14ac:dyDescent="0.2">
      <c r="H7968" s="1"/>
      <c r="I7968" s="1"/>
    </row>
    <row r="7969" spans="8:9" x14ac:dyDescent="0.2">
      <c r="H7969" s="1"/>
      <c r="I7969" s="1"/>
    </row>
    <row r="7970" spans="8:9" x14ac:dyDescent="0.2">
      <c r="H7970" s="1"/>
      <c r="I7970" s="1"/>
    </row>
    <row r="7971" spans="8:9" x14ac:dyDescent="0.2">
      <c r="H7971" s="1"/>
      <c r="I7971" s="1"/>
    </row>
    <row r="7972" spans="8:9" x14ac:dyDescent="0.2">
      <c r="H7972" s="1"/>
      <c r="I7972" s="1"/>
    </row>
    <row r="7973" spans="8:9" x14ac:dyDescent="0.2">
      <c r="H7973" s="1"/>
      <c r="I7973" s="1"/>
    </row>
    <row r="7974" spans="8:9" x14ac:dyDescent="0.2">
      <c r="H7974" s="1"/>
      <c r="I7974" s="1"/>
    </row>
    <row r="7975" spans="8:9" x14ac:dyDescent="0.2">
      <c r="H7975" s="1"/>
      <c r="I7975" s="1"/>
    </row>
    <row r="7976" spans="8:9" x14ac:dyDescent="0.2">
      <c r="H7976" s="1"/>
      <c r="I7976" s="1"/>
    </row>
    <row r="7977" spans="8:9" x14ac:dyDescent="0.2">
      <c r="H7977" s="1"/>
      <c r="I7977" s="1"/>
    </row>
    <row r="7978" spans="8:9" x14ac:dyDescent="0.2">
      <c r="H7978" s="1"/>
      <c r="I7978" s="1"/>
    </row>
    <row r="7979" spans="8:9" x14ac:dyDescent="0.2">
      <c r="H7979" s="1"/>
      <c r="I7979" s="1"/>
    </row>
    <row r="7980" spans="8:9" x14ac:dyDescent="0.2">
      <c r="H7980" s="1"/>
      <c r="I7980" s="1"/>
    </row>
    <row r="7981" spans="8:9" x14ac:dyDescent="0.2">
      <c r="H7981" s="1"/>
      <c r="I7981" s="1"/>
    </row>
    <row r="7982" spans="8:9" x14ac:dyDescent="0.2">
      <c r="H7982" s="1"/>
      <c r="I7982" s="1"/>
    </row>
    <row r="7983" spans="8:9" x14ac:dyDescent="0.2">
      <c r="H7983" s="1"/>
      <c r="I7983" s="1"/>
    </row>
    <row r="7984" spans="8:9" x14ac:dyDescent="0.2">
      <c r="H7984" s="1"/>
      <c r="I7984" s="1"/>
    </row>
    <row r="7985" spans="8:9" x14ac:dyDescent="0.2">
      <c r="H7985" s="1"/>
      <c r="I7985" s="1"/>
    </row>
    <row r="7986" spans="8:9" x14ac:dyDescent="0.2">
      <c r="H7986" s="1"/>
      <c r="I7986" s="1"/>
    </row>
    <row r="7987" spans="8:9" x14ac:dyDescent="0.2">
      <c r="H7987" s="1"/>
      <c r="I7987" s="1"/>
    </row>
    <row r="7988" spans="8:9" x14ac:dyDescent="0.2">
      <c r="H7988" s="1"/>
      <c r="I7988" s="1"/>
    </row>
    <row r="7989" spans="8:9" x14ac:dyDescent="0.2">
      <c r="H7989" s="1"/>
      <c r="I7989" s="1"/>
    </row>
    <row r="7990" spans="8:9" x14ac:dyDescent="0.2">
      <c r="H7990" s="1"/>
      <c r="I7990" s="1"/>
    </row>
    <row r="7991" spans="8:9" x14ac:dyDescent="0.2">
      <c r="H7991" s="1"/>
      <c r="I7991" s="1"/>
    </row>
    <row r="7992" spans="8:9" x14ac:dyDescent="0.2">
      <c r="H7992" s="1"/>
      <c r="I7992" s="1"/>
    </row>
    <row r="7993" spans="8:9" x14ac:dyDescent="0.2">
      <c r="H7993" s="1"/>
      <c r="I7993" s="1"/>
    </row>
    <row r="7994" spans="8:9" x14ac:dyDescent="0.2">
      <c r="H7994" s="1"/>
      <c r="I7994" s="1"/>
    </row>
    <row r="7995" spans="8:9" x14ac:dyDescent="0.2">
      <c r="H7995" s="1"/>
      <c r="I7995" s="1"/>
    </row>
    <row r="7996" spans="8:9" x14ac:dyDescent="0.2">
      <c r="H7996" s="1"/>
      <c r="I7996" s="1"/>
    </row>
    <row r="7997" spans="8:9" x14ac:dyDescent="0.2">
      <c r="H7997" s="1"/>
      <c r="I7997" s="1"/>
    </row>
    <row r="7998" spans="8:9" x14ac:dyDescent="0.2">
      <c r="H7998" s="1"/>
      <c r="I7998" s="1"/>
    </row>
    <row r="7999" spans="8:9" x14ac:dyDescent="0.2">
      <c r="H7999" s="1"/>
      <c r="I7999" s="1"/>
    </row>
    <row r="8000" spans="8:9" x14ac:dyDescent="0.2">
      <c r="H8000" s="1"/>
      <c r="I8000" s="1"/>
    </row>
    <row r="8001" spans="8:9" x14ac:dyDescent="0.2">
      <c r="H8001" s="1"/>
      <c r="I8001" s="1"/>
    </row>
    <row r="8002" spans="8:9" x14ac:dyDescent="0.2">
      <c r="H8002" s="1"/>
      <c r="I8002" s="1"/>
    </row>
    <row r="8003" spans="8:9" x14ac:dyDescent="0.2">
      <c r="H8003" s="1"/>
      <c r="I8003" s="1"/>
    </row>
    <row r="8004" spans="8:9" x14ac:dyDescent="0.2">
      <c r="H8004" s="1"/>
      <c r="I8004" s="1"/>
    </row>
    <row r="8005" spans="8:9" x14ac:dyDescent="0.2">
      <c r="H8005" s="1"/>
      <c r="I8005" s="1"/>
    </row>
    <row r="8006" spans="8:9" x14ac:dyDescent="0.2">
      <c r="H8006" s="1"/>
      <c r="I8006" s="1"/>
    </row>
    <row r="8007" spans="8:9" x14ac:dyDescent="0.2">
      <c r="H8007" s="1"/>
      <c r="I8007" s="1"/>
    </row>
    <row r="8008" spans="8:9" x14ac:dyDescent="0.2">
      <c r="H8008" s="1"/>
      <c r="I8008" s="1"/>
    </row>
    <row r="8009" spans="8:9" x14ac:dyDescent="0.2">
      <c r="H8009" s="1"/>
      <c r="I8009" s="1"/>
    </row>
    <row r="8010" spans="8:9" x14ac:dyDescent="0.2">
      <c r="H8010" s="1"/>
      <c r="I8010" s="1"/>
    </row>
    <row r="8011" spans="8:9" x14ac:dyDescent="0.2">
      <c r="H8011" s="1"/>
      <c r="I8011" s="1"/>
    </row>
    <row r="8012" spans="8:9" x14ac:dyDescent="0.2">
      <c r="H8012" s="1"/>
      <c r="I8012" s="1"/>
    </row>
    <row r="8013" spans="8:9" x14ac:dyDescent="0.2">
      <c r="H8013" s="1"/>
      <c r="I8013" s="1"/>
    </row>
    <row r="8014" spans="8:9" x14ac:dyDescent="0.2">
      <c r="H8014" s="1"/>
      <c r="I8014" s="1"/>
    </row>
    <row r="8015" spans="8:9" x14ac:dyDescent="0.2">
      <c r="H8015" s="1"/>
      <c r="I8015" s="1"/>
    </row>
    <row r="8016" spans="8:9" x14ac:dyDescent="0.2">
      <c r="H8016" s="1"/>
      <c r="I8016" s="1"/>
    </row>
    <row r="8017" spans="8:9" x14ac:dyDescent="0.2">
      <c r="H8017" s="1"/>
      <c r="I8017" s="1"/>
    </row>
    <row r="8018" spans="8:9" x14ac:dyDescent="0.2">
      <c r="H8018" s="1"/>
      <c r="I8018" s="1"/>
    </row>
    <row r="8019" spans="8:9" x14ac:dyDescent="0.2">
      <c r="H8019" s="1"/>
      <c r="I8019" s="1"/>
    </row>
    <row r="8020" spans="8:9" x14ac:dyDescent="0.2">
      <c r="H8020" s="1"/>
      <c r="I8020" s="1"/>
    </row>
    <row r="8021" spans="8:9" x14ac:dyDescent="0.2">
      <c r="H8021" s="1"/>
      <c r="I8021" s="1"/>
    </row>
    <row r="8022" spans="8:9" x14ac:dyDescent="0.2">
      <c r="H8022" s="1"/>
      <c r="I8022" s="1"/>
    </row>
    <row r="8023" spans="8:9" x14ac:dyDescent="0.2">
      <c r="H8023" s="1"/>
      <c r="I8023" s="1"/>
    </row>
    <row r="8024" spans="8:9" x14ac:dyDescent="0.2">
      <c r="H8024" s="1"/>
      <c r="I8024" s="1"/>
    </row>
    <row r="8025" spans="8:9" x14ac:dyDescent="0.2">
      <c r="H8025" s="1"/>
      <c r="I8025" s="1"/>
    </row>
    <row r="8026" spans="8:9" x14ac:dyDescent="0.2">
      <c r="H8026" s="1"/>
      <c r="I8026" s="1"/>
    </row>
    <row r="8027" spans="8:9" x14ac:dyDescent="0.2">
      <c r="H8027" s="1"/>
      <c r="I8027" s="1"/>
    </row>
    <row r="8028" spans="8:9" x14ac:dyDescent="0.2">
      <c r="H8028" s="1"/>
      <c r="I8028" s="1"/>
    </row>
    <row r="8029" spans="8:9" x14ac:dyDescent="0.2">
      <c r="H8029" s="1"/>
      <c r="I8029" s="1"/>
    </row>
    <row r="8030" spans="8:9" x14ac:dyDescent="0.2">
      <c r="H8030" s="1"/>
      <c r="I8030" s="1"/>
    </row>
    <row r="8031" spans="8:9" x14ac:dyDescent="0.2">
      <c r="H8031" s="1"/>
      <c r="I8031" s="1"/>
    </row>
    <row r="8032" spans="8:9" x14ac:dyDescent="0.2">
      <c r="H8032" s="1"/>
      <c r="I8032" s="1"/>
    </row>
    <row r="8033" spans="8:9" x14ac:dyDescent="0.2">
      <c r="H8033" s="1"/>
      <c r="I8033" s="1"/>
    </row>
    <row r="8034" spans="8:9" x14ac:dyDescent="0.2">
      <c r="H8034" s="1"/>
      <c r="I8034" s="1"/>
    </row>
    <row r="8035" spans="8:9" x14ac:dyDescent="0.2">
      <c r="H8035" s="1"/>
      <c r="I8035" s="1"/>
    </row>
    <row r="8036" spans="8:9" x14ac:dyDescent="0.2">
      <c r="H8036" s="1"/>
      <c r="I8036" s="1"/>
    </row>
    <row r="8037" spans="8:9" x14ac:dyDescent="0.2">
      <c r="H8037" s="1"/>
      <c r="I8037" s="1"/>
    </row>
    <row r="8038" spans="8:9" x14ac:dyDescent="0.2">
      <c r="H8038" s="1"/>
      <c r="I8038" s="1"/>
    </row>
    <row r="8039" spans="8:9" x14ac:dyDescent="0.2">
      <c r="H8039" s="1"/>
      <c r="I8039" s="1"/>
    </row>
    <row r="8040" spans="8:9" x14ac:dyDescent="0.2">
      <c r="H8040" s="1"/>
      <c r="I8040" s="1"/>
    </row>
    <row r="8041" spans="8:9" x14ac:dyDescent="0.2">
      <c r="H8041" s="1"/>
      <c r="I8041" s="1"/>
    </row>
    <row r="8042" spans="8:9" x14ac:dyDescent="0.2">
      <c r="H8042" s="1"/>
      <c r="I8042" s="1"/>
    </row>
    <row r="8043" spans="8:9" x14ac:dyDescent="0.2">
      <c r="H8043" s="1"/>
      <c r="I8043" s="1"/>
    </row>
    <row r="8044" spans="8:9" x14ac:dyDescent="0.2">
      <c r="H8044" s="1"/>
      <c r="I8044" s="1"/>
    </row>
    <row r="8045" spans="8:9" x14ac:dyDescent="0.2">
      <c r="H8045" s="1"/>
      <c r="I8045" s="1"/>
    </row>
    <row r="8046" spans="8:9" x14ac:dyDescent="0.2">
      <c r="H8046" s="1"/>
      <c r="I8046" s="1"/>
    </row>
    <row r="8047" spans="8:9" x14ac:dyDescent="0.2">
      <c r="H8047" s="1"/>
      <c r="I8047" s="1"/>
    </row>
    <row r="8048" spans="8:9" x14ac:dyDescent="0.2">
      <c r="H8048" s="1"/>
      <c r="I8048" s="1"/>
    </row>
    <row r="8049" spans="8:9" x14ac:dyDescent="0.2">
      <c r="H8049" s="1"/>
      <c r="I8049" s="1"/>
    </row>
    <row r="8050" spans="8:9" x14ac:dyDescent="0.2">
      <c r="H8050" s="1"/>
      <c r="I8050" s="1"/>
    </row>
    <row r="8051" spans="8:9" x14ac:dyDescent="0.2">
      <c r="H8051" s="1"/>
      <c r="I8051" s="1"/>
    </row>
    <row r="8052" spans="8:9" x14ac:dyDescent="0.2">
      <c r="H8052" s="1"/>
      <c r="I8052" s="1"/>
    </row>
    <row r="8053" spans="8:9" x14ac:dyDescent="0.2">
      <c r="H8053" s="1"/>
      <c r="I8053" s="1"/>
    </row>
    <row r="8054" spans="8:9" x14ac:dyDescent="0.2">
      <c r="H8054" s="1"/>
      <c r="I8054" s="1"/>
    </row>
    <row r="8055" spans="8:9" x14ac:dyDescent="0.2">
      <c r="H8055" s="1"/>
      <c r="I8055" s="1"/>
    </row>
    <row r="8056" spans="8:9" x14ac:dyDescent="0.2">
      <c r="H8056" s="1"/>
      <c r="I8056" s="1"/>
    </row>
    <row r="8057" spans="8:9" x14ac:dyDescent="0.2">
      <c r="H8057" s="1"/>
      <c r="I8057" s="1"/>
    </row>
    <row r="8058" spans="8:9" x14ac:dyDescent="0.2">
      <c r="H8058" s="1"/>
      <c r="I8058" s="1"/>
    </row>
    <row r="8059" spans="8:9" x14ac:dyDescent="0.2">
      <c r="H8059" s="1"/>
      <c r="I8059" s="1"/>
    </row>
    <row r="8060" spans="8:9" x14ac:dyDescent="0.2">
      <c r="H8060" s="1"/>
      <c r="I8060" s="1"/>
    </row>
    <row r="8061" spans="8:9" x14ac:dyDescent="0.2">
      <c r="H8061" s="1"/>
      <c r="I8061" s="1"/>
    </row>
    <row r="8062" spans="8:9" x14ac:dyDescent="0.2">
      <c r="H8062" s="1"/>
      <c r="I8062" s="1"/>
    </row>
    <row r="8063" spans="8:9" x14ac:dyDescent="0.2">
      <c r="H8063" s="1"/>
      <c r="I8063" s="1"/>
    </row>
    <row r="8064" spans="8:9" x14ac:dyDescent="0.2">
      <c r="H8064" s="1"/>
      <c r="I8064" s="1"/>
    </row>
    <row r="8065" spans="8:9" x14ac:dyDescent="0.2">
      <c r="H8065" s="1"/>
      <c r="I8065" s="1"/>
    </row>
    <row r="8066" spans="8:9" x14ac:dyDescent="0.2">
      <c r="H8066" s="1"/>
      <c r="I8066" s="1"/>
    </row>
    <row r="8067" spans="8:9" x14ac:dyDescent="0.2">
      <c r="H8067" s="1"/>
      <c r="I8067" s="1"/>
    </row>
    <row r="8068" spans="8:9" x14ac:dyDescent="0.2">
      <c r="H8068" s="1"/>
      <c r="I8068" s="1"/>
    </row>
    <row r="8069" spans="8:9" x14ac:dyDescent="0.2">
      <c r="H8069" s="1"/>
      <c r="I8069" s="1"/>
    </row>
    <row r="8070" spans="8:9" x14ac:dyDescent="0.2">
      <c r="H8070" s="1"/>
      <c r="I8070" s="1"/>
    </row>
    <row r="8071" spans="8:9" x14ac:dyDescent="0.2">
      <c r="H8071" s="1"/>
      <c r="I8071" s="1"/>
    </row>
    <row r="8072" spans="8:9" x14ac:dyDescent="0.2">
      <c r="H8072" s="1"/>
      <c r="I8072" s="1"/>
    </row>
    <row r="8073" spans="8:9" x14ac:dyDescent="0.2">
      <c r="H8073" s="1"/>
      <c r="I8073" s="1"/>
    </row>
    <row r="8074" spans="8:9" x14ac:dyDescent="0.2">
      <c r="H8074" s="1"/>
      <c r="I8074" s="1"/>
    </row>
    <row r="8075" spans="8:9" x14ac:dyDescent="0.2">
      <c r="H8075" s="1"/>
      <c r="I8075" s="1"/>
    </row>
    <row r="8076" spans="8:9" x14ac:dyDescent="0.2">
      <c r="H8076" s="1"/>
      <c r="I8076" s="1"/>
    </row>
    <row r="8077" spans="8:9" x14ac:dyDescent="0.2">
      <c r="H8077" s="1"/>
      <c r="I8077" s="1"/>
    </row>
    <row r="8078" spans="8:9" x14ac:dyDescent="0.2">
      <c r="H8078" s="1"/>
      <c r="I8078" s="1"/>
    </row>
    <row r="8079" spans="8:9" x14ac:dyDescent="0.2">
      <c r="H8079" s="1"/>
      <c r="I8079" s="1"/>
    </row>
    <row r="8080" spans="8:9" x14ac:dyDescent="0.2">
      <c r="H8080" s="1"/>
      <c r="I8080" s="1"/>
    </row>
    <row r="8081" spans="8:9" x14ac:dyDescent="0.2">
      <c r="H8081" s="1"/>
      <c r="I8081" s="1"/>
    </row>
    <row r="8082" spans="8:9" x14ac:dyDescent="0.2">
      <c r="H8082" s="1"/>
      <c r="I8082" s="1"/>
    </row>
    <row r="8083" spans="8:9" x14ac:dyDescent="0.2">
      <c r="H8083" s="1"/>
      <c r="I8083" s="1"/>
    </row>
    <row r="8084" spans="8:9" x14ac:dyDescent="0.2">
      <c r="H8084" s="1"/>
      <c r="I8084" s="1"/>
    </row>
    <row r="8085" spans="8:9" x14ac:dyDescent="0.2">
      <c r="H8085" s="1"/>
      <c r="I8085" s="1"/>
    </row>
    <row r="8086" spans="8:9" x14ac:dyDescent="0.2">
      <c r="H8086" s="1"/>
      <c r="I8086" s="1"/>
    </row>
    <row r="8087" spans="8:9" x14ac:dyDescent="0.2">
      <c r="H8087" s="1"/>
      <c r="I8087" s="1"/>
    </row>
    <row r="8088" spans="8:9" x14ac:dyDescent="0.2">
      <c r="H8088" s="1"/>
      <c r="I8088" s="1"/>
    </row>
    <row r="8089" spans="8:9" x14ac:dyDescent="0.2">
      <c r="H8089" s="1"/>
      <c r="I8089" s="1"/>
    </row>
    <row r="8090" spans="8:9" x14ac:dyDescent="0.2">
      <c r="H8090" s="1"/>
      <c r="I8090" s="1"/>
    </row>
    <row r="8091" spans="8:9" x14ac:dyDescent="0.2">
      <c r="H8091" s="1"/>
      <c r="I8091" s="1"/>
    </row>
    <row r="8092" spans="8:9" x14ac:dyDescent="0.2">
      <c r="H8092" s="1"/>
      <c r="I8092" s="1"/>
    </row>
    <row r="8093" spans="8:9" x14ac:dyDescent="0.2">
      <c r="H8093" s="1"/>
      <c r="I8093" s="1"/>
    </row>
    <row r="8094" spans="8:9" x14ac:dyDescent="0.2">
      <c r="H8094" s="1"/>
      <c r="I8094" s="1"/>
    </row>
    <row r="8095" spans="8:9" x14ac:dyDescent="0.2">
      <c r="H8095" s="1"/>
      <c r="I8095" s="1"/>
    </row>
    <row r="8096" spans="8:9" x14ac:dyDescent="0.2">
      <c r="H8096" s="1"/>
      <c r="I8096" s="1"/>
    </row>
    <row r="8097" spans="8:9" x14ac:dyDescent="0.2">
      <c r="H8097" s="1"/>
      <c r="I8097" s="1"/>
    </row>
    <row r="8098" spans="8:9" x14ac:dyDescent="0.2">
      <c r="H8098" s="1"/>
      <c r="I8098" s="1"/>
    </row>
    <row r="8099" spans="8:9" x14ac:dyDescent="0.2">
      <c r="H8099" s="1"/>
      <c r="I8099" s="1"/>
    </row>
    <row r="8100" spans="8:9" x14ac:dyDescent="0.2">
      <c r="H8100" s="1"/>
      <c r="I8100" s="1"/>
    </row>
    <row r="8101" spans="8:9" x14ac:dyDescent="0.2">
      <c r="H8101" s="1"/>
      <c r="I8101" s="1"/>
    </row>
    <row r="8102" spans="8:9" x14ac:dyDescent="0.2">
      <c r="H8102" s="1"/>
      <c r="I8102" s="1"/>
    </row>
    <row r="8103" spans="8:9" x14ac:dyDescent="0.2">
      <c r="H8103" s="1"/>
      <c r="I8103" s="1"/>
    </row>
    <row r="8104" spans="8:9" x14ac:dyDescent="0.2">
      <c r="H8104" s="1"/>
      <c r="I8104" s="1"/>
    </row>
    <row r="8105" spans="8:9" x14ac:dyDescent="0.2">
      <c r="H8105" s="1"/>
      <c r="I8105" s="1"/>
    </row>
    <row r="8106" spans="8:9" x14ac:dyDescent="0.2">
      <c r="H8106" s="1"/>
      <c r="I8106" s="1"/>
    </row>
    <row r="8107" spans="8:9" x14ac:dyDescent="0.2">
      <c r="H8107" s="1"/>
      <c r="I8107" s="1"/>
    </row>
    <row r="8108" spans="8:9" x14ac:dyDescent="0.2">
      <c r="H8108" s="1"/>
      <c r="I8108" s="1"/>
    </row>
    <row r="8109" spans="8:9" x14ac:dyDescent="0.2">
      <c r="H8109" s="1"/>
      <c r="I8109" s="1"/>
    </row>
    <row r="8110" spans="8:9" x14ac:dyDescent="0.2">
      <c r="H8110" s="1"/>
      <c r="I8110" s="1"/>
    </row>
    <row r="8111" spans="8:9" x14ac:dyDescent="0.2">
      <c r="H8111" s="1"/>
      <c r="I8111" s="1"/>
    </row>
    <row r="8112" spans="8:9" x14ac:dyDescent="0.2">
      <c r="H8112" s="1"/>
      <c r="I8112" s="1"/>
    </row>
    <row r="8113" spans="8:9" x14ac:dyDescent="0.2">
      <c r="H8113" s="1"/>
      <c r="I8113" s="1"/>
    </row>
    <row r="8114" spans="8:9" x14ac:dyDescent="0.2">
      <c r="H8114" s="1"/>
      <c r="I8114" s="1"/>
    </row>
    <row r="8115" spans="8:9" x14ac:dyDescent="0.2">
      <c r="H8115" s="1"/>
      <c r="I8115" s="1"/>
    </row>
    <row r="8116" spans="8:9" x14ac:dyDescent="0.2">
      <c r="H8116" s="1"/>
      <c r="I8116" s="1"/>
    </row>
    <row r="8117" spans="8:9" x14ac:dyDescent="0.2">
      <c r="H8117" s="1"/>
      <c r="I8117" s="1"/>
    </row>
    <row r="8118" spans="8:9" x14ac:dyDescent="0.2">
      <c r="H8118" s="1"/>
      <c r="I8118" s="1"/>
    </row>
    <row r="8119" spans="8:9" x14ac:dyDescent="0.2">
      <c r="H8119" s="1"/>
      <c r="I8119" s="1"/>
    </row>
    <row r="8120" spans="8:9" x14ac:dyDescent="0.2">
      <c r="H8120" s="1"/>
      <c r="I8120" s="1"/>
    </row>
    <row r="8121" spans="8:9" x14ac:dyDescent="0.2">
      <c r="H8121" s="1"/>
      <c r="I8121" s="1"/>
    </row>
    <row r="8122" spans="8:9" x14ac:dyDescent="0.2">
      <c r="H8122" s="1"/>
      <c r="I8122" s="1"/>
    </row>
    <row r="8123" spans="8:9" x14ac:dyDescent="0.2">
      <c r="H8123" s="1"/>
      <c r="I8123" s="1"/>
    </row>
    <row r="8124" spans="8:9" x14ac:dyDescent="0.2">
      <c r="H8124" s="1"/>
      <c r="I8124" s="1"/>
    </row>
    <row r="8125" spans="8:9" x14ac:dyDescent="0.2">
      <c r="H8125" s="1"/>
      <c r="I8125" s="1"/>
    </row>
    <row r="8126" spans="8:9" x14ac:dyDescent="0.2">
      <c r="H8126" s="1"/>
      <c r="I8126" s="1"/>
    </row>
    <row r="8127" spans="8:9" x14ac:dyDescent="0.2">
      <c r="H8127" s="1"/>
      <c r="I8127" s="1"/>
    </row>
    <row r="8128" spans="8:9" x14ac:dyDescent="0.2">
      <c r="H8128" s="1"/>
      <c r="I8128" s="1"/>
    </row>
    <row r="8129" spans="8:9" x14ac:dyDescent="0.2">
      <c r="H8129" s="1"/>
      <c r="I8129" s="1"/>
    </row>
    <row r="8130" spans="8:9" x14ac:dyDescent="0.2">
      <c r="H8130" s="1"/>
      <c r="I8130" s="1"/>
    </row>
    <row r="8131" spans="8:9" x14ac:dyDescent="0.2">
      <c r="H8131" s="1"/>
      <c r="I8131" s="1"/>
    </row>
    <row r="8132" spans="8:9" x14ac:dyDescent="0.2">
      <c r="H8132" s="1"/>
      <c r="I8132" s="1"/>
    </row>
    <row r="8133" spans="8:9" x14ac:dyDescent="0.2">
      <c r="H8133" s="1"/>
      <c r="I8133" s="1"/>
    </row>
    <row r="8134" spans="8:9" x14ac:dyDescent="0.2">
      <c r="H8134" s="1"/>
      <c r="I8134" s="1"/>
    </row>
    <row r="8135" spans="8:9" x14ac:dyDescent="0.2">
      <c r="H8135" s="1"/>
      <c r="I8135" s="1"/>
    </row>
    <row r="8136" spans="8:9" x14ac:dyDescent="0.2">
      <c r="H8136" s="1"/>
      <c r="I8136" s="1"/>
    </row>
    <row r="8137" spans="8:9" x14ac:dyDescent="0.2">
      <c r="H8137" s="1"/>
      <c r="I8137" s="1"/>
    </row>
    <row r="8138" spans="8:9" x14ac:dyDescent="0.2">
      <c r="H8138" s="1"/>
      <c r="I8138" s="1"/>
    </row>
    <row r="8139" spans="8:9" x14ac:dyDescent="0.2">
      <c r="H8139" s="1"/>
      <c r="I8139" s="1"/>
    </row>
    <row r="8140" spans="8:9" x14ac:dyDescent="0.2">
      <c r="H8140" s="1"/>
      <c r="I8140" s="1"/>
    </row>
    <row r="8141" spans="8:9" x14ac:dyDescent="0.2">
      <c r="H8141" s="1"/>
      <c r="I8141" s="1"/>
    </row>
    <row r="8142" spans="8:9" x14ac:dyDescent="0.2">
      <c r="H8142" s="1"/>
      <c r="I8142" s="1"/>
    </row>
    <row r="8143" spans="8:9" x14ac:dyDescent="0.2">
      <c r="H8143" s="1"/>
      <c r="I8143" s="1"/>
    </row>
    <row r="8144" spans="8:9" x14ac:dyDescent="0.2">
      <c r="H8144" s="1"/>
      <c r="I8144" s="1"/>
    </row>
    <row r="8145" spans="8:9" x14ac:dyDescent="0.2">
      <c r="H8145" s="1"/>
      <c r="I8145" s="1"/>
    </row>
    <row r="8146" spans="8:9" x14ac:dyDescent="0.2">
      <c r="H8146" s="1"/>
      <c r="I8146" s="1"/>
    </row>
    <row r="8147" spans="8:9" x14ac:dyDescent="0.2">
      <c r="H8147" s="1"/>
      <c r="I8147" s="1"/>
    </row>
    <row r="8148" spans="8:9" x14ac:dyDescent="0.2">
      <c r="H8148" s="1"/>
      <c r="I8148" s="1"/>
    </row>
    <row r="8149" spans="8:9" x14ac:dyDescent="0.2">
      <c r="H8149" s="1"/>
      <c r="I8149" s="1"/>
    </row>
    <row r="8150" spans="8:9" x14ac:dyDescent="0.2">
      <c r="H8150" s="1"/>
      <c r="I8150" s="1"/>
    </row>
    <row r="8151" spans="8:9" x14ac:dyDescent="0.2">
      <c r="H8151" s="1"/>
      <c r="I8151" s="1"/>
    </row>
    <row r="8152" spans="8:9" x14ac:dyDescent="0.2">
      <c r="H8152" s="1"/>
      <c r="I8152" s="1"/>
    </row>
    <row r="8153" spans="8:9" x14ac:dyDescent="0.2">
      <c r="H8153" s="1"/>
      <c r="I8153" s="1"/>
    </row>
    <row r="8154" spans="8:9" x14ac:dyDescent="0.2">
      <c r="H8154" s="1"/>
      <c r="I8154" s="1"/>
    </row>
    <row r="8155" spans="8:9" x14ac:dyDescent="0.2">
      <c r="H8155" s="1"/>
      <c r="I8155" s="1"/>
    </row>
    <row r="8156" spans="8:9" x14ac:dyDescent="0.2">
      <c r="H8156" s="1"/>
      <c r="I8156" s="1"/>
    </row>
    <row r="8157" spans="8:9" x14ac:dyDescent="0.2">
      <c r="H8157" s="1"/>
      <c r="I8157" s="1"/>
    </row>
    <row r="8158" spans="8:9" x14ac:dyDescent="0.2">
      <c r="H8158" s="1"/>
      <c r="I8158" s="1"/>
    </row>
    <row r="8159" spans="8:9" x14ac:dyDescent="0.2">
      <c r="H8159" s="1"/>
      <c r="I8159" s="1"/>
    </row>
    <row r="8160" spans="8:9" x14ac:dyDescent="0.2">
      <c r="H8160" s="1"/>
      <c r="I8160" s="1"/>
    </row>
    <row r="8161" spans="8:9" x14ac:dyDescent="0.2">
      <c r="H8161" s="1"/>
      <c r="I8161" s="1"/>
    </row>
    <row r="8162" spans="8:9" x14ac:dyDescent="0.2">
      <c r="H8162" s="1"/>
      <c r="I8162" s="1"/>
    </row>
    <row r="8163" spans="8:9" x14ac:dyDescent="0.2">
      <c r="H8163" s="1"/>
      <c r="I8163" s="1"/>
    </row>
    <row r="8164" spans="8:9" x14ac:dyDescent="0.2">
      <c r="H8164" s="1"/>
      <c r="I8164" s="1"/>
    </row>
    <row r="8165" spans="8:9" x14ac:dyDescent="0.2">
      <c r="H8165" s="1"/>
      <c r="I8165" s="1"/>
    </row>
    <row r="8166" spans="8:9" x14ac:dyDescent="0.2">
      <c r="H8166" s="1"/>
      <c r="I8166" s="1"/>
    </row>
    <row r="8167" spans="8:9" x14ac:dyDescent="0.2">
      <c r="H8167" s="1"/>
      <c r="I8167" s="1"/>
    </row>
    <row r="8168" spans="8:9" x14ac:dyDescent="0.2">
      <c r="H8168" s="1"/>
      <c r="I8168" s="1"/>
    </row>
    <row r="8169" spans="8:9" x14ac:dyDescent="0.2">
      <c r="H8169" s="1"/>
      <c r="I8169" s="1"/>
    </row>
    <row r="8170" spans="8:9" x14ac:dyDescent="0.2">
      <c r="H8170" s="1"/>
      <c r="I8170" s="1"/>
    </row>
    <row r="8171" spans="8:9" x14ac:dyDescent="0.2">
      <c r="H8171" s="1"/>
      <c r="I8171" s="1"/>
    </row>
    <row r="8172" spans="8:9" x14ac:dyDescent="0.2">
      <c r="H8172" s="1"/>
      <c r="I8172" s="1"/>
    </row>
    <row r="8173" spans="8:9" x14ac:dyDescent="0.2">
      <c r="H8173" s="1"/>
      <c r="I8173" s="1"/>
    </row>
    <row r="8174" spans="8:9" x14ac:dyDescent="0.2">
      <c r="H8174" s="1"/>
      <c r="I8174" s="1"/>
    </row>
    <row r="8175" spans="8:9" x14ac:dyDescent="0.2">
      <c r="H8175" s="1"/>
      <c r="I8175" s="1"/>
    </row>
    <row r="8176" spans="8:9" x14ac:dyDescent="0.2">
      <c r="H8176" s="1"/>
      <c r="I8176" s="1"/>
    </row>
    <row r="8177" spans="8:9" x14ac:dyDescent="0.2">
      <c r="H8177" s="1"/>
      <c r="I8177" s="1"/>
    </row>
    <row r="8178" spans="8:9" x14ac:dyDescent="0.2">
      <c r="H8178" s="1"/>
      <c r="I8178" s="1"/>
    </row>
    <row r="8179" spans="8:9" x14ac:dyDescent="0.2">
      <c r="H8179" s="1"/>
      <c r="I8179" s="1"/>
    </row>
    <row r="8180" spans="8:9" x14ac:dyDescent="0.2">
      <c r="H8180" s="1"/>
      <c r="I8180" s="1"/>
    </row>
    <row r="8181" spans="8:9" x14ac:dyDescent="0.2">
      <c r="H8181" s="1"/>
      <c r="I8181" s="1"/>
    </row>
    <row r="8182" spans="8:9" x14ac:dyDescent="0.2">
      <c r="H8182" s="1"/>
      <c r="I8182" s="1"/>
    </row>
    <row r="8183" spans="8:9" x14ac:dyDescent="0.2">
      <c r="H8183" s="1"/>
      <c r="I8183" s="1"/>
    </row>
    <row r="8184" spans="8:9" x14ac:dyDescent="0.2">
      <c r="H8184" s="1"/>
      <c r="I8184" s="1"/>
    </row>
    <row r="8185" spans="8:9" x14ac:dyDescent="0.2">
      <c r="H8185" s="1"/>
      <c r="I8185" s="1"/>
    </row>
    <row r="8186" spans="8:9" x14ac:dyDescent="0.2">
      <c r="H8186" s="1"/>
      <c r="I8186" s="1"/>
    </row>
    <row r="8187" spans="8:9" x14ac:dyDescent="0.2">
      <c r="H8187" s="1"/>
      <c r="I8187" s="1"/>
    </row>
    <row r="8188" spans="8:9" x14ac:dyDescent="0.2">
      <c r="H8188" s="1"/>
      <c r="I8188" s="1"/>
    </row>
    <row r="8189" spans="8:9" x14ac:dyDescent="0.2">
      <c r="H8189" s="1"/>
      <c r="I8189" s="1"/>
    </row>
    <row r="8190" spans="8:9" x14ac:dyDescent="0.2">
      <c r="H8190" s="1"/>
      <c r="I8190" s="1"/>
    </row>
    <row r="8191" spans="8:9" x14ac:dyDescent="0.2">
      <c r="H8191" s="1"/>
      <c r="I8191" s="1"/>
    </row>
    <row r="8192" spans="8:9" x14ac:dyDescent="0.2">
      <c r="H8192" s="1"/>
      <c r="I8192" s="1"/>
    </row>
    <row r="8193" spans="8:9" x14ac:dyDescent="0.2">
      <c r="H8193" s="1"/>
      <c r="I8193" s="1"/>
    </row>
    <row r="8194" spans="8:9" x14ac:dyDescent="0.2">
      <c r="H8194" s="1"/>
      <c r="I8194" s="1"/>
    </row>
    <row r="8195" spans="8:9" x14ac:dyDescent="0.2">
      <c r="H8195" s="1"/>
      <c r="I8195" s="1"/>
    </row>
    <row r="8196" spans="8:9" x14ac:dyDescent="0.2">
      <c r="H8196" s="1"/>
      <c r="I8196" s="1"/>
    </row>
    <row r="8197" spans="8:9" x14ac:dyDescent="0.2">
      <c r="H8197" s="1"/>
      <c r="I8197" s="1"/>
    </row>
    <row r="8198" spans="8:9" x14ac:dyDescent="0.2">
      <c r="H8198" s="1"/>
      <c r="I8198" s="1"/>
    </row>
    <row r="8199" spans="8:9" x14ac:dyDescent="0.2">
      <c r="H8199" s="1"/>
      <c r="I8199" s="1"/>
    </row>
    <row r="8200" spans="8:9" x14ac:dyDescent="0.2">
      <c r="H8200" s="1"/>
      <c r="I8200" s="1"/>
    </row>
    <row r="8201" spans="8:9" x14ac:dyDescent="0.2">
      <c r="H8201" s="1"/>
      <c r="I8201" s="1"/>
    </row>
    <row r="8202" spans="8:9" x14ac:dyDescent="0.2">
      <c r="H8202" s="1"/>
      <c r="I8202" s="1"/>
    </row>
    <row r="8203" spans="8:9" x14ac:dyDescent="0.2">
      <c r="H8203" s="1"/>
      <c r="I8203" s="1"/>
    </row>
    <row r="8204" spans="8:9" x14ac:dyDescent="0.2">
      <c r="H8204" s="1"/>
      <c r="I8204" s="1"/>
    </row>
    <row r="8205" spans="8:9" x14ac:dyDescent="0.2">
      <c r="H8205" s="1"/>
      <c r="I8205" s="1"/>
    </row>
    <row r="8206" spans="8:9" x14ac:dyDescent="0.2">
      <c r="H8206" s="1"/>
      <c r="I8206" s="1"/>
    </row>
    <row r="8207" spans="8:9" x14ac:dyDescent="0.2">
      <c r="H8207" s="1"/>
      <c r="I8207" s="1"/>
    </row>
    <row r="8208" spans="8:9" x14ac:dyDescent="0.2">
      <c r="H8208" s="1"/>
      <c r="I8208" s="1"/>
    </row>
    <row r="8209" spans="8:9" x14ac:dyDescent="0.2">
      <c r="H8209" s="1"/>
      <c r="I8209" s="1"/>
    </row>
    <row r="8210" spans="8:9" x14ac:dyDescent="0.2">
      <c r="H8210" s="1"/>
      <c r="I8210" s="1"/>
    </row>
    <row r="8211" spans="8:9" x14ac:dyDescent="0.2">
      <c r="H8211" s="1"/>
      <c r="I8211" s="1"/>
    </row>
    <row r="8212" spans="8:9" x14ac:dyDescent="0.2">
      <c r="H8212" s="1"/>
      <c r="I8212" s="1"/>
    </row>
    <row r="8213" spans="8:9" x14ac:dyDescent="0.2">
      <c r="H8213" s="1"/>
      <c r="I8213" s="1"/>
    </row>
    <row r="8214" spans="8:9" x14ac:dyDescent="0.2">
      <c r="H8214" s="1"/>
      <c r="I8214" s="1"/>
    </row>
    <row r="8215" spans="8:9" x14ac:dyDescent="0.2">
      <c r="H8215" s="1"/>
      <c r="I8215" s="1"/>
    </row>
    <row r="8216" spans="8:9" x14ac:dyDescent="0.2">
      <c r="H8216" s="1"/>
      <c r="I8216" s="1"/>
    </row>
    <row r="8217" spans="8:9" x14ac:dyDescent="0.2">
      <c r="H8217" s="1"/>
      <c r="I8217" s="1"/>
    </row>
    <row r="8218" spans="8:9" x14ac:dyDescent="0.2">
      <c r="H8218" s="1"/>
      <c r="I8218" s="1"/>
    </row>
    <row r="8219" spans="8:9" x14ac:dyDescent="0.2">
      <c r="H8219" s="1"/>
      <c r="I8219" s="1"/>
    </row>
    <row r="8220" spans="8:9" x14ac:dyDescent="0.2">
      <c r="H8220" s="1"/>
      <c r="I8220" s="1"/>
    </row>
    <row r="8221" spans="8:9" x14ac:dyDescent="0.2">
      <c r="H8221" s="1"/>
      <c r="I8221" s="1"/>
    </row>
    <row r="8222" spans="8:9" x14ac:dyDescent="0.2">
      <c r="H8222" s="1"/>
      <c r="I8222" s="1"/>
    </row>
    <row r="8223" spans="8:9" x14ac:dyDescent="0.2">
      <c r="H8223" s="1"/>
      <c r="I8223" s="1"/>
    </row>
    <row r="8224" spans="8:9" x14ac:dyDescent="0.2">
      <c r="H8224" s="1"/>
      <c r="I8224" s="1"/>
    </row>
    <row r="8225" spans="8:9" x14ac:dyDescent="0.2">
      <c r="H8225" s="1"/>
      <c r="I8225" s="1"/>
    </row>
    <row r="8226" spans="8:9" x14ac:dyDescent="0.2">
      <c r="H8226" s="1"/>
      <c r="I8226" s="1"/>
    </row>
    <row r="8227" spans="8:9" x14ac:dyDescent="0.2">
      <c r="H8227" s="1"/>
      <c r="I8227" s="1"/>
    </row>
    <row r="8228" spans="8:9" x14ac:dyDescent="0.2">
      <c r="H8228" s="1"/>
      <c r="I8228" s="1"/>
    </row>
    <row r="8229" spans="8:9" x14ac:dyDescent="0.2">
      <c r="H8229" s="1"/>
      <c r="I8229" s="1"/>
    </row>
    <row r="8230" spans="8:9" x14ac:dyDescent="0.2">
      <c r="H8230" s="1"/>
      <c r="I8230" s="1"/>
    </row>
    <row r="8231" spans="8:9" x14ac:dyDescent="0.2">
      <c r="H8231" s="1"/>
      <c r="I8231" s="1"/>
    </row>
    <row r="8232" spans="8:9" x14ac:dyDescent="0.2">
      <c r="H8232" s="1"/>
      <c r="I8232" s="1"/>
    </row>
    <row r="8233" spans="8:9" x14ac:dyDescent="0.2">
      <c r="H8233" s="1"/>
      <c r="I8233" s="1"/>
    </row>
    <row r="8234" spans="8:9" x14ac:dyDescent="0.2">
      <c r="H8234" s="1"/>
      <c r="I8234" s="1"/>
    </row>
    <row r="8235" spans="8:9" x14ac:dyDescent="0.2">
      <c r="H8235" s="1"/>
      <c r="I8235" s="1"/>
    </row>
    <row r="8236" spans="8:9" x14ac:dyDescent="0.2">
      <c r="H8236" s="1"/>
      <c r="I8236" s="1"/>
    </row>
    <row r="8237" spans="8:9" x14ac:dyDescent="0.2">
      <c r="H8237" s="1"/>
      <c r="I8237" s="1"/>
    </row>
    <row r="8238" spans="8:9" x14ac:dyDescent="0.2">
      <c r="H8238" s="1"/>
      <c r="I8238" s="1"/>
    </row>
    <row r="8239" spans="8:9" x14ac:dyDescent="0.2">
      <c r="H8239" s="1"/>
      <c r="I8239" s="1"/>
    </row>
    <row r="8240" spans="8:9" x14ac:dyDescent="0.2">
      <c r="H8240" s="1"/>
      <c r="I8240" s="1"/>
    </row>
    <row r="8241" spans="8:9" x14ac:dyDescent="0.2">
      <c r="H8241" s="1"/>
      <c r="I8241" s="1"/>
    </row>
    <row r="8242" spans="8:9" x14ac:dyDescent="0.2">
      <c r="H8242" s="1"/>
      <c r="I8242" s="1"/>
    </row>
    <row r="8243" spans="8:9" x14ac:dyDescent="0.2">
      <c r="H8243" s="1"/>
      <c r="I8243" s="1"/>
    </row>
    <row r="8244" spans="8:9" x14ac:dyDescent="0.2">
      <c r="H8244" s="1"/>
      <c r="I8244" s="1"/>
    </row>
    <row r="8245" spans="8:9" x14ac:dyDescent="0.2">
      <c r="H8245" s="1"/>
      <c r="I8245" s="1"/>
    </row>
    <row r="8246" spans="8:9" x14ac:dyDescent="0.2">
      <c r="H8246" s="1"/>
      <c r="I8246" s="1"/>
    </row>
    <row r="8247" spans="8:9" x14ac:dyDescent="0.2">
      <c r="H8247" s="1"/>
      <c r="I8247" s="1"/>
    </row>
    <row r="8248" spans="8:9" x14ac:dyDescent="0.2">
      <c r="H8248" s="1"/>
      <c r="I8248" s="1"/>
    </row>
    <row r="8249" spans="8:9" x14ac:dyDescent="0.2">
      <c r="H8249" s="1"/>
      <c r="I8249" s="1"/>
    </row>
    <row r="8250" spans="8:9" x14ac:dyDescent="0.2">
      <c r="H8250" s="1"/>
      <c r="I8250" s="1"/>
    </row>
    <row r="8251" spans="8:9" x14ac:dyDescent="0.2">
      <c r="H8251" s="1"/>
      <c r="I8251" s="1"/>
    </row>
    <row r="8252" spans="8:9" x14ac:dyDescent="0.2">
      <c r="H8252" s="1"/>
      <c r="I8252" s="1"/>
    </row>
    <row r="8253" spans="8:9" x14ac:dyDescent="0.2">
      <c r="H8253" s="1"/>
      <c r="I8253" s="1"/>
    </row>
    <row r="8254" spans="8:9" x14ac:dyDescent="0.2">
      <c r="H8254" s="1"/>
      <c r="I8254" s="1"/>
    </row>
    <row r="8255" spans="8:9" x14ac:dyDescent="0.2">
      <c r="H8255" s="1"/>
      <c r="I8255" s="1"/>
    </row>
    <row r="8256" spans="8:9" x14ac:dyDescent="0.2">
      <c r="H8256" s="1"/>
      <c r="I8256" s="1"/>
    </row>
    <row r="8257" spans="8:9" x14ac:dyDescent="0.2">
      <c r="H8257" s="1"/>
      <c r="I8257" s="1"/>
    </row>
    <row r="8258" spans="8:9" x14ac:dyDescent="0.2">
      <c r="H8258" s="1"/>
      <c r="I8258" s="1"/>
    </row>
    <row r="8259" spans="8:9" x14ac:dyDescent="0.2">
      <c r="H8259" s="1"/>
      <c r="I8259" s="1"/>
    </row>
    <row r="8260" spans="8:9" x14ac:dyDescent="0.2">
      <c r="H8260" s="1"/>
      <c r="I8260" s="1"/>
    </row>
    <row r="8261" spans="8:9" x14ac:dyDescent="0.2">
      <c r="H8261" s="1"/>
      <c r="I8261" s="1"/>
    </row>
    <row r="8262" spans="8:9" x14ac:dyDescent="0.2">
      <c r="H8262" s="1"/>
      <c r="I8262" s="1"/>
    </row>
    <row r="8263" spans="8:9" x14ac:dyDescent="0.2">
      <c r="H8263" s="1"/>
      <c r="I8263" s="1"/>
    </row>
    <row r="8264" spans="8:9" x14ac:dyDescent="0.2">
      <c r="H8264" s="1"/>
      <c r="I8264" s="1"/>
    </row>
    <row r="8265" spans="8:9" x14ac:dyDescent="0.2">
      <c r="H8265" s="1"/>
      <c r="I8265" s="1"/>
    </row>
    <row r="8266" spans="8:9" x14ac:dyDescent="0.2">
      <c r="H8266" s="1"/>
      <c r="I8266" s="1"/>
    </row>
    <row r="8267" spans="8:9" x14ac:dyDescent="0.2">
      <c r="H8267" s="1"/>
      <c r="I8267" s="1"/>
    </row>
    <row r="8268" spans="8:9" x14ac:dyDescent="0.2">
      <c r="H8268" s="1"/>
      <c r="I8268" s="1"/>
    </row>
    <row r="8269" spans="8:9" x14ac:dyDescent="0.2">
      <c r="H8269" s="1"/>
      <c r="I8269" s="1"/>
    </row>
    <row r="8270" spans="8:9" x14ac:dyDescent="0.2">
      <c r="H8270" s="1"/>
      <c r="I8270" s="1"/>
    </row>
    <row r="8271" spans="8:9" x14ac:dyDescent="0.2">
      <c r="H8271" s="1"/>
      <c r="I8271" s="1"/>
    </row>
    <row r="8272" spans="8:9" x14ac:dyDescent="0.2">
      <c r="H8272" s="1"/>
      <c r="I8272" s="1"/>
    </row>
    <row r="8273" spans="8:9" x14ac:dyDescent="0.2">
      <c r="H8273" s="1"/>
      <c r="I8273" s="1"/>
    </row>
    <row r="8274" spans="8:9" x14ac:dyDescent="0.2">
      <c r="H8274" s="1"/>
      <c r="I8274" s="1"/>
    </row>
    <row r="8275" spans="8:9" x14ac:dyDescent="0.2">
      <c r="H8275" s="1"/>
      <c r="I8275" s="1"/>
    </row>
    <row r="8276" spans="8:9" x14ac:dyDescent="0.2">
      <c r="H8276" s="1"/>
      <c r="I8276" s="1"/>
    </row>
    <row r="8277" spans="8:9" x14ac:dyDescent="0.2">
      <c r="H8277" s="1"/>
      <c r="I8277" s="1"/>
    </row>
    <row r="8278" spans="8:9" x14ac:dyDescent="0.2">
      <c r="H8278" s="1"/>
      <c r="I8278" s="1"/>
    </row>
    <row r="8279" spans="8:9" x14ac:dyDescent="0.2">
      <c r="H8279" s="1"/>
      <c r="I8279" s="1"/>
    </row>
    <row r="8280" spans="8:9" x14ac:dyDescent="0.2">
      <c r="H8280" s="1"/>
      <c r="I8280" s="1"/>
    </row>
    <row r="8281" spans="8:9" x14ac:dyDescent="0.2">
      <c r="H8281" s="1"/>
      <c r="I8281" s="1"/>
    </row>
    <row r="8282" spans="8:9" x14ac:dyDescent="0.2">
      <c r="H8282" s="1"/>
      <c r="I8282" s="1"/>
    </row>
    <row r="8283" spans="8:9" x14ac:dyDescent="0.2">
      <c r="H8283" s="1"/>
      <c r="I8283" s="1"/>
    </row>
    <row r="8284" spans="8:9" x14ac:dyDescent="0.2">
      <c r="H8284" s="1"/>
      <c r="I8284" s="1"/>
    </row>
    <row r="8285" spans="8:9" x14ac:dyDescent="0.2">
      <c r="H8285" s="1"/>
      <c r="I8285" s="1"/>
    </row>
    <row r="8286" spans="8:9" x14ac:dyDescent="0.2">
      <c r="H8286" s="1"/>
      <c r="I8286" s="1"/>
    </row>
    <row r="8287" spans="8:9" x14ac:dyDescent="0.2">
      <c r="H8287" s="1"/>
      <c r="I8287" s="1"/>
    </row>
    <row r="8288" spans="8:9" x14ac:dyDescent="0.2">
      <c r="H8288" s="1"/>
      <c r="I8288" s="1"/>
    </row>
    <row r="8289" spans="8:9" x14ac:dyDescent="0.2">
      <c r="H8289" s="1"/>
      <c r="I8289" s="1"/>
    </row>
    <row r="8290" spans="8:9" x14ac:dyDescent="0.2">
      <c r="H8290" s="1"/>
      <c r="I8290" s="1"/>
    </row>
    <row r="8291" spans="8:9" x14ac:dyDescent="0.2">
      <c r="H8291" s="1"/>
      <c r="I8291" s="1"/>
    </row>
    <row r="8292" spans="8:9" x14ac:dyDescent="0.2">
      <c r="H8292" s="1"/>
      <c r="I8292" s="1"/>
    </row>
    <row r="8293" spans="8:9" x14ac:dyDescent="0.2">
      <c r="H8293" s="1"/>
      <c r="I8293" s="1"/>
    </row>
    <row r="8294" spans="8:9" x14ac:dyDescent="0.2">
      <c r="H8294" s="1"/>
      <c r="I8294" s="1"/>
    </row>
    <row r="8295" spans="8:9" x14ac:dyDescent="0.2">
      <c r="H8295" s="1"/>
      <c r="I8295" s="1"/>
    </row>
    <row r="8296" spans="8:9" x14ac:dyDescent="0.2">
      <c r="H8296" s="1"/>
      <c r="I8296" s="1"/>
    </row>
    <row r="8297" spans="8:9" x14ac:dyDescent="0.2">
      <c r="H8297" s="1"/>
      <c r="I8297" s="1"/>
    </row>
    <row r="8298" spans="8:9" x14ac:dyDescent="0.2">
      <c r="H8298" s="1"/>
      <c r="I8298" s="1"/>
    </row>
    <row r="8299" spans="8:9" x14ac:dyDescent="0.2">
      <c r="H8299" s="1"/>
      <c r="I8299" s="1"/>
    </row>
    <row r="8300" spans="8:9" x14ac:dyDescent="0.2">
      <c r="H8300" s="1"/>
      <c r="I8300" s="1"/>
    </row>
    <row r="8301" spans="8:9" x14ac:dyDescent="0.2">
      <c r="H8301" s="1"/>
      <c r="I8301" s="1"/>
    </row>
    <row r="8302" spans="8:9" x14ac:dyDescent="0.2">
      <c r="H8302" s="1"/>
      <c r="I8302" s="1"/>
    </row>
    <row r="8303" spans="8:9" x14ac:dyDescent="0.2">
      <c r="H8303" s="1"/>
      <c r="I8303" s="1"/>
    </row>
    <row r="8304" spans="8:9" x14ac:dyDescent="0.2">
      <c r="H8304" s="1"/>
      <c r="I8304" s="1"/>
    </row>
    <row r="8305" spans="8:9" x14ac:dyDescent="0.2">
      <c r="H8305" s="1"/>
      <c r="I8305" s="1"/>
    </row>
    <row r="8306" spans="8:9" x14ac:dyDescent="0.2">
      <c r="H8306" s="1"/>
      <c r="I8306" s="1"/>
    </row>
    <row r="8307" spans="8:9" x14ac:dyDescent="0.2">
      <c r="H8307" s="1"/>
      <c r="I8307" s="1"/>
    </row>
    <row r="8308" spans="8:9" x14ac:dyDescent="0.2">
      <c r="H8308" s="1"/>
      <c r="I8308" s="1"/>
    </row>
    <row r="8309" spans="8:9" x14ac:dyDescent="0.2">
      <c r="H8309" s="1"/>
      <c r="I8309" s="1"/>
    </row>
    <row r="8310" spans="8:9" x14ac:dyDescent="0.2">
      <c r="H8310" s="1"/>
      <c r="I8310" s="1"/>
    </row>
    <row r="8311" spans="8:9" x14ac:dyDescent="0.2">
      <c r="H8311" s="1"/>
      <c r="I8311" s="1"/>
    </row>
    <row r="8312" spans="8:9" x14ac:dyDescent="0.2">
      <c r="H8312" s="1"/>
      <c r="I8312" s="1"/>
    </row>
    <row r="8313" spans="8:9" x14ac:dyDescent="0.2">
      <c r="H8313" s="1"/>
      <c r="I8313" s="1"/>
    </row>
    <row r="8314" spans="8:9" x14ac:dyDescent="0.2">
      <c r="H8314" s="1"/>
      <c r="I8314" s="1"/>
    </row>
    <row r="8315" spans="8:9" x14ac:dyDescent="0.2">
      <c r="H8315" s="1"/>
      <c r="I8315" s="1"/>
    </row>
    <row r="8316" spans="8:9" x14ac:dyDescent="0.2">
      <c r="H8316" s="1"/>
      <c r="I8316" s="1"/>
    </row>
    <row r="8317" spans="8:9" x14ac:dyDescent="0.2">
      <c r="H8317" s="1"/>
      <c r="I8317" s="1"/>
    </row>
    <row r="8318" spans="8:9" x14ac:dyDescent="0.2">
      <c r="H8318" s="1"/>
      <c r="I8318" s="1"/>
    </row>
    <row r="8319" spans="8:9" x14ac:dyDescent="0.2">
      <c r="H8319" s="1"/>
      <c r="I8319" s="1"/>
    </row>
    <row r="8320" spans="8:9" x14ac:dyDescent="0.2">
      <c r="H8320" s="1"/>
      <c r="I8320" s="1"/>
    </row>
    <row r="8321" spans="8:9" x14ac:dyDescent="0.2">
      <c r="H8321" s="1"/>
      <c r="I8321" s="1"/>
    </row>
    <row r="8322" spans="8:9" x14ac:dyDescent="0.2">
      <c r="H8322" s="1"/>
      <c r="I8322" s="1"/>
    </row>
    <row r="8323" spans="8:9" x14ac:dyDescent="0.2">
      <c r="H8323" s="1"/>
      <c r="I8323" s="1"/>
    </row>
    <row r="8324" spans="8:9" x14ac:dyDescent="0.2">
      <c r="H8324" s="1"/>
      <c r="I8324" s="1"/>
    </row>
    <row r="8325" spans="8:9" x14ac:dyDescent="0.2">
      <c r="H8325" s="1"/>
      <c r="I8325" s="1"/>
    </row>
    <row r="8326" spans="8:9" x14ac:dyDescent="0.2">
      <c r="H8326" s="1"/>
      <c r="I8326" s="1"/>
    </row>
    <row r="8327" spans="8:9" x14ac:dyDescent="0.2">
      <c r="H8327" s="1"/>
      <c r="I8327" s="1"/>
    </row>
    <row r="8328" spans="8:9" x14ac:dyDescent="0.2">
      <c r="H8328" s="1"/>
      <c r="I8328" s="1"/>
    </row>
    <row r="8329" spans="8:9" x14ac:dyDescent="0.2">
      <c r="H8329" s="1"/>
      <c r="I8329" s="1"/>
    </row>
    <row r="8330" spans="8:9" x14ac:dyDescent="0.2">
      <c r="H8330" s="1"/>
      <c r="I8330" s="1"/>
    </row>
    <row r="8331" spans="8:9" x14ac:dyDescent="0.2">
      <c r="H8331" s="1"/>
      <c r="I8331" s="1"/>
    </row>
    <row r="8332" spans="8:9" x14ac:dyDescent="0.2">
      <c r="H8332" s="1"/>
      <c r="I8332" s="1"/>
    </row>
    <row r="8333" spans="8:9" x14ac:dyDescent="0.2">
      <c r="H8333" s="1"/>
      <c r="I8333" s="1"/>
    </row>
    <row r="8334" spans="8:9" x14ac:dyDescent="0.2">
      <c r="H8334" s="1"/>
      <c r="I8334" s="1"/>
    </row>
    <row r="8335" spans="8:9" x14ac:dyDescent="0.2">
      <c r="H8335" s="1"/>
      <c r="I8335" s="1"/>
    </row>
    <row r="8336" spans="8:9" x14ac:dyDescent="0.2">
      <c r="H8336" s="1"/>
      <c r="I8336" s="1"/>
    </row>
    <row r="8337" spans="8:9" x14ac:dyDescent="0.2">
      <c r="H8337" s="1"/>
      <c r="I8337" s="1"/>
    </row>
    <row r="8338" spans="8:9" x14ac:dyDescent="0.2">
      <c r="H8338" s="1"/>
      <c r="I8338" s="1"/>
    </row>
    <row r="8339" spans="8:9" x14ac:dyDescent="0.2">
      <c r="H8339" s="1"/>
      <c r="I8339" s="1"/>
    </row>
    <row r="8340" spans="8:9" x14ac:dyDescent="0.2">
      <c r="H8340" s="1"/>
      <c r="I8340" s="1"/>
    </row>
    <row r="8341" spans="8:9" x14ac:dyDescent="0.2">
      <c r="H8341" s="1"/>
      <c r="I8341" s="1"/>
    </row>
    <row r="8342" spans="8:9" x14ac:dyDescent="0.2">
      <c r="H8342" s="1"/>
      <c r="I8342" s="1"/>
    </row>
    <row r="8343" spans="8:9" x14ac:dyDescent="0.2">
      <c r="H8343" s="1"/>
      <c r="I8343" s="1"/>
    </row>
    <row r="8344" spans="8:9" x14ac:dyDescent="0.2">
      <c r="H8344" s="1"/>
      <c r="I8344" s="1"/>
    </row>
    <row r="8345" spans="8:9" x14ac:dyDescent="0.2">
      <c r="H8345" s="1"/>
      <c r="I8345" s="1"/>
    </row>
    <row r="8346" spans="8:9" x14ac:dyDescent="0.2">
      <c r="H8346" s="1"/>
      <c r="I8346" s="1"/>
    </row>
    <row r="8347" spans="8:9" x14ac:dyDescent="0.2">
      <c r="H8347" s="1"/>
      <c r="I8347" s="1"/>
    </row>
    <row r="8348" spans="8:9" x14ac:dyDescent="0.2">
      <c r="H8348" s="1"/>
      <c r="I8348" s="1"/>
    </row>
    <row r="8349" spans="8:9" x14ac:dyDescent="0.2">
      <c r="H8349" s="1"/>
      <c r="I8349" s="1"/>
    </row>
    <row r="8350" spans="8:9" x14ac:dyDescent="0.2">
      <c r="H8350" s="1"/>
      <c r="I8350" s="1"/>
    </row>
    <row r="8351" spans="8:9" x14ac:dyDescent="0.2">
      <c r="H8351" s="1"/>
      <c r="I8351" s="1"/>
    </row>
    <row r="8352" spans="8:9" x14ac:dyDescent="0.2">
      <c r="H8352" s="1"/>
      <c r="I8352" s="1"/>
    </row>
    <row r="8353" spans="8:9" x14ac:dyDescent="0.2">
      <c r="H8353" s="1"/>
      <c r="I8353" s="1"/>
    </row>
    <row r="8354" spans="8:9" x14ac:dyDescent="0.2">
      <c r="H8354" s="1"/>
      <c r="I8354" s="1"/>
    </row>
    <row r="8355" spans="8:9" x14ac:dyDescent="0.2">
      <c r="H8355" s="1"/>
      <c r="I8355" s="1"/>
    </row>
    <row r="8356" spans="8:9" x14ac:dyDescent="0.2">
      <c r="H8356" s="1"/>
      <c r="I8356" s="1"/>
    </row>
    <row r="8357" spans="8:9" x14ac:dyDescent="0.2">
      <c r="H8357" s="1"/>
      <c r="I8357" s="1"/>
    </row>
    <row r="8358" spans="8:9" x14ac:dyDescent="0.2">
      <c r="H8358" s="1"/>
      <c r="I8358" s="1"/>
    </row>
    <row r="8359" spans="8:9" x14ac:dyDescent="0.2">
      <c r="H8359" s="1"/>
      <c r="I8359" s="1"/>
    </row>
    <row r="8360" spans="8:9" x14ac:dyDescent="0.2">
      <c r="H8360" s="1"/>
      <c r="I8360" s="1"/>
    </row>
    <row r="8361" spans="8:9" x14ac:dyDescent="0.2">
      <c r="H8361" s="1"/>
      <c r="I8361" s="1"/>
    </row>
    <row r="8362" spans="8:9" x14ac:dyDescent="0.2">
      <c r="H8362" s="1"/>
      <c r="I8362" s="1"/>
    </row>
    <row r="8363" spans="8:9" x14ac:dyDescent="0.2">
      <c r="H8363" s="1"/>
      <c r="I8363" s="1"/>
    </row>
    <row r="8364" spans="8:9" x14ac:dyDescent="0.2">
      <c r="H8364" s="1"/>
      <c r="I8364" s="1"/>
    </row>
    <row r="8365" spans="8:9" x14ac:dyDescent="0.2">
      <c r="H8365" s="1"/>
      <c r="I8365" s="1"/>
    </row>
    <row r="8366" spans="8:9" x14ac:dyDescent="0.2">
      <c r="H8366" s="1"/>
      <c r="I8366" s="1"/>
    </row>
    <row r="8367" spans="8:9" x14ac:dyDescent="0.2">
      <c r="H8367" s="1"/>
      <c r="I8367" s="1"/>
    </row>
    <row r="8368" spans="8:9" x14ac:dyDescent="0.2">
      <c r="H8368" s="1"/>
      <c r="I8368" s="1"/>
    </row>
    <row r="8369" spans="8:9" x14ac:dyDescent="0.2">
      <c r="H8369" s="1"/>
      <c r="I8369" s="1"/>
    </row>
    <row r="8370" spans="8:9" x14ac:dyDescent="0.2">
      <c r="H8370" s="1"/>
      <c r="I8370" s="1"/>
    </row>
    <row r="8371" spans="8:9" x14ac:dyDescent="0.2">
      <c r="H8371" s="1"/>
      <c r="I8371" s="1"/>
    </row>
    <row r="8372" spans="8:9" x14ac:dyDescent="0.2">
      <c r="H8372" s="1"/>
      <c r="I8372" s="1"/>
    </row>
    <row r="8373" spans="8:9" x14ac:dyDescent="0.2">
      <c r="H8373" s="1"/>
      <c r="I8373" s="1"/>
    </row>
    <row r="8374" spans="8:9" x14ac:dyDescent="0.2">
      <c r="H8374" s="1"/>
      <c r="I8374" s="1"/>
    </row>
    <row r="8375" spans="8:9" x14ac:dyDescent="0.2">
      <c r="H8375" s="1"/>
      <c r="I8375" s="1"/>
    </row>
    <row r="8376" spans="8:9" x14ac:dyDescent="0.2">
      <c r="H8376" s="1"/>
      <c r="I8376" s="1"/>
    </row>
    <row r="8377" spans="8:9" x14ac:dyDescent="0.2">
      <c r="H8377" s="1"/>
      <c r="I8377" s="1"/>
    </row>
    <row r="8378" spans="8:9" x14ac:dyDescent="0.2">
      <c r="H8378" s="1"/>
      <c r="I8378" s="1"/>
    </row>
    <row r="8379" spans="8:9" x14ac:dyDescent="0.2">
      <c r="H8379" s="1"/>
      <c r="I8379" s="1"/>
    </row>
    <row r="8380" spans="8:9" x14ac:dyDescent="0.2">
      <c r="H8380" s="1"/>
      <c r="I8380" s="1"/>
    </row>
    <row r="8381" spans="8:9" x14ac:dyDescent="0.2">
      <c r="H8381" s="1"/>
      <c r="I8381" s="1"/>
    </row>
    <row r="8382" spans="8:9" x14ac:dyDescent="0.2">
      <c r="H8382" s="1"/>
      <c r="I8382" s="1"/>
    </row>
    <row r="8383" spans="8:9" x14ac:dyDescent="0.2">
      <c r="H8383" s="1"/>
      <c r="I8383" s="1"/>
    </row>
    <row r="8384" spans="8:9" x14ac:dyDescent="0.2">
      <c r="H8384" s="1"/>
      <c r="I8384" s="1"/>
    </row>
    <row r="8385" spans="8:9" x14ac:dyDescent="0.2">
      <c r="H8385" s="1"/>
      <c r="I8385" s="1"/>
    </row>
    <row r="8386" spans="8:9" x14ac:dyDescent="0.2">
      <c r="H8386" s="1"/>
      <c r="I8386" s="1"/>
    </row>
    <row r="8387" spans="8:9" x14ac:dyDescent="0.2">
      <c r="H8387" s="1"/>
      <c r="I8387" s="1"/>
    </row>
    <row r="8388" spans="8:9" x14ac:dyDescent="0.2">
      <c r="H8388" s="1"/>
      <c r="I8388" s="1"/>
    </row>
    <row r="8389" spans="8:9" x14ac:dyDescent="0.2">
      <c r="H8389" s="1"/>
      <c r="I8389" s="1"/>
    </row>
    <row r="8390" spans="8:9" x14ac:dyDescent="0.2">
      <c r="H8390" s="1"/>
      <c r="I8390" s="1"/>
    </row>
    <row r="8391" spans="8:9" x14ac:dyDescent="0.2">
      <c r="H8391" s="1"/>
      <c r="I8391" s="1"/>
    </row>
    <row r="8392" spans="8:9" x14ac:dyDescent="0.2">
      <c r="H8392" s="1"/>
      <c r="I8392" s="1"/>
    </row>
    <row r="8393" spans="8:9" x14ac:dyDescent="0.2">
      <c r="H8393" s="1"/>
      <c r="I8393" s="1"/>
    </row>
    <row r="8394" spans="8:9" x14ac:dyDescent="0.2">
      <c r="H8394" s="1"/>
      <c r="I8394" s="1"/>
    </row>
    <row r="8395" spans="8:9" x14ac:dyDescent="0.2">
      <c r="H8395" s="1"/>
      <c r="I8395" s="1"/>
    </row>
    <row r="8396" spans="8:9" x14ac:dyDescent="0.2">
      <c r="H8396" s="1"/>
      <c r="I8396" s="1"/>
    </row>
    <row r="8397" spans="8:9" x14ac:dyDescent="0.2">
      <c r="H8397" s="1"/>
      <c r="I8397" s="1"/>
    </row>
    <row r="8398" spans="8:9" x14ac:dyDescent="0.2">
      <c r="H8398" s="1"/>
      <c r="I8398" s="1"/>
    </row>
    <row r="8399" spans="8:9" x14ac:dyDescent="0.2">
      <c r="H8399" s="1"/>
      <c r="I8399" s="1"/>
    </row>
    <row r="8400" spans="8:9" x14ac:dyDescent="0.2">
      <c r="H8400" s="1"/>
      <c r="I8400" s="1"/>
    </row>
    <row r="8401" spans="8:9" x14ac:dyDescent="0.2">
      <c r="H8401" s="1"/>
      <c r="I8401" s="1"/>
    </row>
    <row r="8402" spans="8:9" x14ac:dyDescent="0.2">
      <c r="H8402" s="1"/>
      <c r="I8402" s="1"/>
    </row>
    <row r="8403" spans="8:9" x14ac:dyDescent="0.2">
      <c r="H8403" s="1"/>
      <c r="I8403" s="1"/>
    </row>
    <row r="8404" spans="8:9" x14ac:dyDescent="0.2">
      <c r="H8404" s="1"/>
      <c r="I8404" s="1"/>
    </row>
    <row r="8405" spans="8:9" x14ac:dyDescent="0.2">
      <c r="H8405" s="1"/>
      <c r="I8405" s="1"/>
    </row>
    <row r="8406" spans="8:9" x14ac:dyDescent="0.2">
      <c r="H8406" s="1"/>
      <c r="I8406" s="1"/>
    </row>
    <row r="8407" spans="8:9" x14ac:dyDescent="0.2">
      <c r="H8407" s="1"/>
      <c r="I8407" s="1"/>
    </row>
    <row r="8408" spans="8:9" x14ac:dyDescent="0.2">
      <c r="H8408" s="1"/>
      <c r="I8408" s="1"/>
    </row>
    <row r="8409" spans="8:9" x14ac:dyDescent="0.2">
      <c r="H8409" s="1"/>
      <c r="I8409" s="1"/>
    </row>
    <row r="8410" spans="8:9" x14ac:dyDescent="0.2">
      <c r="H8410" s="1"/>
      <c r="I8410" s="1"/>
    </row>
    <row r="8411" spans="8:9" x14ac:dyDescent="0.2">
      <c r="H8411" s="1"/>
      <c r="I8411" s="1"/>
    </row>
    <row r="8412" spans="8:9" x14ac:dyDescent="0.2">
      <c r="H8412" s="1"/>
      <c r="I8412" s="1"/>
    </row>
    <row r="8413" spans="8:9" x14ac:dyDescent="0.2">
      <c r="H8413" s="1"/>
      <c r="I8413" s="1"/>
    </row>
    <row r="8414" spans="8:9" x14ac:dyDescent="0.2">
      <c r="H8414" s="1"/>
      <c r="I8414" s="1"/>
    </row>
    <row r="8415" spans="8:9" x14ac:dyDescent="0.2">
      <c r="H8415" s="1"/>
      <c r="I8415" s="1"/>
    </row>
    <row r="8416" spans="8:9" x14ac:dyDescent="0.2">
      <c r="H8416" s="1"/>
      <c r="I8416" s="1"/>
    </row>
    <row r="8417" spans="8:9" x14ac:dyDescent="0.2">
      <c r="H8417" s="1"/>
      <c r="I8417" s="1"/>
    </row>
    <row r="8418" spans="8:9" x14ac:dyDescent="0.2">
      <c r="H8418" s="1"/>
      <c r="I8418" s="1"/>
    </row>
    <row r="8419" spans="8:9" x14ac:dyDescent="0.2">
      <c r="H8419" s="1"/>
      <c r="I8419" s="1"/>
    </row>
    <row r="8420" spans="8:9" x14ac:dyDescent="0.2">
      <c r="H8420" s="1"/>
      <c r="I8420" s="1"/>
    </row>
    <row r="8421" spans="8:9" x14ac:dyDescent="0.2">
      <c r="H8421" s="1"/>
      <c r="I8421" s="1"/>
    </row>
    <row r="8422" spans="8:9" x14ac:dyDescent="0.2">
      <c r="H8422" s="1"/>
      <c r="I8422" s="1"/>
    </row>
    <row r="8423" spans="8:9" x14ac:dyDescent="0.2">
      <c r="H8423" s="1"/>
      <c r="I8423" s="1"/>
    </row>
    <row r="8424" spans="8:9" x14ac:dyDescent="0.2">
      <c r="H8424" s="1"/>
      <c r="I8424" s="1"/>
    </row>
    <row r="8425" spans="8:9" x14ac:dyDescent="0.2">
      <c r="H8425" s="1"/>
      <c r="I8425" s="1"/>
    </row>
    <row r="8426" spans="8:9" x14ac:dyDescent="0.2">
      <c r="H8426" s="1"/>
      <c r="I8426" s="1"/>
    </row>
    <row r="8427" spans="8:9" x14ac:dyDescent="0.2">
      <c r="H8427" s="1"/>
      <c r="I8427" s="1"/>
    </row>
    <row r="8428" spans="8:9" x14ac:dyDescent="0.2">
      <c r="H8428" s="1"/>
      <c r="I8428" s="1"/>
    </row>
    <row r="8429" spans="8:9" x14ac:dyDescent="0.2">
      <c r="H8429" s="1"/>
      <c r="I8429" s="1"/>
    </row>
    <row r="8430" spans="8:9" x14ac:dyDescent="0.2">
      <c r="H8430" s="1"/>
      <c r="I8430" s="1"/>
    </row>
    <row r="8431" spans="8:9" x14ac:dyDescent="0.2">
      <c r="H8431" s="1"/>
      <c r="I8431" s="1"/>
    </row>
    <row r="8432" spans="8:9" x14ac:dyDescent="0.2">
      <c r="H8432" s="1"/>
      <c r="I8432" s="1"/>
    </row>
    <row r="8433" spans="8:9" x14ac:dyDescent="0.2">
      <c r="H8433" s="1"/>
      <c r="I8433" s="1"/>
    </row>
    <row r="8434" spans="8:9" x14ac:dyDescent="0.2">
      <c r="H8434" s="1"/>
      <c r="I8434" s="1"/>
    </row>
    <row r="8435" spans="8:9" x14ac:dyDescent="0.2">
      <c r="H8435" s="1"/>
      <c r="I8435" s="1"/>
    </row>
    <row r="8436" spans="8:9" x14ac:dyDescent="0.2">
      <c r="H8436" s="1"/>
      <c r="I8436" s="1"/>
    </row>
    <row r="8437" spans="8:9" x14ac:dyDescent="0.2">
      <c r="H8437" s="1"/>
      <c r="I8437" s="1"/>
    </row>
    <row r="8438" spans="8:9" x14ac:dyDescent="0.2">
      <c r="H8438" s="1"/>
      <c r="I8438" s="1"/>
    </row>
    <row r="8439" spans="8:9" x14ac:dyDescent="0.2">
      <c r="H8439" s="1"/>
      <c r="I8439" s="1"/>
    </row>
    <row r="8440" spans="8:9" x14ac:dyDescent="0.2">
      <c r="H8440" s="1"/>
      <c r="I8440" s="1"/>
    </row>
    <row r="8441" spans="8:9" x14ac:dyDescent="0.2">
      <c r="H8441" s="1"/>
      <c r="I8441" s="1"/>
    </row>
    <row r="8442" spans="8:9" x14ac:dyDescent="0.2">
      <c r="H8442" s="1"/>
      <c r="I8442" s="1"/>
    </row>
    <row r="8443" spans="8:9" x14ac:dyDescent="0.2">
      <c r="H8443" s="1"/>
      <c r="I8443" s="1"/>
    </row>
    <row r="8444" spans="8:9" x14ac:dyDescent="0.2">
      <c r="H8444" s="1"/>
      <c r="I8444" s="1"/>
    </row>
    <row r="8445" spans="8:9" x14ac:dyDescent="0.2">
      <c r="H8445" s="1"/>
      <c r="I8445" s="1"/>
    </row>
    <row r="8446" spans="8:9" x14ac:dyDescent="0.2">
      <c r="H8446" s="1"/>
      <c r="I8446" s="1"/>
    </row>
    <row r="8447" spans="8:9" x14ac:dyDescent="0.2">
      <c r="H8447" s="1"/>
      <c r="I8447" s="1"/>
    </row>
    <row r="8448" spans="8:9" x14ac:dyDescent="0.2">
      <c r="H8448" s="1"/>
      <c r="I8448" s="1"/>
    </row>
    <row r="8449" spans="8:9" x14ac:dyDescent="0.2">
      <c r="H8449" s="1"/>
      <c r="I8449" s="1"/>
    </row>
    <row r="8450" spans="8:9" x14ac:dyDescent="0.2">
      <c r="H8450" s="1"/>
      <c r="I8450" s="1"/>
    </row>
    <row r="8451" spans="8:9" x14ac:dyDescent="0.2">
      <c r="H8451" s="1"/>
      <c r="I8451" s="1"/>
    </row>
    <row r="8452" spans="8:9" x14ac:dyDescent="0.2">
      <c r="H8452" s="1"/>
      <c r="I8452" s="1"/>
    </row>
    <row r="8453" spans="8:9" x14ac:dyDescent="0.2">
      <c r="H8453" s="1"/>
      <c r="I8453" s="1"/>
    </row>
    <row r="8454" spans="8:9" x14ac:dyDescent="0.2">
      <c r="H8454" s="1"/>
      <c r="I8454" s="1"/>
    </row>
    <row r="8455" spans="8:9" x14ac:dyDescent="0.2">
      <c r="H8455" s="1"/>
      <c r="I8455" s="1"/>
    </row>
    <row r="8456" spans="8:9" x14ac:dyDescent="0.2">
      <c r="H8456" s="1"/>
      <c r="I8456" s="1"/>
    </row>
    <row r="8457" spans="8:9" x14ac:dyDescent="0.2">
      <c r="H8457" s="1"/>
      <c r="I8457" s="1"/>
    </row>
    <row r="8458" spans="8:9" x14ac:dyDescent="0.2">
      <c r="H8458" s="1"/>
      <c r="I8458" s="1"/>
    </row>
    <row r="8459" spans="8:9" x14ac:dyDescent="0.2">
      <c r="H8459" s="1"/>
      <c r="I8459" s="1"/>
    </row>
    <row r="8460" spans="8:9" x14ac:dyDescent="0.2">
      <c r="H8460" s="1"/>
      <c r="I8460" s="1"/>
    </row>
    <row r="8461" spans="8:9" x14ac:dyDescent="0.2">
      <c r="H8461" s="1"/>
      <c r="I8461" s="1"/>
    </row>
    <row r="8462" spans="8:9" x14ac:dyDescent="0.2">
      <c r="H8462" s="1"/>
      <c r="I8462" s="1"/>
    </row>
    <row r="8463" spans="8:9" x14ac:dyDescent="0.2">
      <c r="H8463" s="1"/>
      <c r="I8463" s="1"/>
    </row>
    <row r="8464" spans="8:9" x14ac:dyDescent="0.2">
      <c r="H8464" s="1"/>
      <c r="I8464" s="1"/>
    </row>
    <row r="8465" spans="8:9" x14ac:dyDescent="0.2">
      <c r="H8465" s="1"/>
      <c r="I8465" s="1"/>
    </row>
    <row r="8466" spans="8:9" x14ac:dyDescent="0.2">
      <c r="H8466" s="1"/>
      <c r="I8466" s="1"/>
    </row>
    <row r="8467" spans="8:9" x14ac:dyDescent="0.2">
      <c r="H8467" s="1"/>
      <c r="I8467" s="1"/>
    </row>
    <row r="8468" spans="8:9" x14ac:dyDescent="0.2">
      <c r="H8468" s="1"/>
      <c r="I8468" s="1"/>
    </row>
    <row r="8469" spans="8:9" x14ac:dyDescent="0.2">
      <c r="H8469" s="1"/>
      <c r="I8469" s="1"/>
    </row>
    <row r="8470" spans="8:9" x14ac:dyDescent="0.2">
      <c r="H8470" s="1"/>
      <c r="I8470" s="1"/>
    </row>
    <row r="8471" spans="8:9" x14ac:dyDescent="0.2">
      <c r="H8471" s="1"/>
      <c r="I8471" s="1"/>
    </row>
    <row r="8472" spans="8:9" x14ac:dyDescent="0.2">
      <c r="H8472" s="1"/>
      <c r="I8472" s="1"/>
    </row>
    <row r="8473" spans="8:9" x14ac:dyDescent="0.2">
      <c r="H8473" s="1"/>
      <c r="I8473" s="1"/>
    </row>
    <row r="8474" spans="8:9" x14ac:dyDescent="0.2">
      <c r="H8474" s="1"/>
      <c r="I8474" s="1"/>
    </row>
    <row r="8475" spans="8:9" x14ac:dyDescent="0.2">
      <c r="H8475" s="1"/>
      <c r="I8475" s="1"/>
    </row>
    <row r="8476" spans="8:9" x14ac:dyDescent="0.2">
      <c r="H8476" s="1"/>
      <c r="I8476" s="1"/>
    </row>
    <row r="8477" spans="8:9" x14ac:dyDescent="0.2">
      <c r="H8477" s="1"/>
      <c r="I8477" s="1"/>
    </row>
    <row r="8478" spans="8:9" x14ac:dyDescent="0.2">
      <c r="H8478" s="1"/>
      <c r="I8478" s="1"/>
    </row>
    <row r="8479" spans="8:9" x14ac:dyDescent="0.2">
      <c r="H8479" s="1"/>
      <c r="I8479" s="1"/>
    </row>
    <row r="8480" spans="8:9" x14ac:dyDescent="0.2">
      <c r="H8480" s="1"/>
      <c r="I8480" s="1"/>
    </row>
    <row r="8481" spans="8:9" x14ac:dyDescent="0.2">
      <c r="H8481" s="1"/>
      <c r="I8481" s="1"/>
    </row>
    <row r="8482" spans="8:9" x14ac:dyDescent="0.2">
      <c r="H8482" s="1"/>
      <c r="I8482" s="1"/>
    </row>
    <row r="8483" spans="8:9" x14ac:dyDescent="0.2">
      <c r="H8483" s="1"/>
      <c r="I8483" s="1"/>
    </row>
    <row r="8484" spans="8:9" x14ac:dyDescent="0.2">
      <c r="H8484" s="1"/>
      <c r="I8484" s="1"/>
    </row>
    <row r="8485" spans="8:9" x14ac:dyDescent="0.2">
      <c r="H8485" s="1"/>
      <c r="I8485" s="1"/>
    </row>
    <row r="8486" spans="8:9" x14ac:dyDescent="0.2">
      <c r="H8486" s="1"/>
      <c r="I8486" s="1"/>
    </row>
    <row r="8487" spans="8:9" x14ac:dyDescent="0.2">
      <c r="H8487" s="1"/>
      <c r="I8487" s="1"/>
    </row>
    <row r="8488" spans="8:9" x14ac:dyDescent="0.2">
      <c r="H8488" s="1"/>
      <c r="I8488" s="1"/>
    </row>
    <row r="8489" spans="8:9" x14ac:dyDescent="0.2">
      <c r="H8489" s="1"/>
      <c r="I8489" s="1"/>
    </row>
    <row r="8490" spans="8:9" x14ac:dyDescent="0.2">
      <c r="H8490" s="1"/>
      <c r="I8490" s="1"/>
    </row>
    <row r="8491" spans="8:9" x14ac:dyDescent="0.2">
      <c r="H8491" s="1"/>
      <c r="I8491" s="1"/>
    </row>
    <row r="8492" spans="8:9" x14ac:dyDescent="0.2">
      <c r="H8492" s="1"/>
      <c r="I8492" s="1"/>
    </row>
    <row r="8493" spans="8:9" x14ac:dyDescent="0.2">
      <c r="H8493" s="1"/>
      <c r="I8493" s="1"/>
    </row>
    <row r="8494" spans="8:9" x14ac:dyDescent="0.2">
      <c r="H8494" s="1"/>
      <c r="I8494" s="1"/>
    </row>
    <row r="8495" spans="8:9" x14ac:dyDescent="0.2">
      <c r="H8495" s="1"/>
      <c r="I8495" s="1"/>
    </row>
    <row r="8496" spans="8:9" x14ac:dyDescent="0.2">
      <c r="H8496" s="1"/>
      <c r="I8496" s="1"/>
    </row>
    <row r="8497" spans="8:9" x14ac:dyDescent="0.2">
      <c r="H8497" s="1"/>
      <c r="I8497" s="1"/>
    </row>
    <row r="8498" spans="8:9" x14ac:dyDescent="0.2">
      <c r="H8498" s="1"/>
      <c r="I8498" s="1"/>
    </row>
    <row r="8499" spans="8:9" x14ac:dyDescent="0.2">
      <c r="H8499" s="1"/>
      <c r="I8499" s="1"/>
    </row>
    <row r="8500" spans="8:9" x14ac:dyDescent="0.2">
      <c r="H8500" s="1"/>
      <c r="I8500" s="1"/>
    </row>
    <row r="8501" spans="8:9" x14ac:dyDescent="0.2">
      <c r="H8501" s="1"/>
      <c r="I8501" s="1"/>
    </row>
    <row r="8502" spans="8:9" x14ac:dyDescent="0.2">
      <c r="H8502" s="1"/>
      <c r="I8502" s="1"/>
    </row>
    <row r="8503" spans="8:9" x14ac:dyDescent="0.2">
      <c r="H8503" s="1"/>
      <c r="I8503" s="1"/>
    </row>
    <row r="8504" spans="8:9" x14ac:dyDescent="0.2">
      <c r="H8504" s="1"/>
      <c r="I8504" s="1"/>
    </row>
    <row r="8505" spans="8:9" x14ac:dyDescent="0.2">
      <c r="H8505" s="1"/>
      <c r="I8505" s="1"/>
    </row>
    <row r="8506" spans="8:9" x14ac:dyDescent="0.2">
      <c r="H8506" s="1"/>
      <c r="I8506" s="1"/>
    </row>
    <row r="8507" spans="8:9" x14ac:dyDescent="0.2">
      <c r="H8507" s="1"/>
      <c r="I8507" s="1"/>
    </row>
    <row r="8508" spans="8:9" x14ac:dyDescent="0.2">
      <c r="H8508" s="1"/>
      <c r="I8508" s="1"/>
    </row>
    <row r="8509" spans="8:9" x14ac:dyDescent="0.2">
      <c r="H8509" s="1"/>
      <c r="I8509" s="1"/>
    </row>
    <row r="8510" spans="8:9" x14ac:dyDescent="0.2">
      <c r="H8510" s="1"/>
      <c r="I8510" s="1"/>
    </row>
    <row r="8511" spans="8:9" x14ac:dyDescent="0.2">
      <c r="H8511" s="1"/>
      <c r="I8511" s="1"/>
    </row>
    <row r="8512" spans="8:9" x14ac:dyDescent="0.2">
      <c r="H8512" s="1"/>
      <c r="I8512" s="1"/>
    </row>
    <row r="8513" spans="8:9" x14ac:dyDescent="0.2">
      <c r="H8513" s="1"/>
      <c r="I8513" s="1"/>
    </row>
    <row r="8514" spans="8:9" x14ac:dyDescent="0.2">
      <c r="H8514" s="1"/>
      <c r="I8514" s="1"/>
    </row>
    <row r="8515" spans="8:9" x14ac:dyDescent="0.2">
      <c r="H8515" s="1"/>
      <c r="I8515" s="1"/>
    </row>
    <row r="8516" spans="8:9" x14ac:dyDescent="0.2">
      <c r="H8516" s="1"/>
      <c r="I8516" s="1"/>
    </row>
    <row r="8517" spans="8:9" x14ac:dyDescent="0.2">
      <c r="H8517" s="1"/>
      <c r="I8517" s="1"/>
    </row>
    <row r="8518" spans="8:9" x14ac:dyDescent="0.2">
      <c r="H8518" s="1"/>
      <c r="I8518" s="1"/>
    </row>
    <row r="8519" spans="8:9" x14ac:dyDescent="0.2">
      <c r="H8519" s="1"/>
      <c r="I8519" s="1"/>
    </row>
    <row r="8520" spans="8:9" x14ac:dyDescent="0.2">
      <c r="H8520" s="1"/>
      <c r="I8520" s="1"/>
    </row>
    <row r="8521" spans="8:9" x14ac:dyDescent="0.2">
      <c r="H8521" s="1"/>
      <c r="I8521" s="1"/>
    </row>
    <row r="8522" spans="8:9" x14ac:dyDescent="0.2">
      <c r="H8522" s="1"/>
      <c r="I8522" s="1"/>
    </row>
    <row r="8523" spans="8:9" x14ac:dyDescent="0.2">
      <c r="H8523" s="1"/>
      <c r="I8523" s="1"/>
    </row>
    <row r="8524" spans="8:9" x14ac:dyDescent="0.2">
      <c r="H8524" s="1"/>
      <c r="I8524" s="1"/>
    </row>
    <row r="8525" spans="8:9" x14ac:dyDescent="0.2">
      <c r="H8525" s="1"/>
      <c r="I8525" s="1"/>
    </row>
    <row r="8526" spans="8:9" x14ac:dyDescent="0.2">
      <c r="H8526" s="1"/>
      <c r="I8526" s="1"/>
    </row>
    <row r="8527" spans="8:9" x14ac:dyDescent="0.2">
      <c r="H8527" s="1"/>
      <c r="I8527" s="1"/>
    </row>
    <row r="8528" spans="8:9" x14ac:dyDescent="0.2">
      <c r="H8528" s="1"/>
      <c r="I8528" s="1"/>
    </row>
    <row r="8529" spans="8:9" x14ac:dyDescent="0.2">
      <c r="H8529" s="1"/>
      <c r="I8529" s="1"/>
    </row>
    <row r="8530" spans="8:9" x14ac:dyDescent="0.2">
      <c r="H8530" s="1"/>
      <c r="I8530" s="1"/>
    </row>
    <row r="8531" spans="8:9" x14ac:dyDescent="0.2">
      <c r="H8531" s="1"/>
      <c r="I8531" s="1"/>
    </row>
    <row r="8532" spans="8:9" x14ac:dyDescent="0.2">
      <c r="H8532" s="1"/>
      <c r="I8532" s="1"/>
    </row>
    <row r="8533" spans="8:9" x14ac:dyDescent="0.2">
      <c r="H8533" s="1"/>
      <c r="I8533" s="1"/>
    </row>
    <row r="8534" spans="8:9" x14ac:dyDescent="0.2">
      <c r="H8534" s="1"/>
      <c r="I8534" s="1"/>
    </row>
    <row r="8535" spans="8:9" x14ac:dyDescent="0.2">
      <c r="H8535" s="1"/>
      <c r="I8535" s="1"/>
    </row>
    <row r="8536" spans="8:9" x14ac:dyDescent="0.2">
      <c r="H8536" s="1"/>
      <c r="I8536" s="1"/>
    </row>
    <row r="8537" spans="8:9" x14ac:dyDescent="0.2">
      <c r="H8537" s="1"/>
      <c r="I8537" s="1"/>
    </row>
    <row r="8538" spans="8:9" x14ac:dyDescent="0.2">
      <c r="H8538" s="1"/>
      <c r="I8538" s="1"/>
    </row>
    <row r="8539" spans="8:9" x14ac:dyDescent="0.2">
      <c r="H8539" s="1"/>
      <c r="I8539" s="1"/>
    </row>
    <row r="8540" spans="8:9" x14ac:dyDescent="0.2">
      <c r="H8540" s="1"/>
      <c r="I8540" s="1"/>
    </row>
    <row r="8541" spans="8:9" x14ac:dyDescent="0.2">
      <c r="H8541" s="1"/>
      <c r="I8541" s="1"/>
    </row>
    <row r="8542" spans="8:9" x14ac:dyDescent="0.2">
      <c r="H8542" s="1"/>
      <c r="I8542" s="1"/>
    </row>
    <row r="8543" spans="8:9" x14ac:dyDescent="0.2">
      <c r="H8543" s="1"/>
      <c r="I8543" s="1"/>
    </row>
    <row r="8544" spans="8:9" x14ac:dyDescent="0.2">
      <c r="H8544" s="1"/>
      <c r="I8544" s="1"/>
    </row>
    <row r="8545" spans="8:9" x14ac:dyDescent="0.2">
      <c r="H8545" s="1"/>
      <c r="I8545" s="1"/>
    </row>
    <row r="8546" spans="8:9" x14ac:dyDescent="0.2">
      <c r="H8546" s="1"/>
      <c r="I8546" s="1"/>
    </row>
    <row r="8547" spans="8:9" x14ac:dyDescent="0.2">
      <c r="H8547" s="1"/>
      <c r="I8547" s="1"/>
    </row>
    <row r="8548" spans="8:9" x14ac:dyDescent="0.2">
      <c r="H8548" s="1"/>
      <c r="I8548" s="1"/>
    </row>
    <row r="8549" spans="8:9" x14ac:dyDescent="0.2">
      <c r="H8549" s="1"/>
      <c r="I8549" s="1"/>
    </row>
    <row r="8550" spans="8:9" x14ac:dyDescent="0.2">
      <c r="H8550" s="1"/>
      <c r="I8550" s="1"/>
    </row>
    <row r="8551" spans="8:9" x14ac:dyDescent="0.2">
      <c r="H8551" s="1"/>
      <c r="I8551" s="1"/>
    </row>
    <row r="8552" spans="8:9" x14ac:dyDescent="0.2">
      <c r="H8552" s="1"/>
      <c r="I8552" s="1"/>
    </row>
    <row r="8553" spans="8:9" x14ac:dyDescent="0.2">
      <c r="H8553" s="1"/>
      <c r="I8553" s="1"/>
    </row>
    <row r="8554" spans="8:9" x14ac:dyDescent="0.2">
      <c r="H8554" s="1"/>
      <c r="I8554" s="1"/>
    </row>
    <row r="8555" spans="8:9" x14ac:dyDescent="0.2">
      <c r="H8555" s="1"/>
      <c r="I8555" s="1"/>
    </row>
    <row r="8556" spans="8:9" x14ac:dyDescent="0.2">
      <c r="H8556" s="1"/>
      <c r="I8556" s="1"/>
    </row>
    <row r="8557" spans="8:9" x14ac:dyDescent="0.2">
      <c r="H8557" s="1"/>
      <c r="I8557" s="1"/>
    </row>
    <row r="8558" spans="8:9" x14ac:dyDescent="0.2">
      <c r="H8558" s="1"/>
      <c r="I8558" s="1"/>
    </row>
    <row r="8559" spans="8:9" x14ac:dyDescent="0.2">
      <c r="H8559" s="1"/>
      <c r="I8559" s="1"/>
    </row>
    <row r="8560" spans="8:9" x14ac:dyDescent="0.2">
      <c r="H8560" s="1"/>
      <c r="I8560" s="1"/>
    </row>
    <row r="8561" spans="8:9" x14ac:dyDescent="0.2">
      <c r="H8561" s="1"/>
      <c r="I8561" s="1"/>
    </row>
    <row r="8562" spans="8:9" x14ac:dyDescent="0.2">
      <c r="H8562" s="1"/>
      <c r="I8562" s="1"/>
    </row>
    <row r="8563" spans="8:9" x14ac:dyDescent="0.2">
      <c r="H8563" s="1"/>
      <c r="I8563" s="1"/>
    </row>
    <row r="8564" spans="8:9" x14ac:dyDescent="0.2">
      <c r="H8564" s="1"/>
      <c r="I8564" s="1"/>
    </row>
    <row r="8565" spans="8:9" x14ac:dyDescent="0.2">
      <c r="H8565" s="1"/>
      <c r="I8565" s="1"/>
    </row>
    <row r="8566" spans="8:9" x14ac:dyDescent="0.2">
      <c r="H8566" s="1"/>
      <c r="I8566" s="1"/>
    </row>
    <row r="8567" spans="8:9" x14ac:dyDescent="0.2">
      <c r="H8567" s="1"/>
      <c r="I8567" s="1"/>
    </row>
    <row r="8568" spans="8:9" x14ac:dyDescent="0.2">
      <c r="H8568" s="1"/>
      <c r="I8568" s="1"/>
    </row>
    <row r="8569" spans="8:9" x14ac:dyDescent="0.2">
      <c r="H8569" s="1"/>
      <c r="I8569" s="1"/>
    </row>
    <row r="8570" spans="8:9" x14ac:dyDescent="0.2">
      <c r="H8570" s="1"/>
      <c r="I8570" s="1"/>
    </row>
    <row r="8571" spans="8:9" x14ac:dyDescent="0.2">
      <c r="H8571" s="1"/>
      <c r="I8571" s="1"/>
    </row>
    <row r="8572" spans="8:9" x14ac:dyDescent="0.2">
      <c r="H8572" s="1"/>
      <c r="I8572" s="1"/>
    </row>
    <row r="8573" spans="8:9" x14ac:dyDescent="0.2">
      <c r="H8573" s="1"/>
      <c r="I8573" s="1"/>
    </row>
    <row r="8574" spans="8:9" x14ac:dyDescent="0.2">
      <c r="H8574" s="1"/>
      <c r="I8574" s="1"/>
    </row>
    <row r="8575" spans="8:9" x14ac:dyDescent="0.2">
      <c r="H8575" s="1"/>
      <c r="I8575" s="1"/>
    </row>
    <row r="8576" spans="8:9" x14ac:dyDescent="0.2">
      <c r="H8576" s="1"/>
      <c r="I8576" s="1"/>
    </row>
    <row r="8577" spans="8:9" x14ac:dyDescent="0.2">
      <c r="H8577" s="1"/>
      <c r="I8577" s="1"/>
    </row>
    <row r="8578" spans="8:9" x14ac:dyDescent="0.2">
      <c r="H8578" s="1"/>
      <c r="I8578" s="1"/>
    </row>
    <row r="8579" spans="8:9" x14ac:dyDescent="0.2">
      <c r="H8579" s="1"/>
      <c r="I8579" s="1"/>
    </row>
    <row r="8580" spans="8:9" x14ac:dyDescent="0.2">
      <c r="H8580" s="1"/>
      <c r="I8580" s="1"/>
    </row>
    <row r="8581" spans="8:9" x14ac:dyDescent="0.2">
      <c r="H8581" s="1"/>
      <c r="I8581" s="1"/>
    </row>
    <row r="8582" spans="8:9" x14ac:dyDescent="0.2">
      <c r="H8582" s="1"/>
      <c r="I8582" s="1"/>
    </row>
    <row r="8583" spans="8:9" x14ac:dyDescent="0.2">
      <c r="H8583" s="1"/>
      <c r="I8583" s="1"/>
    </row>
    <row r="8584" spans="8:9" x14ac:dyDescent="0.2">
      <c r="H8584" s="1"/>
      <c r="I8584" s="1"/>
    </row>
    <row r="8585" spans="8:9" x14ac:dyDescent="0.2">
      <c r="H8585" s="1"/>
      <c r="I8585" s="1"/>
    </row>
    <row r="8586" spans="8:9" x14ac:dyDescent="0.2">
      <c r="H8586" s="1"/>
      <c r="I8586" s="1"/>
    </row>
    <row r="8587" spans="8:9" x14ac:dyDescent="0.2">
      <c r="H8587" s="1"/>
      <c r="I8587" s="1"/>
    </row>
    <row r="8588" spans="8:9" x14ac:dyDescent="0.2">
      <c r="H8588" s="1"/>
      <c r="I8588" s="1"/>
    </row>
    <row r="8589" spans="8:9" x14ac:dyDescent="0.2">
      <c r="H8589" s="1"/>
      <c r="I8589" s="1"/>
    </row>
    <row r="8590" spans="8:9" x14ac:dyDescent="0.2">
      <c r="H8590" s="1"/>
      <c r="I8590" s="1"/>
    </row>
    <row r="8591" spans="8:9" x14ac:dyDescent="0.2">
      <c r="H8591" s="1"/>
      <c r="I8591" s="1"/>
    </row>
    <row r="8592" spans="8:9" x14ac:dyDescent="0.2">
      <c r="H8592" s="1"/>
      <c r="I8592" s="1"/>
    </row>
    <row r="8593" spans="8:9" x14ac:dyDescent="0.2">
      <c r="H8593" s="1"/>
      <c r="I8593" s="1"/>
    </row>
    <row r="8594" spans="8:9" x14ac:dyDescent="0.2">
      <c r="H8594" s="1"/>
      <c r="I8594" s="1"/>
    </row>
    <row r="8595" spans="8:9" x14ac:dyDescent="0.2">
      <c r="H8595" s="1"/>
      <c r="I8595" s="1"/>
    </row>
    <row r="8596" spans="8:9" x14ac:dyDescent="0.2">
      <c r="H8596" s="1"/>
      <c r="I8596" s="1"/>
    </row>
    <row r="8597" spans="8:9" x14ac:dyDescent="0.2">
      <c r="H8597" s="1"/>
      <c r="I8597" s="1"/>
    </row>
    <row r="8598" spans="8:9" x14ac:dyDescent="0.2">
      <c r="H8598" s="1"/>
      <c r="I8598" s="1"/>
    </row>
    <row r="8599" spans="8:9" x14ac:dyDescent="0.2">
      <c r="H8599" s="1"/>
      <c r="I8599" s="1"/>
    </row>
    <row r="8600" spans="8:9" x14ac:dyDescent="0.2">
      <c r="H8600" s="1"/>
      <c r="I8600" s="1"/>
    </row>
    <row r="8601" spans="8:9" x14ac:dyDescent="0.2">
      <c r="H8601" s="1"/>
      <c r="I8601" s="1"/>
    </row>
    <row r="8602" spans="8:9" x14ac:dyDescent="0.2">
      <c r="H8602" s="1"/>
      <c r="I8602" s="1"/>
    </row>
    <row r="8603" spans="8:9" x14ac:dyDescent="0.2">
      <c r="H8603" s="1"/>
      <c r="I8603" s="1"/>
    </row>
    <row r="8604" spans="8:9" x14ac:dyDescent="0.2">
      <c r="H8604" s="1"/>
      <c r="I8604" s="1"/>
    </row>
    <row r="8605" spans="8:9" x14ac:dyDescent="0.2">
      <c r="H8605" s="1"/>
      <c r="I8605" s="1"/>
    </row>
    <row r="8606" spans="8:9" x14ac:dyDescent="0.2">
      <c r="H8606" s="1"/>
      <c r="I8606" s="1"/>
    </row>
    <row r="8607" spans="8:9" x14ac:dyDescent="0.2">
      <c r="H8607" s="1"/>
      <c r="I8607" s="1"/>
    </row>
    <row r="8608" spans="8:9" x14ac:dyDescent="0.2">
      <c r="H8608" s="1"/>
      <c r="I8608" s="1"/>
    </row>
    <row r="8609" spans="8:9" x14ac:dyDescent="0.2">
      <c r="H8609" s="1"/>
      <c r="I8609" s="1"/>
    </row>
    <row r="8610" spans="8:9" x14ac:dyDescent="0.2">
      <c r="H8610" s="1"/>
      <c r="I8610" s="1"/>
    </row>
    <row r="8611" spans="8:9" x14ac:dyDescent="0.2">
      <c r="H8611" s="1"/>
      <c r="I8611" s="1"/>
    </row>
    <row r="8612" spans="8:9" x14ac:dyDescent="0.2">
      <c r="H8612" s="1"/>
      <c r="I8612" s="1"/>
    </row>
    <row r="8613" spans="8:9" x14ac:dyDescent="0.2">
      <c r="H8613" s="1"/>
      <c r="I8613" s="1"/>
    </row>
    <row r="8614" spans="8:9" x14ac:dyDescent="0.2">
      <c r="H8614" s="1"/>
      <c r="I8614" s="1"/>
    </row>
    <row r="8615" spans="8:9" x14ac:dyDescent="0.2">
      <c r="H8615" s="1"/>
      <c r="I8615" s="1"/>
    </row>
    <row r="8616" spans="8:9" x14ac:dyDescent="0.2">
      <c r="H8616" s="1"/>
      <c r="I8616" s="1"/>
    </row>
    <row r="8617" spans="8:9" x14ac:dyDescent="0.2">
      <c r="H8617" s="1"/>
      <c r="I8617" s="1"/>
    </row>
    <row r="8618" spans="8:9" x14ac:dyDescent="0.2">
      <c r="H8618" s="1"/>
      <c r="I8618" s="1"/>
    </row>
    <row r="8619" spans="8:9" x14ac:dyDescent="0.2">
      <c r="H8619" s="1"/>
      <c r="I8619" s="1"/>
    </row>
    <row r="8620" spans="8:9" x14ac:dyDescent="0.2">
      <c r="H8620" s="1"/>
      <c r="I8620" s="1"/>
    </row>
    <row r="8621" spans="8:9" x14ac:dyDescent="0.2">
      <c r="H8621" s="1"/>
      <c r="I8621" s="1"/>
    </row>
    <row r="8622" spans="8:9" x14ac:dyDescent="0.2">
      <c r="H8622" s="1"/>
      <c r="I8622" s="1"/>
    </row>
    <row r="8623" spans="8:9" x14ac:dyDescent="0.2">
      <c r="H8623" s="1"/>
      <c r="I8623" s="1"/>
    </row>
    <row r="8624" spans="8:9" x14ac:dyDescent="0.2">
      <c r="H8624" s="1"/>
      <c r="I8624" s="1"/>
    </row>
    <row r="8625" spans="8:9" x14ac:dyDescent="0.2">
      <c r="H8625" s="1"/>
      <c r="I8625" s="1"/>
    </row>
    <row r="8626" spans="8:9" x14ac:dyDescent="0.2">
      <c r="H8626" s="1"/>
      <c r="I8626" s="1"/>
    </row>
    <row r="8627" spans="8:9" x14ac:dyDescent="0.2">
      <c r="H8627" s="1"/>
      <c r="I8627" s="1"/>
    </row>
    <row r="8628" spans="8:9" x14ac:dyDescent="0.2">
      <c r="H8628" s="1"/>
      <c r="I8628" s="1"/>
    </row>
    <row r="8629" spans="8:9" x14ac:dyDescent="0.2">
      <c r="H8629" s="1"/>
      <c r="I8629" s="1"/>
    </row>
    <row r="8630" spans="8:9" x14ac:dyDescent="0.2">
      <c r="H8630" s="1"/>
      <c r="I8630" s="1"/>
    </row>
    <row r="8631" spans="8:9" x14ac:dyDescent="0.2">
      <c r="H8631" s="1"/>
      <c r="I8631" s="1"/>
    </row>
    <row r="8632" spans="8:9" x14ac:dyDescent="0.2">
      <c r="H8632" s="1"/>
      <c r="I8632" s="1"/>
    </row>
    <row r="8633" spans="8:9" x14ac:dyDescent="0.2">
      <c r="H8633" s="1"/>
      <c r="I8633" s="1"/>
    </row>
    <row r="8634" spans="8:9" x14ac:dyDescent="0.2">
      <c r="H8634" s="1"/>
      <c r="I8634" s="1"/>
    </row>
    <row r="8635" spans="8:9" x14ac:dyDescent="0.2">
      <c r="H8635" s="1"/>
      <c r="I8635" s="1"/>
    </row>
    <row r="8636" spans="8:9" x14ac:dyDescent="0.2">
      <c r="H8636" s="1"/>
      <c r="I8636" s="1"/>
    </row>
    <row r="8637" spans="8:9" x14ac:dyDescent="0.2">
      <c r="H8637" s="1"/>
      <c r="I8637" s="1"/>
    </row>
    <row r="8638" spans="8:9" x14ac:dyDescent="0.2">
      <c r="H8638" s="1"/>
      <c r="I8638" s="1"/>
    </row>
    <row r="8639" spans="8:9" x14ac:dyDescent="0.2">
      <c r="H8639" s="1"/>
      <c r="I8639" s="1"/>
    </row>
    <row r="8640" spans="8:9" x14ac:dyDescent="0.2">
      <c r="H8640" s="1"/>
      <c r="I8640" s="1"/>
    </row>
    <row r="8641" spans="8:9" x14ac:dyDescent="0.2">
      <c r="H8641" s="1"/>
      <c r="I8641" s="1"/>
    </row>
    <row r="8642" spans="8:9" x14ac:dyDescent="0.2">
      <c r="H8642" s="1"/>
      <c r="I8642" s="1"/>
    </row>
    <row r="8643" spans="8:9" x14ac:dyDescent="0.2">
      <c r="H8643" s="1"/>
      <c r="I8643" s="1"/>
    </row>
    <row r="8644" spans="8:9" x14ac:dyDescent="0.2">
      <c r="H8644" s="1"/>
      <c r="I8644" s="1"/>
    </row>
    <row r="8645" spans="8:9" x14ac:dyDescent="0.2">
      <c r="H8645" s="1"/>
      <c r="I8645" s="1"/>
    </row>
    <row r="8646" spans="8:9" x14ac:dyDescent="0.2">
      <c r="H8646" s="1"/>
      <c r="I8646" s="1"/>
    </row>
    <row r="8647" spans="8:9" x14ac:dyDescent="0.2">
      <c r="H8647" s="1"/>
      <c r="I8647" s="1"/>
    </row>
    <row r="8648" spans="8:9" x14ac:dyDescent="0.2">
      <c r="H8648" s="1"/>
      <c r="I8648" s="1"/>
    </row>
    <row r="8649" spans="8:9" x14ac:dyDescent="0.2">
      <c r="H8649" s="1"/>
      <c r="I8649" s="1"/>
    </row>
    <row r="8650" spans="8:9" x14ac:dyDescent="0.2">
      <c r="H8650" s="1"/>
      <c r="I8650" s="1"/>
    </row>
    <row r="8651" spans="8:9" x14ac:dyDescent="0.2">
      <c r="H8651" s="1"/>
      <c r="I8651" s="1"/>
    </row>
    <row r="8652" spans="8:9" x14ac:dyDescent="0.2">
      <c r="H8652" s="1"/>
      <c r="I8652" s="1"/>
    </row>
    <row r="8653" spans="8:9" x14ac:dyDescent="0.2">
      <c r="H8653" s="1"/>
      <c r="I8653" s="1"/>
    </row>
    <row r="8654" spans="8:9" x14ac:dyDescent="0.2">
      <c r="H8654" s="1"/>
      <c r="I8654" s="1"/>
    </row>
    <row r="8655" spans="8:9" x14ac:dyDescent="0.2">
      <c r="H8655" s="1"/>
      <c r="I8655" s="1"/>
    </row>
    <row r="8656" spans="8:9" x14ac:dyDescent="0.2">
      <c r="H8656" s="1"/>
      <c r="I8656" s="1"/>
    </row>
    <row r="8657" spans="8:9" x14ac:dyDescent="0.2">
      <c r="H8657" s="1"/>
      <c r="I8657" s="1"/>
    </row>
    <row r="8658" spans="8:9" x14ac:dyDescent="0.2">
      <c r="H8658" s="1"/>
      <c r="I8658" s="1"/>
    </row>
    <row r="8659" spans="8:9" x14ac:dyDescent="0.2">
      <c r="H8659" s="1"/>
      <c r="I8659" s="1"/>
    </row>
    <row r="8660" spans="8:9" x14ac:dyDescent="0.2">
      <c r="H8660" s="1"/>
      <c r="I8660" s="1"/>
    </row>
    <row r="8661" spans="8:9" x14ac:dyDescent="0.2">
      <c r="H8661" s="1"/>
      <c r="I8661" s="1"/>
    </row>
    <row r="8662" spans="8:9" x14ac:dyDescent="0.2">
      <c r="H8662" s="1"/>
      <c r="I8662" s="1"/>
    </row>
    <row r="8663" spans="8:9" x14ac:dyDescent="0.2">
      <c r="H8663" s="1"/>
      <c r="I8663" s="1"/>
    </row>
    <row r="8664" spans="8:9" x14ac:dyDescent="0.2">
      <c r="H8664" s="1"/>
      <c r="I8664" s="1"/>
    </row>
    <row r="8665" spans="8:9" x14ac:dyDescent="0.2">
      <c r="H8665" s="1"/>
      <c r="I8665" s="1"/>
    </row>
    <row r="8666" spans="8:9" x14ac:dyDescent="0.2">
      <c r="H8666" s="1"/>
      <c r="I8666" s="1"/>
    </row>
    <row r="8667" spans="8:9" x14ac:dyDescent="0.2">
      <c r="H8667" s="1"/>
      <c r="I8667" s="1"/>
    </row>
    <row r="8668" spans="8:9" x14ac:dyDescent="0.2">
      <c r="H8668" s="1"/>
      <c r="I8668" s="1"/>
    </row>
    <row r="8669" spans="8:9" x14ac:dyDescent="0.2">
      <c r="H8669" s="1"/>
      <c r="I8669" s="1"/>
    </row>
    <row r="8670" spans="8:9" x14ac:dyDescent="0.2">
      <c r="H8670" s="1"/>
      <c r="I8670" s="1"/>
    </row>
    <row r="8671" spans="8:9" x14ac:dyDescent="0.2">
      <c r="H8671" s="1"/>
      <c r="I8671" s="1"/>
    </row>
    <row r="8672" spans="8:9" x14ac:dyDescent="0.2">
      <c r="H8672" s="1"/>
      <c r="I8672" s="1"/>
    </row>
    <row r="8673" spans="8:9" x14ac:dyDescent="0.2">
      <c r="H8673" s="1"/>
      <c r="I8673" s="1"/>
    </row>
    <row r="8674" spans="8:9" x14ac:dyDescent="0.2">
      <c r="H8674" s="1"/>
      <c r="I8674" s="1"/>
    </row>
    <row r="8675" spans="8:9" x14ac:dyDescent="0.2">
      <c r="H8675" s="1"/>
      <c r="I8675" s="1"/>
    </row>
    <row r="8676" spans="8:9" x14ac:dyDescent="0.2">
      <c r="H8676" s="1"/>
      <c r="I8676" s="1"/>
    </row>
    <row r="8677" spans="8:9" x14ac:dyDescent="0.2">
      <c r="H8677" s="1"/>
      <c r="I8677" s="1"/>
    </row>
    <row r="8678" spans="8:9" x14ac:dyDescent="0.2">
      <c r="H8678" s="1"/>
      <c r="I8678" s="1"/>
    </row>
    <row r="8679" spans="8:9" x14ac:dyDescent="0.2">
      <c r="H8679" s="1"/>
      <c r="I8679" s="1"/>
    </row>
    <row r="8680" spans="8:9" x14ac:dyDescent="0.2">
      <c r="H8680" s="1"/>
      <c r="I8680" s="1"/>
    </row>
    <row r="8681" spans="8:9" x14ac:dyDescent="0.2">
      <c r="H8681" s="1"/>
      <c r="I8681" s="1"/>
    </row>
    <row r="8682" spans="8:9" x14ac:dyDescent="0.2">
      <c r="H8682" s="1"/>
      <c r="I8682" s="1"/>
    </row>
    <row r="8683" spans="8:9" x14ac:dyDescent="0.2">
      <c r="H8683" s="1"/>
      <c r="I8683" s="1"/>
    </row>
    <row r="8684" spans="8:9" x14ac:dyDescent="0.2">
      <c r="H8684" s="1"/>
      <c r="I8684" s="1"/>
    </row>
    <row r="8685" spans="8:9" x14ac:dyDescent="0.2">
      <c r="H8685" s="1"/>
      <c r="I8685" s="1"/>
    </row>
    <row r="8686" spans="8:9" x14ac:dyDescent="0.2">
      <c r="H8686" s="1"/>
      <c r="I8686" s="1"/>
    </row>
    <row r="8687" spans="8:9" x14ac:dyDescent="0.2">
      <c r="H8687" s="1"/>
      <c r="I8687" s="1"/>
    </row>
    <row r="8688" spans="8:9" x14ac:dyDescent="0.2">
      <c r="H8688" s="1"/>
      <c r="I8688" s="1"/>
    </row>
    <row r="8689" spans="8:9" x14ac:dyDescent="0.2">
      <c r="H8689" s="1"/>
      <c r="I8689" s="1"/>
    </row>
    <row r="8690" spans="8:9" x14ac:dyDescent="0.2">
      <c r="H8690" s="1"/>
      <c r="I8690" s="1"/>
    </row>
    <row r="8691" spans="8:9" x14ac:dyDescent="0.2">
      <c r="H8691" s="1"/>
      <c r="I8691" s="1"/>
    </row>
    <row r="8692" spans="8:9" x14ac:dyDescent="0.2">
      <c r="H8692" s="1"/>
      <c r="I8692" s="1"/>
    </row>
    <row r="8693" spans="8:9" x14ac:dyDescent="0.2">
      <c r="H8693" s="1"/>
      <c r="I8693" s="1"/>
    </row>
    <row r="8694" spans="8:9" x14ac:dyDescent="0.2">
      <c r="H8694" s="1"/>
      <c r="I8694" s="1"/>
    </row>
    <row r="8695" spans="8:9" x14ac:dyDescent="0.2">
      <c r="H8695" s="1"/>
      <c r="I8695" s="1"/>
    </row>
    <row r="8696" spans="8:9" x14ac:dyDescent="0.2">
      <c r="H8696" s="1"/>
      <c r="I8696" s="1"/>
    </row>
    <row r="8697" spans="8:9" x14ac:dyDescent="0.2">
      <c r="H8697" s="1"/>
      <c r="I8697" s="1"/>
    </row>
    <row r="8698" spans="8:9" x14ac:dyDescent="0.2">
      <c r="H8698" s="1"/>
      <c r="I8698" s="1"/>
    </row>
    <row r="8699" spans="8:9" x14ac:dyDescent="0.2">
      <c r="H8699" s="1"/>
      <c r="I8699" s="1"/>
    </row>
    <row r="8700" spans="8:9" x14ac:dyDescent="0.2">
      <c r="H8700" s="1"/>
      <c r="I8700" s="1"/>
    </row>
    <row r="8701" spans="8:9" x14ac:dyDescent="0.2">
      <c r="H8701" s="1"/>
      <c r="I8701" s="1"/>
    </row>
    <row r="8702" spans="8:9" x14ac:dyDescent="0.2">
      <c r="H8702" s="1"/>
      <c r="I8702" s="1"/>
    </row>
    <row r="8703" spans="8:9" x14ac:dyDescent="0.2">
      <c r="H8703" s="1"/>
      <c r="I8703" s="1"/>
    </row>
    <row r="8704" spans="8:9" x14ac:dyDescent="0.2">
      <c r="H8704" s="1"/>
      <c r="I8704" s="1"/>
    </row>
    <row r="8705" spans="8:9" x14ac:dyDescent="0.2">
      <c r="H8705" s="1"/>
      <c r="I8705" s="1"/>
    </row>
    <row r="8706" spans="8:9" x14ac:dyDescent="0.2">
      <c r="H8706" s="1"/>
      <c r="I8706" s="1"/>
    </row>
    <row r="8707" spans="8:9" x14ac:dyDescent="0.2">
      <c r="H8707" s="1"/>
      <c r="I8707" s="1"/>
    </row>
    <row r="8708" spans="8:9" x14ac:dyDescent="0.2">
      <c r="H8708" s="1"/>
      <c r="I8708" s="1"/>
    </row>
    <row r="8709" spans="8:9" x14ac:dyDescent="0.2">
      <c r="H8709" s="1"/>
      <c r="I8709" s="1"/>
    </row>
    <row r="8710" spans="8:9" x14ac:dyDescent="0.2">
      <c r="H8710" s="1"/>
      <c r="I8710" s="1"/>
    </row>
    <row r="8711" spans="8:9" x14ac:dyDescent="0.2">
      <c r="H8711" s="1"/>
      <c r="I8711" s="1"/>
    </row>
    <row r="8712" spans="8:9" x14ac:dyDescent="0.2">
      <c r="H8712" s="1"/>
      <c r="I8712" s="1"/>
    </row>
    <row r="8713" spans="8:9" x14ac:dyDescent="0.2">
      <c r="H8713" s="1"/>
      <c r="I8713" s="1"/>
    </row>
    <row r="8714" spans="8:9" x14ac:dyDescent="0.2">
      <c r="H8714" s="1"/>
      <c r="I8714" s="1"/>
    </row>
    <row r="8715" spans="8:9" x14ac:dyDescent="0.2">
      <c r="H8715" s="1"/>
      <c r="I8715" s="1"/>
    </row>
    <row r="8716" spans="8:9" x14ac:dyDescent="0.2">
      <c r="H8716" s="1"/>
      <c r="I8716" s="1"/>
    </row>
    <row r="8717" spans="8:9" x14ac:dyDescent="0.2">
      <c r="H8717" s="1"/>
      <c r="I8717" s="1"/>
    </row>
    <row r="8718" spans="8:9" x14ac:dyDescent="0.2">
      <c r="H8718" s="1"/>
      <c r="I8718" s="1"/>
    </row>
    <row r="8719" spans="8:9" x14ac:dyDescent="0.2">
      <c r="H8719" s="1"/>
      <c r="I8719" s="1"/>
    </row>
    <row r="8720" spans="8:9" x14ac:dyDescent="0.2">
      <c r="H8720" s="1"/>
      <c r="I8720" s="1"/>
    </row>
    <row r="8721" spans="8:9" x14ac:dyDescent="0.2">
      <c r="H8721" s="1"/>
      <c r="I8721" s="1"/>
    </row>
    <row r="8722" spans="8:9" x14ac:dyDescent="0.2">
      <c r="H8722" s="1"/>
      <c r="I8722" s="1"/>
    </row>
    <row r="8723" spans="8:9" x14ac:dyDescent="0.2">
      <c r="H8723" s="1"/>
      <c r="I8723" s="1"/>
    </row>
    <row r="8724" spans="8:9" x14ac:dyDescent="0.2">
      <c r="H8724" s="1"/>
      <c r="I8724" s="1"/>
    </row>
    <row r="8725" spans="8:9" x14ac:dyDescent="0.2">
      <c r="H8725" s="1"/>
      <c r="I8725" s="1"/>
    </row>
    <row r="8726" spans="8:9" x14ac:dyDescent="0.2">
      <c r="H8726" s="1"/>
      <c r="I8726" s="1"/>
    </row>
    <row r="8727" spans="8:9" x14ac:dyDescent="0.2">
      <c r="H8727" s="1"/>
      <c r="I8727" s="1"/>
    </row>
    <row r="8728" spans="8:9" x14ac:dyDescent="0.2">
      <c r="H8728" s="1"/>
      <c r="I8728" s="1"/>
    </row>
    <row r="8729" spans="8:9" x14ac:dyDescent="0.2">
      <c r="H8729" s="1"/>
      <c r="I8729" s="1"/>
    </row>
    <row r="8730" spans="8:9" x14ac:dyDescent="0.2">
      <c r="H8730" s="1"/>
      <c r="I8730" s="1"/>
    </row>
    <row r="8731" spans="8:9" x14ac:dyDescent="0.2">
      <c r="H8731" s="1"/>
      <c r="I8731" s="1"/>
    </row>
    <row r="8732" spans="8:9" x14ac:dyDescent="0.2">
      <c r="H8732" s="1"/>
      <c r="I8732" s="1"/>
    </row>
    <row r="8733" spans="8:9" x14ac:dyDescent="0.2">
      <c r="H8733" s="1"/>
      <c r="I8733" s="1"/>
    </row>
    <row r="8734" spans="8:9" x14ac:dyDescent="0.2">
      <c r="H8734" s="1"/>
      <c r="I8734" s="1"/>
    </row>
    <row r="8735" spans="8:9" x14ac:dyDescent="0.2">
      <c r="H8735" s="1"/>
      <c r="I8735" s="1"/>
    </row>
    <row r="8736" spans="8:9" x14ac:dyDescent="0.2">
      <c r="H8736" s="1"/>
      <c r="I8736" s="1"/>
    </row>
    <row r="8737" spans="8:9" x14ac:dyDescent="0.2">
      <c r="H8737" s="1"/>
      <c r="I8737" s="1"/>
    </row>
    <row r="8738" spans="8:9" x14ac:dyDescent="0.2">
      <c r="H8738" s="1"/>
      <c r="I8738" s="1"/>
    </row>
    <row r="8739" spans="8:9" x14ac:dyDescent="0.2">
      <c r="H8739" s="1"/>
      <c r="I8739" s="1"/>
    </row>
    <row r="8740" spans="8:9" x14ac:dyDescent="0.2">
      <c r="H8740" s="1"/>
      <c r="I8740" s="1"/>
    </row>
    <row r="8741" spans="8:9" x14ac:dyDescent="0.2">
      <c r="H8741" s="1"/>
      <c r="I8741" s="1"/>
    </row>
    <row r="8742" spans="8:9" x14ac:dyDescent="0.2">
      <c r="H8742" s="1"/>
      <c r="I8742" s="1"/>
    </row>
    <row r="8743" spans="8:9" x14ac:dyDescent="0.2">
      <c r="H8743" s="1"/>
      <c r="I8743" s="1"/>
    </row>
    <row r="8744" spans="8:9" x14ac:dyDescent="0.2">
      <c r="H8744" s="1"/>
      <c r="I8744" s="1"/>
    </row>
    <row r="8745" spans="8:9" x14ac:dyDescent="0.2">
      <c r="H8745" s="1"/>
      <c r="I8745" s="1"/>
    </row>
    <row r="8746" spans="8:9" x14ac:dyDescent="0.2">
      <c r="H8746" s="1"/>
      <c r="I8746" s="1"/>
    </row>
    <row r="8747" spans="8:9" x14ac:dyDescent="0.2">
      <c r="H8747" s="1"/>
      <c r="I8747" s="1"/>
    </row>
    <row r="8748" spans="8:9" x14ac:dyDescent="0.2">
      <c r="H8748" s="1"/>
      <c r="I8748" s="1"/>
    </row>
    <row r="8749" spans="8:9" x14ac:dyDescent="0.2">
      <c r="H8749" s="1"/>
      <c r="I8749" s="1"/>
    </row>
    <row r="8750" spans="8:9" x14ac:dyDescent="0.2">
      <c r="H8750" s="1"/>
      <c r="I8750" s="1"/>
    </row>
    <row r="8751" spans="8:9" x14ac:dyDescent="0.2">
      <c r="H8751" s="1"/>
      <c r="I8751" s="1"/>
    </row>
    <row r="8752" spans="8:9" x14ac:dyDescent="0.2">
      <c r="H8752" s="1"/>
      <c r="I8752" s="1"/>
    </row>
    <row r="8753" spans="8:9" x14ac:dyDescent="0.2">
      <c r="H8753" s="1"/>
      <c r="I8753" s="1"/>
    </row>
    <row r="8754" spans="8:9" x14ac:dyDescent="0.2">
      <c r="H8754" s="1"/>
      <c r="I8754" s="1"/>
    </row>
    <row r="8755" spans="8:9" x14ac:dyDescent="0.2">
      <c r="H8755" s="1"/>
      <c r="I8755" s="1"/>
    </row>
    <row r="8756" spans="8:9" x14ac:dyDescent="0.2">
      <c r="H8756" s="1"/>
      <c r="I8756" s="1"/>
    </row>
    <row r="8757" spans="8:9" x14ac:dyDescent="0.2">
      <c r="H8757" s="1"/>
      <c r="I8757" s="1"/>
    </row>
    <row r="8758" spans="8:9" x14ac:dyDescent="0.2">
      <c r="H8758" s="1"/>
      <c r="I8758" s="1"/>
    </row>
    <row r="8759" spans="8:9" x14ac:dyDescent="0.2">
      <c r="H8759" s="1"/>
      <c r="I8759" s="1"/>
    </row>
    <row r="8760" spans="8:9" x14ac:dyDescent="0.2">
      <c r="H8760" s="1"/>
      <c r="I8760" s="1"/>
    </row>
    <row r="8761" spans="8:9" x14ac:dyDescent="0.2">
      <c r="H8761" s="1"/>
      <c r="I8761" s="1"/>
    </row>
    <row r="8762" spans="8:9" x14ac:dyDescent="0.2">
      <c r="H8762" s="1"/>
      <c r="I8762" s="1"/>
    </row>
    <row r="8763" spans="8:9" x14ac:dyDescent="0.2">
      <c r="H8763" s="1"/>
      <c r="I8763" s="1"/>
    </row>
    <row r="8764" spans="8:9" x14ac:dyDescent="0.2">
      <c r="H8764" s="1"/>
      <c r="I8764" s="1"/>
    </row>
    <row r="8765" spans="8:9" x14ac:dyDescent="0.2">
      <c r="H8765" s="1"/>
      <c r="I8765" s="1"/>
    </row>
    <row r="8766" spans="8:9" x14ac:dyDescent="0.2">
      <c r="H8766" s="1"/>
      <c r="I8766" s="1"/>
    </row>
    <row r="8767" spans="8:9" x14ac:dyDescent="0.2">
      <c r="H8767" s="1"/>
      <c r="I8767" s="1"/>
    </row>
    <row r="8768" spans="8:9" x14ac:dyDescent="0.2">
      <c r="H8768" s="1"/>
      <c r="I8768" s="1"/>
    </row>
    <row r="8769" spans="8:9" x14ac:dyDescent="0.2">
      <c r="H8769" s="1"/>
      <c r="I8769" s="1"/>
    </row>
    <row r="8770" spans="8:9" x14ac:dyDescent="0.2">
      <c r="H8770" s="1"/>
      <c r="I8770" s="1"/>
    </row>
    <row r="8771" spans="8:9" x14ac:dyDescent="0.2">
      <c r="H8771" s="1"/>
      <c r="I8771" s="1"/>
    </row>
    <row r="8772" spans="8:9" x14ac:dyDescent="0.2">
      <c r="H8772" s="1"/>
      <c r="I8772" s="1"/>
    </row>
    <row r="8773" spans="8:9" x14ac:dyDescent="0.2">
      <c r="H8773" s="1"/>
      <c r="I8773" s="1"/>
    </row>
    <row r="8774" spans="8:9" x14ac:dyDescent="0.2">
      <c r="H8774" s="1"/>
      <c r="I8774" s="1"/>
    </row>
    <row r="8775" spans="8:9" x14ac:dyDescent="0.2">
      <c r="H8775" s="1"/>
      <c r="I8775" s="1"/>
    </row>
    <row r="8776" spans="8:9" x14ac:dyDescent="0.2">
      <c r="H8776" s="1"/>
      <c r="I8776" s="1"/>
    </row>
    <row r="8777" spans="8:9" x14ac:dyDescent="0.2">
      <c r="H8777" s="1"/>
      <c r="I8777" s="1"/>
    </row>
    <row r="8778" spans="8:9" x14ac:dyDescent="0.2">
      <c r="H8778" s="1"/>
      <c r="I8778" s="1"/>
    </row>
    <row r="8779" spans="8:9" x14ac:dyDescent="0.2">
      <c r="H8779" s="1"/>
      <c r="I8779" s="1"/>
    </row>
    <row r="8780" spans="8:9" x14ac:dyDescent="0.2">
      <c r="H8780" s="1"/>
      <c r="I8780" s="1"/>
    </row>
    <row r="8781" spans="8:9" x14ac:dyDescent="0.2">
      <c r="H8781" s="1"/>
      <c r="I8781" s="1"/>
    </row>
    <row r="8782" spans="8:9" x14ac:dyDescent="0.2">
      <c r="H8782" s="1"/>
      <c r="I8782" s="1"/>
    </row>
    <row r="8783" spans="8:9" x14ac:dyDescent="0.2">
      <c r="H8783" s="1"/>
      <c r="I8783" s="1"/>
    </row>
    <row r="8784" spans="8:9" x14ac:dyDescent="0.2">
      <c r="H8784" s="1"/>
      <c r="I8784" s="1"/>
    </row>
    <row r="8785" spans="8:9" x14ac:dyDescent="0.2">
      <c r="H8785" s="1"/>
      <c r="I8785" s="1"/>
    </row>
    <row r="8786" spans="8:9" x14ac:dyDescent="0.2">
      <c r="H8786" s="1"/>
      <c r="I8786" s="1"/>
    </row>
    <row r="8787" spans="8:9" x14ac:dyDescent="0.2">
      <c r="H8787" s="1"/>
      <c r="I8787" s="1"/>
    </row>
    <row r="8788" spans="8:9" x14ac:dyDescent="0.2">
      <c r="H8788" s="1"/>
      <c r="I8788" s="1"/>
    </row>
    <row r="8789" spans="8:9" x14ac:dyDescent="0.2">
      <c r="H8789" s="1"/>
      <c r="I8789" s="1"/>
    </row>
    <row r="8790" spans="8:9" x14ac:dyDescent="0.2">
      <c r="H8790" s="1"/>
      <c r="I8790" s="1"/>
    </row>
    <row r="8791" spans="8:9" x14ac:dyDescent="0.2">
      <c r="H8791" s="1"/>
      <c r="I8791" s="1"/>
    </row>
    <row r="8792" spans="8:9" x14ac:dyDescent="0.2">
      <c r="H8792" s="1"/>
      <c r="I8792" s="1"/>
    </row>
    <row r="8793" spans="8:9" x14ac:dyDescent="0.2">
      <c r="H8793" s="1"/>
      <c r="I8793" s="1"/>
    </row>
    <row r="8794" spans="8:9" x14ac:dyDescent="0.2">
      <c r="H8794" s="1"/>
      <c r="I8794" s="1"/>
    </row>
    <row r="8795" spans="8:9" x14ac:dyDescent="0.2">
      <c r="H8795" s="1"/>
      <c r="I8795" s="1"/>
    </row>
    <row r="8796" spans="8:9" x14ac:dyDescent="0.2">
      <c r="H8796" s="1"/>
      <c r="I8796" s="1"/>
    </row>
    <row r="8797" spans="8:9" x14ac:dyDescent="0.2">
      <c r="H8797" s="1"/>
      <c r="I8797" s="1"/>
    </row>
    <row r="8798" spans="8:9" x14ac:dyDescent="0.2">
      <c r="H8798" s="1"/>
      <c r="I8798" s="1"/>
    </row>
    <row r="8799" spans="8:9" x14ac:dyDescent="0.2">
      <c r="H8799" s="1"/>
      <c r="I8799" s="1"/>
    </row>
    <row r="8800" spans="8:9" x14ac:dyDescent="0.2">
      <c r="H8800" s="1"/>
      <c r="I8800" s="1"/>
    </row>
    <row r="8801" spans="8:9" x14ac:dyDescent="0.2">
      <c r="H8801" s="1"/>
      <c r="I8801" s="1"/>
    </row>
    <row r="8802" spans="8:9" x14ac:dyDescent="0.2">
      <c r="H8802" s="1"/>
      <c r="I8802" s="1"/>
    </row>
    <row r="8803" spans="8:9" x14ac:dyDescent="0.2">
      <c r="H8803" s="1"/>
      <c r="I8803" s="1"/>
    </row>
    <row r="8804" spans="8:9" x14ac:dyDescent="0.2">
      <c r="H8804" s="1"/>
      <c r="I8804" s="1"/>
    </row>
    <row r="8805" spans="8:9" x14ac:dyDescent="0.2">
      <c r="H8805" s="1"/>
      <c r="I8805" s="1"/>
    </row>
    <row r="8806" spans="8:9" x14ac:dyDescent="0.2">
      <c r="H8806" s="1"/>
      <c r="I8806" s="1"/>
    </row>
    <row r="8807" spans="8:9" x14ac:dyDescent="0.2">
      <c r="H8807" s="1"/>
      <c r="I8807" s="1"/>
    </row>
    <row r="8808" spans="8:9" x14ac:dyDescent="0.2">
      <c r="H8808" s="1"/>
      <c r="I8808" s="1"/>
    </row>
    <row r="8809" spans="8:9" x14ac:dyDescent="0.2">
      <c r="H8809" s="1"/>
      <c r="I8809" s="1"/>
    </row>
    <row r="8810" spans="8:9" x14ac:dyDescent="0.2">
      <c r="H8810" s="1"/>
      <c r="I8810" s="1"/>
    </row>
    <row r="8811" spans="8:9" x14ac:dyDescent="0.2">
      <c r="H8811" s="1"/>
      <c r="I8811" s="1"/>
    </row>
    <row r="8812" spans="8:9" x14ac:dyDescent="0.2">
      <c r="H8812" s="1"/>
      <c r="I8812" s="1"/>
    </row>
    <row r="8813" spans="8:9" x14ac:dyDescent="0.2">
      <c r="H8813" s="1"/>
      <c r="I8813" s="1"/>
    </row>
    <row r="8814" spans="8:9" x14ac:dyDescent="0.2">
      <c r="H8814" s="1"/>
      <c r="I8814" s="1"/>
    </row>
    <row r="8815" spans="8:9" x14ac:dyDescent="0.2">
      <c r="H8815" s="1"/>
      <c r="I8815" s="1"/>
    </row>
    <row r="8816" spans="8:9" x14ac:dyDescent="0.2">
      <c r="H8816" s="1"/>
      <c r="I8816" s="1"/>
    </row>
    <row r="8817" spans="8:9" x14ac:dyDescent="0.2">
      <c r="H8817" s="1"/>
      <c r="I8817" s="1"/>
    </row>
    <row r="8818" spans="8:9" x14ac:dyDescent="0.2">
      <c r="H8818" s="1"/>
      <c r="I8818" s="1"/>
    </row>
    <row r="8819" spans="8:9" x14ac:dyDescent="0.2">
      <c r="H8819" s="1"/>
      <c r="I8819" s="1"/>
    </row>
    <row r="8820" spans="8:9" x14ac:dyDescent="0.2">
      <c r="H8820" s="1"/>
      <c r="I8820" s="1"/>
    </row>
    <row r="8821" spans="8:9" x14ac:dyDescent="0.2">
      <c r="H8821" s="1"/>
      <c r="I8821" s="1"/>
    </row>
    <row r="8822" spans="8:9" x14ac:dyDescent="0.2">
      <c r="H8822" s="1"/>
      <c r="I8822" s="1"/>
    </row>
    <row r="8823" spans="8:9" x14ac:dyDescent="0.2">
      <c r="H8823" s="1"/>
      <c r="I8823" s="1"/>
    </row>
    <row r="8824" spans="8:9" x14ac:dyDescent="0.2">
      <c r="H8824" s="1"/>
      <c r="I8824" s="1"/>
    </row>
    <row r="8825" spans="8:9" x14ac:dyDescent="0.2">
      <c r="H8825" s="1"/>
      <c r="I8825" s="1"/>
    </row>
    <row r="8826" spans="8:9" x14ac:dyDescent="0.2">
      <c r="H8826" s="1"/>
      <c r="I8826" s="1"/>
    </row>
    <row r="8827" spans="8:9" x14ac:dyDescent="0.2">
      <c r="H8827" s="1"/>
      <c r="I8827" s="1"/>
    </row>
    <row r="8828" spans="8:9" x14ac:dyDescent="0.2">
      <c r="H8828" s="1"/>
      <c r="I8828" s="1"/>
    </row>
    <row r="8829" spans="8:9" x14ac:dyDescent="0.2">
      <c r="H8829" s="1"/>
      <c r="I8829" s="1"/>
    </row>
    <row r="8830" spans="8:9" x14ac:dyDescent="0.2">
      <c r="H8830" s="1"/>
      <c r="I8830" s="1"/>
    </row>
    <row r="8831" spans="8:9" x14ac:dyDescent="0.2">
      <c r="H8831" s="1"/>
      <c r="I8831" s="1"/>
    </row>
    <row r="8832" spans="8:9" x14ac:dyDescent="0.2">
      <c r="H8832" s="1"/>
      <c r="I8832" s="1"/>
    </row>
    <row r="8833" spans="8:9" x14ac:dyDescent="0.2">
      <c r="H8833" s="1"/>
      <c r="I8833" s="1"/>
    </row>
    <row r="8834" spans="8:9" x14ac:dyDescent="0.2">
      <c r="H8834" s="1"/>
      <c r="I8834" s="1"/>
    </row>
    <row r="8835" spans="8:9" x14ac:dyDescent="0.2">
      <c r="H8835" s="1"/>
      <c r="I8835" s="1"/>
    </row>
    <row r="8836" spans="8:9" x14ac:dyDescent="0.2">
      <c r="H8836" s="1"/>
      <c r="I8836" s="1"/>
    </row>
    <row r="8837" spans="8:9" x14ac:dyDescent="0.2">
      <c r="H8837" s="1"/>
      <c r="I8837" s="1"/>
    </row>
    <row r="8838" spans="8:9" x14ac:dyDescent="0.2">
      <c r="H8838" s="1"/>
      <c r="I8838" s="1"/>
    </row>
    <row r="8839" spans="8:9" x14ac:dyDescent="0.2">
      <c r="H8839" s="1"/>
      <c r="I8839" s="1"/>
    </row>
    <row r="8840" spans="8:9" x14ac:dyDescent="0.2">
      <c r="H8840" s="1"/>
      <c r="I8840" s="1"/>
    </row>
    <row r="8841" spans="8:9" x14ac:dyDescent="0.2">
      <c r="H8841" s="1"/>
      <c r="I8841" s="1"/>
    </row>
    <row r="8842" spans="8:9" x14ac:dyDescent="0.2">
      <c r="H8842" s="1"/>
      <c r="I8842" s="1"/>
    </row>
    <row r="8843" spans="8:9" x14ac:dyDescent="0.2">
      <c r="H8843" s="1"/>
      <c r="I8843" s="1"/>
    </row>
    <row r="8844" spans="8:9" x14ac:dyDescent="0.2">
      <c r="H8844" s="1"/>
      <c r="I8844" s="1"/>
    </row>
    <row r="8845" spans="8:9" x14ac:dyDescent="0.2">
      <c r="H8845" s="1"/>
      <c r="I8845" s="1"/>
    </row>
    <row r="8846" spans="8:9" x14ac:dyDescent="0.2">
      <c r="H8846" s="1"/>
      <c r="I8846" s="1"/>
    </row>
    <row r="8847" spans="8:9" x14ac:dyDescent="0.2">
      <c r="H8847" s="1"/>
      <c r="I8847" s="1"/>
    </row>
    <row r="8848" spans="8:9" x14ac:dyDescent="0.2">
      <c r="H8848" s="1"/>
      <c r="I8848" s="1"/>
    </row>
    <row r="8849" spans="8:9" x14ac:dyDescent="0.2">
      <c r="H8849" s="1"/>
      <c r="I8849" s="1"/>
    </row>
    <row r="8850" spans="8:9" x14ac:dyDescent="0.2">
      <c r="H8850" s="1"/>
      <c r="I8850" s="1"/>
    </row>
    <row r="8851" spans="8:9" x14ac:dyDescent="0.2">
      <c r="H8851" s="1"/>
      <c r="I8851" s="1"/>
    </row>
    <row r="8852" spans="8:9" x14ac:dyDescent="0.2">
      <c r="H8852" s="1"/>
      <c r="I8852" s="1"/>
    </row>
    <row r="8853" spans="8:9" x14ac:dyDescent="0.2">
      <c r="H8853" s="1"/>
      <c r="I8853" s="1"/>
    </row>
    <row r="8854" spans="8:9" x14ac:dyDescent="0.2">
      <c r="H8854" s="1"/>
      <c r="I8854" s="1"/>
    </row>
    <row r="8855" spans="8:9" x14ac:dyDescent="0.2">
      <c r="H8855" s="1"/>
      <c r="I8855" s="1"/>
    </row>
    <row r="8856" spans="8:9" x14ac:dyDescent="0.2">
      <c r="H8856" s="1"/>
      <c r="I8856" s="1"/>
    </row>
    <row r="8857" spans="8:9" x14ac:dyDescent="0.2">
      <c r="H8857" s="1"/>
      <c r="I8857" s="1"/>
    </row>
    <row r="8858" spans="8:9" x14ac:dyDescent="0.2">
      <c r="H8858" s="1"/>
      <c r="I8858" s="1"/>
    </row>
    <row r="8859" spans="8:9" x14ac:dyDescent="0.2">
      <c r="H8859" s="1"/>
      <c r="I8859" s="1"/>
    </row>
    <row r="8860" spans="8:9" x14ac:dyDescent="0.2">
      <c r="H8860" s="1"/>
      <c r="I8860" s="1"/>
    </row>
    <row r="8861" spans="8:9" x14ac:dyDescent="0.2">
      <c r="H8861" s="1"/>
      <c r="I8861" s="1"/>
    </row>
    <row r="8862" spans="8:9" x14ac:dyDescent="0.2">
      <c r="H8862" s="1"/>
      <c r="I8862" s="1"/>
    </row>
    <row r="8863" spans="8:9" x14ac:dyDescent="0.2">
      <c r="H8863" s="1"/>
      <c r="I8863" s="1"/>
    </row>
    <row r="8864" spans="8:9" x14ac:dyDescent="0.2">
      <c r="H8864" s="1"/>
      <c r="I8864" s="1"/>
    </row>
    <row r="8865" spans="8:9" x14ac:dyDescent="0.2">
      <c r="H8865" s="1"/>
      <c r="I8865" s="1"/>
    </row>
    <row r="8866" spans="8:9" x14ac:dyDescent="0.2">
      <c r="H8866" s="1"/>
      <c r="I8866" s="1"/>
    </row>
    <row r="8867" spans="8:9" x14ac:dyDescent="0.2">
      <c r="H8867" s="1"/>
      <c r="I8867" s="1"/>
    </row>
    <row r="8868" spans="8:9" x14ac:dyDescent="0.2">
      <c r="H8868" s="1"/>
      <c r="I8868" s="1"/>
    </row>
    <row r="8869" spans="8:9" x14ac:dyDescent="0.2">
      <c r="H8869" s="1"/>
      <c r="I8869" s="1"/>
    </row>
    <row r="8870" spans="8:9" x14ac:dyDescent="0.2">
      <c r="H8870" s="1"/>
      <c r="I8870" s="1"/>
    </row>
    <row r="8871" spans="8:9" x14ac:dyDescent="0.2">
      <c r="H8871" s="1"/>
      <c r="I8871" s="1"/>
    </row>
    <row r="8872" spans="8:9" x14ac:dyDescent="0.2">
      <c r="H8872" s="1"/>
      <c r="I8872" s="1"/>
    </row>
    <row r="8873" spans="8:9" x14ac:dyDescent="0.2">
      <c r="H8873" s="1"/>
      <c r="I8873" s="1"/>
    </row>
    <row r="8874" spans="8:9" x14ac:dyDescent="0.2">
      <c r="H8874" s="1"/>
      <c r="I8874" s="1"/>
    </row>
    <row r="8875" spans="8:9" x14ac:dyDescent="0.2">
      <c r="H8875" s="1"/>
      <c r="I8875" s="1"/>
    </row>
    <row r="8876" spans="8:9" x14ac:dyDescent="0.2">
      <c r="H8876" s="1"/>
      <c r="I8876" s="1"/>
    </row>
    <row r="8877" spans="8:9" x14ac:dyDescent="0.2">
      <c r="H8877" s="1"/>
      <c r="I8877" s="1"/>
    </row>
    <row r="8878" spans="8:9" x14ac:dyDescent="0.2">
      <c r="H8878" s="1"/>
      <c r="I8878" s="1"/>
    </row>
    <row r="8879" spans="8:9" x14ac:dyDescent="0.2">
      <c r="H8879" s="1"/>
      <c r="I8879" s="1"/>
    </row>
    <row r="8880" spans="8:9" x14ac:dyDescent="0.2">
      <c r="H8880" s="1"/>
      <c r="I8880" s="1"/>
    </row>
    <row r="8881" spans="8:9" x14ac:dyDescent="0.2">
      <c r="H8881" s="1"/>
      <c r="I8881" s="1"/>
    </row>
    <row r="8882" spans="8:9" x14ac:dyDescent="0.2">
      <c r="H8882" s="1"/>
      <c r="I8882" s="1"/>
    </row>
    <row r="8883" spans="8:9" x14ac:dyDescent="0.2">
      <c r="H8883" s="1"/>
      <c r="I8883" s="1"/>
    </row>
    <row r="8884" spans="8:9" x14ac:dyDescent="0.2">
      <c r="H8884" s="1"/>
      <c r="I8884" s="1"/>
    </row>
    <row r="8885" spans="8:9" x14ac:dyDescent="0.2">
      <c r="H8885" s="1"/>
      <c r="I8885" s="1"/>
    </row>
    <row r="8886" spans="8:9" x14ac:dyDescent="0.2">
      <c r="H8886" s="1"/>
      <c r="I8886" s="1"/>
    </row>
    <row r="8887" spans="8:9" x14ac:dyDescent="0.2">
      <c r="H8887" s="1"/>
      <c r="I8887" s="1"/>
    </row>
    <row r="8888" spans="8:9" x14ac:dyDescent="0.2">
      <c r="H8888" s="1"/>
      <c r="I8888" s="1"/>
    </row>
    <row r="8889" spans="8:9" x14ac:dyDescent="0.2">
      <c r="H8889" s="1"/>
      <c r="I8889" s="1"/>
    </row>
    <row r="8890" spans="8:9" x14ac:dyDescent="0.2">
      <c r="H8890" s="1"/>
      <c r="I8890" s="1"/>
    </row>
    <row r="8891" spans="8:9" x14ac:dyDescent="0.2">
      <c r="H8891" s="1"/>
      <c r="I8891" s="1"/>
    </row>
    <row r="8892" spans="8:9" x14ac:dyDescent="0.2">
      <c r="H8892" s="1"/>
      <c r="I8892" s="1"/>
    </row>
    <row r="8893" spans="8:9" x14ac:dyDescent="0.2">
      <c r="H8893" s="1"/>
      <c r="I8893" s="1"/>
    </row>
    <row r="8894" spans="8:9" x14ac:dyDescent="0.2">
      <c r="H8894" s="1"/>
      <c r="I8894" s="1"/>
    </row>
    <row r="8895" spans="8:9" x14ac:dyDescent="0.2">
      <c r="H8895" s="1"/>
      <c r="I8895" s="1"/>
    </row>
    <row r="8896" spans="8:9" x14ac:dyDescent="0.2">
      <c r="H8896" s="1"/>
      <c r="I8896" s="1"/>
    </row>
    <row r="8897" spans="8:9" x14ac:dyDescent="0.2">
      <c r="H8897" s="1"/>
      <c r="I8897" s="1"/>
    </row>
    <row r="8898" spans="8:9" x14ac:dyDescent="0.2">
      <c r="H8898" s="1"/>
      <c r="I8898" s="1"/>
    </row>
    <row r="8899" spans="8:9" x14ac:dyDescent="0.2">
      <c r="H8899" s="1"/>
      <c r="I8899" s="1"/>
    </row>
    <row r="8900" spans="8:9" x14ac:dyDescent="0.2">
      <c r="H8900" s="1"/>
      <c r="I8900" s="1"/>
    </row>
    <row r="8901" spans="8:9" x14ac:dyDescent="0.2">
      <c r="H8901" s="1"/>
      <c r="I8901" s="1"/>
    </row>
    <row r="8902" spans="8:9" x14ac:dyDescent="0.2">
      <c r="H8902" s="1"/>
      <c r="I8902" s="1"/>
    </row>
    <row r="8903" spans="8:9" x14ac:dyDescent="0.2">
      <c r="H8903" s="1"/>
      <c r="I8903" s="1"/>
    </row>
    <row r="8904" spans="8:9" x14ac:dyDescent="0.2">
      <c r="H8904" s="1"/>
      <c r="I8904" s="1"/>
    </row>
    <row r="8905" spans="8:9" x14ac:dyDescent="0.2">
      <c r="H8905" s="1"/>
      <c r="I8905" s="1"/>
    </row>
    <row r="8906" spans="8:9" x14ac:dyDescent="0.2">
      <c r="H8906" s="1"/>
      <c r="I8906" s="1"/>
    </row>
    <row r="8907" spans="8:9" x14ac:dyDescent="0.2">
      <c r="H8907" s="1"/>
      <c r="I8907" s="1"/>
    </row>
    <row r="8908" spans="8:9" x14ac:dyDescent="0.2">
      <c r="H8908" s="1"/>
      <c r="I8908" s="1"/>
    </row>
    <row r="8909" spans="8:9" x14ac:dyDescent="0.2">
      <c r="H8909" s="1"/>
      <c r="I8909" s="1"/>
    </row>
    <row r="8910" spans="8:9" x14ac:dyDescent="0.2">
      <c r="H8910" s="1"/>
      <c r="I8910" s="1"/>
    </row>
    <row r="8911" spans="8:9" x14ac:dyDescent="0.2">
      <c r="H8911" s="1"/>
      <c r="I8911" s="1"/>
    </row>
    <row r="8912" spans="8:9" x14ac:dyDescent="0.2">
      <c r="H8912" s="1"/>
      <c r="I8912" s="1"/>
    </row>
    <row r="8913" spans="8:9" x14ac:dyDescent="0.2">
      <c r="H8913" s="1"/>
      <c r="I8913" s="1"/>
    </row>
    <row r="8914" spans="8:9" x14ac:dyDescent="0.2">
      <c r="H8914" s="1"/>
      <c r="I8914" s="1"/>
    </row>
    <row r="8915" spans="8:9" x14ac:dyDescent="0.2">
      <c r="H8915" s="1"/>
      <c r="I8915" s="1"/>
    </row>
    <row r="8916" spans="8:9" x14ac:dyDescent="0.2">
      <c r="H8916" s="1"/>
      <c r="I8916" s="1"/>
    </row>
    <row r="8917" spans="8:9" x14ac:dyDescent="0.2">
      <c r="H8917" s="1"/>
      <c r="I8917" s="1"/>
    </row>
    <row r="8918" spans="8:9" x14ac:dyDescent="0.2">
      <c r="H8918" s="1"/>
      <c r="I8918" s="1"/>
    </row>
    <row r="8919" spans="8:9" x14ac:dyDescent="0.2">
      <c r="H8919" s="1"/>
      <c r="I8919" s="1"/>
    </row>
    <row r="8920" spans="8:9" x14ac:dyDescent="0.2">
      <c r="H8920" s="1"/>
      <c r="I8920" s="1"/>
    </row>
    <row r="8921" spans="8:9" x14ac:dyDescent="0.2">
      <c r="H8921" s="1"/>
      <c r="I8921" s="1"/>
    </row>
    <row r="8922" spans="8:9" x14ac:dyDescent="0.2">
      <c r="H8922" s="1"/>
      <c r="I8922" s="1"/>
    </row>
    <row r="8923" spans="8:9" x14ac:dyDescent="0.2">
      <c r="H8923" s="1"/>
      <c r="I8923" s="1"/>
    </row>
    <row r="8924" spans="8:9" x14ac:dyDescent="0.2">
      <c r="H8924" s="1"/>
      <c r="I8924" s="1"/>
    </row>
    <row r="8925" spans="8:9" x14ac:dyDescent="0.2">
      <c r="H8925" s="1"/>
      <c r="I8925" s="1"/>
    </row>
    <row r="8926" spans="8:9" x14ac:dyDescent="0.2">
      <c r="H8926" s="1"/>
      <c r="I8926" s="1"/>
    </row>
    <row r="8927" spans="8:9" x14ac:dyDescent="0.2">
      <c r="H8927" s="1"/>
      <c r="I8927" s="1"/>
    </row>
    <row r="8928" spans="8:9" x14ac:dyDescent="0.2">
      <c r="H8928" s="1"/>
      <c r="I8928" s="1"/>
    </row>
    <row r="8929" spans="8:9" x14ac:dyDescent="0.2">
      <c r="H8929" s="1"/>
      <c r="I8929" s="1"/>
    </row>
    <row r="8930" spans="8:9" x14ac:dyDescent="0.2">
      <c r="H8930" s="1"/>
      <c r="I8930" s="1"/>
    </row>
    <row r="8931" spans="8:9" x14ac:dyDescent="0.2">
      <c r="H8931" s="1"/>
      <c r="I8931" s="1"/>
    </row>
    <row r="8932" spans="8:9" x14ac:dyDescent="0.2">
      <c r="H8932" s="1"/>
      <c r="I8932" s="1"/>
    </row>
    <row r="8933" spans="8:9" x14ac:dyDescent="0.2">
      <c r="H8933" s="1"/>
      <c r="I8933" s="1"/>
    </row>
    <row r="8934" spans="8:9" x14ac:dyDescent="0.2">
      <c r="H8934" s="1"/>
      <c r="I8934" s="1"/>
    </row>
    <row r="8935" spans="8:9" x14ac:dyDescent="0.2">
      <c r="H8935" s="1"/>
      <c r="I8935" s="1"/>
    </row>
    <row r="8936" spans="8:9" x14ac:dyDescent="0.2">
      <c r="H8936" s="1"/>
      <c r="I8936" s="1"/>
    </row>
    <row r="8937" spans="8:9" x14ac:dyDescent="0.2">
      <c r="H8937" s="1"/>
      <c r="I8937" s="1"/>
    </row>
    <row r="8938" spans="8:9" x14ac:dyDescent="0.2">
      <c r="H8938" s="1"/>
      <c r="I8938" s="1"/>
    </row>
    <row r="8939" spans="8:9" x14ac:dyDescent="0.2">
      <c r="H8939" s="1"/>
      <c r="I8939" s="1"/>
    </row>
    <row r="8940" spans="8:9" x14ac:dyDescent="0.2">
      <c r="H8940" s="1"/>
      <c r="I8940" s="1"/>
    </row>
    <row r="8941" spans="8:9" x14ac:dyDescent="0.2">
      <c r="H8941" s="1"/>
      <c r="I8941" s="1"/>
    </row>
    <row r="8942" spans="8:9" x14ac:dyDescent="0.2">
      <c r="H8942" s="1"/>
      <c r="I8942" s="1"/>
    </row>
    <row r="8943" spans="8:9" x14ac:dyDescent="0.2">
      <c r="H8943" s="1"/>
      <c r="I8943" s="1"/>
    </row>
    <row r="8944" spans="8:9" x14ac:dyDescent="0.2">
      <c r="H8944" s="1"/>
      <c r="I8944" s="1"/>
    </row>
    <row r="8945" spans="8:9" x14ac:dyDescent="0.2">
      <c r="H8945" s="1"/>
      <c r="I8945" s="1"/>
    </row>
    <row r="8946" spans="8:9" x14ac:dyDescent="0.2">
      <c r="H8946" s="1"/>
      <c r="I8946" s="1"/>
    </row>
    <row r="8947" spans="8:9" x14ac:dyDescent="0.2">
      <c r="H8947" s="1"/>
      <c r="I8947" s="1"/>
    </row>
    <row r="8948" spans="8:9" x14ac:dyDescent="0.2">
      <c r="H8948" s="1"/>
      <c r="I8948" s="1"/>
    </row>
    <row r="8949" spans="8:9" x14ac:dyDescent="0.2">
      <c r="H8949" s="1"/>
      <c r="I8949" s="1"/>
    </row>
    <row r="8950" spans="8:9" x14ac:dyDescent="0.2">
      <c r="H8950" s="1"/>
      <c r="I8950" s="1"/>
    </row>
    <row r="8951" spans="8:9" x14ac:dyDescent="0.2">
      <c r="H8951" s="1"/>
      <c r="I8951" s="1"/>
    </row>
    <row r="8952" spans="8:9" x14ac:dyDescent="0.2">
      <c r="H8952" s="1"/>
      <c r="I8952" s="1"/>
    </row>
    <row r="8953" spans="8:9" x14ac:dyDescent="0.2">
      <c r="H8953" s="1"/>
      <c r="I8953" s="1"/>
    </row>
    <row r="8954" spans="8:9" x14ac:dyDescent="0.2">
      <c r="H8954" s="1"/>
      <c r="I8954" s="1"/>
    </row>
    <row r="8955" spans="8:9" x14ac:dyDescent="0.2">
      <c r="H8955" s="1"/>
      <c r="I8955" s="1"/>
    </row>
    <row r="8956" spans="8:9" x14ac:dyDescent="0.2">
      <c r="H8956" s="1"/>
      <c r="I8956" s="1"/>
    </row>
    <row r="8957" spans="8:9" x14ac:dyDescent="0.2">
      <c r="H8957" s="1"/>
      <c r="I8957" s="1"/>
    </row>
    <row r="8958" spans="8:9" x14ac:dyDescent="0.2">
      <c r="H8958" s="1"/>
      <c r="I8958" s="1"/>
    </row>
    <row r="8959" spans="8:9" x14ac:dyDescent="0.2">
      <c r="H8959" s="1"/>
      <c r="I8959" s="1"/>
    </row>
    <row r="8960" spans="8:9" x14ac:dyDescent="0.2">
      <c r="H8960" s="1"/>
      <c r="I8960" s="1"/>
    </row>
    <row r="8961" spans="8:9" x14ac:dyDescent="0.2">
      <c r="H8961" s="1"/>
      <c r="I8961" s="1"/>
    </row>
    <row r="8962" spans="8:9" x14ac:dyDescent="0.2">
      <c r="H8962" s="1"/>
      <c r="I8962" s="1"/>
    </row>
    <row r="8963" spans="8:9" x14ac:dyDescent="0.2">
      <c r="H8963" s="1"/>
      <c r="I8963" s="1"/>
    </row>
    <row r="8964" spans="8:9" x14ac:dyDescent="0.2">
      <c r="H8964" s="1"/>
      <c r="I8964" s="1"/>
    </row>
    <row r="8965" spans="8:9" x14ac:dyDescent="0.2">
      <c r="H8965" s="1"/>
      <c r="I8965" s="1"/>
    </row>
    <row r="8966" spans="8:9" x14ac:dyDescent="0.2">
      <c r="H8966" s="1"/>
      <c r="I8966" s="1"/>
    </row>
    <row r="8967" spans="8:9" x14ac:dyDescent="0.2">
      <c r="H8967" s="1"/>
      <c r="I8967" s="1"/>
    </row>
    <row r="8968" spans="8:9" x14ac:dyDescent="0.2">
      <c r="H8968" s="1"/>
      <c r="I8968" s="1"/>
    </row>
    <row r="8969" spans="8:9" x14ac:dyDescent="0.2">
      <c r="H8969" s="1"/>
      <c r="I8969" s="1"/>
    </row>
    <row r="8970" spans="8:9" x14ac:dyDescent="0.2">
      <c r="H8970" s="1"/>
      <c r="I8970" s="1"/>
    </row>
    <row r="8971" spans="8:9" x14ac:dyDescent="0.2">
      <c r="H8971" s="1"/>
      <c r="I8971" s="1"/>
    </row>
    <row r="8972" spans="8:9" x14ac:dyDescent="0.2">
      <c r="H8972" s="1"/>
      <c r="I8972" s="1"/>
    </row>
    <row r="8973" spans="8:9" x14ac:dyDescent="0.2">
      <c r="H8973" s="1"/>
      <c r="I8973" s="1"/>
    </row>
    <row r="8974" spans="8:9" x14ac:dyDescent="0.2">
      <c r="H8974" s="1"/>
      <c r="I8974" s="1"/>
    </row>
    <row r="8975" spans="8:9" x14ac:dyDescent="0.2">
      <c r="H8975" s="1"/>
      <c r="I8975" s="1"/>
    </row>
    <row r="8976" spans="8:9" x14ac:dyDescent="0.2">
      <c r="H8976" s="1"/>
      <c r="I8976" s="1"/>
    </row>
    <row r="8977" spans="8:9" x14ac:dyDescent="0.2">
      <c r="H8977" s="1"/>
      <c r="I8977" s="1"/>
    </row>
    <row r="8978" spans="8:9" x14ac:dyDescent="0.2">
      <c r="H8978" s="1"/>
      <c r="I8978" s="1"/>
    </row>
    <row r="8979" spans="8:9" x14ac:dyDescent="0.2">
      <c r="H8979" s="1"/>
      <c r="I8979" s="1"/>
    </row>
    <row r="8980" spans="8:9" x14ac:dyDescent="0.2">
      <c r="H8980" s="1"/>
      <c r="I8980" s="1"/>
    </row>
    <row r="8981" spans="8:9" x14ac:dyDescent="0.2">
      <c r="H8981" s="1"/>
      <c r="I8981" s="1"/>
    </row>
    <row r="8982" spans="8:9" x14ac:dyDescent="0.2">
      <c r="H8982" s="1"/>
      <c r="I8982" s="1"/>
    </row>
    <row r="8983" spans="8:9" x14ac:dyDescent="0.2">
      <c r="H8983" s="1"/>
      <c r="I8983" s="1"/>
    </row>
    <row r="8984" spans="8:9" x14ac:dyDescent="0.2">
      <c r="H8984" s="1"/>
      <c r="I8984" s="1"/>
    </row>
    <row r="8985" spans="8:9" x14ac:dyDescent="0.2">
      <c r="H8985" s="1"/>
      <c r="I8985" s="1"/>
    </row>
    <row r="8986" spans="8:9" x14ac:dyDescent="0.2">
      <c r="H8986" s="1"/>
      <c r="I8986" s="1"/>
    </row>
    <row r="8987" spans="8:9" x14ac:dyDescent="0.2">
      <c r="H8987" s="1"/>
      <c r="I8987" s="1"/>
    </row>
    <row r="8988" spans="8:9" x14ac:dyDescent="0.2">
      <c r="H8988" s="1"/>
      <c r="I8988" s="1"/>
    </row>
    <row r="8989" spans="8:9" x14ac:dyDescent="0.2">
      <c r="H8989" s="1"/>
      <c r="I8989" s="1"/>
    </row>
    <row r="8990" spans="8:9" x14ac:dyDescent="0.2">
      <c r="H8990" s="1"/>
      <c r="I8990" s="1"/>
    </row>
    <row r="8991" spans="8:9" x14ac:dyDescent="0.2">
      <c r="H8991" s="1"/>
      <c r="I8991" s="1"/>
    </row>
    <row r="8992" spans="8:9" x14ac:dyDescent="0.2">
      <c r="H8992" s="1"/>
      <c r="I8992" s="1"/>
    </row>
    <row r="8993" spans="8:9" x14ac:dyDescent="0.2">
      <c r="H8993" s="1"/>
      <c r="I8993" s="1"/>
    </row>
    <row r="8994" spans="8:9" x14ac:dyDescent="0.2">
      <c r="H8994" s="1"/>
      <c r="I8994" s="1"/>
    </row>
    <row r="8995" spans="8:9" x14ac:dyDescent="0.2">
      <c r="H8995" s="1"/>
      <c r="I8995" s="1"/>
    </row>
    <row r="8996" spans="8:9" x14ac:dyDescent="0.2">
      <c r="H8996" s="1"/>
      <c r="I8996" s="1"/>
    </row>
    <row r="8997" spans="8:9" x14ac:dyDescent="0.2">
      <c r="H8997" s="1"/>
      <c r="I8997" s="1"/>
    </row>
    <row r="8998" spans="8:9" x14ac:dyDescent="0.2">
      <c r="H8998" s="1"/>
      <c r="I8998" s="1"/>
    </row>
    <row r="8999" spans="8:9" x14ac:dyDescent="0.2">
      <c r="H8999" s="1"/>
      <c r="I8999" s="1"/>
    </row>
    <row r="9000" spans="8:9" x14ac:dyDescent="0.2">
      <c r="H9000" s="1"/>
      <c r="I9000" s="1"/>
    </row>
    <row r="9001" spans="8:9" x14ac:dyDescent="0.2">
      <c r="H9001" s="1"/>
      <c r="I9001" s="1"/>
    </row>
    <row r="9002" spans="8:9" x14ac:dyDescent="0.2">
      <c r="H9002" s="1"/>
      <c r="I9002" s="1"/>
    </row>
    <row r="9003" spans="8:9" x14ac:dyDescent="0.2">
      <c r="H9003" s="1"/>
      <c r="I9003" s="1"/>
    </row>
    <row r="9004" spans="8:9" x14ac:dyDescent="0.2">
      <c r="H9004" s="1"/>
      <c r="I9004" s="1"/>
    </row>
    <row r="9005" spans="8:9" x14ac:dyDescent="0.2">
      <c r="H9005" s="1"/>
      <c r="I9005" s="1"/>
    </row>
    <row r="9006" spans="8:9" x14ac:dyDescent="0.2">
      <c r="H9006" s="1"/>
      <c r="I9006" s="1"/>
    </row>
    <row r="9007" spans="8:9" x14ac:dyDescent="0.2">
      <c r="H9007" s="1"/>
      <c r="I9007" s="1"/>
    </row>
    <row r="9008" spans="8:9" x14ac:dyDescent="0.2">
      <c r="H9008" s="1"/>
      <c r="I9008" s="1"/>
    </row>
    <row r="9009" spans="8:9" x14ac:dyDescent="0.2">
      <c r="H9009" s="1"/>
      <c r="I9009" s="1"/>
    </row>
    <row r="9010" spans="8:9" x14ac:dyDescent="0.2">
      <c r="H9010" s="1"/>
      <c r="I9010" s="1"/>
    </row>
    <row r="9011" spans="8:9" x14ac:dyDescent="0.2">
      <c r="H9011" s="1"/>
      <c r="I9011" s="1"/>
    </row>
    <row r="9012" spans="8:9" x14ac:dyDescent="0.2">
      <c r="H9012" s="1"/>
      <c r="I9012" s="1"/>
    </row>
    <row r="9013" spans="8:9" x14ac:dyDescent="0.2">
      <c r="H9013" s="1"/>
      <c r="I9013" s="1"/>
    </row>
    <row r="9014" spans="8:9" x14ac:dyDescent="0.2">
      <c r="H9014" s="1"/>
      <c r="I9014" s="1"/>
    </row>
    <row r="9015" spans="8:9" x14ac:dyDescent="0.2">
      <c r="H9015" s="1"/>
      <c r="I9015" s="1"/>
    </row>
    <row r="9016" spans="8:9" x14ac:dyDescent="0.2">
      <c r="H9016" s="1"/>
      <c r="I9016" s="1"/>
    </row>
    <row r="9017" spans="8:9" x14ac:dyDescent="0.2">
      <c r="H9017" s="1"/>
      <c r="I9017" s="1"/>
    </row>
    <row r="9018" spans="8:9" x14ac:dyDescent="0.2">
      <c r="H9018" s="1"/>
      <c r="I9018" s="1"/>
    </row>
    <row r="9019" spans="8:9" x14ac:dyDescent="0.2">
      <c r="H9019" s="1"/>
      <c r="I9019" s="1"/>
    </row>
    <row r="9020" spans="8:9" x14ac:dyDescent="0.2">
      <c r="H9020" s="1"/>
      <c r="I9020" s="1"/>
    </row>
    <row r="9021" spans="8:9" x14ac:dyDescent="0.2">
      <c r="H9021" s="1"/>
      <c r="I9021" s="1"/>
    </row>
    <row r="9022" spans="8:9" x14ac:dyDescent="0.2">
      <c r="H9022" s="1"/>
      <c r="I9022" s="1"/>
    </row>
    <row r="9023" spans="8:9" x14ac:dyDescent="0.2">
      <c r="H9023" s="1"/>
      <c r="I9023" s="1"/>
    </row>
    <row r="9024" spans="8:9" x14ac:dyDescent="0.2">
      <c r="H9024" s="1"/>
      <c r="I9024" s="1"/>
    </row>
    <row r="9025" spans="8:9" x14ac:dyDescent="0.2">
      <c r="H9025" s="1"/>
      <c r="I9025" s="1"/>
    </row>
    <row r="9026" spans="8:9" x14ac:dyDescent="0.2">
      <c r="H9026" s="1"/>
      <c r="I9026" s="1"/>
    </row>
    <row r="9027" spans="8:9" x14ac:dyDescent="0.2">
      <c r="H9027" s="1"/>
      <c r="I9027" s="1"/>
    </row>
    <row r="9028" spans="8:9" x14ac:dyDescent="0.2">
      <c r="H9028" s="1"/>
      <c r="I9028" s="1"/>
    </row>
    <row r="9029" spans="8:9" x14ac:dyDescent="0.2">
      <c r="H9029" s="1"/>
      <c r="I9029" s="1"/>
    </row>
    <row r="9030" spans="8:9" x14ac:dyDescent="0.2">
      <c r="H9030" s="1"/>
      <c r="I9030" s="1"/>
    </row>
    <row r="9031" spans="8:9" x14ac:dyDescent="0.2">
      <c r="H9031" s="1"/>
      <c r="I9031" s="1"/>
    </row>
    <row r="9032" spans="8:9" x14ac:dyDescent="0.2">
      <c r="H9032" s="1"/>
      <c r="I9032" s="1"/>
    </row>
    <row r="9033" spans="8:9" x14ac:dyDescent="0.2">
      <c r="H9033" s="1"/>
      <c r="I9033" s="1"/>
    </row>
    <row r="9034" spans="8:9" x14ac:dyDescent="0.2">
      <c r="H9034" s="1"/>
      <c r="I9034" s="1"/>
    </row>
    <row r="9035" spans="8:9" x14ac:dyDescent="0.2">
      <c r="H9035" s="1"/>
      <c r="I9035" s="1"/>
    </row>
    <row r="9036" spans="8:9" x14ac:dyDescent="0.2">
      <c r="H9036" s="1"/>
      <c r="I9036" s="1"/>
    </row>
    <row r="9037" spans="8:9" x14ac:dyDescent="0.2">
      <c r="H9037" s="1"/>
      <c r="I9037" s="1"/>
    </row>
    <row r="9038" spans="8:9" x14ac:dyDescent="0.2">
      <c r="H9038" s="1"/>
      <c r="I9038" s="1"/>
    </row>
    <row r="9039" spans="8:9" x14ac:dyDescent="0.2">
      <c r="H9039" s="1"/>
      <c r="I9039" s="1"/>
    </row>
    <row r="9040" spans="8:9" x14ac:dyDescent="0.2">
      <c r="H9040" s="1"/>
      <c r="I9040" s="1"/>
    </row>
    <row r="9041" spans="8:9" x14ac:dyDescent="0.2">
      <c r="H9041" s="1"/>
      <c r="I9041" s="1"/>
    </row>
    <row r="9042" spans="8:9" x14ac:dyDescent="0.2">
      <c r="H9042" s="1"/>
      <c r="I9042" s="1"/>
    </row>
    <row r="9043" spans="8:9" x14ac:dyDescent="0.2">
      <c r="H9043" s="1"/>
      <c r="I9043" s="1"/>
    </row>
    <row r="9044" spans="8:9" x14ac:dyDescent="0.2">
      <c r="H9044" s="1"/>
      <c r="I9044" s="1"/>
    </row>
    <row r="9045" spans="8:9" x14ac:dyDescent="0.2">
      <c r="H9045" s="1"/>
      <c r="I9045" s="1"/>
    </row>
    <row r="9046" spans="8:9" x14ac:dyDescent="0.2">
      <c r="H9046" s="1"/>
      <c r="I9046" s="1"/>
    </row>
    <row r="9047" spans="8:9" x14ac:dyDescent="0.2">
      <c r="H9047" s="1"/>
      <c r="I9047" s="1"/>
    </row>
    <row r="9048" spans="8:9" x14ac:dyDescent="0.2">
      <c r="H9048" s="1"/>
      <c r="I9048" s="1"/>
    </row>
    <row r="9049" spans="8:9" x14ac:dyDescent="0.2">
      <c r="H9049" s="1"/>
      <c r="I9049" s="1"/>
    </row>
    <row r="9050" spans="8:9" x14ac:dyDescent="0.2">
      <c r="H9050" s="1"/>
      <c r="I9050" s="1"/>
    </row>
    <row r="9051" spans="8:9" x14ac:dyDescent="0.2">
      <c r="H9051" s="1"/>
      <c r="I9051" s="1"/>
    </row>
    <row r="9052" spans="8:9" x14ac:dyDescent="0.2">
      <c r="H9052" s="1"/>
      <c r="I9052" s="1"/>
    </row>
    <row r="9053" spans="8:9" x14ac:dyDescent="0.2">
      <c r="H9053" s="1"/>
      <c r="I9053" s="1"/>
    </row>
    <row r="9054" spans="8:9" x14ac:dyDescent="0.2">
      <c r="H9054" s="1"/>
      <c r="I9054" s="1"/>
    </row>
    <row r="9055" spans="8:9" x14ac:dyDescent="0.2">
      <c r="H9055" s="1"/>
      <c r="I9055" s="1"/>
    </row>
    <row r="9056" spans="8:9" x14ac:dyDescent="0.2">
      <c r="H9056" s="1"/>
      <c r="I9056" s="1"/>
    </row>
    <row r="9057" spans="8:9" x14ac:dyDescent="0.2">
      <c r="H9057" s="1"/>
      <c r="I9057" s="1"/>
    </row>
    <row r="9058" spans="8:9" x14ac:dyDescent="0.2">
      <c r="H9058" s="1"/>
      <c r="I9058" s="1"/>
    </row>
    <row r="9059" spans="8:9" x14ac:dyDescent="0.2">
      <c r="H9059" s="1"/>
      <c r="I9059" s="1"/>
    </row>
    <row r="9060" spans="8:9" x14ac:dyDescent="0.2">
      <c r="H9060" s="1"/>
      <c r="I9060" s="1"/>
    </row>
    <row r="9061" spans="8:9" x14ac:dyDescent="0.2">
      <c r="H9061" s="1"/>
      <c r="I9061" s="1"/>
    </row>
    <row r="9062" spans="8:9" x14ac:dyDescent="0.2">
      <c r="H9062" s="1"/>
      <c r="I9062" s="1"/>
    </row>
    <row r="9063" spans="8:9" x14ac:dyDescent="0.2">
      <c r="H9063" s="1"/>
      <c r="I9063" s="1"/>
    </row>
    <row r="9064" spans="8:9" x14ac:dyDescent="0.2">
      <c r="H9064" s="1"/>
      <c r="I9064" s="1"/>
    </row>
    <row r="9065" spans="8:9" x14ac:dyDescent="0.2">
      <c r="H9065" s="1"/>
      <c r="I9065" s="1"/>
    </row>
    <row r="9066" spans="8:9" x14ac:dyDescent="0.2">
      <c r="H9066" s="1"/>
      <c r="I9066" s="1"/>
    </row>
    <row r="9067" spans="8:9" x14ac:dyDescent="0.2">
      <c r="H9067" s="1"/>
      <c r="I9067" s="1"/>
    </row>
    <row r="9068" spans="8:9" x14ac:dyDescent="0.2">
      <c r="H9068" s="1"/>
      <c r="I9068" s="1"/>
    </row>
    <row r="9069" spans="8:9" x14ac:dyDescent="0.2">
      <c r="H9069" s="1"/>
      <c r="I9069" s="1"/>
    </row>
    <row r="9070" spans="8:9" x14ac:dyDescent="0.2">
      <c r="H9070" s="1"/>
      <c r="I9070" s="1"/>
    </row>
    <row r="9071" spans="8:9" x14ac:dyDescent="0.2">
      <c r="H9071" s="1"/>
      <c r="I9071" s="1"/>
    </row>
    <row r="9072" spans="8:9" x14ac:dyDescent="0.2">
      <c r="H9072" s="1"/>
      <c r="I9072" s="1"/>
    </row>
    <row r="9073" spans="8:9" x14ac:dyDescent="0.2">
      <c r="H9073" s="1"/>
      <c r="I9073" s="1"/>
    </row>
    <row r="9074" spans="8:9" x14ac:dyDescent="0.2">
      <c r="H9074" s="1"/>
      <c r="I9074" s="1"/>
    </row>
    <row r="9075" spans="8:9" x14ac:dyDescent="0.2">
      <c r="H9075" s="1"/>
      <c r="I9075" s="1"/>
    </row>
    <row r="9076" spans="8:9" x14ac:dyDescent="0.2">
      <c r="H9076" s="1"/>
      <c r="I9076" s="1"/>
    </row>
    <row r="9077" spans="8:9" x14ac:dyDescent="0.2">
      <c r="H9077" s="1"/>
      <c r="I9077" s="1"/>
    </row>
    <row r="9078" spans="8:9" x14ac:dyDescent="0.2">
      <c r="H9078" s="1"/>
      <c r="I9078" s="1"/>
    </row>
    <row r="9079" spans="8:9" x14ac:dyDescent="0.2">
      <c r="H9079" s="1"/>
      <c r="I9079" s="1"/>
    </row>
    <row r="9080" spans="8:9" x14ac:dyDescent="0.2">
      <c r="H9080" s="1"/>
      <c r="I9080" s="1"/>
    </row>
    <row r="9081" spans="8:9" x14ac:dyDescent="0.2">
      <c r="H9081" s="1"/>
      <c r="I9081" s="1"/>
    </row>
    <row r="9082" spans="8:9" x14ac:dyDescent="0.2">
      <c r="H9082" s="1"/>
      <c r="I9082" s="1"/>
    </row>
    <row r="9083" spans="8:9" x14ac:dyDescent="0.2">
      <c r="H9083" s="1"/>
      <c r="I9083" s="1"/>
    </row>
    <row r="9084" spans="8:9" x14ac:dyDescent="0.2">
      <c r="H9084" s="1"/>
      <c r="I9084" s="1"/>
    </row>
    <row r="9085" spans="8:9" x14ac:dyDescent="0.2">
      <c r="H9085" s="1"/>
      <c r="I9085" s="1"/>
    </row>
    <row r="9086" spans="8:9" x14ac:dyDescent="0.2">
      <c r="H9086" s="1"/>
      <c r="I9086" s="1"/>
    </row>
    <row r="9087" spans="8:9" x14ac:dyDescent="0.2">
      <c r="H9087" s="1"/>
      <c r="I9087" s="1"/>
    </row>
    <row r="9088" spans="8:9" x14ac:dyDescent="0.2">
      <c r="H9088" s="1"/>
      <c r="I9088" s="1"/>
    </row>
    <row r="9089" spans="8:9" x14ac:dyDescent="0.2">
      <c r="H9089" s="1"/>
      <c r="I9089" s="1"/>
    </row>
    <row r="9090" spans="8:9" x14ac:dyDescent="0.2">
      <c r="H9090" s="1"/>
      <c r="I9090" s="1"/>
    </row>
    <row r="9091" spans="8:9" x14ac:dyDescent="0.2">
      <c r="H9091" s="1"/>
      <c r="I9091" s="1"/>
    </row>
    <row r="9092" spans="8:9" x14ac:dyDescent="0.2">
      <c r="H9092" s="1"/>
      <c r="I9092" s="1"/>
    </row>
    <row r="9093" spans="8:9" x14ac:dyDescent="0.2">
      <c r="H9093" s="1"/>
      <c r="I9093" s="1"/>
    </row>
    <row r="9094" spans="8:9" x14ac:dyDescent="0.2">
      <c r="H9094" s="1"/>
      <c r="I9094" s="1"/>
    </row>
    <row r="9095" spans="8:9" x14ac:dyDescent="0.2">
      <c r="H9095" s="1"/>
      <c r="I9095" s="1"/>
    </row>
    <row r="9096" spans="8:9" x14ac:dyDescent="0.2">
      <c r="H9096" s="1"/>
      <c r="I9096" s="1"/>
    </row>
    <row r="9097" spans="8:9" x14ac:dyDescent="0.2">
      <c r="H9097" s="1"/>
      <c r="I9097" s="1"/>
    </row>
    <row r="9098" spans="8:9" x14ac:dyDescent="0.2">
      <c r="H9098" s="1"/>
      <c r="I9098" s="1"/>
    </row>
    <row r="9099" spans="8:9" x14ac:dyDescent="0.2">
      <c r="H9099" s="1"/>
      <c r="I9099" s="1"/>
    </row>
    <row r="9100" spans="8:9" x14ac:dyDescent="0.2">
      <c r="H9100" s="1"/>
      <c r="I9100" s="1"/>
    </row>
    <row r="9101" spans="8:9" x14ac:dyDescent="0.2">
      <c r="H9101" s="1"/>
      <c r="I9101" s="1"/>
    </row>
    <row r="9102" spans="8:9" x14ac:dyDescent="0.2">
      <c r="H9102" s="1"/>
      <c r="I9102" s="1"/>
    </row>
    <row r="9103" spans="8:9" x14ac:dyDescent="0.2">
      <c r="H9103" s="1"/>
      <c r="I9103" s="1"/>
    </row>
    <row r="9104" spans="8:9" x14ac:dyDescent="0.2">
      <c r="H9104" s="1"/>
      <c r="I9104" s="1"/>
    </row>
    <row r="9105" spans="8:9" x14ac:dyDescent="0.2">
      <c r="H9105" s="1"/>
      <c r="I9105" s="1"/>
    </row>
    <row r="9106" spans="8:9" x14ac:dyDescent="0.2">
      <c r="H9106" s="1"/>
      <c r="I9106" s="1"/>
    </row>
    <row r="9107" spans="8:9" x14ac:dyDescent="0.2">
      <c r="H9107" s="1"/>
      <c r="I9107" s="1"/>
    </row>
    <row r="9108" spans="8:9" x14ac:dyDescent="0.2">
      <c r="H9108" s="1"/>
      <c r="I9108" s="1"/>
    </row>
    <row r="9109" spans="8:9" x14ac:dyDescent="0.2">
      <c r="H9109" s="1"/>
      <c r="I9109" s="1"/>
    </row>
    <row r="9110" spans="8:9" x14ac:dyDescent="0.2">
      <c r="H9110" s="1"/>
      <c r="I9110" s="1"/>
    </row>
    <row r="9111" spans="8:9" x14ac:dyDescent="0.2">
      <c r="H9111" s="1"/>
      <c r="I9111" s="1"/>
    </row>
    <row r="9112" spans="8:9" x14ac:dyDescent="0.2">
      <c r="H9112" s="1"/>
      <c r="I9112" s="1"/>
    </row>
    <row r="9113" spans="8:9" x14ac:dyDescent="0.2">
      <c r="H9113" s="1"/>
      <c r="I9113" s="1"/>
    </row>
    <row r="9114" spans="8:9" x14ac:dyDescent="0.2">
      <c r="H9114" s="1"/>
      <c r="I9114" s="1"/>
    </row>
    <row r="9115" spans="8:9" x14ac:dyDescent="0.2">
      <c r="H9115" s="1"/>
      <c r="I9115" s="1"/>
    </row>
    <row r="9116" spans="8:9" x14ac:dyDescent="0.2">
      <c r="H9116" s="1"/>
      <c r="I9116" s="1"/>
    </row>
    <row r="9117" spans="8:9" x14ac:dyDescent="0.2">
      <c r="H9117" s="1"/>
      <c r="I9117" s="1"/>
    </row>
    <row r="9118" spans="8:9" x14ac:dyDescent="0.2">
      <c r="H9118" s="1"/>
      <c r="I9118" s="1"/>
    </row>
    <row r="9119" spans="8:9" x14ac:dyDescent="0.2">
      <c r="H9119" s="1"/>
      <c r="I9119" s="1"/>
    </row>
    <row r="9120" spans="8:9" x14ac:dyDescent="0.2">
      <c r="H9120" s="1"/>
      <c r="I9120" s="1"/>
    </row>
    <row r="9121" spans="8:9" x14ac:dyDescent="0.2">
      <c r="H9121" s="1"/>
      <c r="I9121" s="1"/>
    </row>
    <row r="9122" spans="8:9" x14ac:dyDescent="0.2">
      <c r="H9122" s="1"/>
      <c r="I9122" s="1"/>
    </row>
    <row r="9123" spans="8:9" x14ac:dyDescent="0.2">
      <c r="H9123" s="1"/>
      <c r="I9123" s="1"/>
    </row>
    <row r="9124" spans="8:9" x14ac:dyDescent="0.2">
      <c r="H9124" s="1"/>
      <c r="I9124" s="1"/>
    </row>
    <row r="9125" spans="8:9" x14ac:dyDescent="0.2">
      <c r="H9125" s="1"/>
      <c r="I9125" s="1"/>
    </row>
    <row r="9126" spans="8:9" x14ac:dyDescent="0.2">
      <c r="H9126" s="1"/>
      <c r="I9126" s="1"/>
    </row>
    <row r="9127" spans="8:9" x14ac:dyDescent="0.2">
      <c r="H9127" s="1"/>
      <c r="I9127" s="1"/>
    </row>
    <row r="9128" spans="8:9" x14ac:dyDescent="0.2">
      <c r="H9128" s="1"/>
      <c r="I9128" s="1"/>
    </row>
    <row r="9129" spans="8:9" x14ac:dyDescent="0.2">
      <c r="H9129" s="1"/>
      <c r="I9129" s="1"/>
    </row>
    <row r="9130" spans="8:9" x14ac:dyDescent="0.2">
      <c r="H9130" s="1"/>
      <c r="I9130" s="1"/>
    </row>
    <row r="9131" spans="8:9" x14ac:dyDescent="0.2">
      <c r="H9131" s="1"/>
      <c r="I9131" s="1"/>
    </row>
    <row r="9132" spans="8:9" x14ac:dyDescent="0.2">
      <c r="H9132" s="1"/>
      <c r="I9132" s="1"/>
    </row>
    <row r="9133" spans="8:9" x14ac:dyDescent="0.2">
      <c r="H9133" s="1"/>
      <c r="I9133" s="1"/>
    </row>
    <row r="9134" spans="8:9" x14ac:dyDescent="0.2">
      <c r="H9134" s="1"/>
      <c r="I9134" s="1"/>
    </row>
    <row r="9135" spans="8:9" x14ac:dyDescent="0.2">
      <c r="H9135" s="1"/>
      <c r="I9135" s="1"/>
    </row>
    <row r="9136" spans="8:9" x14ac:dyDescent="0.2">
      <c r="H9136" s="1"/>
      <c r="I9136" s="1"/>
    </row>
    <row r="9137" spans="8:9" x14ac:dyDescent="0.2">
      <c r="H9137" s="1"/>
      <c r="I9137" s="1"/>
    </row>
    <row r="9138" spans="8:9" x14ac:dyDescent="0.2">
      <c r="H9138" s="1"/>
      <c r="I9138" s="1"/>
    </row>
    <row r="9139" spans="8:9" x14ac:dyDescent="0.2">
      <c r="H9139" s="1"/>
      <c r="I9139" s="1"/>
    </row>
    <row r="9140" spans="8:9" x14ac:dyDescent="0.2">
      <c r="H9140" s="1"/>
      <c r="I9140" s="1"/>
    </row>
    <row r="9141" spans="8:9" x14ac:dyDescent="0.2">
      <c r="H9141" s="1"/>
      <c r="I9141" s="1"/>
    </row>
    <row r="9142" spans="8:9" x14ac:dyDescent="0.2">
      <c r="H9142" s="1"/>
      <c r="I9142" s="1"/>
    </row>
    <row r="9143" spans="8:9" x14ac:dyDescent="0.2">
      <c r="H9143" s="1"/>
      <c r="I9143" s="1"/>
    </row>
    <row r="9144" spans="8:9" x14ac:dyDescent="0.2">
      <c r="H9144" s="1"/>
      <c r="I9144" s="1"/>
    </row>
    <row r="9145" spans="8:9" x14ac:dyDescent="0.2">
      <c r="H9145" s="1"/>
      <c r="I9145" s="1"/>
    </row>
    <row r="9146" spans="8:9" x14ac:dyDescent="0.2">
      <c r="H9146" s="1"/>
      <c r="I9146" s="1"/>
    </row>
    <row r="9147" spans="8:9" x14ac:dyDescent="0.2">
      <c r="H9147" s="1"/>
      <c r="I9147" s="1"/>
    </row>
    <row r="9148" spans="8:9" x14ac:dyDescent="0.2">
      <c r="H9148" s="1"/>
      <c r="I9148" s="1"/>
    </row>
    <row r="9149" spans="8:9" x14ac:dyDescent="0.2">
      <c r="H9149" s="1"/>
      <c r="I9149" s="1"/>
    </row>
    <row r="9150" spans="8:9" x14ac:dyDescent="0.2">
      <c r="H9150" s="1"/>
      <c r="I9150" s="1"/>
    </row>
    <row r="9151" spans="8:9" x14ac:dyDescent="0.2">
      <c r="H9151" s="1"/>
      <c r="I9151" s="1"/>
    </row>
    <row r="9152" spans="8:9" x14ac:dyDescent="0.2">
      <c r="H9152" s="1"/>
      <c r="I9152" s="1"/>
    </row>
    <row r="9153" spans="8:9" x14ac:dyDescent="0.2">
      <c r="H9153" s="1"/>
      <c r="I9153" s="1"/>
    </row>
    <row r="9154" spans="8:9" x14ac:dyDescent="0.2">
      <c r="H9154" s="1"/>
      <c r="I9154" s="1"/>
    </row>
    <row r="9155" spans="8:9" x14ac:dyDescent="0.2">
      <c r="H9155" s="1"/>
      <c r="I9155" s="1"/>
    </row>
    <row r="9156" spans="8:9" x14ac:dyDescent="0.2">
      <c r="H9156" s="1"/>
      <c r="I9156" s="1"/>
    </row>
    <row r="9157" spans="8:9" x14ac:dyDescent="0.2">
      <c r="H9157" s="1"/>
      <c r="I9157" s="1"/>
    </row>
    <row r="9158" spans="8:9" x14ac:dyDescent="0.2">
      <c r="H9158" s="1"/>
      <c r="I9158" s="1"/>
    </row>
    <row r="9159" spans="8:9" x14ac:dyDescent="0.2">
      <c r="H9159" s="1"/>
      <c r="I9159" s="1"/>
    </row>
    <row r="9160" spans="8:9" x14ac:dyDescent="0.2">
      <c r="H9160" s="1"/>
      <c r="I9160" s="1"/>
    </row>
    <row r="9161" spans="8:9" x14ac:dyDescent="0.2">
      <c r="H9161" s="1"/>
      <c r="I9161" s="1"/>
    </row>
    <row r="9162" spans="8:9" x14ac:dyDescent="0.2">
      <c r="H9162" s="1"/>
      <c r="I9162" s="1"/>
    </row>
    <row r="9163" spans="8:9" x14ac:dyDescent="0.2">
      <c r="H9163" s="1"/>
      <c r="I9163" s="1"/>
    </row>
    <row r="9164" spans="8:9" x14ac:dyDescent="0.2">
      <c r="H9164" s="1"/>
      <c r="I9164" s="1"/>
    </row>
    <row r="9165" spans="8:9" x14ac:dyDescent="0.2">
      <c r="H9165" s="1"/>
      <c r="I9165" s="1"/>
    </row>
    <row r="9166" spans="8:9" x14ac:dyDescent="0.2">
      <c r="H9166" s="1"/>
      <c r="I9166" s="1"/>
    </row>
    <row r="9167" spans="8:9" x14ac:dyDescent="0.2">
      <c r="H9167" s="1"/>
      <c r="I9167" s="1"/>
    </row>
    <row r="9168" spans="8:9" x14ac:dyDescent="0.2">
      <c r="H9168" s="1"/>
      <c r="I9168" s="1"/>
    </row>
    <row r="9169" spans="8:9" x14ac:dyDescent="0.2">
      <c r="H9169" s="1"/>
      <c r="I9169" s="1"/>
    </row>
    <row r="9170" spans="8:9" x14ac:dyDescent="0.2">
      <c r="H9170" s="1"/>
      <c r="I9170" s="1"/>
    </row>
    <row r="9171" spans="8:9" x14ac:dyDescent="0.2">
      <c r="H9171" s="1"/>
      <c r="I9171" s="1"/>
    </row>
    <row r="9172" spans="8:9" x14ac:dyDescent="0.2">
      <c r="H9172" s="1"/>
      <c r="I9172" s="1"/>
    </row>
    <row r="9173" spans="8:9" x14ac:dyDescent="0.2">
      <c r="H9173" s="1"/>
      <c r="I9173" s="1"/>
    </row>
    <row r="9174" spans="8:9" x14ac:dyDescent="0.2">
      <c r="H9174" s="1"/>
      <c r="I9174" s="1"/>
    </row>
    <row r="9175" spans="8:9" x14ac:dyDescent="0.2">
      <c r="H9175" s="1"/>
      <c r="I9175" s="1"/>
    </row>
    <row r="9176" spans="8:9" x14ac:dyDescent="0.2">
      <c r="H9176" s="1"/>
      <c r="I9176" s="1"/>
    </row>
    <row r="9177" spans="8:9" x14ac:dyDescent="0.2">
      <c r="H9177" s="1"/>
      <c r="I9177" s="1"/>
    </row>
    <row r="9178" spans="8:9" x14ac:dyDescent="0.2">
      <c r="H9178" s="1"/>
      <c r="I9178" s="1"/>
    </row>
    <row r="9179" spans="8:9" x14ac:dyDescent="0.2">
      <c r="H9179" s="1"/>
      <c r="I9179" s="1"/>
    </row>
    <row r="9180" spans="8:9" x14ac:dyDescent="0.2">
      <c r="H9180" s="1"/>
      <c r="I9180" s="1"/>
    </row>
    <row r="9181" spans="8:9" x14ac:dyDescent="0.2">
      <c r="H9181" s="1"/>
      <c r="I9181" s="1"/>
    </row>
    <row r="9182" spans="8:9" x14ac:dyDescent="0.2">
      <c r="H9182" s="1"/>
      <c r="I9182" s="1"/>
    </row>
    <row r="9183" spans="8:9" x14ac:dyDescent="0.2">
      <c r="H9183" s="1"/>
      <c r="I9183" s="1"/>
    </row>
    <row r="9184" spans="8:9" x14ac:dyDescent="0.2">
      <c r="H9184" s="1"/>
      <c r="I9184" s="1"/>
    </row>
    <row r="9185" spans="8:9" x14ac:dyDescent="0.2">
      <c r="H9185" s="1"/>
      <c r="I9185" s="1"/>
    </row>
    <row r="9186" spans="8:9" x14ac:dyDescent="0.2">
      <c r="H9186" s="1"/>
      <c r="I9186" s="1"/>
    </row>
    <row r="9187" spans="8:9" x14ac:dyDescent="0.2">
      <c r="H9187" s="1"/>
      <c r="I9187" s="1"/>
    </row>
    <row r="9188" spans="8:9" x14ac:dyDescent="0.2">
      <c r="H9188" s="1"/>
      <c r="I9188" s="1"/>
    </row>
    <row r="9189" spans="8:9" x14ac:dyDescent="0.2">
      <c r="H9189" s="1"/>
      <c r="I9189" s="1"/>
    </row>
    <row r="9190" spans="8:9" x14ac:dyDescent="0.2">
      <c r="H9190" s="1"/>
      <c r="I9190" s="1"/>
    </row>
    <row r="9191" spans="8:9" x14ac:dyDescent="0.2">
      <c r="H9191" s="1"/>
      <c r="I9191" s="1"/>
    </row>
    <row r="9192" spans="8:9" x14ac:dyDescent="0.2">
      <c r="H9192" s="1"/>
      <c r="I9192" s="1"/>
    </row>
    <row r="9193" spans="8:9" x14ac:dyDescent="0.2">
      <c r="H9193" s="1"/>
      <c r="I9193" s="1"/>
    </row>
    <row r="9194" spans="8:9" x14ac:dyDescent="0.2">
      <c r="H9194" s="1"/>
      <c r="I9194" s="1"/>
    </row>
    <row r="9195" spans="8:9" x14ac:dyDescent="0.2">
      <c r="H9195" s="1"/>
      <c r="I9195" s="1"/>
    </row>
    <row r="9196" spans="8:9" x14ac:dyDescent="0.2">
      <c r="H9196" s="1"/>
      <c r="I9196" s="1"/>
    </row>
    <row r="9197" spans="8:9" x14ac:dyDescent="0.2">
      <c r="H9197" s="1"/>
      <c r="I9197" s="1"/>
    </row>
    <row r="9198" spans="8:9" x14ac:dyDescent="0.2">
      <c r="H9198" s="1"/>
      <c r="I9198" s="1"/>
    </row>
    <row r="9199" spans="8:9" x14ac:dyDescent="0.2">
      <c r="H9199" s="1"/>
      <c r="I9199" s="1"/>
    </row>
    <row r="9200" spans="8:9" x14ac:dyDescent="0.2">
      <c r="H9200" s="1"/>
      <c r="I9200" s="1"/>
    </row>
    <row r="9201" spans="8:9" x14ac:dyDescent="0.2">
      <c r="H9201" s="1"/>
      <c r="I9201" s="1"/>
    </row>
    <row r="9202" spans="8:9" x14ac:dyDescent="0.2">
      <c r="H9202" s="1"/>
      <c r="I9202" s="1"/>
    </row>
    <row r="9203" spans="8:9" x14ac:dyDescent="0.2">
      <c r="H9203" s="1"/>
      <c r="I9203" s="1"/>
    </row>
    <row r="9204" spans="8:9" x14ac:dyDescent="0.2">
      <c r="H9204" s="1"/>
      <c r="I9204" s="1"/>
    </row>
    <row r="9205" spans="8:9" x14ac:dyDescent="0.2">
      <c r="H9205" s="1"/>
      <c r="I9205" s="1"/>
    </row>
    <row r="9206" spans="8:9" x14ac:dyDescent="0.2">
      <c r="H9206" s="1"/>
      <c r="I9206" s="1"/>
    </row>
    <row r="9207" spans="8:9" x14ac:dyDescent="0.2">
      <c r="H9207" s="1"/>
      <c r="I9207" s="1"/>
    </row>
    <row r="9208" spans="8:9" x14ac:dyDescent="0.2">
      <c r="H9208" s="1"/>
      <c r="I9208" s="1"/>
    </row>
    <row r="9209" spans="8:9" x14ac:dyDescent="0.2">
      <c r="H9209" s="1"/>
      <c r="I9209" s="1"/>
    </row>
    <row r="9210" spans="8:9" x14ac:dyDescent="0.2">
      <c r="H9210" s="1"/>
      <c r="I9210" s="1"/>
    </row>
    <row r="9211" spans="8:9" x14ac:dyDescent="0.2">
      <c r="H9211" s="1"/>
      <c r="I9211" s="1"/>
    </row>
    <row r="9212" spans="8:9" x14ac:dyDescent="0.2">
      <c r="H9212" s="1"/>
      <c r="I9212" s="1"/>
    </row>
    <row r="9213" spans="8:9" x14ac:dyDescent="0.2">
      <c r="H9213" s="1"/>
      <c r="I9213" s="1"/>
    </row>
    <row r="9214" spans="8:9" x14ac:dyDescent="0.2">
      <c r="H9214" s="1"/>
      <c r="I9214" s="1"/>
    </row>
    <row r="9215" spans="8:9" x14ac:dyDescent="0.2">
      <c r="H9215" s="1"/>
      <c r="I9215" s="1"/>
    </row>
    <row r="9216" spans="8:9" x14ac:dyDescent="0.2">
      <c r="H9216" s="1"/>
      <c r="I9216" s="1"/>
    </row>
    <row r="9217" spans="8:9" x14ac:dyDescent="0.2">
      <c r="H9217" s="1"/>
      <c r="I9217" s="1"/>
    </row>
    <row r="9218" spans="8:9" x14ac:dyDescent="0.2">
      <c r="H9218" s="1"/>
      <c r="I9218" s="1"/>
    </row>
    <row r="9219" spans="8:9" x14ac:dyDescent="0.2">
      <c r="H9219" s="1"/>
      <c r="I9219" s="1"/>
    </row>
    <row r="9220" spans="8:9" x14ac:dyDescent="0.2">
      <c r="H9220" s="1"/>
      <c r="I9220" s="1"/>
    </row>
    <row r="9221" spans="8:9" x14ac:dyDescent="0.2">
      <c r="H9221" s="1"/>
      <c r="I9221" s="1"/>
    </row>
    <row r="9222" spans="8:9" x14ac:dyDescent="0.2">
      <c r="H9222" s="1"/>
      <c r="I9222" s="1"/>
    </row>
    <row r="9223" spans="8:9" x14ac:dyDescent="0.2">
      <c r="H9223" s="1"/>
      <c r="I9223" s="1"/>
    </row>
    <row r="9224" spans="8:9" x14ac:dyDescent="0.2">
      <c r="H9224" s="1"/>
      <c r="I9224" s="1"/>
    </row>
    <row r="9225" spans="8:9" x14ac:dyDescent="0.2">
      <c r="H9225" s="1"/>
      <c r="I9225" s="1"/>
    </row>
    <row r="9226" spans="8:9" x14ac:dyDescent="0.2">
      <c r="H9226" s="1"/>
      <c r="I9226" s="1"/>
    </row>
    <row r="9227" spans="8:9" x14ac:dyDescent="0.2">
      <c r="H9227" s="1"/>
      <c r="I9227" s="1"/>
    </row>
    <row r="9228" spans="8:9" x14ac:dyDescent="0.2">
      <c r="H9228" s="1"/>
      <c r="I9228" s="1"/>
    </row>
    <row r="9229" spans="8:9" x14ac:dyDescent="0.2">
      <c r="H9229" s="1"/>
      <c r="I9229" s="1"/>
    </row>
    <row r="9230" spans="8:9" x14ac:dyDescent="0.2">
      <c r="H9230" s="1"/>
      <c r="I9230" s="1"/>
    </row>
    <row r="9231" spans="8:9" x14ac:dyDescent="0.2">
      <c r="H9231" s="1"/>
      <c r="I9231" s="1"/>
    </row>
    <row r="9232" spans="8:9" x14ac:dyDescent="0.2">
      <c r="H9232" s="1"/>
      <c r="I9232" s="1"/>
    </row>
    <row r="9233" spans="8:9" x14ac:dyDescent="0.2">
      <c r="H9233" s="1"/>
      <c r="I9233" s="1"/>
    </row>
    <row r="9234" spans="8:9" x14ac:dyDescent="0.2">
      <c r="H9234" s="1"/>
      <c r="I9234" s="1"/>
    </row>
    <row r="9235" spans="8:9" x14ac:dyDescent="0.2">
      <c r="H9235" s="1"/>
      <c r="I9235" s="1"/>
    </row>
    <row r="9236" spans="8:9" x14ac:dyDescent="0.2">
      <c r="H9236" s="1"/>
      <c r="I9236" s="1"/>
    </row>
    <row r="9237" spans="8:9" x14ac:dyDescent="0.2">
      <c r="H9237" s="1"/>
      <c r="I9237" s="1"/>
    </row>
    <row r="9238" spans="8:9" x14ac:dyDescent="0.2">
      <c r="H9238" s="1"/>
      <c r="I9238" s="1"/>
    </row>
    <row r="9239" spans="8:9" x14ac:dyDescent="0.2">
      <c r="H9239" s="1"/>
      <c r="I9239" s="1"/>
    </row>
    <row r="9240" spans="8:9" x14ac:dyDescent="0.2">
      <c r="H9240" s="1"/>
      <c r="I9240" s="1"/>
    </row>
    <row r="9241" spans="8:9" x14ac:dyDescent="0.2">
      <c r="H9241" s="1"/>
      <c r="I9241" s="1"/>
    </row>
    <row r="9242" spans="8:9" x14ac:dyDescent="0.2">
      <c r="H9242" s="1"/>
      <c r="I9242" s="1"/>
    </row>
    <row r="9243" spans="8:9" x14ac:dyDescent="0.2">
      <c r="H9243" s="1"/>
      <c r="I9243" s="1"/>
    </row>
    <row r="9244" spans="8:9" x14ac:dyDescent="0.2">
      <c r="H9244" s="1"/>
      <c r="I9244" s="1"/>
    </row>
    <row r="9245" spans="8:9" x14ac:dyDescent="0.2">
      <c r="H9245" s="1"/>
      <c r="I9245" s="1"/>
    </row>
    <row r="9246" spans="8:9" x14ac:dyDescent="0.2">
      <c r="H9246" s="1"/>
      <c r="I9246" s="1"/>
    </row>
    <row r="9247" spans="8:9" x14ac:dyDescent="0.2">
      <c r="H9247" s="1"/>
      <c r="I9247" s="1"/>
    </row>
    <row r="9248" spans="8:9" x14ac:dyDescent="0.2">
      <c r="H9248" s="1"/>
      <c r="I9248" s="1"/>
    </row>
    <row r="9249" spans="8:9" x14ac:dyDescent="0.2">
      <c r="H9249" s="1"/>
      <c r="I9249" s="1"/>
    </row>
    <row r="9250" spans="8:9" x14ac:dyDescent="0.2">
      <c r="H9250" s="1"/>
      <c r="I9250" s="1"/>
    </row>
    <row r="9251" spans="8:9" x14ac:dyDescent="0.2">
      <c r="H9251" s="1"/>
      <c r="I9251" s="1"/>
    </row>
    <row r="9252" spans="8:9" x14ac:dyDescent="0.2">
      <c r="H9252" s="1"/>
      <c r="I9252" s="1"/>
    </row>
    <row r="9253" spans="8:9" x14ac:dyDescent="0.2">
      <c r="H9253" s="1"/>
      <c r="I9253" s="1"/>
    </row>
    <row r="9254" spans="8:9" x14ac:dyDescent="0.2">
      <c r="H9254" s="1"/>
      <c r="I9254" s="1"/>
    </row>
    <row r="9255" spans="8:9" x14ac:dyDescent="0.2">
      <c r="H9255" s="1"/>
      <c r="I9255" s="1"/>
    </row>
    <row r="9256" spans="8:9" x14ac:dyDescent="0.2">
      <c r="H9256" s="1"/>
      <c r="I9256" s="1"/>
    </row>
    <row r="9257" spans="8:9" x14ac:dyDescent="0.2">
      <c r="H9257" s="1"/>
      <c r="I9257" s="1"/>
    </row>
    <row r="9258" spans="8:9" x14ac:dyDescent="0.2">
      <c r="H9258" s="1"/>
      <c r="I9258" s="1"/>
    </row>
    <row r="9259" spans="8:9" x14ac:dyDescent="0.2">
      <c r="H9259" s="1"/>
      <c r="I9259" s="1"/>
    </row>
    <row r="9260" spans="8:9" x14ac:dyDescent="0.2">
      <c r="H9260" s="1"/>
      <c r="I9260" s="1"/>
    </row>
    <row r="9261" spans="8:9" x14ac:dyDescent="0.2">
      <c r="H9261" s="1"/>
      <c r="I9261" s="1"/>
    </row>
    <row r="9262" spans="8:9" x14ac:dyDescent="0.2">
      <c r="H9262" s="1"/>
      <c r="I9262" s="1"/>
    </row>
    <row r="9263" spans="8:9" x14ac:dyDescent="0.2">
      <c r="H9263" s="1"/>
      <c r="I9263" s="1"/>
    </row>
    <row r="9264" spans="8:9" x14ac:dyDescent="0.2">
      <c r="H9264" s="1"/>
      <c r="I9264" s="1"/>
    </row>
    <row r="9265" spans="8:9" x14ac:dyDescent="0.2">
      <c r="H9265" s="1"/>
      <c r="I9265" s="1"/>
    </row>
    <row r="9266" spans="8:9" x14ac:dyDescent="0.2">
      <c r="H9266" s="1"/>
      <c r="I9266" s="1"/>
    </row>
    <row r="9267" spans="8:9" x14ac:dyDescent="0.2">
      <c r="H9267" s="1"/>
      <c r="I9267" s="1"/>
    </row>
    <row r="9268" spans="8:9" x14ac:dyDescent="0.2">
      <c r="H9268" s="1"/>
      <c r="I9268" s="1"/>
    </row>
    <row r="9269" spans="8:9" x14ac:dyDescent="0.2">
      <c r="H9269" s="1"/>
      <c r="I9269" s="1"/>
    </row>
    <row r="9270" spans="8:9" x14ac:dyDescent="0.2">
      <c r="H9270" s="1"/>
      <c r="I9270" s="1"/>
    </row>
    <row r="9271" spans="8:9" x14ac:dyDescent="0.2">
      <c r="H9271" s="1"/>
      <c r="I9271" s="1"/>
    </row>
    <row r="9272" spans="8:9" x14ac:dyDescent="0.2">
      <c r="H9272" s="1"/>
      <c r="I9272" s="1"/>
    </row>
    <row r="9273" spans="8:9" x14ac:dyDescent="0.2">
      <c r="H9273" s="1"/>
      <c r="I9273" s="1"/>
    </row>
    <row r="9274" spans="8:9" x14ac:dyDescent="0.2">
      <c r="H9274" s="1"/>
      <c r="I9274" s="1"/>
    </row>
    <row r="9275" spans="8:9" x14ac:dyDescent="0.2">
      <c r="H9275" s="1"/>
      <c r="I9275" s="1"/>
    </row>
    <row r="9276" spans="8:9" x14ac:dyDescent="0.2">
      <c r="H9276" s="1"/>
      <c r="I9276" s="1"/>
    </row>
    <row r="9277" spans="8:9" x14ac:dyDescent="0.2">
      <c r="H9277" s="1"/>
      <c r="I9277" s="1"/>
    </row>
    <row r="9278" spans="8:9" x14ac:dyDescent="0.2">
      <c r="H9278" s="1"/>
      <c r="I9278" s="1"/>
    </row>
    <row r="9279" spans="8:9" x14ac:dyDescent="0.2">
      <c r="H9279" s="1"/>
      <c r="I9279" s="1"/>
    </row>
    <row r="9280" spans="8:9" x14ac:dyDescent="0.2">
      <c r="H9280" s="1"/>
      <c r="I9280" s="1"/>
    </row>
    <row r="9281" spans="8:9" x14ac:dyDescent="0.2">
      <c r="H9281" s="1"/>
      <c r="I9281" s="1"/>
    </row>
    <row r="9282" spans="8:9" x14ac:dyDescent="0.2">
      <c r="H9282" s="1"/>
      <c r="I9282" s="1"/>
    </row>
    <row r="9283" spans="8:9" x14ac:dyDescent="0.2">
      <c r="H9283" s="1"/>
      <c r="I9283" s="1"/>
    </row>
    <row r="9284" spans="8:9" x14ac:dyDescent="0.2">
      <c r="H9284" s="1"/>
      <c r="I9284" s="1"/>
    </row>
    <row r="9285" spans="8:9" x14ac:dyDescent="0.2">
      <c r="H9285" s="1"/>
      <c r="I9285" s="1"/>
    </row>
    <row r="9286" spans="8:9" x14ac:dyDescent="0.2">
      <c r="H9286" s="1"/>
      <c r="I9286" s="1"/>
    </row>
    <row r="9287" spans="8:9" x14ac:dyDescent="0.2">
      <c r="H9287" s="1"/>
      <c r="I9287" s="1"/>
    </row>
    <row r="9288" spans="8:9" x14ac:dyDescent="0.2">
      <c r="H9288" s="1"/>
      <c r="I9288" s="1"/>
    </row>
    <row r="9289" spans="8:9" x14ac:dyDescent="0.2">
      <c r="H9289" s="1"/>
      <c r="I9289" s="1"/>
    </row>
    <row r="9290" spans="8:9" x14ac:dyDescent="0.2">
      <c r="H9290" s="1"/>
      <c r="I9290" s="1"/>
    </row>
    <row r="9291" spans="8:9" x14ac:dyDescent="0.2">
      <c r="H9291" s="1"/>
      <c r="I9291" s="1"/>
    </row>
    <row r="9292" spans="8:9" x14ac:dyDescent="0.2">
      <c r="H9292" s="1"/>
      <c r="I9292" s="1"/>
    </row>
    <row r="9293" spans="8:9" x14ac:dyDescent="0.2">
      <c r="H9293" s="1"/>
      <c r="I9293" s="1"/>
    </row>
    <row r="9294" spans="8:9" x14ac:dyDescent="0.2">
      <c r="H9294" s="1"/>
      <c r="I9294" s="1"/>
    </row>
    <row r="9295" spans="8:9" x14ac:dyDescent="0.2">
      <c r="H9295" s="1"/>
      <c r="I9295" s="1"/>
    </row>
    <row r="9296" spans="8:9" x14ac:dyDescent="0.2">
      <c r="H9296" s="1"/>
      <c r="I9296" s="1"/>
    </row>
    <row r="9297" spans="8:9" x14ac:dyDescent="0.2">
      <c r="H9297" s="1"/>
      <c r="I9297" s="1"/>
    </row>
    <row r="9298" spans="8:9" x14ac:dyDescent="0.2">
      <c r="H9298" s="1"/>
      <c r="I9298" s="1"/>
    </row>
    <row r="9299" spans="8:9" x14ac:dyDescent="0.2">
      <c r="H9299" s="1"/>
      <c r="I9299" s="1"/>
    </row>
    <row r="9300" spans="8:9" x14ac:dyDescent="0.2">
      <c r="H9300" s="1"/>
      <c r="I9300" s="1"/>
    </row>
    <row r="9301" spans="8:9" x14ac:dyDescent="0.2">
      <c r="H9301" s="1"/>
      <c r="I9301" s="1"/>
    </row>
    <row r="9302" spans="8:9" x14ac:dyDescent="0.2">
      <c r="H9302" s="1"/>
      <c r="I9302" s="1"/>
    </row>
    <row r="9303" spans="8:9" x14ac:dyDescent="0.2">
      <c r="H9303" s="1"/>
      <c r="I9303" s="1"/>
    </row>
    <row r="9304" spans="8:9" x14ac:dyDescent="0.2">
      <c r="H9304" s="1"/>
      <c r="I9304" s="1"/>
    </row>
    <row r="9305" spans="8:9" x14ac:dyDescent="0.2">
      <c r="H9305" s="1"/>
      <c r="I9305" s="1"/>
    </row>
    <row r="9306" spans="8:9" x14ac:dyDescent="0.2">
      <c r="H9306" s="1"/>
      <c r="I9306" s="1"/>
    </row>
    <row r="9307" spans="8:9" x14ac:dyDescent="0.2">
      <c r="H9307" s="1"/>
      <c r="I9307" s="1"/>
    </row>
    <row r="9308" spans="8:9" x14ac:dyDescent="0.2">
      <c r="H9308" s="1"/>
      <c r="I9308" s="1"/>
    </row>
    <row r="9309" spans="8:9" x14ac:dyDescent="0.2">
      <c r="H9309" s="1"/>
      <c r="I9309" s="1"/>
    </row>
    <row r="9310" spans="8:9" x14ac:dyDescent="0.2">
      <c r="H9310" s="1"/>
      <c r="I9310" s="1"/>
    </row>
    <row r="9311" spans="8:9" x14ac:dyDescent="0.2">
      <c r="H9311" s="1"/>
      <c r="I9311" s="1"/>
    </row>
    <row r="9312" spans="8:9" x14ac:dyDescent="0.2">
      <c r="H9312" s="1"/>
      <c r="I9312" s="1"/>
    </row>
    <row r="9313" spans="8:9" x14ac:dyDescent="0.2">
      <c r="H9313" s="1"/>
      <c r="I9313" s="1"/>
    </row>
    <row r="9314" spans="8:9" x14ac:dyDescent="0.2">
      <c r="H9314" s="1"/>
      <c r="I9314" s="1"/>
    </row>
    <row r="9315" spans="8:9" x14ac:dyDescent="0.2">
      <c r="H9315" s="1"/>
      <c r="I9315" s="1"/>
    </row>
    <row r="9316" spans="8:9" x14ac:dyDescent="0.2">
      <c r="H9316" s="1"/>
      <c r="I9316" s="1"/>
    </row>
    <row r="9317" spans="8:9" x14ac:dyDescent="0.2">
      <c r="H9317" s="1"/>
      <c r="I9317" s="1"/>
    </row>
    <row r="9318" spans="8:9" x14ac:dyDescent="0.2">
      <c r="H9318" s="1"/>
      <c r="I9318" s="1"/>
    </row>
    <row r="9319" spans="8:9" x14ac:dyDescent="0.2">
      <c r="H9319" s="1"/>
      <c r="I9319" s="1"/>
    </row>
    <row r="9320" spans="8:9" x14ac:dyDescent="0.2">
      <c r="H9320" s="1"/>
      <c r="I9320" s="1"/>
    </row>
    <row r="9321" spans="8:9" x14ac:dyDescent="0.2">
      <c r="H9321" s="1"/>
      <c r="I9321" s="1"/>
    </row>
    <row r="9322" spans="8:9" x14ac:dyDescent="0.2">
      <c r="H9322" s="1"/>
      <c r="I9322" s="1"/>
    </row>
    <row r="9323" spans="8:9" x14ac:dyDescent="0.2">
      <c r="H9323" s="1"/>
      <c r="I9323" s="1"/>
    </row>
    <row r="9324" spans="8:9" x14ac:dyDescent="0.2">
      <c r="H9324" s="1"/>
      <c r="I9324" s="1"/>
    </row>
    <row r="9325" spans="8:9" x14ac:dyDescent="0.2">
      <c r="H9325" s="1"/>
      <c r="I9325" s="1"/>
    </row>
    <row r="9326" spans="8:9" x14ac:dyDescent="0.2">
      <c r="H9326" s="1"/>
      <c r="I9326" s="1"/>
    </row>
    <row r="9327" spans="8:9" x14ac:dyDescent="0.2">
      <c r="H9327" s="1"/>
      <c r="I9327" s="1"/>
    </row>
    <row r="9328" spans="8:9" x14ac:dyDescent="0.2">
      <c r="H9328" s="1"/>
      <c r="I9328" s="1"/>
    </row>
    <row r="9329" spans="8:9" x14ac:dyDescent="0.2">
      <c r="H9329" s="1"/>
      <c r="I9329" s="1"/>
    </row>
    <row r="9330" spans="8:9" x14ac:dyDescent="0.2">
      <c r="H9330" s="1"/>
      <c r="I9330" s="1"/>
    </row>
    <row r="9331" spans="8:9" x14ac:dyDescent="0.2">
      <c r="H9331" s="1"/>
      <c r="I9331" s="1"/>
    </row>
    <row r="9332" spans="8:9" x14ac:dyDescent="0.2">
      <c r="H9332" s="1"/>
      <c r="I9332" s="1"/>
    </row>
    <row r="9333" spans="8:9" x14ac:dyDescent="0.2">
      <c r="H9333" s="1"/>
      <c r="I9333" s="1"/>
    </row>
    <row r="9334" spans="8:9" x14ac:dyDescent="0.2">
      <c r="H9334" s="1"/>
      <c r="I9334" s="1"/>
    </row>
    <row r="9335" spans="8:9" x14ac:dyDescent="0.2">
      <c r="H9335" s="1"/>
      <c r="I9335" s="1"/>
    </row>
    <row r="9336" spans="8:9" x14ac:dyDescent="0.2">
      <c r="H9336" s="1"/>
      <c r="I9336" s="1"/>
    </row>
    <row r="9337" spans="8:9" x14ac:dyDescent="0.2">
      <c r="H9337" s="1"/>
      <c r="I9337" s="1"/>
    </row>
    <row r="9338" spans="8:9" x14ac:dyDescent="0.2">
      <c r="H9338" s="1"/>
      <c r="I9338" s="1"/>
    </row>
    <row r="9339" spans="8:9" x14ac:dyDescent="0.2">
      <c r="H9339" s="1"/>
      <c r="I9339" s="1"/>
    </row>
    <row r="9340" spans="8:9" x14ac:dyDescent="0.2">
      <c r="H9340" s="1"/>
      <c r="I9340" s="1"/>
    </row>
    <row r="9341" spans="8:9" x14ac:dyDescent="0.2">
      <c r="H9341" s="1"/>
      <c r="I9341" s="1"/>
    </row>
    <row r="9342" spans="8:9" x14ac:dyDescent="0.2">
      <c r="H9342" s="1"/>
      <c r="I9342" s="1"/>
    </row>
    <row r="9343" spans="8:9" x14ac:dyDescent="0.2">
      <c r="H9343" s="1"/>
      <c r="I9343" s="1"/>
    </row>
    <row r="9344" spans="8:9" x14ac:dyDescent="0.2">
      <c r="H9344" s="1"/>
      <c r="I9344" s="1"/>
    </row>
    <row r="9345" spans="8:9" x14ac:dyDescent="0.2">
      <c r="H9345" s="1"/>
      <c r="I9345" s="1"/>
    </row>
    <row r="9346" spans="8:9" x14ac:dyDescent="0.2">
      <c r="H9346" s="1"/>
      <c r="I9346" s="1"/>
    </row>
    <row r="9347" spans="8:9" x14ac:dyDescent="0.2">
      <c r="H9347" s="1"/>
      <c r="I9347" s="1"/>
    </row>
    <row r="9348" spans="8:9" x14ac:dyDescent="0.2">
      <c r="H9348" s="1"/>
      <c r="I9348" s="1"/>
    </row>
    <row r="9349" spans="8:9" x14ac:dyDescent="0.2">
      <c r="H9349" s="1"/>
      <c r="I9349" s="1"/>
    </row>
    <row r="9350" spans="8:9" x14ac:dyDescent="0.2">
      <c r="H9350" s="1"/>
      <c r="I9350" s="1"/>
    </row>
    <row r="9351" spans="8:9" x14ac:dyDescent="0.2">
      <c r="H9351" s="1"/>
      <c r="I9351" s="1"/>
    </row>
    <row r="9352" spans="8:9" x14ac:dyDescent="0.2">
      <c r="H9352" s="1"/>
      <c r="I9352" s="1"/>
    </row>
    <row r="9353" spans="8:9" x14ac:dyDescent="0.2">
      <c r="H9353" s="1"/>
      <c r="I9353" s="1"/>
    </row>
    <row r="9354" spans="8:9" x14ac:dyDescent="0.2">
      <c r="H9354" s="1"/>
      <c r="I9354" s="1"/>
    </row>
    <row r="9355" spans="8:9" x14ac:dyDescent="0.2">
      <c r="H9355" s="1"/>
      <c r="I9355" s="1"/>
    </row>
    <row r="9356" spans="8:9" x14ac:dyDescent="0.2">
      <c r="H9356" s="1"/>
      <c r="I9356" s="1"/>
    </row>
    <row r="9357" spans="8:9" x14ac:dyDescent="0.2">
      <c r="H9357" s="1"/>
      <c r="I9357" s="1"/>
    </row>
    <row r="9358" spans="8:9" x14ac:dyDescent="0.2">
      <c r="H9358" s="1"/>
      <c r="I9358" s="1"/>
    </row>
    <row r="9359" spans="8:9" x14ac:dyDescent="0.2">
      <c r="H9359" s="1"/>
      <c r="I9359" s="1"/>
    </row>
    <row r="9360" spans="8:9" x14ac:dyDescent="0.2">
      <c r="H9360" s="1"/>
      <c r="I9360" s="1"/>
    </row>
    <row r="9361" spans="8:9" x14ac:dyDescent="0.2">
      <c r="H9361" s="1"/>
      <c r="I9361" s="1"/>
    </row>
    <row r="9362" spans="8:9" x14ac:dyDescent="0.2">
      <c r="H9362" s="1"/>
      <c r="I9362" s="1"/>
    </row>
    <row r="9363" spans="8:9" x14ac:dyDescent="0.2">
      <c r="H9363" s="1"/>
      <c r="I9363" s="1"/>
    </row>
    <row r="9364" spans="8:9" x14ac:dyDescent="0.2">
      <c r="H9364" s="1"/>
      <c r="I9364" s="1"/>
    </row>
    <row r="9365" spans="8:9" x14ac:dyDescent="0.2">
      <c r="H9365" s="1"/>
      <c r="I9365" s="1"/>
    </row>
    <row r="9366" spans="8:9" x14ac:dyDescent="0.2">
      <c r="H9366" s="1"/>
      <c r="I9366" s="1"/>
    </row>
    <row r="9367" spans="8:9" x14ac:dyDescent="0.2">
      <c r="H9367" s="1"/>
      <c r="I9367" s="1"/>
    </row>
    <row r="9368" spans="8:9" x14ac:dyDescent="0.2">
      <c r="H9368" s="1"/>
      <c r="I9368" s="1"/>
    </row>
    <row r="9369" spans="8:9" x14ac:dyDescent="0.2">
      <c r="H9369" s="1"/>
      <c r="I9369" s="1"/>
    </row>
    <row r="9370" spans="8:9" x14ac:dyDescent="0.2">
      <c r="H9370" s="1"/>
      <c r="I9370" s="1"/>
    </row>
    <row r="9371" spans="8:9" x14ac:dyDescent="0.2">
      <c r="H9371" s="1"/>
      <c r="I9371" s="1"/>
    </row>
    <row r="9372" spans="8:9" x14ac:dyDescent="0.2">
      <c r="H9372" s="1"/>
      <c r="I9372" s="1"/>
    </row>
    <row r="9373" spans="8:9" x14ac:dyDescent="0.2">
      <c r="H9373" s="1"/>
      <c r="I9373" s="1"/>
    </row>
    <row r="9374" spans="8:9" x14ac:dyDescent="0.2">
      <c r="H9374" s="1"/>
      <c r="I9374" s="1"/>
    </row>
    <row r="9375" spans="8:9" x14ac:dyDescent="0.2">
      <c r="H9375" s="1"/>
      <c r="I9375" s="1"/>
    </row>
    <row r="9376" spans="8:9" x14ac:dyDescent="0.2">
      <c r="H9376" s="1"/>
      <c r="I9376" s="1"/>
    </row>
    <row r="9377" spans="8:9" x14ac:dyDescent="0.2">
      <c r="H9377" s="1"/>
      <c r="I9377" s="1"/>
    </row>
    <row r="9378" spans="8:9" x14ac:dyDescent="0.2">
      <c r="H9378" s="1"/>
      <c r="I9378" s="1"/>
    </row>
    <row r="9379" spans="8:9" x14ac:dyDescent="0.2">
      <c r="H9379" s="1"/>
      <c r="I9379" s="1"/>
    </row>
    <row r="9380" spans="8:9" x14ac:dyDescent="0.2">
      <c r="H9380" s="1"/>
      <c r="I9380" s="1"/>
    </row>
    <row r="9381" spans="8:9" x14ac:dyDescent="0.2">
      <c r="H9381" s="1"/>
      <c r="I9381" s="1"/>
    </row>
    <row r="9382" spans="8:9" x14ac:dyDescent="0.2">
      <c r="H9382" s="1"/>
      <c r="I9382" s="1"/>
    </row>
    <row r="9383" spans="8:9" x14ac:dyDescent="0.2">
      <c r="H9383" s="1"/>
      <c r="I9383" s="1"/>
    </row>
    <row r="9384" spans="8:9" x14ac:dyDescent="0.2">
      <c r="H9384" s="1"/>
      <c r="I9384" s="1"/>
    </row>
    <row r="9385" spans="8:9" x14ac:dyDescent="0.2">
      <c r="H9385" s="1"/>
      <c r="I9385" s="1"/>
    </row>
    <row r="9386" spans="8:9" x14ac:dyDescent="0.2">
      <c r="H9386" s="1"/>
      <c r="I9386" s="1"/>
    </row>
    <row r="9387" spans="8:9" x14ac:dyDescent="0.2">
      <c r="H9387" s="1"/>
      <c r="I9387" s="1"/>
    </row>
    <row r="9388" spans="8:9" x14ac:dyDescent="0.2">
      <c r="H9388" s="1"/>
      <c r="I9388" s="1"/>
    </row>
    <row r="9389" spans="8:9" x14ac:dyDescent="0.2">
      <c r="H9389" s="1"/>
      <c r="I9389" s="1"/>
    </row>
    <row r="9390" spans="8:9" x14ac:dyDescent="0.2">
      <c r="H9390" s="1"/>
      <c r="I9390" s="1"/>
    </row>
    <row r="9391" spans="8:9" x14ac:dyDescent="0.2">
      <c r="H9391" s="1"/>
      <c r="I9391" s="1"/>
    </row>
    <row r="9392" spans="8:9" x14ac:dyDescent="0.2">
      <c r="H9392" s="1"/>
      <c r="I9392" s="1"/>
    </row>
    <row r="9393" spans="8:9" x14ac:dyDescent="0.2">
      <c r="H9393" s="1"/>
      <c r="I9393" s="1"/>
    </row>
    <row r="9394" spans="8:9" x14ac:dyDescent="0.2">
      <c r="H9394" s="1"/>
      <c r="I9394" s="1"/>
    </row>
    <row r="9395" spans="8:9" x14ac:dyDescent="0.2">
      <c r="H9395" s="1"/>
      <c r="I9395" s="1"/>
    </row>
    <row r="9396" spans="8:9" x14ac:dyDescent="0.2">
      <c r="H9396" s="1"/>
      <c r="I9396" s="1"/>
    </row>
    <row r="9397" spans="8:9" x14ac:dyDescent="0.2">
      <c r="H9397" s="1"/>
      <c r="I9397" s="1"/>
    </row>
    <row r="9398" spans="8:9" x14ac:dyDescent="0.2">
      <c r="H9398" s="1"/>
      <c r="I9398" s="1"/>
    </row>
    <row r="9399" spans="8:9" x14ac:dyDescent="0.2">
      <c r="H9399" s="1"/>
      <c r="I9399" s="1"/>
    </row>
    <row r="9400" spans="8:9" x14ac:dyDescent="0.2">
      <c r="H9400" s="1"/>
      <c r="I9400" s="1"/>
    </row>
    <row r="9401" spans="8:9" x14ac:dyDescent="0.2">
      <c r="H9401" s="1"/>
      <c r="I9401" s="1"/>
    </row>
    <row r="9402" spans="8:9" x14ac:dyDescent="0.2">
      <c r="H9402" s="1"/>
      <c r="I9402" s="1"/>
    </row>
    <row r="9403" spans="8:9" x14ac:dyDescent="0.2">
      <c r="H9403" s="1"/>
      <c r="I9403" s="1"/>
    </row>
    <row r="9404" spans="8:9" x14ac:dyDescent="0.2">
      <c r="H9404" s="1"/>
      <c r="I9404" s="1"/>
    </row>
    <row r="9405" spans="8:9" x14ac:dyDescent="0.2">
      <c r="H9405" s="1"/>
      <c r="I9405" s="1"/>
    </row>
    <row r="9406" spans="8:9" x14ac:dyDescent="0.2">
      <c r="H9406" s="1"/>
      <c r="I9406" s="1"/>
    </row>
    <row r="9407" spans="8:9" x14ac:dyDescent="0.2">
      <c r="H9407" s="1"/>
      <c r="I9407" s="1"/>
    </row>
    <row r="9408" spans="8:9" x14ac:dyDescent="0.2">
      <c r="H9408" s="1"/>
      <c r="I9408" s="1"/>
    </row>
    <row r="9409" spans="8:9" x14ac:dyDescent="0.2">
      <c r="H9409" s="1"/>
      <c r="I9409" s="1"/>
    </row>
    <row r="9410" spans="8:9" x14ac:dyDescent="0.2">
      <c r="H9410" s="1"/>
      <c r="I9410" s="1"/>
    </row>
    <row r="9411" spans="8:9" x14ac:dyDescent="0.2">
      <c r="H9411" s="1"/>
      <c r="I9411" s="1"/>
    </row>
    <row r="9412" spans="8:9" x14ac:dyDescent="0.2">
      <c r="H9412" s="1"/>
      <c r="I9412" s="1"/>
    </row>
    <row r="9413" spans="8:9" x14ac:dyDescent="0.2">
      <c r="H9413" s="1"/>
      <c r="I9413" s="1"/>
    </row>
    <row r="9414" spans="8:9" x14ac:dyDescent="0.2">
      <c r="H9414" s="1"/>
      <c r="I9414" s="1"/>
    </row>
    <row r="9415" spans="8:9" x14ac:dyDescent="0.2">
      <c r="H9415" s="1"/>
      <c r="I9415" s="1"/>
    </row>
    <row r="9416" spans="8:9" x14ac:dyDescent="0.2">
      <c r="H9416" s="1"/>
      <c r="I9416" s="1"/>
    </row>
    <row r="9417" spans="8:9" x14ac:dyDescent="0.2">
      <c r="H9417" s="1"/>
      <c r="I9417" s="1"/>
    </row>
    <row r="9418" spans="8:9" x14ac:dyDescent="0.2">
      <c r="H9418" s="1"/>
      <c r="I9418" s="1"/>
    </row>
    <row r="9419" spans="8:9" x14ac:dyDescent="0.2">
      <c r="H9419" s="1"/>
      <c r="I9419" s="1"/>
    </row>
    <row r="9420" spans="8:9" x14ac:dyDescent="0.2">
      <c r="H9420" s="1"/>
      <c r="I9420" s="1"/>
    </row>
    <row r="9421" spans="8:9" x14ac:dyDescent="0.2">
      <c r="H9421" s="1"/>
      <c r="I9421" s="1"/>
    </row>
    <row r="9422" spans="8:9" x14ac:dyDescent="0.2">
      <c r="H9422" s="1"/>
      <c r="I9422" s="1"/>
    </row>
    <row r="9423" spans="8:9" x14ac:dyDescent="0.2">
      <c r="H9423" s="1"/>
      <c r="I9423" s="1"/>
    </row>
    <row r="9424" spans="8:9" x14ac:dyDescent="0.2">
      <c r="H9424" s="1"/>
      <c r="I9424" s="1"/>
    </row>
    <row r="9425" spans="8:9" x14ac:dyDescent="0.2">
      <c r="H9425" s="1"/>
      <c r="I9425" s="1"/>
    </row>
    <row r="9426" spans="8:9" x14ac:dyDescent="0.2">
      <c r="H9426" s="1"/>
      <c r="I9426" s="1"/>
    </row>
    <row r="9427" spans="8:9" x14ac:dyDescent="0.2">
      <c r="H9427" s="1"/>
      <c r="I9427" s="1"/>
    </row>
    <row r="9428" spans="8:9" x14ac:dyDescent="0.2">
      <c r="H9428" s="1"/>
      <c r="I9428" s="1"/>
    </row>
    <row r="9429" spans="8:9" x14ac:dyDescent="0.2">
      <c r="H9429" s="1"/>
      <c r="I9429" s="1"/>
    </row>
    <row r="9430" spans="8:9" x14ac:dyDescent="0.2">
      <c r="H9430" s="1"/>
      <c r="I9430" s="1"/>
    </row>
    <row r="9431" spans="8:9" x14ac:dyDescent="0.2">
      <c r="H9431" s="1"/>
      <c r="I9431" s="1"/>
    </row>
    <row r="9432" spans="8:9" x14ac:dyDescent="0.2">
      <c r="H9432" s="1"/>
      <c r="I9432" s="1"/>
    </row>
    <row r="9433" spans="8:9" x14ac:dyDescent="0.2">
      <c r="H9433" s="1"/>
      <c r="I9433" s="1"/>
    </row>
    <row r="9434" spans="8:9" x14ac:dyDescent="0.2">
      <c r="H9434" s="1"/>
      <c r="I9434" s="1"/>
    </row>
    <row r="9435" spans="8:9" x14ac:dyDescent="0.2">
      <c r="H9435" s="1"/>
      <c r="I9435" s="1"/>
    </row>
    <row r="9436" spans="8:9" x14ac:dyDescent="0.2">
      <c r="H9436" s="1"/>
      <c r="I9436" s="1"/>
    </row>
    <row r="9437" spans="8:9" x14ac:dyDescent="0.2">
      <c r="H9437" s="1"/>
      <c r="I9437" s="1"/>
    </row>
    <row r="9438" spans="8:9" x14ac:dyDescent="0.2">
      <c r="H9438" s="1"/>
      <c r="I9438" s="1"/>
    </row>
    <row r="9439" spans="8:9" x14ac:dyDescent="0.2">
      <c r="H9439" s="1"/>
      <c r="I9439" s="1"/>
    </row>
    <row r="9440" spans="8:9" x14ac:dyDescent="0.2">
      <c r="H9440" s="1"/>
      <c r="I9440" s="1"/>
    </row>
    <row r="9441" spans="8:9" x14ac:dyDescent="0.2">
      <c r="H9441" s="1"/>
      <c r="I9441" s="1"/>
    </row>
    <row r="9442" spans="8:9" x14ac:dyDescent="0.2">
      <c r="H9442" s="1"/>
      <c r="I9442" s="1"/>
    </row>
    <row r="9443" spans="8:9" x14ac:dyDescent="0.2">
      <c r="H9443" s="1"/>
      <c r="I9443" s="1"/>
    </row>
    <row r="9444" spans="8:9" x14ac:dyDescent="0.2">
      <c r="H9444" s="1"/>
      <c r="I9444" s="1"/>
    </row>
    <row r="9445" spans="8:9" x14ac:dyDescent="0.2">
      <c r="H9445" s="1"/>
      <c r="I9445" s="1"/>
    </row>
    <row r="9446" spans="8:9" x14ac:dyDescent="0.2">
      <c r="H9446" s="1"/>
      <c r="I9446" s="1"/>
    </row>
    <row r="9447" spans="8:9" x14ac:dyDescent="0.2">
      <c r="H9447" s="1"/>
      <c r="I9447" s="1"/>
    </row>
    <row r="9448" spans="8:9" x14ac:dyDescent="0.2">
      <c r="H9448" s="1"/>
      <c r="I9448" s="1"/>
    </row>
    <row r="9449" spans="8:9" x14ac:dyDescent="0.2">
      <c r="H9449" s="1"/>
      <c r="I9449" s="1"/>
    </row>
    <row r="9450" spans="8:9" x14ac:dyDescent="0.2">
      <c r="H9450" s="1"/>
      <c r="I9450" s="1"/>
    </row>
    <row r="9451" spans="8:9" x14ac:dyDescent="0.2">
      <c r="H9451" s="1"/>
      <c r="I9451" s="1"/>
    </row>
    <row r="9452" spans="8:9" x14ac:dyDescent="0.2">
      <c r="H9452" s="1"/>
      <c r="I9452" s="1"/>
    </row>
    <row r="9453" spans="8:9" x14ac:dyDescent="0.2">
      <c r="H9453" s="1"/>
      <c r="I9453" s="1"/>
    </row>
    <row r="9454" spans="8:9" x14ac:dyDescent="0.2">
      <c r="H9454" s="1"/>
      <c r="I9454" s="1"/>
    </row>
    <row r="9455" spans="8:9" x14ac:dyDescent="0.2">
      <c r="H9455" s="1"/>
      <c r="I9455" s="1"/>
    </row>
    <row r="9456" spans="8:9" x14ac:dyDescent="0.2">
      <c r="H9456" s="1"/>
      <c r="I9456" s="1"/>
    </row>
    <row r="9457" spans="8:9" x14ac:dyDescent="0.2">
      <c r="H9457" s="1"/>
      <c r="I9457" s="1"/>
    </row>
    <row r="9458" spans="8:9" x14ac:dyDescent="0.2">
      <c r="H9458" s="1"/>
      <c r="I9458" s="1"/>
    </row>
    <row r="9459" spans="8:9" x14ac:dyDescent="0.2">
      <c r="H9459" s="1"/>
      <c r="I9459" s="1"/>
    </row>
    <row r="9460" spans="8:9" x14ac:dyDescent="0.2">
      <c r="H9460" s="1"/>
      <c r="I9460" s="1"/>
    </row>
    <row r="9461" spans="8:9" x14ac:dyDescent="0.2">
      <c r="H9461" s="1"/>
      <c r="I9461" s="1"/>
    </row>
    <row r="9462" spans="8:9" x14ac:dyDescent="0.2">
      <c r="H9462" s="1"/>
      <c r="I9462" s="1"/>
    </row>
    <row r="9463" spans="8:9" x14ac:dyDescent="0.2">
      <c r="H9463" s="1"/>
      <c r="I9463" s="1"/>
    </row>
    <row r="9464" spans="8:9" x14ac:dyDescent="0.2">
      <c r="H9464" s="1"/>
      <c r="I9464" s="1"/>
    </row>
    <row r="9465" spans="8:9" x14ac:dyDescent="0.2">
      <c r="H9465" s="1"/>
      <c r="I9465" s="1"/>
    </row>
    <row r="9466" spans="8:9" x14ac:dyDescent="0.2">
      <c r="H9466" s="1"/>
      <c r="I9466" s="1"/>
    </row>
    <row r="9467" spans="8:9" x14ac:dyDescent="0.2">
      <c r="H9467" s="1"/>
      <c r="I9467" s="1"/>
    </row>
    <row r="9468" spans="8:9" x14ac:dyDescent="0.2">
      <c r="H9468" s="1"/>
      <c r="I9468" s="1"/>
    </row>
    <row r="9469" spans="8:9" x14ac:dyDescent="0.2">
      <c r="H9469" s="1"/>
      <c r="I9469" s="1"/>
    </row>
    <row r="9470" spans="8:9" x14ac:dyDescent="0.2">
      <c r="H9470" s="1"/>
      <c r="I9470" s="1"/>
    </row>
    <row r="9471" spans="8:9" x14ac:dyDescent="0.2">
      <c r="H9471" s="1"/>
      <c r="I9471" s="1"/>
    </row>
    <row r="9472" spans="8:9" x14ac:dyDescent="0.2">
      <c r="H9472" s="1"/>
      <c r="I9472" s="1"/>
    </row>
    <row r="9473" spans="8:9" x14ac:dyDescent="0.2">
      <c r="H9473" s="1"/>
      <c r="I9473" s="1"/>
    </row>
    <row r="9474" spans="8:9" x14ac:dyDescent="0.2">
      <c r="H9474" s="1"/>
      <c r="I9474" s="1"/>
    </row>
    <row r="9475" spans="8:9" x14ac:dyDescent="0.2">
      <c r="H9475" s="1"/>
      <c r="I9475" s="1"/>
    </row>
    <row r="9476" spans="8:9" x14ac:dyDescent="0.2">
      <c r="H9476" s="1"/>
      <c r="I9476" s="1"/>
    </row>
    <row r="9477" spans="8:9" x14ac:dyDescent="0.2">
      <c r="H9477" s="1"/>
      <c r="I9477" s="1"/>
    </row>
    <row r="9478" spans="8:9" x14ac:dyDescent="0.2">
      <c r="H9478" s="1"/>
      <c r="I9478" s="1"/>
    </row>
    <row r="9479" spans="8:9" x14ac:dyDescent="0.2">
      <c r="H9479" s="1"/>
      <c r="I9479" s="1"/>
    </row>
    <row r="9480" spans="8:9" x14ac:dyDescent="0.2">
      <c r="H9480" s="1"/>
      <c r="I9480" s="1"/>
    </row>
    <row r="9481" spans="8:9" x14ac:dyDescent="0.2">
      <c r="H9481" s="1"/>
      <c r="I9481" s="1"/>
    </row>
    <row r="9482" spans="8:9" x14ac:dyDescent="0.2">
      <c r="H9482" s="1"/>
      <c r="I9482" s="1"/>
    </row>
    <row r="9483" spans="8:9" x14ac:dyDescent="0.2">
      <c r="H9483" s="1"/>
      <c r="I9483" s="1"/>
    </row>
    <row r="9484" spans="8:9" x14ac:dyDescent="0.2">
      <c r="H9484" s="1"/>
      <c r="I9484" s="1"/>
    </row>
    <row r="9485" spans="8:9" x14ac:dyDescent="0.2">
      <c r="H9485" s="1"/>
      <c r="I9485" s="1"/>
    </row>
    <row r="9486" spans="8:9" x14ac:dyDescent="0.2">
      <c r="H9486" s="1"/>
      <c r="I9486" s="1"/>
    </row>
    <row r="9487" spans="8:9" x14ac:dyDescent="0.2">
      <c r="H9487" s="1"/>
      <c r="I9487" s="1"/>
    </row>
    <row r="9488" spans="8:9" x14ac:dyDescent="0.2">
      <c r="H9488" s="1"/>
      <c r="I9488" s="1"/>
    </row>
    <row r="9489" spans="8:9" x14ac:dyDescent="0.2">
      <c r="H9489" s="1"/>
      <c r="I9489" s="1"/>
    </row>
    <row r="9490" spans="8:9" x14ac:dyDescent="0.2">
      <c r="H9490" s="1"/>
      <c r="I9490" s="1"/>
    </row>
    <row r="9491" spans="8:9" x14ac:dyDescent="0.2">
      <c r="H9491" s="1"/>
      <c r="I9491" s="1"/>
    </row>
    <row r="9492" spans="8:9" x14ac:dyDescent="0.2">
      <c r="H9492" s="1"/>
      <c r="I9492" s="1"/>
    </row>
    <row r="9493" spans="8:9" x14ac:dyDescent="0.2">
      <c r="H9493" s="1"/>
      <c r="I9493" s="1"/>
    </row>
    <row r="9494" spans="8:9" x14ac:dyDescent="0.2">
      <c r="H9494" s="1"/>
      <c r="I9494" s="1"/>
    </row>
    <row r="9495" spans="8:9" x14ac:dyDescent="0.2">
      <c r="H9495" s="1"/>
      <c r="I9495" s="1"/>
    </row>
    <row r="9496" spans="8:9" x14ac:dyDescent="0.2">
      <c r="H9496" s="1"/>
      <c r="I9496" s="1"/>
    </row>
    <row r="9497" spans="8:9" x14ac:dyDescent="0.2">
      <c r="H9497" s="1"/>
      <c r="I9497" s="1"/>
    </row>
    <row r="9498" spans="8:9" x14ac:dyDescent="0.2">
      <c r="H9498" s="1"/>
      <c r="I9498" s="1"/>
    </row>
    <row r="9499" spans="8:9" x14ac:dyDescent="0.2">
      <c r="H9499" s="1"/>
      <c r="I9499" s="1"/>
    </row>
    <row r="9500" spans="8:9" x14ac:dyDescent="0.2">
      <c r="H9500" s="1"/>
      <c r="I9500" s="1"/>
    </row>
    <row r="9501" spans="8:9" x14ac:dyDescent="0.2">
      <c r="H9501" s="1"/>
      <c r="I9501" s="1"/>
    </row>
    <row r="9502" spans="8:9" x14ac:dyDescent="0.2">
      <c r="H9502" s="1"/>
      <c r="I9502" s="1"/>
    </row>
    <row r="9503" spans="8:9" x14ac:dyDescent="0.2">
      <c r="H9503" s="1"/>
      <c r="I9503" s="1"/>
    </row>
    <row r="9504" spans="8:9" x14ac:dyDescent="0.2">
      <c r="H9504" s="1"/>
      <c r="I9504" s="1"/>
    </row>
    <row r="9505" spans="8:9" x14ac:dyDescent="0.2">
      <c r="H9505" s="1"/>
      <c r="I9505" s="1"/>
    </row>
    <row r="9506" spans="8:9" x14ac:dyDescent="0.2">
      <c r="H9506" s="1"/>
      <c r="I9506" s="1"/>
    </row>
    <row r="9507" spans="8:9" x14ac:dyDescent="0.2">
      <c r="H9507" s="1"/>
      <c r="I9507" s="1"/>
    </row>
    <row r="9508" spans="8:9" x14ac:dyDescent="0.2">
      <c r="H9508" s="1"/>
      <c r="I9508" s="1"/>
    </row>
    <row r="9509" spans="8:9" x14ac:dyDescent="0.2">
      <c r="H9509" s="1"/>
      <c r="I9509" s="1"/>
    </row>
    <row r="9510" spans="8:9" x14ac:dyDescent="0.2">
      <c r="H9510" s="1"/>
      <c r="I9510" s="1"/>
    </row>
    <row r="9511" spans="8:9" x14ac:dyDescent="0.2">
      <c r="H9511" s="1"/>
      <c r="I9511" s="1"/>
    </row>
    <row r="9512" spans="8:9" x14ac:dyDescent="0.2">
      <c r="H9512" s="1"/>
      <c r="I9512" s="1"/>
    </row>
    <row r="9513" spans="8:9" x14ac:dyDescent="0.2">
      <c r="H9513" s="1"/>
      <c r="I9513" s="1"/>
    </row>
    <row r="9514" spans="8:9" x14ac:dyDescent="0.2">
      <c r="H9514" s="1"/>
      <c r="I9514" s="1"/>
    </row>
    <row r="9515" spans="8:9" x14ac:dyDescent="0.2">
      <c r="H9515" s="1"/>
      <c r="I9515" s="1"/>
    </row>
    <row r="9516" spans="8:9" x14ac:dyDescent="0.2">
      <c r="H9516" s="1"/>
      <c r="I9516" s="1"/>
    </row>
    <row r="9517" spans="8:9" x14ac:dyDescent="0.2">
      <c r="H9517" s="1"/>
      <c r="I9517" s="1"/>
    </row>
    <row r="9518" spans="8:9" x14ac:dyDescent="0.2">
      <c r="H9518" s="1"/>
      <c r="I9518" s="1"/>
    </row>
    <row r="9519" spans="8:9" x14ac:dyDescent="0.2">
      <c r="H9519" s="1"/>
      <c r="I9519" s="1"/>
    </row>
    <row r="9520" spans="8:9" x14ac:dyDescent="0.2">
      <c r="H9520" s="1"/>
      <c r="I9520" s="1"/>
    </row>
    <row r="9521" spans="8:9" x14ac:dyDescent="0.2">
      <c r="H9521" s="1"/>
      <c r="I9521" s="1"/>
    </row>
    <row r="9522" spans="8:9" x14ac:dyDescent="0.2">
      <c r="H9522" s="1"/>
      <c r="I9522" s="1"/>
    </row>
    <row r="9523" spans="8:9" x14ac:dyDescent="0.2">
      <c r="H9523" s="1"/>
      <c r="I9523" s="1"/>
    </row>
    <row r="9524" spans="8:9" x14ac:dyDescent="0.2">
      <c r="H9524" s="1"/>
      <c r="I9524" s="1"/>
    </row>
    <row r="9525" spans="8:9" x14ac:dyDescent="0.2">
      <c r="H9525" s="1"/>
      <c r="I9525" s="1"/>
    </row>
    <row r="9526" spans="8:9" x14ac:dyDescent="0.2">
      <c r="H9526" s="1"/>
      <c r="I9526" s="1"/>
    </row>
    <row r="9527" spans="8:9" x14ac:dyDescent="0.2">
      <c r="H9527" s="1"/>
      <c r="I9527" s="1"/>
    </row>
    <row r="9528" spans="8:9" x14ac:dyDescent="0.2">
      <c r="H9528" s="1"/>
      <c r="I9528" s="1"/>
    </row>
    <row r="9529" spans="8:9" x14ac:dyDescent="0.2">
      <c r="H9529" s="1"/>
      <c r="I9529" s="1"/>
    </row>
    <row r="9530" spans="8:9" x14ac:dyDescent="0.2">
      <c r="H9530" s="1"/>
      <c r="I9530" s="1"/>
    </row>
    <row r="9531" spans="8:9" x14ac:dyDescent="0.2">
      <c r="H9531" s="1"/>
      <c r="I9531" s="1"/>
    </row>
    <row r="9532" spans="8:9" x14ac:dyDescent="0.2">
      <c r="H9532" s="1"/>
      <c r="I9532" s="1"/>
    </row>
    <row r="9533" spans="8:9" x14ac:dyDescent="0.2">
      <c r="H9533" s="1"/>
      <c r="I9533" s="1"/>
    </row>
    <row r="9534" spans="8:9" x14ac:dyDescent="0.2">
      <c r="H9534" s="1"/>
      <c r="I9534" s="1"/>
    </row>
    <row r="9535" spans="8:9" x14ac:dyDescent="0.2">
      <c r="H9535" s="1"/>
      <c r="I9535" s="1"/>
    </row>
    <row r="9536" spans="8:9" x14ac:dyDescent="0.2">
      <c r="H9536" s="1"/>
      <c r="I9536" s="1"/>
    </row>
    <row r="9537" spans="8:9" x14ac:dyDescent="0.2">
      <c r="H9537" s="1"/>
      <c r="I9537" s="1"/>
    </row>
    <row r="9538" spans="8:9" x14ac:dyDescent="0.2">
      <c r="H9538" s="1"/>
      <c r="I9538" s="1"/>
    </row>
    <row r="9539" spans="8:9" x14ac:dyDescent="0.2">
      <c r="H9539" s="1"/>
      <c r="I9539" s="1"/>
    </row>
    <row r="9540" spans="8:9" x14ac:dyDescent="0.2">
      <c r="H9540" s="1"/>
      <c r="I9540" s="1"/>
    </row>
    <row r="9541" spans="8:9" x14ac:dyDescent="0.2">
      <c r="H9541" s="1"/>
      <c r="I9541" s="1"/>
    </row>
    <row r="9542" spans="8:9" x14ac:dyDescent="0.2">
      <c r="H9542" s="1"/>
      <c r="I9542" s="1"/>
    </row>
    <row r="9543" spans="8:9" x14ac:dyDescent="0.2">
      <c r="H9543" s="1"/>
      <c r="I9543" s="1"/>
    </row>
    <row r="9544" spans="8:9" x14ac:dyDescent="0.2">
      <c r="H9544" s="1"/>
      <c r="I9544" s="1"/>
    </row>
    <row r="9545" spans="8:9" x14ac:dyDescent="0.2">
      <c r="H9545" s="1"/>
      <c r="I9545" s="1"/>
    </row>
    <row r="9546" spans="8:9" x14ac:dyDescent="0.2">
      <c r="H9546" s="1"/>
      <c r="I9546" s="1"/>
    </row>
    <row r="9547" spans="8:9" x14ac:dyDescent="0.2">
      <c r="H9547" s="1"/>
      <c r="I9547" s="1"/>
    </row>
    <row r="9548" spans="8:9" x14ac:dyDescent="0.2">
      <c r="H9548" s="1"/>
      <c r="I9548" s="1"/>
    </row>
    <row r="9549" spans="8:9" x14ac:dyDescent="0.2">
      <c r="H9549" s="1"/>
      <c r="I9549" s="1"/>
    </row>
    <row r="9550" spans="8:9" x14ac:dyDescent="0.2">
      <c r="H9550" s="1"/>
      <c r="I9550" s="1"/>
    </row>
    <row r="9551" spans="8:9" x14ac:dyDescent="0.2">
      <c r="H9551" s="1"/>
      <c r="I9551" s="1"/>
    </row>
    <row r="9552" spans="8:9" x14ac:dyDescent="0.2">
      <c r="H9552" s="1"/>
      <c r="I9552" s="1"/>
    </row>
    <row r="9553" spans="8:9" x14ac:dyDescent="0.2">
      <c r="H9553" s="1"/>
      <c r="I9553" s="1"/>
    </row>
    <row r="9554" spans="8:9" x14ac:dyDescent="0.2">
      <c r="H9554" s="1"/>
      <c r="I9554" s="1"/>
    </row>
    <row r="9555" spans="8:9" x14ac:dyDescent="0.2">
      <c r="H9555" s="1"/>
      <c r="I9555" s="1"/>
    </row>
    <row r="9556" spans="8:9" x14ac:dyDescent="0.2">
      <c r="H9556" s="1"/>
      <c r="I9556" s="1"/>
    </row>
    <row r="9557" spans="8:9" x14ac:dyDescent="0.2">
      <c r="H9557" s="1"/>
      <c r="I9557" s="1"/>
    </row>
    <row r="9558" spans="8:9" x14ac:dyDescent="0.2">
      <c r="H9558" s="1"/>
      <c r="I9558" s="1"/>
    </row>
    <row r="9559" spans="8:9" x14ac:dyDescent="0.2">
      <c r="H9559" s="1"/>
      <c r="I9559" s="1"/>
    </row>
    <row r="9560" spans="8:9" x14ac:dyDescent="0.2">
      <c r="H9560" s="1"/>
      <c r="I9560" s="1"/>
    </row>
    <row r="9561" spans="8:9" x14ac:dyDescent="0.2">
      <c r="H9561" s="1"/>
      <c r="I9561" s="1"/>
    </row>
    <row r="9562" spans="8:9" x14ac:dyDescent="0.2">
      <c r="H9562" s="1"/>
      <c r="I9562" s="1"/>
    </row>
    <row r="9563" spans="8:9" x14ac:dyDescent="0.2">
      <c r="H9563" s="1"/>
      <c r="I9563" s="1"/>
    </row>
    <row r="9564" spans="8:9" x14ac:dyDescent="0.2">
      <c r="H9564" s="1"/>
      <c r="I9564" s="1"/>
    </row>
    <row r="9565" spans="8:9" x14ac:dyDescent="0.2">
      <c r="H9565" s="1"/>
      <c r="I9565" s="1"/>
    </row>
    <row r="9566" spans="8:9" x14ac:dyDescent="0.2">
      <c r="H9566" s="1"/>
      <c r="I9566" s="1"/>
    </row>
    <row r="9567" spans="8:9" x14ac:dyDescent="0.2">
      <c r="H9567" s="1"/>
      <c r="I9567" s="1"/>
    </row>
    <row r="9568" spans="8:9" x14ac:dyDescent="0.2">
      <c r="H9568" s="1"/>
      <c r="I9568" s="1"/>
    </row>
    <row r="9569" spans="8:9" x14ac:dyDescent="0.2">
      <c r="H9569" s="1"/>
      <c r="I9569" s="1"/>
    </row>
    <row r="9570" spans="8:9" x14ac:dyDescent="0.2">
      <c r="H9570" s="1"/>
      <c r="I9570" s="1"/>
    </row>
    <row r="9571" spans="8:9" x14ac:dyDescent="0.2">
      <c r="H9571" s="1"/>
      <c r="I9571" s="1"/>
    </row>
    <row r="9572" spans="8:9" x14ac:dyDescent="0.2">
      <c r="H9572" s="1"/>
      <c r="I9572" s="1"/>
    </row>
    <row r="9573" spans="8:9" x14ac:dyDescent="0.2">
      <c r="H9573" s="1"/>
      <c r="I9573" s="1"/>
    </row>
    <row r="9574" spans="8:9" x14ac:dyDescent="0.2">
      <c r="H9574" s="1"/>
      <c r="I9574" s="1"/>
    </row>
    <row r="9575" spans="8:9" x14ac:dyDescent="0.2">
      <c r="H9575" s="1"/>
      <c r="I9575" s="1"/>
    </row>
    <row r="9576" spans="8:9" x14ac:dyDescent="0.2">
      <c r="H9576" s="1"/>
      <c r="I9576" s="1"/>
    </row>
    <row r="9577" spans="8:9" x14ac:dyDescent="0.2">
      <c r="H9577" s="1"/>
      <c r="I9577" s="1"/>
    </row>
    <row r="9578" spans="8:9" x14ac:dyDescent="0.2">
      <c r="H9578" s="1"/>
      <c r="I9578" s="1"/>
    </row>
    <row r="9579" spans="8:9" x14ac:dyDescent="0.2">
      <c r="H9579" s="1"/>
      <c r="I9579" s="1"/>
    </row>
    <row r="9580" spans="8:9" x14ac:dyDescent="0.2">
      <c r="H9580" s="1"/>
      <c r="I9580" s="1"/>
    </row>
    <row r="9581" spans="8:9" x14ac:dyDescent="0.2">
      <c r="H9581" s="1"/>
      <c r="I9581" s="1"/>
    </row>
    <row r="9582" spans="8:9" x14ac:dyDescent="0.2">
      <c r="H9582" s="1"/>
      <c r="I9582" s="1"/>
    </row>
    <row r="9583" spans="8:9" x14ac:dyDescent="0.2">
      <c r="H9583" s="1"/>
      <c r="I9583" s="1"/>
    </row>
    <row r="9584" spans="8:9" x14ac:dyDescent="0.2">
      <c r="H9584" s="1"/>
      <c r="I9584" s="1"/>
    </row>
    <row r="9585" spans="8:9" x14ac:dyDescent="0.2">
      <c r="H9585" s="1"/>
      <c r="I9585" s="1"/>
    </row>
    <row r="9586" spans="8:9" x14ac:dyDescent="0.2">
      <c r="H9586" s="1"/>
      <c r="I9586" s="1"/>
    </row>
    <row r="9587" spans="8:9" x14ac:dyDescent="0.2">
      <c r="H9587" s="1"/>
      <c r="I9587" s="1"/>
    </row>
    <row r="9588" spans="8:9" x14ac:dyDescent="0.2">
      <c r="H9588" s="1"/>
      <c r="I9588" s="1"/>
    </row>
    <row r="9589" spans="8:9" x14ac:dyDescent="0.2">
      <c r="H9589" s="1"/>
      <c r="I9589" s="1"/>
    </row>
    <row r="9590" spans="8:9" x14ac:dyDescent="0.2">
      <c r="H9590" s="1"/>
      <c r="I9590" s="1"/>
    </row>
    <row r="9591" spans="8:9" x14ac:dyDescent="0.2">
      <c r="H9591" s="1"/>
      <c r="I9591" s="1"/>
    </row>
    <row r="9592" spans="8:9" x14ac:dyDescent="0.2">
      <c r="H9592" s="1"/>
      <c r="I9592" s="1"/>
    </row>
    <row r="9593" spans="8:9" x14ac:dyDescent="0.2">
      <c r="H9593" s="1"/>
      <c r="I9593" s="1"/>
    </row>
    <row r="9594" spans="8:9" x14ac:dyDescent="0.2">
      <c r="H9594" s="1"/>
      <c r="I9594" s="1"/>
    </row>
    <row r="9595" spans="8:9" x14ac:dyDescent="0.2">
      <c r="H9595" s="1"/>
      <c r="I9595" s="1"/>
    </row>
    <row r="9596" spans="8:9" x14ac:dyDescent="0.2">
      <c r="H9596" s="1"/>
      <c r="I9596" s="1"/>
    </row>
    <row r="9597" spans="8:9" x14ac:dyDescent="0.2">
      <c r="H9597" s="1"/>
      <c r="I9597" s="1"/>
    </row>
    <row r="9598" spans="8:9" x14ac:dyDescent="0.2">
      <c r="H9598" s="1"/>
      <c r="I9598" s="1"/>
    </row>
    <row r="9599" spans="8:9" x14ac:dyDescent="0.2">
      <c r="H9599" s="1"/>
      <c r="I9599" s="1"/>
    </row>
    <row r="9600" spans="8:9" x14ac:dyDescent="0.2">
      <c r="H9600" s="1"/>
      <c r="I9600" s="1"/>
    </row>
    <row r="9601" spans="8:9" x14ac:dyDescent="0.2">
      <c r="H9601" s="1"/>
      <c r="I9601" s="1"/>
    </row>
    <row r="9602" spans="8:9" x14ac:dyDescent="0.2">
      <c r="H9602" s="1"/>
      <c r="I9602" s="1"/>
    </row>
    <row r="9603" spans="8:9" x14ac:dyDescent="0.2">
      <c r="H9603" s="1"/>
      <c r="I9603" s="1"/>
    </row>
    <row r="9604" spans="8:9" x14ac:dyDescent="0.2">
      <c r="H9604" s="1"/>
      <c r="I9604" s="1"/>
    </row>
    <row r="9605" spans="8:9" x14ac:dyDescent="0.2">
      <c r="H9605" s="1"/>
      <c r="I9605" s="1"/>
    </row>
    <row r="9606" spans="8:9" x14ac:dyDescent="0.2">
      <c r="H9606" s="1"/>
      <c r="I9606" s="1"/>
    </row>
    <row r="9607" spans="8:9" x14ac:dyDescent="0.2">
      <c r="H9607" s="1"/>
      <c r="I9607" s="1"/>
    </row>
    <row r="9608" spans="8:9" x14ac:dyDescent="0.2">
      <c r="H9608" s="1"/>
      <c r="I9608" s="1"/>
    </row>
    <row r="9609" spans="8:9" x14ac:dyDescent="0.2">
      <c r="H9609" s="1"/>
      <c r="I9609" s="1"/>
    </row>
    <row r="9610" spans="8:9" x14ac:dyDescent="0.2">
      <c r="H9610" s="1"/>
      <c r="I9610" s="1"/>
    </row>
    <row r="9611" spans="8:9" x14ac:dyDescent="0.2">
      <c r="H9611" s="1"/>
      <c r="I9611" s="1"/>
    </row>
    <row r="9612" spans="8:9" x14ac:dyDescent="0.2">
      <c r="H9612" s="1"/>
      <c r="I9612" s="1"/>
    </row>
    <row r="9613" spans="8:9" x14ac:dyDescent="0.2">
      <c r="H9613" s="1"/>
      <c r="I9613" s="1"/>
    </row>
    <row r="9614" spans="8:9" x14ac:dyDescent="0.2">
      <c r="H9614" s="1"/>
      <c r="I9614" s="1"/>
    </row>
    <row r="9615" spans="8:9" x14ac:dyDescent="0.2">
      <c r="H9615" s="1"/>
      <c r="I9615" s="1"/>
    </row>
    <row r="9616" spans="8:9" x14ac:dyDescent="0.2">
      <c r="H9616" s="1"/>
      <c r="I9616" s="1"/>
    </row>
    <row r="9617" spans="8:9" x14ac:dyDescent="0.2">
      <c r="H9617" s="1"/>
      <c r="I9617" s="1"/>
    </row>
    <row r="9618" spans="8:9" x14ac:dyDescent="0.2">
      <c r="H9618" s="1"/>
      <c r="I9618" s="1"/>
    </row>
    <row r="9619" spans="8:9" x14ac:dyDescent="0.2">
      <c r="H9619" s="1"/>
      <c r="I9619" s="1"/>
    </row>
    <row r="9620" spans="8:9" x14ac:dyDescent="0.2">
      <c r="H9620" s="1"/>
      <c r="I9620" s="1"/>
    </row>
    <row r="9621" spans="8:9" x14ac:dyDescent="0.2">
      <c r="H9621" s="1"/>
      <c r="I9621" s="1"/>
    </row>
    <row r="9622" spans="8:9" x14ac:dyDescent="0.2">
      <c r="H9622" s="1"/>
      <c r="I9622" s="1"/>
    </row>
    <row r="9623" spans="8:9" x14ac:dyDescent="0.2">
      <c r="H9623" s="1"/>
      <c r="I9623" s="1"/>
    </row>
    <row r="9624" spans="8:9" x14ac:dyDescent="0.2">
      <c r="H9624" s="1"/>
      <c r="I9624" s="1"/>
    </row>
    <row r="9625" spans="8:9" x14ac:dyDescent="0.2">
      <c r="H9625" s="1"/>
      <c r="I9625" s="1"/>
    </row>
    <row r="9626" spans="8:9" x14ac:dyDescent="0.2">
      <c r="H9626" s="1"/>
      <c r="I9626" s="1"/>
    </row>
    <row r="9627" spans="8:9" x14ac:dyDescent="0.2">
      <c r="H9627" s="1"/>
      <c r="I9627" s="1"/>
    </row>
    <row r="9628" spans="8:9" x14ac:dyDescent="0.2">
      <c r="H9628" s="1"/>
      <c r="I9628" s="1"/>
    </row>
    <row r="9629" spans="8:9" x14ac:dyDescent="0.2">
      <c r="H9629" s="1"/>
      <c r="I9629" s="1"/>
    </row>
    <row r="9630" spans="8:9" x14ac:dyDescent="0.2">
      <c r="H9630" s="1"/>
      <c r="I9630" s="1"/>
    </row>
    <row r="9631" spans="8:9" x14ac:dyDescent="0.2">
      <c r="H9631" s="1"/>
      <c r="I9631" s="1"/>
    </row>
    <row r="9632" spans="8:9" x14ac:dyDescent="0.2">
      <c r="H9632" s="1"/>
      <c r="I9632" s="1"/>
    </row>
    <row r="9633" spans="8:9" x14ac:dyDescent="0.2">
      <c r="H9633" s="1"/>
      <c r="I9633" s="1"/>
    </row>
    <row r="9634" spans="8:9" x14ac:dyDescent="0.2">
      <c r="H9634" s="1"/>
      <c r="I9634" s="1"/>
    </row>
    <row r="9635" spans="8:9" x14ac:dyDescent="0.2">
      <c r="H9635" s="1"/>
      <c r="I9635" s="1"/>
    </row>
    <row r="9636" spans="8:9" x14ac:dyDescent="0.2">
      <c r="H9636" s="1"/>
      <c r="I9636" s="1"/>
    </row>
    <row r="9637" spans="8:9" x14ac:dyDescent="0.2">
      <c r="H9637" s="1"/>
      <c r="I9637" s="1"/>
    </row>
    <row r="9638" spans="8:9" x14ac:dyDescent="0.2">
      <c r="H9638" s="1"/>
      <c r="I9638" s="1"/>
    </row>
    <row r="9639" spans="8:9" x14ac:dyDescent="0.2">
      <c r="H9639" s="1"/>
      <c r="I9639" s="1"/>
    </row>
    <row r="9640" spans="8:9" x14ac:dyDescent="0.2">
      <c r="H9640" s="1"/>
      <c r="I9640" s="1"/>
    </row>
    <row r="9641" spans="8:9" x14ac:dyDescent="0.2">
      <c r="H9641" s="1"/>
      <c r="I9641" s="1"/>
    </row>
    <row r="9642" spans="8:9" x14ac:dyDescent="0.2">
      <c r="H9642" s="1"/>
      <c r="I9642" s="1"/>
    </row>
    <row r="9643" spans="8:9" x14ac:dyDescent="0.2">
      <c r="H9643" s="1"/>
      <c r="I9643" s="1"/>
    </row>
    <row r="9644" spans="8:9" x14ac:dyDescent="0.2">
      <c r="H9644" s="1"/>
      <c r="I9644" s="1"/>
    </row>
    <row r="9645" spans="8:9" x14ac:dyDescent="0.2">
      <c r="H9645" s="1"/>
      <c r="I9645" s="1"/>
    </row>
    <row r="9646" spans="8:9" x14ac:dyDescent="0.2">
      <c r="H9646" s="1"/>
      <c r="I9646" s="1"/>
    </row>
    <row r="9647" spans="8:9" x14ac:dyDescent="0.2">
      <c r="H9647" s="1"/>
      <c r="I9647" s="1"/>
    </row>
    <row r="9648" spans="8:9" x14ac:dyDescent="0.2">
      <c r="H9648" s="1"/>
      <c r="I9648" s="1"/>
    </row>
    <row r="9649" spans="8:9" x14ac:dyDescent="0.2">
      <c r="H9649" s="1"/>
      <c r="I9649" s="1"/>
    </row>
    <row r="9650" spans="8:9" x14ac:dyDescent="0.2">
      <c r="H9650" s="1"/>
      <c r="I9650" s="1"/>
    </row>
    <row r="9651" spans="8:9" x14ac:dyDescent="0.2">
      <c r="H9651" s="1"/>
      <c r="I9651" s="1"/>
    </row>
    <row r="9652" spans="8:9" x14ac:dyDescent="0.2">
      <c r="H9652" s="1"/>
      <c r="I9652" s="1"/>
    </row>
    <row r="9653" spans="8:9" x14ac:dyDescent="0.2">
      <c r="H9653" s="1"/>
      <c r="I9653" s="1"/>
    </row>
    <row r="9654" spans="8:9" x14ac:dyDescent="0.2">
      <c r="H9654" s="1"/>
      <c r="I9654" s="1"/>
    </row>
    <row r="9655" spans="8:9" x14ac:dyDescent="0.2">
      <c r="H9655" s="1"/>
      <c r="I9655" s="1"/>
    </row>
    <row r="9656" spans="8:9" x14ac:dyDescent="0.2">
      <c r="H9656" s="1"/>
      <c r="I9656" s="1"/>
    </row>
    <row r="9657" spans="8:9" x14ac:dyDescent="0.2">
      <c r="H9657" s="1"/>
      <c r="I9657" s="1"/>
    </row>
    <row r="9658" spans="8:9" x14ac:dyDescent="0.2">
      <c r="H9658" s="1"/>
      <c r="I9658" s="1"/>
    </row>
    <row r="9659" spans="8:9" x14ac:dyDescent="0.2">
      <c r="H9659" s="1"/>
      <c r="I9659" s="1"/>
    </row>
    <row r="9660" spans="8:9" x14ac:dyDescent="0.2">
      <c r="H9660" s="1"/>
      <c r="I9660" s="1"/>
    </row>
    <row r="9661" spans="8:9" x14ac:dyDescent="0.2">
      <c r="H9661" s="1"/>
      <c r="I9661" s="1"/>
    </row>
    <row r="9662" spans="8:9" x14ac:dyDescent="0.2">
      <c r="H9662" s="1"/>
      <c r="I9662" s="1"/>
    </row>
    <row r="9663" spans="8:9" x14ac:dyDescent="0.2">
      <c r="H9663" s="1"/>
      <c r="I9663" s="1"/>
    </row>
    <row r="9664" spans="8:9" x14ac:dyDescent="0.2">
      <c r="H9664" s="1"/>
      <c r="I9664" s="1"/>
    </row>
    <row r="9665" spans="8:9" x14ac:dyDescent="0.2">
      <c r="H9665" s="1"/>
      <c r="I9665" s="1"/>
    </row>
    <row r="9666" spans="8:9" x14ac:dyDescent="0.2">
      <c r="H9666" s="1"/>
      <c r="I9666" s="1"/>
    </row>
    <row r="9667" spans="8:9" x14ac:dyDescent="0.2">
      <c r="H9667" s="1"/>
      <c r="I9667" s="1"/>
    </row>
    <row r="9668" spans="8:9" x14ac:dyDescent="0.2">
      <c r="H9668" s="1"/>
      <c r="I9668" s="1"/>
    </row>
    <row r="9669" spans="8:9" x14ac:dyDescent="0.2">
      <c r="H9669" s="1"/>
      <c r="I9669" s="1"/>
    </row>
    <row r="9670" spans="8:9" x14ac:dyDescent="0.2">
      <c r="H9670" s="1"/>
      <c r="I9670" s="1"/>
    </row>
    <row r="9671" spans="8:9" x14ac:dyDescent="0.2">
      <c r="H9671" s="1"/>
      <c r="I9671" s="1"/>
    </row>
    <row r="9672" spans="8:9" x14ac:dyDescent="0.2">
      <c r="H9672" s="1"/>
      <c r="I9672" s="1"/>
    </row>
    <row r="9673" spans="8:9" x14ac:dyDescent="0.2">
      <c r="H9673" s="1"/>
      <c r="I9673" s="1"/>
    </row>
    <row r="9674" spans="8:9" x14ac:dyDescent="0.2">
      <c r="H9674" s="1"/>
      <c r="I9674" s="1"/>
    </row>
    <row r="9675" spans="8:9" x14ac:dyDescent="0.2">
      <c r="H9675" s="1"/>
      <c r="I9675" s="1"/>
    </row>
    <row r="9676" spans="8:9" x14ac:dyDescent="0.2">
      <c r="H9676" s="1"/>
      <c r="I9676" s="1"/>
    </row>
    <row r="9677" spans="8:9" x14ac:dyDescent="0.2">
      <c r="H9677" s="1"/>
      <c r="I9677" s="1"/>
    </row>
    <row r="9678" spans="8:9" x14ac:dyDescent="0.2">
      <c r="H9678" s="1"/>
      <c r="I9678" s="1"/>
    </row>
    <row r="9679" spans="8:9" x14ac:dyDescent="0.2">
      <c r="H9679" s="1"/>
      <c r="I9679" s="1"/>
    </row>
    <row r="9680" spans="8:9" x14ac:dyDescent="0.2">
      <c r="H9680" s="1"/>
      <c r="I9680" s="1"/>
    </row>
    <row r="9681" spans="8:9" x14ac:dyDescent="0.2">
      <c r="H9681" s="1"/>
      <c r="I9681" s="1"/>
    </row>
    <row r="9682" spans="8:9" x14ac:dyDescent="0.2">
      <c r="H9682" s="1"/>
      <c r="I9682" s="1"/>
    </row>
    <row r="9683" spans="8:9" x14ac:dyDescent="0.2">
      <c r="H9683" s="1"/>
      <c r="I9683" s="1"/>
    </row>
    <row r="9684" spans="8:9" x14ac:dyDescent="0.2">
      <c r="H9684" s="1"/>
      <c r="I9684" s="1"/>
    </row>
    <row r="9685" spans="8:9" x14ac:dyDescent="0.2">
      <c r="H9685" s="1"/>
      <c r="I9685" s="1"/>
    </row>
    <row r="9686" spans="8:9" x14ac:dyDescent="0.2">
      <c r="H9686" s="1"/>
      <c r="I9686" s="1"/>
    </row>
    <row r="9687" spans="8:9" x14ac:dyDescent="0.2">
      <c r="H9687" s="1"/>
      <c r="I9687" s="1"/>
    </row>
    <row r="9688" spans="8:9" x14ac:dyDescent="0.2">
      <c r="H9688" s="1"/>
      <c r="I9688" s="1"/>
    </row>
    <row r="9689" spans="8:9" x14ac:dyDescent="0.2">
      <c r="H9689" s="1"/>
      <c r="I9689" s="1"/>
    </row>
    <row r="9690" spans="8:9" x14ac:dyDescent="0.2">
      <c r="H9690" s="1"/>
      <c r="I9690" s="1"/>
    </row>
    <row r="9691" spans="8:9" x14ac:dyDescent="0.2">
      <c r="H9691" s="1"/>
      <c r="I9691" s="1"/>
    </row>
    <row r="9692" spans="8:9" x14ac:dyDescent="0.2">
      <c r="H9692" s="1"/>
      <c r="I9692" s="1"/>
    </row>
    <row r="9693" spans="8:9" x14ac:dyDescent="0.2">
      <c r="H9693" s="1"/>
      <c r="I9693" s="1"/>
    </row>
    <row r="9694" spans="8:9" x14ac:dyDescent="0.2">
      <c r="H9694" s="1"/>
      <c r="I9694" s="1"/>
    </row>
    <row r="9695" spans="8:9" x14ac:dyDescent="0.2">
      <c r="H9695" s="1"/>
      <c r="I9695" s="1"/>
    </row>
    <row r="9696" spans="8:9" x14ac:dyDescent="0.2">
      <c r="H9696" s="1"/>
      <c r="I9696" s="1"/>
    </row>
    <row r="9697" spans="8:9" x14ac:dyDescent="0.2">
      <c r="H9697" s="1"/>
      <c r="I9697" s="1"/>
    </row>
    <row r="9698" spans="8:9" x14ac:dyDescent="0.2">
      <c r="H9698" s="1"/>
      <c r="I9698" s="1"/>
    </row>
    <row r="9699" spans="8:9" x14ac:dyDescent="0.2">
      <c r="H9699" s="1"/>
      <c r="I9699" s="1"/>
    </row>
    <row r="9700" spans="8:9" x14ac:dyDescent="0.2">
      <c r="H9700" s="1"/>
      <c r="I9700" s="1"/>
    </row>
    <row r="9701" spans="8:9" x14ac:dyDescent="0.2">
      <c r="H9701" s="1"/>
      <c r="I9701" s="1"/>
    </row>
    <row r="9702" spans="8:9" x14ac:dyDescent="0.2">
      <c r="H9702" s="1"/>
      <c r="I9702" s="1"/>
    </row>
    <row r="9703" spans="8:9" x14ac:dyDescent="0.2">
      <c r="H9703" s="1"/>
      <c r="I9703" s="1"/>
    </row>
    <row r="9704" spans="8:9" x14ac:dyDescent="0.2">
      <c r="H9704" s="1"/>
      <c r="I9704" s="1"/>
    </row>
    <row r="9705" spans="8:9" x14ac:dyDescent="0.2">
      <c r="H9705" s="1"/>
      <c r="I9705" s="1"/>
    </row>
    <row r="9706" spans="8:9" x14ac:dyDescent="0.2">
      <c r="H9706" s="1"/>
      <c r="I9706" s="1"/>
    </row>
    <row r="9707" spans="8:9" x14ac:dyDescent="0.2">
      <c r="H9707" s="1"/>
      <c r="I9707" s="1"/>
    </row>
    <row r="9708" spans="8:9" x14ac:dyDescent="0.2">
      <c r="H9708" s="1"/>
      <c r="I9708" s="1"/>
    </row>
    <row r="9709" spans="8:9" x14ac:dyDescent="0.2">
      <c r="H9709" s="1"/>
      <c r="I9709" s="1"/>
    </row>
    <row r="9710" spans="8:9" x14ac:dyDescent="0.2">
      <c r="H9710" s="1"/>
      <c r="I9710" s="1"/>
    </row>
    <row r="9711" spans="8:9" x14ac:dyDescent="0.2">
      <c r="H9711" s="1"/>
      <c r="I9711" s="1"/>
    </row>
    <row r="9712" spans="8:9" x14ac:dyDescent="0.2">
      <c r="H9712" s="1"/>
      <c r="I9712" s="1"/>
    </row>
    <row r="9713" spans="8:9" x14ac:dyDescent="0.2">
      <c r="H9713" s="1"/>
      <c r="I9713" s="1"/>
    </row>
    <row r="9714" spans="8:9" x14ac:dyDescent="0.2">
      <c r="H9714" s="1"/>
      <c r="I9714" s="1"/>
    </row>
    <row r="9715" spans="8:9" x14ac:dyDescent="0.2">
      <c r="H9715" s="1"/>
      <c r="I9715" s="1"/>
    </row>
    <row r="9716" spans="8:9" x14ac:dyDescent="0.2">
      <c r="H9716" s="1"/>
      <c r="I9716" s="1"/>
    </row>
    <row r="9717" spans="8:9" x14ac:dyDescent="0.2">
      <c r="H9717" s="1"/>
      <c r="I9717" s="1"/>
    </row>
    <row r="9718" spans="8:9" x14ac:dyDescent="0.2">
      <c r="H9718" s="1"/>
      <c r="I9718" s="1"/>
    </row>
    <row r="9719" spans="8:9" x14ac:dyDescent="0.2">
      <c r="H9719" s="1"/>
      <c r="I9719" s="1"/>
    </row>
    <row r="9720" spans="8:9" x14ac:dyDescent="0.2">
      <c r="H9720" s="1"/>
      <c r="I9720" s="1"/>
    </row>
    <row r="9721" spans="8:9" x14ac:dyDescent="0.2">
      <c r="H9721" s="1"/>
      <c r="I9721" s="1"/>
    </row>
    <row r="9722" spans="8:9" x14ac:dyDescent="0.2">
      <c r="H9722" s="1"/>
      <c r="I9722" s="1"/>
    </row>
    <row r="9723" spans="8:9" x14ac:dyDescent="0.2">
      <c r="H9723" s="1"/>
      <c r="I9723" s="1"/>
    </row>
    <row r="9724" spans="8:9" x14ac:dyDescent="0.2">
      <c r="H9724" s="1"/>
      <c r="I9724" s="1"/>
    </row>
    <row r="9725" spans="8:9" x14ac:dyDescent="0.2">
      <c r="H9725" s="1"/>
      <c r="I9725" s="1"/>
    </row>
    <row r="9726" spans="8:9" x14ac:dyDescent="0.2">
      <c r="H9726" s="1"/>
      <c r="I9726" s="1"/>
    </row>
    <row r="9727" spans="8:9" x14ac:dyDescent="0.2">
      <c r="H9727" s="1"/>
      <c r="I9727" s="1"/>
    </row>
    <row r="9728" spans="8:9" x14ac:dyDescent="0.2">
      <c r="H9728" s="1"/>
      <c r="I9728" s="1"/>
    </row>
    <row r="9729" spans="8:9" x14ac:dyDescent="0.2">
      <c r="H9729" s="1"/>
      <c r="I9729" s="1"/>
    </row>
    <row r="9730" spans="8:9" x14ac:dyDescent="0.2">
      <c r="H9730" s="1"/>
      <c r="I9730" s="1"/>
    </row>
    <row r="9731" spans="8:9" x14ac:dyDescent="0.2">
      <c r="H9731" s="1"/>
      <c r="I9731" s="1"/>
    </row>
    <row r="9732" spans="8:9" x14ac:dyDescent="0.2">
      <c r="H9732" s="1"/>
      <c r="I9732" s="1"/>
    </row>
    <row r="9733" spans="8:9" x14ac:dyDescent="0.2">
      <c r="H9733" s="1"/>
      <c r="I9733" s="1"/>
    </row>
    <row r="9734" spans="8:9" x14ac:dyDescent="0.2">
      <c r="H9734" s="1"/>
      <c r="I9734" s="1"/>
    </row>
    <row r="9735" spans="8:9" x14ac:dyDescent="0.2">
      <c r="H9735" s="1"/>
      <c r="I9735" s="1"/>
    </row>
    <row r="9736" spans="8:9" x14ac:dyDescent="0.2">
      <c r="H9736" s="1"/>
      <c r="I9736" s="1"/>
    </row>
    <row r="9737" spans="8:9" x14ac:dyDescent="0.2">
      <c r="H9737" s="1"/>
      <c r="I9737" s="1"/>
    </row>
    <row r="9738" spans="8:9" x14ac:dyDescent="0.2">
      <c r="H9738" s="1"/>
      <c r="I9738" s="1"/>
    </row>
    <row r="9739" spans="8:9" x14ac:dyDescent="0.2">
      <c r="H9739" s="1"/>
      <c r="I9739" s="1"/>
    </row>
    <row r="9740" spans="8:9" x14ac:dyDescent="0.2">
      <c r="H9740" s="1"/>
      <c r="I9740" s="1"/>
    </row>
    <row r="9741" spans="8:9" x14ac:dyDescent="0.2">
      <c r="H9741" s="1"/>
      <c r="I9741" s="1"/>
    </row>
    <row r="9742" spans="8:9" x14ac:dyDescent="0.2">
      <c r="H9742" s="1"/>
      <c r="I9742" s="1"/>
    </row>
    <row r="9743" spans="8:9" x14ac:dyDescent="0.2">
      <c r="H9743" s="1"/>
      <c r="I9743" s="1"/>
    </row>
    <row r="9744" spans="8:9" x14ac:dyDescent="0.2">
      <c r="H9744" s="1"/>
      <c r="I9744" s="1"/>
    </row>
    <row r="9745" spans="8:9" x14ac:dyDescent="0.2">
      <c r="H9745" s="1"/>
      <c r="I9745" s="1"/>
    </row>
    <row r="9746" spans="8:9" x14ac:dyDescent="0.2">
      <c r="H9746" s="1"/>
      <c r="I9746" s="1"/>
    </row>
    <row r="9747" spans="8:9" x14ac:dyDescent="0.2">
      <c r="H9747" s="1"/>
      <c r="I9747" s="1"/>
    </row>
    <row r="9748" spans="8:9" x14ac:dyDescent="0.2">
      <c r="H9748" s="1"/>
      <c r="I9748" s="1"/>
    </row>
    <row r="9749" spans="8:9" x14ac:dyDescent="0.2">
      <c r="H9749" s="1"/>
      <c r="I9749" s="1"/>
    </row>
    <row r="9750" spans="8:9" x14ac:dyDescent="0.2">
      <c r="H9750" s="1"/>
      <c r="I9750" s="1"/>
    </row>
    <row r="9751" spans="8:9" x14ac:dyDescent="0.2">
      <c r="H9751" s="1"/>
      <c r="I9751" s="1"/>
    </row>
    <row r="9752" spans="8:9" x14ac:dyDescent="0.2">
      <c r="H9752" s="1"/>
      <c r="I9752" s="1"/>
    </row>
    <row r="9753" spans="8:9" x14ac:dyDescent="0.2">
      <c r="H9753" s="1"/>
      <c r="I9753" s="1"/>
    </row>
    <row r="9754" spans="8:9" x14ac:dyDescent="0.2">
      <c r="H9754" s="1"/>
      <c r="I9754" s="1"/>
    </row>
    <row r="9755" spans="8:9" x14ac:dyDescent="0.2">
      <c r="H9755" s="1"/>
      <c r="I9755" s="1"/>
    </row>
    <row r="9756" spans="8:9" x14ac:dyDescent="0.2">
      <c r="H9756" s="1"/>
      <c r="I9756" s="1"/>
    </row>
    <row r="9757" spans="8:9" x14ac:dyDescent="0.2">
      <c r="H9757" s="1"/>
      <c r="I9757" s="1"/>
    </row>
    <row r="9758" spans="8:9" x14ac:dyDescent="0.2">
      <c r="H9758" s="1"/>
      <c r="I9758" s="1"/>
    </row>
    <row r="9759" spans="8:9" x14ac:dyDescent="0.2">
      <c r="H9759" s="1"/>
      <c r="I9759" s="1"/>
    </row>
    <row r="9760" spans="8:9" x14ac:dyDescent="0.2">
      <c r="H9760" s="1"/>
      <c r="I9760" s="1"/>
    </row>
    <row r="9761" spans="8:9" x14ac:dyDescent="0.2">
      <c r="H9761" s="1"/>
      <c r="I9761" s="1"/>
    </row>
    <row r="9762" spans="8:9" x14ac:dyDescent="0.2">
      <c r="H9762" s="1"/>
      <c r="I9762" s="1"/>
    </row>
    <row r="9763" spans="8:9" x14ac:dyDescent="0.2">
      <c r="H9763" s="1"/>
      <c r="I9763" s="1"/>
    </row>
    <row r="9764" spans="8:9" x14ac:dyDescent="0.2">
      <c r="H9764" s="1"/>
      <c r="I9764" s="1"/>
    </row>
    <row r="9765" spans="8:9" x14ac:dyDescent="0.2">
      <c r="H9765" s="1"/>
      <c r="I9765" s="1"/>
    </row>
    <row r="9766" spans="8:9" x14ac:dyDescent="0.2">
      <c r="H9766" s="1"/>
      <c r="I9766" s="1"/>
    </row>
    <row r="9767" spans="8:9" x14ac:dyDescent="0.2">
      <c r="H9767" s="1"/>
      <c r="I9767" s="1"/>
    </row>
    <row r="9768" spans="8:9" x14ac:dyDescent="0.2">
      <c r="H9768" s="1"/>
      <c r="I9768" s="1"/>
    </row>
    <row r="9769" spans="8:9" x14ac:dyDescent="0.2">
      <c r="H9769" s="1"/>
      <c r="I9769" s="1"/>
    </row>
    <row r="9770" spans="8:9" x14ac:dyDescent="0.2">
      <c r="H9770" s="1"/>
      <c r="I9770" s="1"/>
    </row>
    <row r="9771" spans="8:9" x14ac:dyDescent="0.2">
      <c r="H9771" s="1"/>
      <c r="I9771" s="1"/>
    </row>
    <row r="9772" spans="8:9" x14ac:dyDescent="0.2">
      <c r="H9772" s="1"/>
      <c r="I9772" s="1"/>
    </row>
    <row r="9773" spans="8:9" x14ac:dyDescent="0.2">
      <c r="H9773" s="1"/>
      <c r="I9773" s="1"/>
    </row>
    <row r="9774" spans="8:9" x14ac:dyDescent="0.2">
      <c r="H9774" s="1"/>
      <c r="I9774" s="1"/>
    </row>
    <row r="9775" spans="8:9" x14ac:dyDescent="0.2">
      <c r="H9775" s="1"/>
      <c r="I9775" s="1"/>
    </row>
    <row r="9776" spans="8:9" x14ac:dyDescent="0.2">
      <c r="H9776" s="1"/>
      <c r="I9776" s="1"/>
    </row>
    <row r="9777" spans="8:9" x14ac:dyDescent="0.2">
      <c r="H9777" s="1"/>
      <c r="I9777" s="1"/>
    </row>
    <row r="9778" spans="8:9" x14ac:dyDescent="0.2">
      <c r="H9778" s="1"/>
      <c r="I9778" s="1"/>
    </row>
    <row r="9779" spans="8:9" x14ac:dyDescent="0.2">
      <c r="H9779" s="1"/>
      <c r="I9779" s="1"/>
    </row>
    <row r="9780" spans="8:9" x14ac:dyDescent="0.2">
      <c r="H9780" s="1"/>
      <c r="I9780" s="1"/>
    </row>
    <row r="9781" spans="8:9" x14ac:dyDescent="0.2">
      <c r="H9781" s="1"/>
      <c r="I9781" s="1"/>
    </row>
    <row r="9782" spans="8:9" x14ac:dyDescent="0.2">
      <c r="H9782" s="1"/>
      <c r="I9782" s="1"/>
    </row>
    <row r="9783" spans="8:9" x14ac:dyDescent="0.2">
      <c r="H9783" s="1"/>
      <c r="I9783" s="1"/>
    </row>
    <row r="9784" spans="8:9" x14ac:dyDescent="0.2">
      <c r="H9784" s="1"/>
      <c r="I9784" s="1"/>
    </row>
    <row r="9785" spans="8:9" x14ac:dyDescent="0.2">
      <c r="H9785" s="1"/>
      <c r="I9785" s="1"/>
    </row>
    <row r="9786" spans="8:9" x14ac:dyDescent="0.2">
      <c r="H9786" s="1"/>
      <c r="I9786" s="1"/>
    </row>
    <row r="9787" spans="8:9" x14ac:dyDescent="0.2">
      <c r="H9787" s="1"/>
      <c r="I9787" s="1"/>
    </row>
    <row r="9788" spans="8:9" x14ac:dyDescent="0.2">
      <c r="H9788" s="1"/>
      <c r="I9788" s="1"/>
    </row>
    <row r="9789" spans="8:9" x14ac:dyDescent="0.2">
      <c r="H9789" s="1"/>
      <c r="I9789" s="1"/>
    </row>
    <row r="9790" spans="8:9" x14ac:dyDescent="0.2">
      <c r="H9790" s="1"/>
      <c r="I9790" s="1"/>
    </row>
    <row r="9791" spans="8:9" x14ac:dyDescent="0.2">
      <c r="H9791" s="1"/>
      <c r="I9791" s="1"/>
    </row>
    <row r="9792" spans="8:9" x14ac:dyDescent="0.2">
      <c r="H9792" s="1"/>
      <c r="I9792" s="1"/>
    </row>
    <row r="9793" spans="8:9" x14ac:dyDescent="0.2">
      <c r="H9793" s="1"/>
      <c r="I9793" s="1"/>
    </row>
    <row r="9794" spans="8:9" x14ac:dyDescent="0.2">
      <c r="H9794" s="1"/>
      <c r="I9794" s="1"/>
    </row>
    <row r="9795" spans="8:9" x14ac:dyDescent="0.2">
      <c r="H9795" s="1"/>
      <c r="I9795" s="1"/>
    </row>
    <row r="9796" spans="8:9" x14ac:dyDescent="0.2">
      <c r="H9796" s="1"/>
      <c r="I9796" s="1"/>
    </row>
    <row r="9797" spans="8:9" x14ac:dyDescent="0.2">
      <c r="H9797" s="1"/>
      <c r="I9797" s="1"/>
    </row>
    <row r="9798" spans="8:9" x14ac:dyDescent="0.2">
      <c r="H9798" s="1"/>
      <c r="I9798" s="1"/>
    </row>
    <row r="9799" spans="8:9" x14ac:dyDescent="0.2">
      <c r="H9799" s="1"/>
      <c r="I9799" s="1"/>
    </row>
    <row r="9800" spans="8:9" x14ac:dyDescent="0.2">
      <c r="H9800" s="1"/>
      <c r="I9800" s="1"/>
    </row>
    <row r="9801" spans="8:9" x14ac:dyDescent="0.2">
      <c r="H9801" s="1"/>
      <c r="I9801" s="1"/>
    </row>
    <row r="9802" spans="8:9" x14ac:dyDescent="0.2">
      <c r="H9802" s="1"/>
      <c r="I9802" s="1"/>
    </row>
    <row r="9803" spans="8:9" x14ac:dyDescent="0.2">
      <c r="H9803" s="1"/>
      <c r="I9803" s="1"/>
    </row>
    <row r="9804" spans="8:9" x14ac:dyDescent="0.2">
      <c r="H9804" s="1"/>
      <c r="I9804" s="1"/>
    </row>
    <row r="9805" spans="8:9" x14ac:dyDescent="0.2">
      <c r="H9805" s="1"/>
      <c r="I9805" s="1"/>
    </row>
    <row r="9806" spans="8:9" x14ac:dyDescent="0.2">
      <c r="H9806" s="1"/>
      <c r="I9806" s="1"/>
    </row>
    <row r="9807" spans="8:9" x14ac:dyDescent="0.2">
      <c r="H9807" s="1"/>
      <c r="I9807" s="1"/>
    </row>
    <row r="9808" spans="8:9" x14ac:dyDescent="0.2">
      <c r="H9808" s="1"/>
      <c r="I9808" s="1"/>
    </row>
    <row r="9809" spans="8:9" x14ac:dyDescent="0.2">
      <c r="H9809" s="1"/>
      <c r="I9809" s="1"/>
    </row>
    <row r="9810" spans="8:9" x14ac:dyDescent="0.2">
      <c r="H9810" s="1"/>
      <c r="I9810" s="1"/>
    </row>
    <row r="9811" spans="8:9" x14ac:dyDescent="0.2">
      <c r="H9811" s="1"/>
      <c r="I9811" s="1"/>
    </row>
    <row r="9812" spans="8:9" x14ac:dyDescent="0.2">
      <c r="H9812" s="1"/>
      <c r="I9812" s="1"/>
    </row>
    <row r="9813" spans="8:9" x14ac:dyDescent="0.2">
      <c r="H9813" s="1"/>
      <c r="I9813" s="1"/>
    </row>
    <row r="9814" spans="8:9" x14ac:dyDescent="0.2">
      <c r="H9814" s="1"/>
      <c r="I9814" s="1"/>
    </row>
    <row r="9815" spans="8:9" x14ac:dyDescent="0.2">
      <c r="H9815" s="1"/>
      <c r="I9815" s="1"/>
    </row>
    <row r="9816" spans="8:9" x14ac:dyDescent="0.2">
      <c r="H9816" s="1"/>
      <c r="I9816" s="1"/>
    </row>
    <row r="9817" spans="8:9" x14ac:dyDescent="0.2">
      <c r="H9817" s="1"/>
      <c r="I9817" s="1"/>
    </row>
    <row r="9818" spans="8:9" x14ac:dyDescent="0.2">
      <c r="H9818" s="1"/>
      <c r="I9818" s="1"/>
    </row>
    <row r="9819" spans="8:9" x14ac:dyDescent="0.2">
      <c r="H9819" s="1"/>
      <c r="I9819" s="1"/>
    </row>
    <row r="9820" spans="8:9" x14ac:dyDescent="0.2">
      <c r="H9820" s="1"/>
      <c r="I9820" s="1"/>
    </row>
    <row r="9821" spans="8:9" x14ac:dyDescent="0.2">
      <c r="H9821" s="1"/>
      <c r="I9821" s="1"/>
    </row>
    <row r="9822" spans="8:9" x14ac:dyDescent="0.2">
      <c r="H9822" s="1"/>
      <c r="I9822" s="1"/>
    </row>
    <row r="9823" spans="8:9" x14ac:dyDescent="0.2">
      <c r="H9823" s="1"/>
      <c r="I9823" s="1"/>
    </row>
    <row r="9824" spans="8:9" x14ac:dyDescent="0.2">
      <c r="H9824" s="1"/>
      <c r="I9824" s="1"/>
    </row>
    <row r="9825" spans="8:9" x14ac:dyDescent="0.2">
      <c r="H9825" s="1"/>
      <c r="I9825" s="1"/>
    </row>
    <row r="9826" spans="8:9" x14ac:dyDescent="0.2">
      <c r="H9826" s="1"/>
      <c r="I9826" s="1"/>
    </row>
    <row r="9827" spans="8:9" x14ac:dyDescent="0.2">
      <c r="H9827" s="1"/>
      <c r="I9827" s="1"/>
    </row>
    <row r="9828" spans="8:9" x14ac:dyDescent="0.2">
      <c r="H9828" s="1"/>
      <c r="I9828" s="1"/>
    </row>
    <row r="9829" spans="8:9" x14ac:dyDescent="0.2">
      <c r="H9829" s="1"/>
      <c r="I9829" s="1"/>
    </row>
    <row r="9830" spans="8:9" x14ac:dyDescent="0.2">
      <c r="H9830" s="1"/>
      <c r="I9830" s="1"/>
    </row>
    <row r="9831" spans="8:9" x14ac:dyDescent="0.2">
      <c r="H9831" s="1"/>
      <c r="I9831" s="1"/>
    </row>
    <row r="9832" spans="8:9" x14ac:dyDescent="0.2">
      <c r="H9832" s="1"/>
      <c r="I9832" s="1"/>
    </row>
    <row r="9833" spans="8:9" x14ac:dyDescent="0.2">
      <c r="H9833" s="1"/>
      <c r="I9833" s="1"/>
    </row>
    <row r="9834" spans="8:9" x14ac:dyDescent="0.2">
      <c r="H9834" s="1"/>
      <c r="I9834" s="1"/>
    </row>
    <row r="9835" spans="8:9" x14ac:dyDescent="0.2">
      <c r="H9835" s="1"/>
      <c r="I9835" s="1"/>
    </row>
    <row r="9836" spans="8:9" x14ac:dyDescent="0.2">
      <c r="H9836" s="1"/>
      <c r="I9836" s="1"/>
    </row>
    <row r="9837" spans="8:9" x14ac:dyDescent="0.2">
      <c r="H9837" s="1"/>
      <c r="I9837" s="1"/>
    </row>
    <row r="9838" spans="8:9" x14ac:dyDescent="0.2">
      <c r="H9838" s="1"/>
      <c r="I9838" s="1"/>
    </row>
    <row r="9839" spans="8:9" x14ac:dyDescent="0.2">
      <c r="H9839" s="1"/>
      <c r="I9839" s="1"/>
    </row>
    <row r="9840" spans="8:9" x14ac:dyDescent="0.2">
      <c r="H9840" s="1"/>
      <c r="I9840" s="1"/>
    </row>
    <row r="9841" spans="8:9" x14ac:dyDescent="0.2">
      <c r="H9841" s="1"/>
      <c r="I9841" s="1"/>
    </row>
    <row r="9842" spans="8:9" x14ac:dyDescent="0.2">
      <c r="H9842" s="1"/>
      <c r="I9842" s="1"/>
    </row>
    <row r="9843" spans="8:9" x14ac:dyDescent="0.2">
      <c r="H9843" s="1"/>
      <c r="I9843" s="1"/>
    </row>
    <row r="9844" spans="8:9" x14ac:dyDescent="0.2">
      <c r="H9844" s="1"/>
      <c r="I9844" s="1"/>
    </row>
    <row r="9845" spans="8:9" x14ac:dyDescent="0.2">
      <c r="H9845" s="1"/>
      <c r="I9845" s="1"/>
    </row>
    <row r="9846" spans="8:9" x14ac:dyDescent="0.2">
      <c r="H9846" s="1"/>
      <c r="I9846" s="1"/>
    </row>
    <row r="9847" spans="8:9" x14ac:dyDescent="0.2">
      <c r="H9847" s="1"/>
      <c r="I9847" s="1"/>
    </row>
    <row r="9848" spans="8:9" x14ac:dyDescent="0.2">
      <c r="H9848" s="1"/>
      <c r="I9848" s="1"/>
    </row>
    <row r="9849" spans="8:9" x14ac:dyDescent="0.2">
      <c r="H9849" s="1"/>
      <c r="I9849" s="1"/>
    </row>
    <row r="9850" spans="8:9" x14ac:dyDescent="0.2">
      <c r="H9850" s="1"/>
      <c r="I9850" s="1"/>
    </row>
    <row r="9851" spans="8:9" x14ac:dyDescent="0.2">
      <c r="H9851" s="1"/>
      <c r="I9851" s="1"/>
    </row>
    <row r="9852" spans="8:9" x14ac:dyDescent="0.2">
      <c r="H9852" s="1"/>
      <c r="I9852" s="1"/>
    </row>
    <row r="9853" spans="8:9" x14ac:dyDescent="0.2">
      <c r="H9853" s="1"/>
      <c r="I9853" s="1"/>
    </row>
    <row r="9854" spans="8:9" x14ac:dyDescent="0.2">
      <c r="H9854" s="1"/>
      <c r="I9854" s="1"/>
    </row>
    <row r="9855" spans="8:9" x14ac:dyDescent="0.2">
      <c r="H9855" s="1"/>
      <c r="I9855" s="1"/>
    </row>
    <row r="9856" spans="8:9" x14ac:dyDescent="0.2">
      <c r="H9856" s="1"/>
      <c r="I9856" s="1"/>
    </row>
    <row r="9857" spans="8:9" x14ac:dyDescent="0.2">
      <c r="H9857" s="1"/>
      <c r="I9857" s="1"/>
    </row>
    <row r="9858" spans="8:9" x14ac:dyDescent="0.2">
      <c r="H9858" s="1"/>
      <c r="I9858" s="1"/>
    </row>
    <row r="9859" spans="8:9" x14ac:dyDescent="0.2">
      <c r="H9859" s="1"/>
      <c r="I9859" s="1"/>
    </row>
    <row r="9860" spans="8:9" x14ac:dyDescent="0.2">
      <c r="H9860" s="1"/>
      <c r="I9860" s="1"/>
    </row>
    <row r="9861" spans="8:9" x14ac:dyDescent="0.2">
      <c r="H9861" s="1"/>
      <c r="I9861" s="1"/>
    </row>
    <row r="9862" spans="8:9" x14ac:dyDescent="0.2">
      <c r="H9862" s="1"/>
      <c r="I9862" s="1"/>
    </row>
    <row r="9863" spans="8:9" x14ac:dyDescent="0.2">
      <c r="H9863" s="1"/>
      <c r="I9863" s="1"/>
    </row>
    <row r="9864" spans="8:9" x14ac:dyDescent="0.2">
      <c r="H9864" s="1"/>
      <c r="I9864" s="1"/>
    </row>
    <row r="9865" spans="8:9" x14ac:dyDescent="0.2">
      <c r="H9865" s="1"/>
      <c r="I9865" s="1"/>
    </row>
    <row r="9866" spans="8:9" x14ac:dyDescent="0.2">
      <c r="H9866" s="1"/>
      <c r="I9866" s="1"/>
    </row>
    <row r="9867" spans="8:9" x14ac:dyDescent="0.2">
      <c r="H9867" s="1"/>
      <c r="I9867" s="1"/>
    </row>
    <row r="9868" spans="8:9" x14ac:dyDescent="0.2">
      <c r="H9868" s="1"/>
      <c r="I9868" s="1"/>
    </row>
    <row r="9869" spans="8:9" x14ac:dyDescent="0.2">
      <c r="H9869" s="1"/>
      <c r="I9869" s="1"/>
    </row>
    <row r="9870" spans="8:9" x14ac:dyDescent="0.2">
      <c r="H9870" s="1"/>
      <c r="I9870" s="1"/>
    </row>
    <row r="9871" spans="8:9" x14ac:dyDescent="0.2">
      <c r="H9871" s="1"/>
      <c r="I9871" s="1"/>
    </row>
    <row r="9872" spans="8:9" x14ac:dyDescent="0.2">
      <c r="H9872" s="1"/>
      <c r="I9872" s="1"/>
    </row>
    <row r="9873" spans="8:9" x14ac:dyDescent="0.2">
      <c r="H9873" s="1"/>
      <c r="I9873" s="1"/>
    </row>
    <row r="9874" spans="8:9" x14ac:dyDescent="0.2">
      <c r="H9874" s="1"/>
      <c r="I9874" s="1"/>
    </row>
    <row r="9875" spans="8:9" x14ac:dyDescent="0.2">
      <c r="H9875" s="1"/>
      <c r="I9875" s="1"/>
    </row>
    <row r="9876" spans="8:9" x14ac:dyDescent="0.2">
      <c r="H9876" s="1"/>
      <c r="I9876" s="1"/>
    </row>
    <row r="9877" spans="8:9" x14ac:dyDescent="0.2">
      <c r="H9877" s="1"/>
      <c r="I9877" s="1"/>
    </row>
    <row r="9878" spans="8:9" x14ac:dyDescent="0.2">
      <c r="H9878" s="1"/>
      <c r="I9878" s="1"/>
    </row>
    <row r="9879" spans="8:9" x14ac:dyDescent="0.2">
      <c r="H9879" s="1"/>
      <c r="I9879" s="1"/>
    </row>
    <row r="9880" spans="8:9" x14ac:dyDescent="0.2">
      <c r="H9880" s="1"/>
      <c r="I9880" s="1"/>
    </row>
    <row r="9881" spans="8:9" x14ac:dyDescent="0.2">
      <c r="H9881" s="1"/>
      <c r="I9881" s="1"/>
    </row>
    <row r="9882" spans="8:9" x14ac:dyDescent="0.2">
      <c r="H9882" s="1"/>
      <c r="I9882" s="1"/>
    </row>
    <row r="9883" spans="8:9" x14ac:dyDescent="0.2">
      <c r="H9883" s="1"/>
      <c r="I9883" s="1"/>
    </row>
    <row r="9884" spans="8:9" x14ac:dyDescent="0.2">
      <c r="H9884" s="1"/>
      <c r="I9884" s="1"/>
    </row>
    <row r="9885" spans="8:9" x14ac:dyDescent="0.2">
      <c r="H9885" s="1"/>
      <c r="I9885" s="1"/>
    </row>
    <row r="9886" spans="8:9" x14ac:dyDescent="0.2">
      <c r="H9886" s="1"/>
      <c r="I9886" s="1"/>
    </row>
    <row r="9887" spans="8:9" x14ac:dyDescent="0.2">
      <c r="H9887" s="1"/>
      <c r="I9887" s="1"/>
    </row>
    <row r="9888" spans="8:9" x14ac:dyDescent="0.2">
      <c r="H9888" s="1"/>
      <c r="I9888" s="1"/>
    </row>
    <row r="9889" spans="8:9" x14ac:dyDescent="0.2">
      <c r="H9889" s="1"/>
      <c r="I9889" s="1"/>
    </row>
    <row r="9890" spans="8:9" x14ac:dyDescent="0.2">
      <c r="H9890" s="1"/>
      <c r="I9890" s="1"/>
    </row>
    <row r="9891" spans="8:9" x14ac:dyDescent="0.2">
      <c r="H9891" s="1"/>
      <c r="I9891" s="1"/>
    </row>
    <row r="9892" spans="8:9" x14ac:dyDescent="0.2">
      <c r="H9892" s="1"/>
      <c r="I9892" s="1"/>
    </row>
    <row r="9893" spans="8:9" x14ac:dyDescent="0.2">
      <c r="H9893" s="1"/>
      <c r="I9893" s="1"/>
    </row>
    <row r="9894" spans="8:9" x14ac:dyDescent="0.2">
      <c r="H9894" s="1"/>
      <c r="I9894" s="1"/>
    </row>
    <row r="9895" spans="8:9" x14ac:dyDescent="0.2">
      <c r="H9895" s="1"/>
      <c r="I9895" s="1"/>
    </row>
    <row r="9896" spans="8:9" x14ac:dyDescent="0.2">
      <c r="H9896" s="1"/>
      <c r="I9896" s="1"/>
    </row>
    <row r="9897" spans="8:9" x14ac:dyDescent="0.2">
      <c r="H9897" s="1"/>
      <c r="I9897" s="1"/>
    </row>
    <row r="9898" spans="8:9" x14ac:dyDescent="0.2">
      <c r="H9898" s="1"/>
      <c r="I9898" s="1"/>
    </row>
    <row r="9899" spans="8:9" x14ac:dyDescent="0.2">
      <c r="H9899" s="1"/>
      <c r="I9899" s="1"/>
    </row>
    <row r="9900" spans="8:9" x14ac:dyDescent="0.2">
      <c r="H9900" s="1"/>
      <c r="I9900" s="1"/>
    </row>
    <row r="9901" spans="8:9" x14ac:dyDescent="0.2">
      <c r="H9901" s="1"/>
      <c r="I9901" s="1"/>
    </row>
    <row r="9902" spans="8:9" x14ac:dyDescent="0.2">
      <c r="H9902" s="1"/>
      <c r="I9902" s="1"/>
    </row>
    <row r="9903" spans="8:9" x14ac:dyDescent="0.2">
      <c r="H9903" s="1"/>
      <c r="I9903" s="1"/>
    </row>
    <row r="9904" spans="8:9" x14ac:dyDescent="0.2">
      <c r="H9904" s="1"/>
      <c r="I9904" s="1"/>
    </row>
    <row r="9905" spans="8:9" x14ac:dyDescent="0.2">
      <c r="H9905" s="1"/>
      <c r="I9905" s="1"/>
    </row>
    <row r="9906" spans="8:9" x14ac:dyDescent="0.2">
      <c r="H9906" s="1"/>
      <c r="I9906" s="1"/>
    </row>
    <row r="9907" spans="8:9" x14ac:dyDescent="0.2">
      <c r="H9907" s="1"/>
      <c r="I9907" s="1"/>
    </row>
    <row r="9908" spans="8:9" x14ac:dyDescent="0.2">
      <c r="H9908" s="1"/>
      <c r="I9908" s="1"/>
    </row>
    <row r="9909" spans="8:9" x14ac:dyDescent="0.2">
      <c r="H9909" s="1"/>
      <c r="I9909" s="1"/>
    </row>
    <row r="9910" spans="8:9" x14ac:dyDescent="0.2">
      <c r="H9910" s="1"/>
      <c r="I9910" s="1"/>
    </row>
    <row r="9911" spans="8:9" x14ac:dyDescent="0.2">
      <c r="H9911" s="1"/>
      <c r="I9911" s="1"/>
    </row>
    <row r="9912" spans="8:9" x14ac:dyDescent="0.2">
      <c r="H9912" s="1"/>
      <c r="I9912" s="1"/>
    </row>
    <row r="9913" spans="8:9" x14ac:dyDescent="0.2">
      <c r="H9913" s="1"/>
      <c r="I9913" s="1"/>
    </row>
    <row r="9914" spans="8:9" x14ac:dyDescent="0.2">
      <c r="H9914" s="1"/>
      <c r="I9914" s="1"/>
    </row>
    <row r="9915" spans="8:9" x14ac:dyDescent="0.2">
      <c r="H9915" s="1"/>
      <c r="I9915" s="1"/>
    </row>
    <row r="9916" spans="8:9" x14ac:dyDescent="0.2">
      <c r="H9916" s="1"/>
      <c r="I9916" s="1"/>
    </row>
    <row r="9917" spans="8:9" x14ac:dyDescent="0.2">
      <c r="H9917" s="1"/>
      <c r="I9917" s="1"/>
    </row>
    <row r="9918" spans="8:9" x14ac:dyDescent="0.2">
      <c r="H9918" s="1"/>
      <c r="I9918" s="1"/>
    </row>
    <row r="9919" spans="8:9" x14ac:dyDescent="0.2">
      <c r="H9919" s="1"/>
      <c r="I9919" s="1"/>
    </row>
    <row r="9920" spans="8:9" x14ac:dyDescent="0.2">
      <c r="H9920" s="1"/>
      <c r="I9920" s="1"/>
    </row>
    <row r="9921" spans="8:9" x14ac:dyDescent="0.2">
      <c r="H9921" s="1"/>
      <c r="I9921" s="1"/>
    </row>
    <row r="9922" spans="8:9" x14ac:dyDescent="0.2">
      <c r="H9922" s="1"/>
      <c r="I9922" s="1"/>
    </row>
    <row r="9923" spans="8:9" x14ac:dyDescent="0.2">
      <c r="H9923" s="1"/>
      <c r="I9923" s="1"/>
    </row>
    <row r="9924" spans="8:9" x14ac:dyDescent="0.2">
      <c r="H9924" s="1"/>
      <c r="I9924" s="1"/>
    </row>
    <row r="9925" spans="8:9" x14ac:dyDescent="0.2">
      <c r="H9925" s="1"/>
      <c r="I9925" s="1"/>
    </row>
    <row r="9926" spans="8:9" x14ac:dyDescent="0.2">
      <c r="H9926" s="1"/>
      <c r="I9926" s="1"/>
    </row>
    <row r="9927" spans="8:9" x14ac:dyDescent="0.2">
      <c r="H9927" s="1"/>
      <c r="I9927" s="1"/>
    </row>
    <row r="9928" spans="8:9" x14ac:dyDescent="0.2">
      <c r="H9928" s="1"/>
      <c r="I9928" s="1"/>
    </row>
    <row r="9929" spans="8:9" x14ac:dyDescent="0.2">
      <c r="H9929" s="1"/>
      <c r="I9929" s="1"/>
    </row>
    <row r="9930" spans="8:9" x14ac:dyDescent="0.2">
      <c r="H9930" s="1"/>
      <c r="I9930" s="1"/>
    </row>
    <row r="9931" spans="8:9" x14ac:dyDescent="0.2">
      <c r="H9931" s="1"/>
      <c r="I9931" s="1"/>
    </row>
    <row r="9932" spans="8:9" x14ac:dyDescent="0.2">
      <c r="H9932" s="1"/>
      <c r="I9932" s="1"/>
    </row>
    <row r="9933" spans="8:9" x14ac:dyDescent="0.2">
      <c r="H9933" s="1"/>
      <c r="I9933" s="1"/>
    </row>
    <row r="9934" spans="8:9" x14ac:dyDescent="0.2">
      <c r="H9934" s="1"/>
      <c r="I9934" s="1"/>
    </row>
    <row r="9935" spans="8:9" x14ac:dyDescent="0.2">
      <c r="H9935" s="1"/>
      <c r="I9935" s="1"/>
    </row>
    <row r="9936" spans="8:9" x14ac:dyDescent="0.2">
      <c r="H9936" s="1"/>
      <c r="I9936" s="1"/>
    </row>
    <row r="9937" spans="8:9" x14ac:dyDescent="0.2">
      <c r="H9937" s="1"/>
      <c r="I9937" s="1"/>
    </row>
    <row r="9938" spans="8:9" x14ac:dyDescent="0.2">
      <c r="H9938" s="1"/>
      <c r="I9938" s="1"/>
    </row>
    <row r="9939" spans="8:9" x14ac:dyDescent="0.2">
      <c r="H9939" s="1"/>
      <c r="I9939" s="1"/>
    </row>
    <row r="9940" spans="8:9" x14ac:dyDescent="0.2">
      <c r="H9940" s="1"/>
      <c r="I9940" s="1"/>
    </row>
    <row r="9941" spans="8:9" x14ac:dyDescent="0.2">
      <c r="H9941" s="1"/>
      <c r="I9941" s="1"/>
    </row>
    <row r="9942" spans="8:9" x14ac:dyDescent="0.2">
      <c r="H9942" s="1"/>
      <c r="I9942" s="1"/>
    </row>
    <row r="9943" spans="8:9" x14ac:dyDescent="0.2">
      <c r="H9943" s="1"/>
      <c r="I9943" s="1"/>
    </row>
    <row r="9944" spans="8:9" x14ac:dyDescent="0.2">
      <c r="H9944" s="1"/>
      <c r="I9944" s="1"/>
    </row>
    <row r="9945" spans="8:9" x14ac:dyDescent="0.2">
      <c r="H9945" s="1"/>
      <c r="I9945" s="1"/>
    </row>
    <row r="9946" spans="8:9" x14ac:dyDescent="0.2">
      <c r="H9946" s="1"/>
      <c r="I9946" s="1"/>
    </row>
    <row r="9947" spans="8:9" x14ac:dyDescent="0.2">
      <c r="H9947" s="1"/>
      <c r="I9947" s="1"/>
    </row>
    <row r="9948" spans="8:9" x14ac:dyDescent="0.2">
      <c r="H9948" s="1"/>
      <c r="I9948" s="1"/>
    </row>
    <row r="9949" spans="8:9" x14ac:dyDescent="0.2">
      <c r="H9949" s="1"/>
      <c r="I9949" s="1"/>
    </row>
    <row r="9950" spans="8:9" x14ac:dyDescent="0.2">
      <c r="H9950" s="1"/>
      <c r="I9950" s="1"/>
    </row>
    <row r="9951" spans="8:9" x14ac:dyDescent="0.2">
      <c r="H9951" s="1"/>
      <c r="I9951" s="1"/>
    </row>
    <row r="9952" spans="8:9" x14ac:dyDescent="0.2">
      <c r="H9952" s="1"/>
      <c r="I9952" s="1"/>
    </row>
    <row r="9953" spans="8:9" x14ac:dyDescent="0.2">
      <c r="H9953" s="1"/>
      <c r="I9953" s="1"/>
    </row>
    <row r="9954" spans="8:9" x14ac:dyDescent="0.2">
      <c r="H9954" s="1"/>
      <c r="I9954" s="1"/>
    </row>
    <row r="9955" spans="8:9" x14ac:dyDescent="0.2">
      <c r="H9955" s="1"/>
      <c r="I9955" s="1"/>
    </row>
    <row r="9956" spans="8:9" x14ac:dyDescent="0.2">
      <c r="H9956" s="1"/>
      <c r="I9956" s="1"/>
    </row>
    <row r="9957" spans="8:9" x14ac:dyDescent="0.2">
      <c r="H9957" s="1"/>
      <c r="I9957" s="1"/>
    </row>
    <row r="9958" spans="8:9" x14ac:dyDescent="0.2">
      <c r="H9958" s="1"/>
      <c r="I9958" s="1"/>
    </row>
    <row r="9959" spans="8:9" x14ac:dyDescent="0.2">
      <c r="H9959" s="1"/>
      <c r="I9959" s="1"/>
    </row>
    <row r="9960" spans="8:9" x14ac:dyDescent="0.2">
      <c r="H9960" s="1"/>
      <c r="I9960" s="1"/>
    </row>
    <row r="9961" spans="8:9" x14ac:dyDescent="0.2">
      <c r="H9961" s="1"/>
      <c r="I9961" s="1"/>
    </row>
    <row r="9962" spans="8:9" x14ac:dyDescent="0.2">
      <c r="H9962" s="1"/>
      <c r="I9962" s="1"/>
    </row>
    <row r="9963" spans="8:9" x14ac:dyDescent="0.2">
      <c r="H9963" s="1"/>
      <c r="I9963" s="1"/>
    </row>
    <row r="9964" spans="8:9" x14ac:dyDescent="0.2">
      <c r="H9964" s="1"/>
      <c r="I9964" s="1"/>
    </row>
    <row r="9965" spans="8:9" x14ac:dyDescent="0.2">
      <c r="H9965" s="1"/>
      <c r="I9965" s="1"/>
    </row>
    <row r="9966" spans="8:9" x14ac:dyDescent="0.2">
      <c r="H9966" s="1"/>
      <c r="I9966" s="1"/>
    </row>
    <row r="9967" spans="8:9" x14ac:dyDescent="0.2">
      <c r="H9967" s="1"/>
      <c r="I9967" s="1"/>
    </row>
    <row r="9968" spans="8:9" x14ac:dyDescent="0.2">
      <c r="H9968" s="1"/>
      <c r="I9968" s="1"/>
    </row>
    <row r="9969" spans="8:9" x14ac:dyDescent="0.2">
      <c r="H9969" s="1"/>
      <c r="I9969" s="1"/>
    </row>
    <row r="9970" spans="8:9" x14ac:dyDescent="0.2">
      <c r="H9970" s="1"/>
      <c r="I9970" s="1"/>
    </row>
    <row r="9971" spans="8:9" x14ac:dyDescent="0.2">
      <c r="H9971" s="1"/>
      <c r="I9971" s="1"/>
    </row>
    <row r="9972" spans="8:9" x14ac:dyDescent="0.2">
      <c r="H9972" s="1"/>
      <c r="I9972" s="1"/>
    </row>
    <row r="9973" spans="8:9" x14ac:dyDescent="0.2">
      <c r="H9973" s="1"/>
      <c r="I9973" s="1"/>
    </row>
    <row r="9974" spans="8:9" x14ac:dyDescent="0.2">
      <c r="H9974" s="1"/>
      <c r="I9974" s="1"/>
    </row>
    <row r="9975" spans="8:9" x14ac:dyDescent="0.2">
      <c r="H9975" s="1"/>
      <c r="I9975" s="1"/>
    </row>
    <row r="9976" spans="8:9" x14ac:dyDescent="0.2">
      <c r="H9976" s="1"/>
      <c r="I9976" s="1"/>
    </row>
    <row r="9977" spans="8:9" x14ac:dyDescent="0.2">
      <c r="H9977" s="1"/>
      <c r="I9977" s="1"/>
    </row>
    <row r="9978" spans="8:9" x14ac:dyDescent="0.2">
      <c r="H9978" s="1"/>
      <c r="I9978" s="1"/>
    </row>
    <row r="9979" spans="8:9" x14ac:dyDescent="0.2">
      <c r="H9979" s="1"/>
      <c r="I9979" s="1"/>
    </row>
    <row r="9980" spans="8:9" x14ac:dyDescent="0.2">
      <c r="H9980" s="1"/>
      <c r="I9980" s="1"/>
    </row>
    <row r="9981" spans="8:9" x14ac:dyDescent="0.2">
      <c r="H9981" s="1"/>
      <c r="I9981" s="1"/>
    </row>
    <row r="9982" spans="8:9" x14ac:dyDescent="0.2">
      <c r="H9982" s="1"/>
      <c r="I9982" s="1"/>
    </row>
    <row r="9983" spans="8:9" x14ac:dyDescent="0.2">
      <c r="H9983" s="1"/>
      <c r="I9983" s="1"/>
    </row>
    <row r="9984" spans="8:9" x14ac:dyDescent="0.2">
      <c r="H9984" s="1"/>
      <c r="I9984" s="1"/>
    </row>
    <row r="9985" spans="8:9" x14ac:dyDescent="0.2">
      <c r="H9985" s="1"/>
      <c r="I9985" s="1"/>
    </row>
    <row r="9986" spans="8:9" x14ac:dyDescent="0.2">
      <c r="H9986" s="1"/>
      <c r="I9986" s="1"/>
    </row>
    <row r="9987" spans="8:9" x14ac:dyDescent="0.2">
      <c r="H9987" s="1"/>
      <c r="I9987" s="1"/>
    </row>
    <row r="9988" spans="8:9" x14ac:dyDescent="0.2">
      <c r="H9988" s="1"/>
      <c r="I9988" s="1"/>
    </row>
    <row r="9989" spans="8:9" x14ac:dyDescent="0.2">
      <c r="H9989" s="1"/>
      <c r="I9989" s="1"/>
    </row>
    <row r="9990" spans="8:9" x14ac:dyDescent="0.2">
      <c r="H9990" s="1"/>
      <c r="I9990" s="1"/>
    </row>
    <row r="9991" spans="8:9" x14ac:dyDescent="0.2">
      <c r="H9991" s="1"/>
      <c r="I9991" s="1"/>
    </row>
    <row r="9992" spans="8:9" x14ac:dyDescent="0.2">
      <c r="H9992" s="1"/>
      <c r="I9992" s="1"/>
    </row>
    <row r="9993" spans="8:9" x14ac:dyDescent="0.2">
      <c r="H9993" s="1"/>
      <c r="I9993" s="1"/>
    </row>
    <row r="9994" spans="8:9" x14ac:dyDescent="0.2">
      <c r="H9994" s="1"/>
      <c r="I9994" s="1"/>
    </row>
    <row r="9995" spans="8:9" x14ac:dyDescent="0.2">
      <c r="H9995" s="1"/>
      <c r="I9995" s="1"/>
    </row>
    <row r="9996" spans="8:9" x14ac:dyDescent="0.2">
      <c r="H9996" s="1"/>
      <c r="I9996" s="1"/>
    </row>
    <row r="9997" spans="8:9" x14ac:dyDescent="0.2">
      <c r="H9997" s="1"/>
      <c r="I9997" s="1"/>
    </row>
    <row r="9998" spans="8:9" x14ac:dyDescent="0.2">
      <c r="H9998" s="1"/>
      <c r="I9998" s="1"/>
    </row>
    <row r="9999" spans="8:9" x14ac:dyDescent="0.2">
      <c r="H9999" s="1"/>
      <c r="I9999" s="1"/>
    </row>
    <row r="10000" spans="8:9" x14ac:dyDescent="0.2">
      <c r="H10000" s="1"/>
      <c r="I10000" s="1"/>
    </row>
    <row r="10001" spans="8:9" x14ac:dyDescent="0.2">
      <c r="H10001" s="1"/>
      <c r="I10001" s="1"/>
    </row>
    <row r="10002" spans="8:9" x14ac:dyDescent="0.2">
      <c r="H10002" s="1"/>
      <c r="I10002" s="1"/>
    </row>
    <row r="10003" spans="8:9" x14ac:dyDescent="0.2">
      <c r="H10003" s="1"/>
      <c r="I10003" s="1"/>
    </row>
    <row r="10004" spans="8:9" x14ac:dyDescent="0.2">
      <c r="H10004" s="1"/>
      <c r="I10004" s="1"/>
    </row>
    <row r="10005" spans="8:9" x14ac:dyDescent="0.2">
      <c r="H10005" s="1"/>
      <c r="I10005" s="1"/>
    </row>
    <row r="10006" spans="8:9" x14ac:dyDescent="0.2">
      <c r="H10006" s="1"/>
      <c r="I10006" s="1"/>
    </row>
    <row r="10007" spans="8:9" x14ac:dyDescent="0.2">
      <c r="H10007" s="1"/>
      <c r="I10007" s="1"/>
    </row>
    <row r="10008" spans="8:9" x14ac:dyDescent="0.2">
      <c r="H10008" s="1"/>
      <c r="I10008" s="1"/>
    </row>
    <row r="10009" spans="8:9" x14ac:dyDescent="0.2">
      <c r="H10009" s="1"/>
      <c r="I10009" s="1"/>
    </row>
    <row r="10010" spans="8:9" x14ac:dyDescent="0.2">
      <c r="H10010" s="1"/>
      <c r="I10010" s="1"/>
    </row>
    <row r="10011" spans="8:9" x14ac:dyDescent="0.2">
      <c r="H10011" s="1"/>
      <c r="I10011" s="1"/>
    </row>
    <row r="10012" spans="8:9" x14ac:dyDescent="0.2">
      <c r="H10012" s="1"/>
      <c r="I10012" s="1"/>
    </row>
    <row r="10013" spans="8:9" x14ac:dyDescent="0.2">
      <c r="H10013" s="1"/>
      <c r="I10013" s="1"/>
    </row>
    <row r="10014" spans="8:9" x14ac:dyDescent="0.2">
      <c r="H10014" s="1"/>
      <c r="I10014" s="1"/>
    </row>
    <row r="10015" spans="8:9" x14ac:dyDescent="0.2">
      <c r="H10015" s="1"/>
      <c r="I10015" s="1"/>
    </row>
    <row r="10016" spans="8:9" x14ac:dyDescent="0.2">
      <c r="H10016" s="1"/>
      <c r="I10016" s="1"/>
    </row>
    <row r="10017" spans="8:9" x14ac:dyDescent="0.2">
      <c r="H10017" s="1"/>
      <c r="I10017" s="1"/>
    </row>
    <row r="10018" spans="8:9" x14ac:dyDescent="0.2">
      <c r="H10018" s="1"/>
      <c r="I10018" s="1"/>
    </row>
    <row r="10019" spans="8:9" x14ac:dyDescent="0.2">
      <c r="H10019" s="1"/>
      <c r="I10019" s="1"/>
    </row>
    <row r="10020" spans="8:9" x14ac:dyDescent="0.2">
      <c r="H10020" s="1"/>
      <c r="I10020" s="1"/>
    </row>
    <row r="10021" spans="8:9" x14ac:dyDescent="0.2">
      <c r="H10021" s="1"/>
      <c r="I10021" s="1"/>
    </row>
    <row r="10022" spans="8:9" x14ac:dyDescent="0.2">
      <c r="H10022" s="1"/>
      <c r="I10022" s="1"/>
    </row>
    <row r="10023" spans="8:9" x14ac:dyDescent="0.2">
      <c r="H10023" s="1"/>
      <c r="I10023" s="1"/>
    </row>
    <row r="10024" spans="8:9" x14ac:dyDescent="0.2">
      <c r="H10024" s="1"/>
      <c r="I10024" s="1"/>
    </row>
    <row r="10025" spans="8:9" x14ac:dyDescent="0.2">
      <c r="H10025" s="1"/>
      <c r="I10025" s="1"/>
    </row>
    <row r="10026" spans="8:9" x14ac:dyDescent="0.2">
      <c r="H10026" s="1"/>
      <c r="I10026" s="1"/>
    </row>
    <row r="10027" spans="8:9" x14ac:dyDescent="0.2">
      <c r="H10027" s="1"/>
      <c r="I10027" s="1"/>
    </row>
    <row r="10028" spans="8:9" x14ac:dyDescent="0.2">
      <c r="H10028" s="1"/>
      <c r="I10028" s="1"/>
    </row>
    <row r="10029" spans="8:9" x14ac:dyDescent="0.2">
      <c r="H10029" s="1"/>
      <c r="I10029" s="1"/>
    </row>
    <row r="10030" spans="8:9" x14ac:dyDescent="0.2">
      <c r="H10030" s="1"/>
      <c r="I10030" s="1"/>
    </row>
    <row r="10031" spans="8:9" x14ac:dyDescent="0.2">
      <c r="H10031" s="1"/>
      <c r="I10031" s="1"/>
    </row>
    <row r="10032" spans="8:9" x14ac:dyDescent="0.2">
      <c r="H10032" s="1"/>
      <c r="I10032" s="1"/>
    </row>
    <row r="10033" spans="8:9" x14ac:dyDescent="0.2">
      <c r="H10033" s="1"/>
      <c r="I10033" s="1"/>
    </row>
    <row r="10034" spans="8:9" x14ac:dyDescent="0.2">
      <c r="H10034" s="1"/>
      <c r="I10034" s="1"/>
    </row>
    <row r="10035" spans="8:9" x14ac:dyDescent="0.2">
      <c r="H10035" s="1"/>
      <c r="I10035" s="1"/>
    </row>
    <row r="10036" spans="8:9" x14ac:dyDescent="0.2">
      <c r="H10036" s="1"/>
      <c r="I10036" s="1"/>
    </row>
    <row r="10037" spans="8:9" x14ac:dyDescent="0.2">
      <c r="H10037" s="1"/>
      <c r="I10037" s="1"/>
    </row>
    <row r="10038" spans="8:9" x14ac:dyDescent="0.2">
      <c r="H10038" s="1"/>
      <c r="I10038" s="1"/>
    </row>
    <row r="10039" spans="8:9" x14ac:dyDescent="0.2">
      <c r="H10039" s="1"/>
      <c r="I10039" s="1"/>
    </row>
    <row r="10040" spans="8:9" x14ac:dyDescent="0.2">
      <c r="H10040" s="1"/>
      <c r="I10040" s="1"/>
    </row>
    <row r="10041" spans="8:9" x14ac:dyDescent="0.2">
      <c r="H10041" s="1"/>
      <c r="I10041" s="1"/>
    </row>
    <row r="10042" spans="8:9" x14ac:dyDescent="0.2">
      <c r="H10042" s="1"/>
      <c r="I10042" s="1"/>
    </row>
    <row r="10043" spans="8:9" x14ac:dyDescent="0.2">
      <c r="H10043" s="1"/>
      <c r="I10043" s="1"/>
    </row>
    <row r="10044" spans="8:9" x14ac:dyDescent="0.2">
      <c r="H10044" s="1"/>
      <c r="I10044" s="1"/>
    </row>
    <row r="10045" spans="8:9" x14ac:dyDescent="0.2">
      <c r="H10045" s="1"/>
      <c r="I10045" s="1"/>
    </row>
    <row r="10046" spans="8:9" x14ac:dyDescent="0.2">
      <c r="H10046" s="1"/>
      <c r="I10046" s="1"/>
    </row>
    <row r="10047" spans="8:9" x14ac:dyDescent="0.2">
      <c r="H10047" s="1"/>
      <c r="I10047" s="1"/>
    </row>
    <row r="10048" spans="8:9" x14ac:dyDescent="0.2">
      <c r="H10048" s="1"/>
      <c r="I10048" s="1"/>
    </row>
    <row r="10049" spans="8:9" x14ac:dyDescent="0.2">
      <c r="H10049" s="1"/>
      <c r="I10049" s="1"/>
    </row>
    <row r="10050" spans="8:9" x14ac:dyDescent="0.2">
      <c r="H10050" s="1"/>
      <c r="I10050" s="1"/>
    </row>
    <row r="10051" spans="8:9" x14ac:dyDescent="0.2">
      <c r="H10051" s="1"/>
      <c r="I10051" s="1"/>
    </row>
    <row r="10052" spans="8:9" x14ac:dyDescent="0.2">
      <c r="H10052" s="1"/>
      <c r="I10052" s="1"/>
    </row>
    <row r="10053" spans="8:9" x14ac:dyDescent="0.2">
      <c r="H10053" s="1"/>
      <c r="I10053" s="1"/>
    </row>
    <row r="10054" spans="8:9" x14ac:dyDescent="0.2">
      <c r="H10054" s="1"/>
      <c r="I10054" s="1"/>
    </row>
    <row r="10055" spans="8:9" x14ac:dyDescent="0.2">
      <c r="H10055" s="1"/>
      <c r="I10055" s="1"/>
    </row>
    <row r="10056" spans="8:9" x14ac:dyDescent="0.2">
      <c r="H10056" s="1"/>
      <c r="I10056" s="1"/>
    </row>
    <row r="10057" spans="8:9" x14ac:dyDescent="0.2">
      <c r="H10057" s="1"/>
      <c r="I10057" s="1"/>
    </row>
    <row r="10058" spans="8:9" x14ac:dyDescent="0.2">
      <c r="H10058" s="1"/>
      <c r="I10058" s="1"/>
    </row>
    <row r="10059" spans="8:9" x14ac:dyDescent="0.2">
      <c r="H10059" s="1"/>
      <c r="I10059" s="1"/>
    </row>
    <row r="10060" spans="8:9" x14ac:dyDescent="0.2">
      <c r="H10060" s="1"/>
      <c r="I10060" s="1"/>
    </row>
    <row r="10061" spans="8:9" x14ac:dyDescent="0.2">
      <c r="H10061" s="1"/>
      <c r="I10061" s="1"/>
    </row>
    <row r="10062" spans="8:9" x14ac:dyDescent="0.2">
      <c r="H10062" s="1"/>
      <c r="I10062" s="1"/>
    </row>
    <row r="10063" spans="8:9" x14ac:dyDescent="0.2">
      <c r="H10063" s="1"/>
      <c r="I10063" s="1"/>
    </row>
    <row r="10064" spans="8:9" x14ac:dyDescent="0.2">
      <c r="H10064" s="1"/>
      <c r="I10064" s="1"/>
    </row>
    <row r="10065" spans="8:9" x14ac:dyDescent="0.2">
      <c r="H10065" s="1"/>
      <c r="I10065" s="1"/>
    </row>
    <row r="10066" spans="8:9" x14ac:dyDescent="0.2">
      <c r="H10066" s="1"/>
      <c r="I10066" s="1"/>
    </row>
    <row r="10067" spans="8:9" x14ac:dyDescent="0.2">
      <c r="H10067" s="1"/>
      <c r="I10067" s="1"/>
    </row>
    <row r="10068" spans="8:9" x14ac:dyDescent="0.2">
      <c r="H10068" s="1"/>
      <c r="I10068" s="1"/>
    </row>
    <row r="10069" spans="8:9" x14ac:dyDescent="0.2">
      <c r="H10069" s="1"/>
      <c r="I10069" s="1"/>
    </row>
    <row r="10070" spans="8:9" x14ac:dyDescent="0.2">
      <c r="H10070" s="1"/>
      <c r="I10070" s="1"/>
    </row>
    <row r="10071" spans="8:9" x14ac:dyDescent="0.2">
      <c r="H10071" s="1"/>
      <c r="I10071" s="1"/>
    </row>
    <row r="10072" spans="8:9" x14ac:dyDescent="0.2">
      <c r="H10072" s="1"/>
      <c r="I10072" s="1"/>
    </row>
    <row r="10073" spans="8:9" x14ac:dyDescent="0.2">
      <c r="H10073" s="1"/>
      <c r="I10073" s="1"/>
    </row>
    <row r="10074" spans="8:9" x14ac:dyDescent="0.2">
      <c r="H10074" s="1"/>
      <c r="I10074" s="1"/>
    </row>
    <row r="10075" spans="8:9" x14ac:dyDescent="0.2">
      <c r="H10075" s="1"/>
      <c r="I10075" s="1"/>
    </row>
    <row r="10076" spans="8:9" x14ac:dyDescent="0.2">
      <c r="H10076" s="1"/>
      <c r="I10076" s="1"/>
    </row>
    <row r="10077" spans="8:9" x14ac:dyDescent="0.2">
      <c r="H10077" s="1"/>
      <c r="I10077" s="1"/>
    </row>
    <row r="10078" spans="8:9" x14ac:dyDescent="0.2">
      <c r="H10078" s="1"/>
      <c r="I10078" s="1"/>
    </row>
    <row r="10079" spans="8:9" x14ac:dyDescent="0.2">
      <c r="H10079" s="1"/>
      <c r="I10079" s="1"/>
    </row>
    <row r="10080" spans="8:9" x14ac:dyDescent="0.2">
      <c r="H10080" s="1"/>
      <c r="I10080" s="1"/>
    </row>
    <row r="10081" spans="8:9" x14ac:dyDescent="0.2">
      <c r="H10081" s="1"/>
      <c r="I10081" s="1"/>
    </row>
    <row r="10082" spans="8:9" x14ac:dyDescent="0.2">
      <c r="H10082" s="1"/>
      <c r="I10082" s="1"/>
    </row>
    <row r="10083" spans="8:9" x14ac:dyDescent="0.2">
      <c r="H10083" s="1"/>
      <c r="I10083" s="1"/>
    </row>
    <row r="10084" spans="8:9" x14ac:dyDescent="0.2">
      <c r="H10084" s="1"/>
      <c r="I10084" s="1"/>
    </row>
    <row r="10085" spans="8:9" x14ac:dyDescent="0.2">
      <c r="H10085" s="1"/>
      <c r="I10085" s="1"/>
    </row>
    <row r="10086" spans="8:9" x14ac:dyDescent="0.2">
      <c r="H10086" s="1"/>
      <c r="I10086" s="1"/>
    </row>
    <row r="10087" spans="8:9" x14ac:dyDescent="0.2">
      <c r="H10087" s="1"/>
      <c r="I10087" s="1"/>
    </row>
    <row r="10088" spans="8:9" x14ac:dyDescent="0.2">
      <c r="H10088" s="1"/>
      <c r="I10088" s="1"/>
    </row>
    <row r="10089" spans="8:9" x14ac:dyDescent="0.2">
      <c r="H10089" s="1"/>
      <c r="I10089" s="1"/>
    </row>
    <row r="10090" spans="8:9" x14ac:dyDescent="0.2">
      <c r="H10090" s="1"/>
      <c r="I10090" s="1"/>
    </row>
    <row r="10091" spans="8:9" x14ac:dyDescent="0.2">
      <c r="H10091" s="1"/>
      <c r="I10091" s="1"/>
    </row>
    <row r="10092" spans="8:9" x14ac:dyDescent="0.2">
      <c r="H10092" s="1"/>
      <c r="I10092" s="1"/>
    </row>
    <row r="10093" spans="8:9" x14ac:dyDescent="0.2">
      <c r="H10093" s="1"/>
      <c r="I10093" s="1"/>
    </row>
    <row r="10094" spans="8:9" x14ac:dyDescent="0.2">
      <c r="H10094" s="1"/>
      <c r="I10094" s="1"/>
    </row>
    <row r="10095" spans="8:9" x14ac:dyDescent="0.2">
      <c r="H10095" s="1"/>
      <c r="I10095" s="1"/>
    </row>
    <row r="10096" spans="8:9" x14ac:dyDescent="0.2">
      <c r="H10096" s="1"/>
      <c r="I10096" s="1"/>
    </row>
    <row r="10097" spans="8:9" x14ac:dyDescent="0.2">
      <c r="H10097" s="1"/>
      <c r="I10097" s="1"/>
    </row>
    <row r="10098" spans="8:9" x14ac:dyDescent="0.2">
      <c r="H10098" s="1"/>
      <c r="I10098" s="1"/>
    </row>
    <row r="10099" spans="8:9" x14ac:dyDescent="0.2">
      <c r="H10099" s="1"/>
      <c r="I10099" s="1"/>
    </row>
    <row r="10100" spans="8:9" x14ac:dyDescent="0.2">
      <c r="H10100" s="1"/>
      <c r="I10100" s="1"/>
    </row>
    <row r="10101" spans="8:9" x14ac:dyDescent="0.2">
      <c r="H10101" s="1"/>
      <c r="I10101" s="1"/>
    </row>
    <row r="10102" spans="8:9" x14ac:dyDescent="0.2">
      <c r="H10102" s="1"/>
      <c r="I10102" s="1"/>
    </row>
    <row r="10103" spans="8:9" x14ac:dyDescent="0.2">
      <c r="H10103" s="1"/>
      <c r="I10103" s="1"/>
    </row>
    <row r="10104" spans="8:9" x14ac:dyDescent="0.2">
      <c r="H10104" s="1"/>
      <c r="I10104" s="1"/>
    </row>
    <row r="10105" spans="8:9" x14ac:dyDescent="0.2">
      <c r="H10105" s="1"/>
      <c r="I10105" s="1"/>
    </row>
    <row r="10106" spans="8:9" x14ac:dyDescent="0.2">
      <c r="H10106" s="1"/>
      <c r="I10106" s="1"/>
    </row>
    <row r="10107" spans="8:9" x14ac:dyDescent="0.2">
      <c r="H10107" s="1"/>
      <c r="I10107" s="1"/>
    </row>
    <row r="10108" spans="8:9" x14ac:dyDescent="0.2">
      <c r="H10108" s="1"/>
      <c r="I10108" s="1"/>
    </row>
    <row r="10109" spans="8:9" x14ac:dyDescent="0.2">
      <c r="H10109" s="1"/>
      <c r="I10109" s="1"/>
    </row>
    <row r="10110" spans="8:9" x14ac:dyDescent="0.2">
      <c r="H10110" s="1"/>
      <c r="I10110" s="1"/>
    </row>
    <row r="10111" spans="8:9" x14ac:dyDescent="0.2">
      <c r="H10111" s="1"/>
      <c r="I10111" s="1"/>
    </row>
    <row r="10112" spans="8:9" x14ac:dyDescent="0.2">
      <c r="H10112" s="1"/>
      <c r="I10112" s="1"/>
    </row>
    <row r="10113" spans="8:9" x14ac:dyDescent="0.2">
      <c r="H10113" s="1"/>
      <c r="I10113" s="1"/>
    </row>
    <row r="10114" spans="8:9" x14ac:dyDescent="0.2">
      <c r="H10114" s="1"/>
      <c r="I10114" s="1"/>
    </row>
    <row r="10115" spans="8:9" x14ac:dyDescent="0.2">
      <c r="H10115" s="1"/>
      <c r="I10115" s="1"/>
    </row>
    <row r="10116" spans="8:9" x14ac:dyDescent="0.2">
      <c r="H10116" s="1"/>
      <c r="I10116" s="1"/>
    </row>
    <row r="10117" spans="8:9" x14ac:dyDescent="0.2">
      <c r="H10117" s="1"/>
      <c r="I10117" s="1"/>
    </row>
    <row r="10118" spans="8:9" x14ac:dyDescent="0.2">
      <c r="H10118" s="1"/>
      <c r="I10118" s="1"/>
    </row>
    <row r="10119" spans="8:9" x14ac:dyDescent="0.2">
      <c r="H10119" s="1"/>
      <c r="I10119" s="1"/>
    </row>
    <row r="10120" spans="8:9" x14ac:dyDescent="0.2">
      <c r="H10120" s="1"/>
      <c r="I10120" s="1"/>
    </row>
    <row r="10121" spans="8:9" x14ac:dyDescent="0.2">
      <c r="H10121" s="1"/>
      <c r="I10121" s="1"/>
    </row>
    <row r="10122" spans="8:9" x14ac:dyDescent="0.2">
      <c r="H10122" s="1"/>
      <c r="I10122" s="1"/>
    </row>
    <row r="10123" spans="8:9" x14ac:dyDescent="0.2">
      <c r="H10123" s="1"/>
      <c r="I10123" s="1"/>
    </row>
    <row r="10124" spans="8:9" x14ac:dyDescent="0.2">
      <c r="H10124" s="1"/>
      <c r="I10124" s="1"/>
    </row>
    <row r="10125" spans="8:9" x14ac:dyDescent="0.2">
      <c r="H10125" s="1"/>
      <c r="I10125" s="1"/>
    </row>
    <row r="10126" spans="8:9" x14ac:dyDescent="0.2">
      <c r="H10126" s="1"/>
      <c r="I10126" s="1"/>
    </row>
    <row r="10127" spans="8:9" x14ac:dyDescent="0.2">
      <c r="H10127" s="1"/>
      <c r="I10127" s="1"/>
    </row>
    <row r="10128" spans="8:9" x14ac:dyDescent="0.2">
      <c r="H10128" s="1"/>
      <c r="I10128" s="1"/>
    </row>
    <row r="10129" spans="8:9" x14ac:dyDescent="0.2">
      <c r="H10129" s="1"/>
      <c r="I10129" s="1"/>
    </row>
    <row r="10130" spans="8:9" x14ac:dyDescent="0.2">
      <c r="H10130" s="1"/>
      <c r="I10130" s="1"/>
    </row>
    <row r="10131" spans="8:9" x14ac:dyDescent="0.2">
      <c r="H10131" s="1"/>
      <c r="I10131" s="1"/>
    </row>
    <row r="10132" spans="8:9" x14ac:dyDescent="0.2">
      <c r="H10132" s="1"/>
      <c r="I10132" s="1"/>
    </row>
    <row r="10133" spans="8:9" x14ac:dyDescent="0.2">
      <c r="H10133" s="1"/>
      <c r="I10133" s="1"/>
    </row>
    <row r="10134" spans="8:9" x14ac:dyDescent="0.2">
      <c r="H10134" s="1"/>
      <c r="I10134" s="1"/>
    </row>
    <row r="10135" spans="8:9" x14ac:dyDescent="0.2">
      <c r="H10135" s="1"/>
      <c r="I10135" s="1"/>
    </row>
    <row r="10136" spans="8:9" x14ac:dyDescent="0.2">
      <c r="H10136" s="1"/>
      <c r="I10136" s="1"/>
    </row>
    <row r="10137" spans="8:9" x14ac:dyDescent="0.2">
      <c r="H10137" s="1"/>
      <c r="I10137" s="1"/>
    </row>
    <row r="10138" spans="8:9" x14ac:dyDescent="0.2">
      <c r="H10138" s="1"/>
      <c r="I10138" s="1"/>
    </row>
    <row r="10139" spans="8:9" x14ac:dyDescent="0.2">
      <c r="H10139" s="1"/>
      <c r="I10139" s="1"/>
    </row>
    <row r="10140" spans="8:9" x14ac:dyDescent="0.2">
      <c r="H10140" s="1"/>
      <c r="I10140" s="1"/>
    </row>
    <row r="10141" spans="8:9" x14ac:dyDescent="0.2">
      <c r="H10141" s="1"/>
      <c r="I10141" s="1"/>
    </row>
    <row r="10142" spans="8:9" x14ac:dyDescent="0.2">
      <c r="H10142" s="1"/>
      <c r="I10142" s="1"/>
    </row>
    <row r="10143" spans="8:9" x14ac:dyDescent="0.2">
      <c r="H10143" s="1"/>
      <c r="I10143" s="1"/>
    </row>
    <row r="10144" spans="8:9" x14ac:dyDescent="0.2">
      <c r="H10144" s="1"/>
      <c r="I10144" s="1"/>
    </row>
    <row r="10145" spans="8:9" x14ac:dyDescent="0.2">
      <c r="H10145" s="1"/>
      <c r="I10145" s="1"/>
    </row>
    <row r="10146" spans="8:9" x14ac:dyDescent="0.2">
      <c r="H10146" s="1"/>
      <c r="I10146" s="1"/>
    </row>
    <row r="10147" spans="8:9" x14ac:dyDescent="0.2">
      <c r="H10147" s="1"/>
      <c r="I10147" s="1"/>
    </row>
    <row r="10148" spans="8:9" x14ac:dyDescent="0.2">
      <c r="H10148" s="1"/>
      <c r="I10148" s="1"/>
    </row>
    <row r="10149" spans="8:9" x14ac:dyDescent="0.2">
      <c r="H10149" s="1"/>
      <c r="I10149" s="1"/>
    </row>
    <row r="10150" spans="8:9" x14ac:dyDescent="0.2">
      <c r="H10150" s="1"/>
      <c r="I10150" s="1"/>
    </row>
    <row r="10151" spans="8:9" x14ac:dyDescent="0.2">
      <c r="H10151" s="1"/>
      <c r="I10151" s="1"/>
    </row>
    <row r="10152" spans="8:9" x14ac:dyDescent="0.2">
      <c r="H10152" s="1"/>
      <c r="I10152" s="1"/>
    </row>
    <row r="10153" spans="8:9" x14ac:dyDescent="0.2">
      <c r="H10153" s="1"/>
      <c r="I10153" s="1"/>
    </row>
    <row r="10154" spans="8:9" x14ac:dyDescent="0.2">
      <c r="H10154" s="1"/>
      <c r="I10154" s="1"/>
    </row>
    <row r="10155" spans="8:9" x14ac:dyDescent="0.2">
      <c r="H10155" s="1"/>
      <c r="I10155" s="1"/>
    </row>
    <row r="10156" spans="8:9" x14ac:dyDescent="0.2">
      <c r="H10156" s="1"/>
      <c r="I10156" s="1"/>
    </row>
    <row r="10157" spans="8:9" x14ac:dyDescent="0.2">
      <c r="H10157" s="1"/>
      <c r="I10157" s="1"/>
    </row>
    <row r="10158" spans="8:9" x14ac:dyDescent="0.2">
      <c r="H10158" s="1"/>
      <c r="I10158" s="1"/>
    </row>
    <row r="10159" spans="8:9" x14ac:dyDescent="0.2">
      <c r="H10159" s="1"/>
      <c r="I10159" s="1"/>
    </row>
    <row r="10160" spans="8:9" x14ac:dyDescent="0.2">
      <c r="H10160" s="1"/>
      <c r="I10160" s="1"/>
    </row>
    <row r="10161" spans="8:9" x14ac:dyDescent="0.2">
      <c r="H10161" s="1"/>
      <c r="I10161" s="1"/>
    </row>
    <row r="10162" spans="8:9" x14ac:dyDescent="0.2">
      <c r="H10162" s="1"/>
      <c r="I10162" s="1"/>
    </row>
    <row r="10163" spans="8:9" x14ac:dyDescent="0.2">
      <c r="H10163" s="1"/>
      <c r="I10163" s="1"/>
    </row>
    <row r="10164" spans="8:9" x14ac:dyDescent="0.2">
      <c r="H10164" s="1"/>
      <c r="I10164" s="1"/>
    </row>
    <row r="10165" spans="8:9" x14ac:dyDescent="0.2">
      <c r="H10165" s="1"/>
      <c r="I10165" s="1"/>
    </row>
    <row r="10166" spans="8:9" x14ac:dyDescent="0.2">
      <c r="H10166" s="1"/>
      <c r="I10166" s="1"/>
    </row>
    <row r="10167" spans="8:9" x14ac:dyDescent="0.2">
      <c r="H10167" s="1"/>
      <c r="I10167" s="1"/>
    </row>
    <row r="10168" spans="8:9" x14ac:dyDescent="0.2">
      <c r="H10168" s="1"/>
      <c r="I10168" s="1"/>
    </row>
    <row r="10169" spans="8:9" x14ac:dyDescent="0.2">
      <c r="H10169" s="1"/>
      <c r="I10169" s="1"/>
    </row>
    <row r="10170" spans="8:9" x14ac:dyDescent="0.2">
      <c r="H10170" s="1"/>
      <c r="I10170" s="1"/>
    </row>
    <row r="10171" spans="8:9" x14ac:dyDescent="0.2">
      <c r="H10171" s="1"/>
      <c r="I10171" s="1"/>
    </row>
    <row r="10172" spans="8:9" x14ac:dyDescent="0.2">
      <c r="H10172" s="1"/>
      <c r="I10172" s="1"/>
    </row>
    <row r="10173" spans="8:9" x14ac:dyDescent="0.2">
      <c r="H10173" s="1"/>
      <c r="I10173" s="1"/>
    </row>
    <row r="10174" spans="8:9" x14ac:dyDescent="0.2">
      <c r="H10174" s="1"/>
      <c r="I10174" s="1"/>
    </row>
    <row r="10175" spans="8:9" x14ac:dyDescent="0.2">
      <c r="H10175" s="1"/>
      <c r="I10175" s="1"/>
    </row>
    <row r="10176" spans="8:9" x14ac:dyDescent="0.2">
      <c r="H10176" s="1"/>
      <c r="I10176" s="1"/>
    </row>
    <row r="10177" spans="8:9" x14ac:dyDescent="0.2">
      <c r="H10177" s="1"/>
      <c r="I10177" s="1"/>
    </row>
    <row r="10178" spans="8:9" x14ac:dyDescent="0.2">
      <c r="H10178" s="1"/>
      <c r="I10178" s="1"/>
    </row>
    <row r="10179" spans="8:9" x14ac:dyDescent="0.2">
      <c r="H10179" s="1"/>
      <c r="I10179" s="1"/>
    </row>
    <row r="10180" spans="8:9" x14ac:dyDescent="0.2">
      <c r="H10180" s="1"/>
      <c r="I10180" s="1"/>
    </row>
    <row r="10181" spans="8:9" x14ac:dyDescent="0.2">
      <c r="H10181" s="1"/>
      <c r="I10181" s="1"/>
    </row>
    <row r="10182" spans="8:9" x14ac:dyDescent="0.2">
      <c r="H10182" s="1"/>
      <c r="I10182" s="1"/>
    </row>
    <row r="10183" spans="8:9" x14ac:dyDescent="0.2">
      <c r="H10183" s="1"/>
      <c r="I10183" s="1"/>
    </row>
    <row r="10184" spans="8:9" x14ac:dyDescent="0.2">
      <c r="H10184" s="1"/>
      <c r="I10184" s="1"/>
    </row>
    <row r="10185" spans="8:9" x14ac:dyDescent="0.2">
      <c r="H10185" s="1"/>
      <c r="I10185" s="1"/>
    </row>
    <row r="10186" spans="8:9" x14ac:dyDescent="0.2">
      <c r="H10186" s="1"/>
      <c r="I10186" s="1"/>
    </row>
    <row r="10187" spans="8:9" x14ac:dyDescent="0.2">
      <c r="H10187" s="1"/>
      <c r="I10187" s="1"/>
    </row>
    <row r="10188" spans="8:9" x14ac:dyDescent="0.2">
      <c r="H10188" s="1"/>
      <c r="I10188" s="1"/>
    </row>
    <row r="10189" spans="8:9" x14ac:dyDescent="0.2">
      <c r="H10189" s="1"/>
      <c r="I10189" s="1"/>
    </row>
    <row r="10190" spans="8:9" x14ac:dyDescent="0.2">
      <c r="H10190" s="1"/>
      <c r="I10190" s="1"/>
    </row>
    <row r="10191" spans="8:9" x14ac:dyDescent="0.2">
      <c r="H10191" s="1"/>
      <c r="I10191" s="1"/>
    </row>
    <row r="10192" spans="8:9" x14ac:dyDescent="0.2">
      <c r="H10192" s="1"/>
      <c r="I10192" s="1"/>
    </row>
    <row r="10193" spans="8:9" x14ac:dyDescent="0.2">
      <c r="H10193" s="1"/>
      <c r="I10193" s="1"/>
    </row>
    <row r="10194" spans="8:9" x14ac:dyDescent="0.2">
      <c r="H10194" s="1"/>
      <c r="I10194" s="1"/>
    </row>
    <row r="10195" spans="8:9" x14ac:dyDescent="0.2">
      <c r="H10195" s="1"/>
      <c r="I10195" s="1"/>
    </row>
    <row r="10196" spans="8:9" x14ac:dyDescent="0.2">
      <c r="H10196" s="1"/>
      <c r="I10196" s="1"/>
    </row>
    <row r="10197" spans="8:9" x14ac:dyDescent="0.2">
      <c r="H10197" s="1"/>
      <c r="I10197" s="1"/>
    </row>
    <row r="10198" spans="8:9" x14ac:dyDescent="0.2">
      <c r="H10198" s="1"/>
      <c r="I10198" s="1"/>
    </row>
    <row r="10199" spans="8:9" x14ac:dyDescent="0.2">
      <c r="H10199" s="1"/>
      <c r="I10199" s="1"/>
    </row>
    <row r="10200" spans="8:9" x14ac:dyDescent="0.2">
      <c r="H10200" s="1"/>
      <c r="I10200" s="1"/>
    </row>
    <row r="10201" spans="8:9" x14ac:dyDescent="0.2">
      <c r="H10201" s="1"/>
      <c r="I10201" s="1"/>
    </row>
    <row r="10202" spans="8:9" x14ac:dyDescent="0.2">
      <c r="H10202" s="1"/>
      <c r="I10202" s="1"/>
    </row>
    <row r="10203" spans="8:9" x14ac:dyDescent="0.2">
      <c r="H10203" s="1"/>
      <c r="I10203" s="1"/>
    </row>
    <row r="10204" spans="8:9" x14ac:dyDescent="0.2">
      <c r="H10204" s="1"/>
      <c r="I10204" s="1"/>
    </row>
    <row r="10205" spans="8:9" x14ac:dyDescent="0.2">
      <c r="H10205" s="1"/>
      <c r="I10205" s="1"/>
    </row>
    <row r="10206" spans="8:9" x14ac:dyDescent="0.2">
      <c r="H10206" s="1"/>
      <c r="I10206" s="1"/>
    </row>
    <row r="10207" spans="8:9" x14ac:dyDescent="0.2">
      <c r="H10207" s="1"/>
      <c r="I10207" s="1"/>
    </row>
    <row r="10208" spans="8:9" x14ac:dyDescent="0.2">
      <c r="H10208" s="1"/>
      <c r="I10208" s="1"/>
    </row>
    <row r="10209" spans="8:9" x14ac:dyDescent="0.2">
      <c r="H10209" s="1"/>
      <c r="I10209" s="1"/>
    </row>
    <row r="10210" spans="8:9" x14ac:dyDescent="0.2">
      <c r="H10210" s="1"/>
      <c r="I10210" s="1"/>
    </row>
    <row r="10211" spans="8:9" x14ac:dyDescent="0.2">
      <c r="H10211" s="1"/>
      <c r="I10211" s="1"/>
    </row>
    <row r="10212" spans="8:9" x14ac:dyDescent="0.2">
      <c r="H10212" s="1"/>
      <c r="I10212" s="1"/>
    </row>
    <row r="10213" spans="8:9" x14ac:dyDescent="0.2">
      <c r="H10213" s="1"/>
      <c r="I10213" s="1"/>
    </row>
    <row r="10214" spans="8:9" x14ac:dyDescent="0.2">
      <c r="H10214" s="1"/>
      <c r="I10214" s="1"/>
    </row>
    <row r="10215" spans="8:9" x14ac:dyDescent="0.2">
      <c r="H10215" s="1"/>
      <c r="I10215" s="1"/>
    </row>
    <row r="10216" spans="8:9" x14ac:dyDescent="0.2">
      <c r="H10216" s="1"/>
      <c r="I10216" s="1"/>
    </row>
    <row r="10217" spans="8:9" x14ac:dyDescent="0.2">
      <c r="H10217" s="1"/>
      <c r="I10217" s="1"/>
    </row>
    <row r="10218" spans="8:9" x14ac:dyDescent="0.2">
      <c r="H10218" s="1"/>
      <c r="I10218" s="1"/>
    </row>
    <row r="10219" spans="8:9" x14ac:dyDescent="0.2">
      <c r="H10219" s="1"/>
      <c r="I10219" s="1"/>
    </row>
    <row r="10220" spans="8:9" x14ac:dyDescent="0.2">
      <c r="H10220" s="1"/>
      <c r="I10220" s="1"/>
    </row>
    <row r="10221" spans="8:9" x14ac:dyDescent="0.2">
      <c r="H10221" s="1"/>
      <c r="I10221" s="1"/>
    </row>
    <row r="10222" spans="8:9" x14ac:dyDescent="0.2">
      <c r="H10222" s="1"/>
      <c r="I10222" s="1"/>
    </row>
    <row r="10223" spans="8:9" x14ac:dyDescent="0.2">
      <c r="H10223" s="1"/>
      <c r="I10223" s="1"/>
    </row>
    <row r="10224" spans="8:9" x14ac:dyDescent="0.2">
      <c r="H10224" s="1"/>
      <c r="I10224" s="1"/>
    </row>
    <row r="10225" spans="8:9" x14ac:dyDescent="0.2">
      <c r="H10225" s="1"/>
      <c r="I10225" s="1"/>
    </row>
    <row r="10226" spans="8:9" x14ac:dyDescent="0.2">
      <c r="H10226" s="1"/>
      <c r="I10226" s="1"/>
    </row>
    <row r="10227" spans="8:9" x14ac:dyDescent="0.2">
      <c r="H10227" s="1"/>
      <c r="I10227" s="1"/>
    </row>
    <row r="10228" spans="8:9" x14ac:dyDescent="0.2">
      <c r="H10228" s="1"/>
      <c r="I10228" s="1"/>
    </row>
    <row r="10229" spans="8:9" x14ac:dyDescent="0.2">
      <c r="H10229" s="1"/>
      <c r="I10229" s="1"/>
    </row>
    <row r="10230" spans="8:9" x14ac:dyDescent="0.2">
      <c r="H10230" s="1"/>
      <c r="I10230" s="1"/>
    </row>
    <row r="10231" spans="8:9" x14ac:dyDescent="0.2">
      <c r="H10231" s="1"/>
      <c r="I10231" s="1"/>
    </row>
    <row r="10232" spans="8:9" x14ac:dyDescent="0.2">
      <c r="H10232" s="1"/>
      <c r="I10232" s="1"/>
    </row>
    <row r="10233" spans="8:9" x14ac:dyDescent="0.2">
      <c r="H10233" s="1"/>
      <c r="I10233" s="1"/>
    </row>
    <row r="10234" spans="8:9" x14ac:dyDescent="0.2">
      <c r="H10234" s="1"/>
      <c r="I10234" s="1"/>
    </row>
    <row r="10235" spans="8:9" x14ac:dyDescent="0.2">
      <c r="H10235" s="1"/>
      <c r="I10235" s="1"/>
    </row>
    <row r="10236" spans="8:9" x14ac:dyDescent="0.2">
      <c r="H10236" s="1"/>
      <c r="I10236" s="1"/>
    </row>
    <row r="10237" spans="8:9" x14ac:dyDescent="0.2">
      <c r="H10237" s="1"/>
      <c r="I10237" s="1"/>
    </row>
    <row r="10238" spans="8:9" x14ac:dyDescent="0.2">
      <c r="H10238" s="1"/>
      <c r="I10238" s="1"/>
    </row>
    <row r="10239" spans="8:9" x14ac:dyDescent="0.2">
      <c r="H10239" s="1"/>
      <c r="I10239" s="1"/>
    </row>
    <row r="10240" spans="8:9" x14ac:dyDescent="0.2">
      <c r="H10240" s="1"/>
      <c r="I10240" s="1"/>
    </row>
    <row r="10241" spans="8:9" x14ac:dyDescent="0.2">
      <c r="H10241" s="1"/>
      <c r="I10241" s="1"/>
    </row>
    <row r="10242" spans="8:9" x14ac:dyDescent="0.2">
      <c r="H10242" s="1"/>
      <c r="I10242" s="1"/>
    </row>
    <row r="10243" spans="8:9" x14ac:dyDescent="0.2">
      <c r="H10243" s="1"/>
      <c r="I10243" s="1"/>
    </row>
    <row r="10244" spans="8:9" x14ac:dyDescent="0.2">
      <c r="H10244" s="1"/>
      <c r="I10244" s="1"/>
    </row>
    <row r="10245" spans="8:9" x14ac:dyDescent="0.2">
      <c r="H10245" s="1"/>
      <c r="I10245" s="1"/>
    </row>
    <row r="10246" spans="8:9" x14ac:dyDescent="0.2">
      <c r="H10246" s="1"/>
      <c r="I10246" s="1"/>
    </row>
    <row r="10247" spans="8:9" x14ac:dyDescent="0.2">
      <c r="H10247" s="1"/>
      <c r="I10247" s="1"/>
    </row>
    <row r="10248" spans="8:9" x14ac:dyDescent="0.2">
      <c r="H10248" s="1"/>
      <c r="I10248" s="1"/>
    </row>
    <row r="10249" spans="8:9" x14ac:dyDescent="0.2">
      <c r="H10249" s="1"/>
      <c r="I10249" s="1"/>
    </row>
    <row r="10250" spans="8:9" x14ac:dyDescent="0.2">
      <c r="H10250" s="1"/>
      <c r="I10250" s="1"/>
    </row>
    <row r="10251" spans="8:9" x14ac:dyDescent="0.2">
      <c r="H10251" s="1"/>
      <c r="I10251" s="1"/>
    </row>
    <row r="10252" spans="8:9" x14ac:dyDescent="0.2">
      <c r="H10252" s="1"/>
      <c r="I10252" s="1"/>
    </row>
    <row r="10253" spans="8:9" x14ac:dyDescent="0.2">
      <c r="H10253" s="1"/>
      <c r="I10253" s="1"/>
    </row>
    <row r="10254" spans="8:9" x14ac:dyDescent="0.2">
      <c r="H10254" s="1"/>
      <c r="I10254" s="1"/>
    </row>
    <row r="10255" spans="8:9" x14ac:dyDescent="0.2">
      <c r="H10255" s="1"/>
      <c r="I10255" s="1"/>
    </row>
    <row r="10256" spans="8:9" x14ac:dyDescent="0.2">
      <c r="H10256" s="1"/>
      <c r="I10256" s="1"/>
    </row>
    <row r="10257" spans="8:9" x14ac:dyDescent="0.2">
      <c r="H10257" s="1"/>
      <c r="I10257" s="1"/>
    </row>
    <row r="10258" spans="8:9" x14ac:dyDescent="0.2">
      <c r="H10258" s="1"/>
      <c r="I10258" s="1"/>
    </row>
    <row r="10259" spans="8:9" x14ac:dyDescent="0.2">
      <c r="H10259" s="1"/>
      <c r="I10259" s="1"/>
    </row>
    <row r="10260" spans="8:9" x14ac:dyDescent="0.2">
      <c r="H10260" s="1"/>
      <c r="I10260" s="1"/>
    </row>
    <row r="10261" spans="8:9" x14ac:dyDescent="0.2">
      <c r="H10261" s="1"/>
      <c r="I10261" s="1"/>
    </row>
    <row r="10262" spans="8:9" x14ac:dyDescent="0.2">
      <c r="H10262" s="1"/>
      <c r="I10262" s="1"/>
    </row>
    <row r="10263" spans="8:9" x14ac:dyDescent="0.2">
      <c r="H10263" s="1"/>
      <c r="I10263" s="1"/>
    </row>
    <row r="10264" spans="8:9" x14ac:dyDescent="0.2">
      <c r="H10264" s="1"/>
      <c r="I10264" s="1"/>
    </row>
    <row r="10265" spans="8:9" x14ac:dyDescent="0.2">
      <c r="H10265" s="1"/>
      <c r="I10265" s="1"/>
    </row>
    <row r="10266" spans="8:9" x14ac:dyDescent="0.2">
      <c r="H10266" s="1"/>
      <c r="I10266" s="1"/>
    </row>
    <row r="10267" spans="8:9" x14ac:dyDescent="0.2">
      <c r="H10267" s="1"/>
      <c r="I10267" s="1"/>
    </row>
    <row r="10268" spans="8:9" x14ac:dyDescent="0.2">
      <c r="H10268" s="1"/>
      <c r="I10268" s="1"/>
    </row>
    <row r="10269" spans="8:9" x14ac:dyDescent="0.2">
      <c r="H10269" s="1"/>
      <c r="I10269" s="1"/>
    </row>
    <row r="10270" spans="8:9" x14ac:dyDescent="0.2">
      <c r="H10270" s="1"/>
      <c r="I10270" s="1"/>
    </row>
    <row r="10271" spans="8:9" x14ac:dyDescent="0.2">
      <c r="H10271" s="1"/>
      <c r="I10271" s="1"/>
    </row>
    <row r="10272" spans="8:9" x14ac:dyDescent="0.2">
      <c r="H10272" s="1"/>
      <c r="I10272" s="1"/>
    </row>
    <row r="10273" spans="8:9" x14ac:dyDescent="0.2">
      <c r="H10273" s="1"/>
      <c r="I10273" s="1"/>
    </row>
    <row r="10274" spans="8:9" x14ac:dyDescent="0.2">
      <c r="H10274" s="1"/>
      <c r="I10274" s="1"/>
    </row>
    <row r="10275" spans="8:9" x14ac:dyDescent="0.2">
      <c r="H10275" s="1"/>
      <c r="I10275" s="1"/>
    </row>
    <row r="10276" spans="8:9" x14ac:dyDescent="0.2">
      <c r="H10276" s="1"/>
      <c r="I10276" s="1"/>
    </row>
    <row r="10277" spans="8:9" x14ac:dyDescent="0.2">
      <c r="H10277" s="1"/>
      <c r="I10277" s="1"/>
    </row>
    <row r="10278" spans="8:9" x14ac:dyDescent="0.2">
      <c r="H10278" s="1"/>
      <c r="I10278" s="1"/>
    </row>
    <row r="10279" spans="8:9" x14ac:dyDescent="0.2">
      <c r="H10279" s="1"/>
      <c r="I10279" s="1"/>
    </row>
    <row r="10280" spans="8:9" x14ac:dyDescent="0.2">
      <c r="H10280" s="1"/>
      <c r="I10280" s="1"/>
    </row>
    <row r="10281" spans="8:9" x14ac:dyDescent="0.2">
      <c r="H10281" s="1"/>
      <c r="I10281" s="1"/>
    </row>
    <row r="10282" spans="8:9" x14ac:dyDescent="0.2">
      <c r="H10282" s="1"/>
      <c r="I10282" s="1"/>
    </row>
    <row r="10283" spans="8:9" x14ac:dyDescent="0.2">
      <c r="H10283" s="1"/>
      <c r="I10283" s="1"/>
    </row>
    <row r="10284" spans="8:9" x14ac:dyDescent="0.2">
      <c r="H10284" s="1"/>
      <c r="I10284" s="1"/>
    </row>
    <row r="10285" spans="8:9" x14ac:dyDescent="0.2">
      <c r="H10285" s="1"/>
      <c r="I10285" s="1"/>
    </row>
    <row r="10286" spans="8:9" x14ac:dyDescent="0.2">
      <c r="H10286" s="1"/>
      <c r="I10286" s="1"/>
    </row>
    <row r="10287" spans="8:9" x14ac:dyDescent="0.2">
      <c r="H10287" s="1"/>
      <c r="I10287" s="1"/>
    </row>
    <row r="10288" spans="8:9" x14ac:dyDescent="0.2">
      <c r="H10288" s="1"/>
      <c r="I10288" s="1"/>
    </row>
    <row r="10289" spans="8:9" x14ac:dyDescent="0.2">
      <c r="H10289" s="1"/>
      <c r="I10289" s="1"/>
    </row>
    <row r="10290" spans="8:9" x14ac:dyDescent="0.2">
      <c r="H10290" s="1"/>
      <c r="I10290" s="1"/>
    </row>
    <row r="10291" spans="8:9" x14ac:dyDescent="0.2">
      <c r="H10291" s="1"/>
      <c r="I10291" s="1"/>
    </row>
    <row r="10292" spans="8:9" x14ac:dyDescent="0.2">
      <c r="H10292" s="1"/>
      <c r="I10292" s="1"/>
    </row>
    <row r="10293" spans="8:9" x14ac:dyDescent="0.2">
      <c r="H10293" s="1"/>
      <c r="I10293" s="1"/>
    </row>
    <row r="10294" spans="8:9" x14ac:dyDescent="0.2">
      <c r="H10294" s="1"/>
      <c r="I10294" s="1"/>
    </row>
    <row r="10295" spans="8:9" x14ac:dyDescent="0.2">
      <c r="H10295" s="1"/>
      <c r="I10295" s="1"/>
    </row>
    <row r="10296" spans="8:9" x14ac:dyDescent="0.2">
      <c r="H10296" s="1"/>
      <c r="I10296" s="1"/>
    </row>
    <row r="10297" spans="8:9" x14ac:dyDescent="0.2">
      <c r="H10297" s="1"/>
      <c r="I10297" s="1"/>
    </row>
    <row r="10298" spans="8:9" x14ac:dyDescent="0.2">
      <c r="H10298" s="1"/>
      <c r="I10298" s="1"/>
    </row>
    <row r="10299" spans="8:9" x14ac:dyDescent="0.2">
      <c r="H10299" s="1"/>
      <c r="I10299" s="1"/>
    </row>
    <row r="10300" spans="8:9" x14ac:dyDescent="0.2">
      <c r="H10300" s="1"/>
      <c r="I10300" s="1"/>
    </row>
    <row r="10301" spans="8:9" x14ac:dyDescent="0.2">
      <c r="H10301" s="1"/>
      <c r="I10301" s="1"/>
    </row>
    <row r="10302" spans="8:9" x14ac:dyDescent="0.2">
      <c r="H10302" s="1"/>
      <c r="I10302" s="1"/>
    </row>
    <row r="10303" spans="8:9" x14ac:dyDescent="0.2">
      <c r="H10303" s="1"/>
      <c r="I10303" s="1"/>
    </row>
    <row r="10304" spans="8:9" x14ac:dyDescent="0.2">
      <c r="H10304" s="1"/>
      <c r="I10304" s="1"/>
    </row>
    <row r="10305" spans="8:9" x14ac:dyDescent="0.2">
      <c r="H10305" s="1"/>
      <c r="I10305" s="1"/>
    </row>
    <row r="10306" spans="8:9" x14ac:dyDescent="0.2">
      <c r="H10306" s="1"/>
      <c r="I10306" s="1"/>
    </row>
    <row r="10307" spans="8:9" x14ac:dyDescent="0.2">
      <c r="H10307" s="1"/>
      <c r="I10307" s="1"/>
    </row>
    <row r="10308" spans="8:9" x14ac:dyDescent="0.2">
      <c r="H10308" s="1"/>
      <c r="I10308" s="1"/>
    </row>
    <row r="10309" spans="8:9" x14ac:dyDescent="0.2">
      <c r="H10309" s="1"/>
      <c r="I10309" s="1"/>
    </row>
    <row r="10310" spans="8:9" x14ac:dyDescent="0.2">
      <c r="H10310" s="1"/>
      <c r="I10310" s="1"/>
    </row>
    <row r="10311" spans="8:9" x14ac:dyDescent="0.2">
      <c r="H10311" s="1"/>
      <c r="I10311" s="1"/>
    </row>
    <row r="10312" spans="8:9" x14ac:dyDescent="0.2">
      <c r="H10312" s="1"/>
      <c r="I10312" s="1"/>
    </row>
    <row r="10313" spans="8:9" x14ac:dyDescent="0.2">
      <c r="H10313" s="1"/>
      <c r="I10313" s="1"/>
    </row>
    <row r="10314" spans="8:9" x14ac:dyDescent="0.2">
      <c r="H10314" s="1"/>
      <c r="I10314" s="1"/>
    </row>
    <row r="10315" spans="8:9" x14ac:dyDescent="0.2">
      <c r="H10315" s="1"/>
      <c r="I10315" s="1"/>
    </row>
    <row r="10316" spans="8:9" x14ac:dyDescent="0.2">
      <c r="H10316" s="1"/>
      <c r="I10316" s="1"/>
    </row>
    <row r="10317" spans="8:9" x14ac:dyDescent="0.2">
      <c r="H10317" s="1"/>
      <c r="I10317" s="1"/>
    </row>
    <row r="10318" spans="8:9" x14ac:dyDescent="0.2">
      <c r="H10318" s="1"/>
      <c r="I10318" s="1"/>
    </row>
    <row r="10319" spans="8:9" x14ac:dyDescent="0.2">
      <c r="H10319" s="1"/>
      <c r="I10319" s="1"/>
    </row>
    <row r="10320" spans="8:9" x14ac:dyDescent="0.2">
      <c r="H10320" s="1"/>
      <c r="I10320" s="1"/>
    </row>
    <row r="10321" spans="8:9" x14ac:dyDescent="0.2">
      <c r="H10321" s="1"/>
      <c r="I10321" s="1"/>
    </row>
    <row r="10322" spans="8:9" x14ac:dyDescent="0.2">
      <c r="H10322" s="1"/>
      <c r="I10322" s="1"/>
    </row>
    <row r="10323" spans="8:9" x14ac:dyDescent="0.2">
      <c r="H10323" s="1"/>
      <c r="I10323" s="1"/>
    </row>
    <row r="10324" spans="8:9" x14ac:dyDescent="0.2">
      <c r="H10324" s="1"/>
      <c r="I10324" s="1"/>
    </row>
    <row r="10325" spans="8:9" x14ac:dyDescent="0.2">
      <c r="H10325" s="1"/>
      <c r="I10325" s="1"/>
    </row>
    <row r="10326" spans="8:9" x14ac:dyDescent="0.2">
      <c r="H10326" s="1"/>
      <c r="I10326" s="1"/>
    </row>
    <row r="10327" spans="8:9" x14ac:dyDescent="0.2">
      <c r="H10327" s="1"/>
      <c r="I10327" s="1"/>
    </row>
    <row r="10328" spans="8:9" x14ac:dyDescent="0.2">
      <c r="H10328" s="1"/>
      <c r="I10328" s="1"/>
    </row>
    <row r="10329" spans="8:9" x14ac:dyDescent="0.2">
      <c r="H10329" s="1"/>
      <c r="I10329" s="1"/>
    </row>
    <row r="10330" spans="8:9" x14ac:dyDescent="0.2">
      <c r="H10330" s="1"/>
      <c r="I10330" s="1"/>
    </row>
    <row r="10331" spans="8:9" x14ac:dyDescent="0.2">
      <c r="H10331" s="1"/>
      <c r="I10331" s="1"/>
    </row>
    <row r="10332" spans="8:9" x14ac:dyDescent="0.2">
      <c r="H10332" s="1"/>
      <c r="I10332" s="1"/>
    </row>
    <row r="10333" spans="8:9" x14ac:dyDescent="0.2">
      <c r="H10333" s="1"/>
      <c r="I10333" s="1"/>
    </row>
    <row r="10334" spans="8:9" x14ac:dyDescent="0.2">
      <c r="H10334" s="1"/>
      <c r="I10334" s="1"/>
    </row>
    <row r="10335" spans="8:9" x14ac:dyDescent="0.2">
      <c r="H10335" s="1"/>
      <c r="I10335" s="1"/>
    </row>
    <row r="10336" spans="8:9" x14ac:dyDescent="0.2">
      <c r="H10336" s="1"/>
      <c r="I10336" s="1"/>
    </row>
    <row r="10337" spans="8:9" x14ac:dyDescent="0.2">
      <c r="H10337" s="1"/>
      <c r="I10337" s="1"/>
    </row>
    <row r="10338" spans="8:9" x14ac:dyDescent="0.2">
      <c r="H10338" s="1"/>
      <c r="I10338" s="1"/>
    </row>
    <row r="10339" spans="8:9" x14ac:dyDescent="0.2">
      <c r="H10339" s="1"/>
      <c r="I10339" s="1"/>
    </row>
    <row r="10340" spans="8:9" x14ac:dyDescent="0.2">
      <c r="H10340" s="1"/>
      <c r="I10340" s="1"/>
    </row>
    <row r="10341" spans="8:9" x14ac:dyDescent="0.2">
      <c r="H10341" s="1"/>
      <c r="I10341" s="1"/>
    </row>
    <row r="10342" spans="8:9" x14ac:dyDescent="0.2">
      <c r="H10342" s="1"/>
      <c r="I10342" s="1"/>
    </row>
    <row r="10343" spans="8:9" x14ac:dyDescent="0.2">
      <c r="H10343" s="1"/>
      <c r="I10343" s="1"/>
    </row>
    <row r="10344" spans="8:9" x14ac:dyDescent="0.2">
      <c r="H10344" s="1"/>
      <c r="I10344" s="1"/>
    </row>
    <row r="10345" spans="8:9" x14ac:dyDescent="0.2">
      <c r="H10345" s="1"/>
      <c r="I10345" s="1"/>
    </row>
    <row r="10346" spans="8:9" x14ac:dyDescent="0.2">
      <c r="H10346" s="1"/>
      <c r="I10346" s="1"/>
    </row>
    <row r="10347" spans="8:9" x14ac:dyDescent="0.2">
      <c r="H10347" s="1"/>
      <c r="I10347" s="1"/>
    </row>
    <row r="10348" spans="8:9" x14ac:dyDescent="0.2">
      <c r="H10348" s="1"/>
      <c r="I10348" s="1"/>
    </row>
    <row r="10349" spans="8:9" x14ac:dyDescent="0.2">
      <c r="H10349" s="1"/>
      <c r="I10349" s="1"/>
    </row>
    <row r="10350" spans="8:9" x14ac:dyDescent="0.2">
      <c r="H10350" s="1"/>
      <c r="I10350" s="1"/>
    </row>
    <row r="10351" spans="8:9" x14ac:dyDescent="0.2">
      <c r="H10351" s="1"/>
      <c r="I10351" s="1"/>
    </row>
    <row r="10352" spans="8:9" x14ac:dyDescent="0.2">
      <c r="H10352" s="1"/>
      <c r="I10352" s="1"/>
    </row>
    <row r="10353" spans="8:9" x14ac:dyDescent="0.2">
      <c r="H10353" s="1"/>
      <c r="I10353" s="1"/>
    </row>
    <row r="10354" spans="8:9" x14ac:dyDescent="0.2">
      <c r="H10354" s="1"/>
      <c r="I10354" s="1"/>
    </row>
    <row r="10355" spans="8:9" x14ac:dyDescent="0.2">
      <c r="H10355" s="1"/>
      <c r="I10355" s="1"/>
    </row>
    <row r="10356" spans="8:9" x14ac:dyDescent="0.2">
      <c r="H10356" s="1"/>
      <c r="I10356" s="1"/>
    </row>
    <row r="10357" spans="8:9" x14ac:dyDescent="0.2">
      <c r="H10357" s="1"/>
      <c r="I10357" s="1"/>
    </row>
    <row r="10358" spans="8:9" x14ac:dyDescent="0.2">
      <c r="H10358" s="1"/>
      <c r="I10358" s="1"/>
    </row>
    <row r="10359" spans="8:9" x14ac:dyDescent="0.2">
      <c r="H10359" s="1"/>
      <c r="I10359" s="1"/>
    </row>
    <row r="10360" spans="8:9" x14ac:dyDescent="0.2">
      <c r="H10360" s="1"/>
      <c r="I10360" s="1"/>
    </row>
    <row r="10361" spans="8:9" x14ac:dyDescent="0.2">
      <c r="H10361" s="1"/>
      <c r="I10361" s="1"/>
    </row>
    <row r="10362" spans="8:9" x14ac:dyDescent="0.2">
      <c r="H10362" s="1"/>
      <c r="I10362" s="1"/>
    </row>
    <row r="10363" spans="8:9" x14ac:dyDescent="0.2">
      <c r="H10363" s="1"/>
      <c r="I10363" s="1"/>
    </row>
    <row r="10364" spans="8:9" x14ac:dyDescent="0.2">
      <c r="H10364" s="1"/>
      <c r="I10364" s="1"/>
    </row>
    <row r="10365" spans="8:9" x14ac:dyDescent="0.2">
      <c r="H10365" s="1"/>
      <c r="I10365" s="1"/>
    </row>
    <row r="10366" spans="8:9" x14ac:dyDescent="0.2">
      <c r="H10366" s="1"/>
      <c r="I10366" s="1"/>
    </row>
    <row r="10367" spans="8:9" x14ac:dyDescent="0.2">
      <c r="H10367" s="1"/>
      <c r="I10367" s="1"/>
    </row>
    <row r="10368" spans="8:9" x14ac:dyDescent="0.2">
      <c r="H10368" s="1"/>
      <c r="I10368" s="1"/>
    </row>
    <row r="10369" spans="8:9" x14ac:dyDescent="0.2">
      <c r="H10369" s="1"/>
      <c r="I10369" s="1"/>
    </row>
    <row r="10370" spans="8:9" x14ac:dyDescent="0.2">
      <c r="H10370" s="1"/>
      <c r="I10370" s="1"/>
    </row>
    <row r="10371" spans="8:9" x14ac:dyDescent="0.2">
      <c r="H10371" s="1"/>
      <c r="I10371" s="1"/>
    </row>
    <row r="10372" spans="8:9" x14ac:dyDescent="0.2">
      <c r="H10372" s="1"/>
      <c r="I10372" s="1"/>
    </row>
    <row r="10373" spans="8:9" x14ac:dyDescent="0.2">
      <c r="H10373" s="1"/>
      <c r="I10373" s="1"/>
    </row>
    <row r="10374" spans="8:9" x14ac:dyDescent="0.2">
      <c r="H10374" s="1"/>
      <c r="I10374" s="1"/>
    </row>
    <row r="10375" spans="8:9" x14ac:dyDescent="0.2">
      <c r="H10375" s="1"/>
      <c r="I10375" s="1"/>
    </row>
    <row r="10376" spans="8:9" x14ac:dyDescent="0.2">
      <c r="H10376" s="1"/>
      <c r="I10376" s="1"/>
    </row>
    <row r="10377" spans="8:9" x14ac:dyDescent="0.2">
      <c r="H10377" s="1"/>
      <c r="I10377" s="1"/>
    </row>
    <row r="10378" spans="8:9" x14ac:dyDescent="0.2">
      <c r="H10378" s="1"/>
      <c r="I10378" s="1"/>
    </row>
    <row r="10379" spans="8:9" x14ac:dyDescent="0.2">
      <c r="H10379" s="1"/>
      <c r="I10379" s="1"/>
    </row>
    <row r="10380" spans="8:9" x14ac:dyDescent="0.2">
      <c r="H10380" s="1"/>
      <c r="I10380" s="1"/>
    </row>
    <row r="10381" spans="8:9" x14ac:dyDescent="0.2">
      <c r="H10381" s="1"/>
      <c r="I10381" s="1"/>
    </row>
    <row r="10382" spans="8:9" x14ac:dyDescent="0.2">
      <c r="H10382" s="1"/>
      <c r="I10382" s="1"/>
    </row>
    <row r="10383" spans="8:9" x14ac:dyDescent="0.2">
      <c r="H10383" s="1"/>
      <c r="I10383" s="1"/>
    </row>
    <row r="10384" spans="8:9" x14ac:dyDescent="0.2">
      <c r="H10384" s="1"/>
      <c r="I10384" s="1"/>
    </row>
    <row r="10385" spans="8:9" x14ac:dyDescent="0.2">
      <c r="H10385" s="1"/>
      <c r="I10385" s="1"/>
    </row>
    <row r="10386" spans="8:9" x14ac:dyDescent="0.2">
      <c r="H10386" s="1"/>
      <c r="I10386" s="1"/>
    </row>
    <row r="10387" spans="8:9" x14ac:dyDescent="0.2">
      <c r="H10387" s="1"/>
      <c r="I10387" s="1"/>
    </row>
    <row r="10388" spans="8:9" x14ac:dyDescent="0.2">
      <c r="H10388" s="1"/>
      <c r="I10388" s="1"/>
    </row>
    <row r="10389" spans="8:9" x14ac:dyDescent="0.2">
      <c r="H10389" s="1"/>
      <c r="I10389" s="1"/>
    </row>
    <row r="10390" spans="8:9" x14ac:dyDescent="0.2">
      <c r="H10390" s="1"/>
      <c r="I10390" s="1"/>
    </row>
    <row r="10391" spans="8:9" x14ac:dyDescent="0.2">
      <c r="H10391" s="1"/>
      <c r="I10391" s="1"/>
    </row>
    <row r="10392" spans="8:9" x14ac:dyDescent="0.2">
      <c r="H10392" s="1"/>
      <c r="I10392" s="1"/>
    </row>
    <row r="10393" spans="8:9" x14ac:dyDescent="0.2">
      <c r="H10393" s="1"/>
      <c r="I10393" s="1"/>
    </row>
    <row r="10394" spans="8:9" x14ac:dyDescent="0.2">
      <c r="H10394" s="1"/>
      <c r="I10394" s="1"/>
    </row>
    <row r="10395" spans="8:9" x14ac:dyDescent="0.2">
      <c r="H10395" s="1"/>
      <c r="I10395" s="1"/>
    </row>
    <row r="10396" spans="8:9" x14ac:dyDescent="0.2">
      <c r="H10396" s="1"/>
      <c r="I10396" s="1"/>
    </row>
    <row r="10397" spans="8:9" x14ac:dyDescent="0.2">
      <c r="H10397" s="1"/>
      <c r="I10397" s="1"/>
    </row>
    <row r="10398" spans="8:9" x14ac:dyDescent="0.2">
      <c r="H10398" s="1"/>
      <c r="I10398" s="1"/>
    </row>
    <row r="10399" spans="8:9" x14ac:dyDescent="0.2">
      <c r="H10399" s="1"/>
      <c r="I10399" s="1"/>
    </row>
    <row r="10400" spans="8:9" x14ac:dyDescent="0.2">
      <c r="H10400" s="1"/>
      <c r="I10400" s="1"/>
    </row>
    <row r="10401" spans="8:9" x14ac:dyDescent="0.2">
      <c r="H10401" s="1"/>
      <c r="I10401" s="1"/>
    </row>
    <row r="10402" spans="8:9" x14ac:dyDescent="0.2">
      <c r="H10402" s="1"/>
      <c r="I10402" s="1"/>
    </row>
    <row r="10403" spans="8:9" x14ac:dyDescent="0.2">
      <c r="H10403" s="1"/>
      <c r="I10403" s="1"/>
    </row>
    <row r="10404" spans="8:9" x14ac:dyDescent="0.2">
      <c r="H10404" s="1"/>
      <c r="I10404" s="1"/>
    </row>
    <row r="10405" spans="8:9" x14ac:dyDescent="0.2">
      <c r="H10405" s="1"/>
      <c r="I10405" s="1"/>
    </row>
    <row r="10406" spans="8:9" x14ac:dyDescent="0.2">
      <c r="H10406" s="1"/>
      <c r="I10406" s="1"/>
    </row>
    <row r="10407" spans="8:9" x14ac:dyDescent="0.2">
      <c r="H10407" s="1"/>
      <c r="I10407" s="1"/>
    </row>
    <row r="10408" spans="8:9" x14ac:dyDescent="0.2">
      <c r="H10408" s="1"/>
      <c r="I10408" s="1"/>
    </row>
    <row r="10409" spans="8:9" x14ac:dyDescent="0.2">
      <c r="H10409" s="1"/>
      <c r="I10409" s="1"/>
    </row>
    <row r="10410" spans="8:9" x14ac:dyDescent="0.2">
      <c r="H10410" s="1"/>
      <c r="I10410" s="1"/>
    </row>
    <row r="10411" spans="8:9" x14ac:dyDescent="0.2">
      <c r="H10411" s="1"/>
      <c r="I10411" s="1"/>
    </row>
    <row r="10412" spans="8:9" x14ac:dyDescent="0.2">
      <c r="H10412" s="1"/>
      <c r="I10412" s="1"/>
    </row>
    <row r="10413" spans="8:9" x14ac:dyDescent="0.2">
      <c r="H10413" s="1"/>
      <c r="I10413" s="1"/>
    </row>
    <row r="10414" spans="8:9" x14ac:dyDescent="0.2">
      <c r="H10414" s="1"/>
      <c r="I10414" s="1"/>
    </row>
    <row r="10415" spans="8:9" x14ac:dyDescent="0.2">
      <c r="H10415" s="1"/>
      <c r="I10415" s="1"/>
    </row>
    <row r="10416" spans="8:9" x14ac:dyDescent="0.2">
      <c r="H10416" s="1"/>
      <c r="I10416" s="1"/>
    </row>
    <row r="10417" spans="8:9" x14ac:dyDescent="0.2">
      <c r="H10417" s="1"/>
      <c r="I10417" s="1"/>
    </row>
    <row r="10418" spans="8:9" x14ac:dyDescent="0.2">
      <c r="H10418" s="1"/>
      <c r="I10418" s="1"/>
    </row>
    <row r="10419" spans="8:9" x14ac:dyDescent="0.2">
      <c r="H10419" s="1"/>
      <c r="I10419" s="1"/>
    </row>
    <row r="10420" spans="8:9" x14ac:dyDescent="0.2">
      <c r="H10420" s="1"/>
      <c r="I10420" s="1"/>
    </row>
    <row r="10421" spans="8:9" x14ac:dyDescent="0.2">
      <c r="H10421" s="1"/>
      <c r="I10421" s="1"/>
    </row>
    <row r="10422" spans="8:9" x14ac:dyDescent="0.2">
      <c r="H10422" s="1"/>
      <c r="I10422" s="1"/>
    </row>
    <row r="10423" spans="8:9" x14ac:dyDescent="0.2">
      <c r="H10423" s="1"/>
      <c r="I10423" s="1"/>
    </row>
    <row r="10424" spans="8:9" x14ac:dyDescent="0.2">
      <c r="H10424" s="1"/>
      <c r="I10424" s="1"/>
    </row>
    <row r="10425" spans="8:9" x14ac:dyDescent="0.2">
      <c r="H10425" s="1"/>
      <c r="I10425" s="1"/>
    </row>
    <row r="10426" spans="8:9" x14ac:dyDescent="0.2">
      <c r="H10426" s="1"/>
      <c r="I10426" s="1"/>
    </row>
    <row r="10427" spans="8:9" x14ac:dyDescent="0.2">
      <c r="H10427" s="1"/>
      <c r="I10427" s="1"/>
    </row>
    <row r="10428" spans="8:9" x14ac:dyDescent="0.2">
      <c r="H10428" s="1"/>
      <c r="I10428" s="1"/>
    </row>
    <row r="10429" spans="8:9" x14ac:dyDescent="0.2">
      <c r="H10429" s="1"/>
      <c r="I10429" s="1"/>
    </row>
    <row r="10430" spans="8:9" x14ac:dyDescent="0.2">
      <c r="H10430" s="1"/>
      <c r="I10430" s="1"/>
    </row>
    <row r="10431" spans="8:9" x14ac:dyDescent="0.2">
      <c r="H10431" s="1"/>
      <c r="I10431" s="1"/>
    </row>
    <row r="10432" spans="8:9" x14ac:dyDescent="0.2">
      <c r="H10432" s="1"/>
      <c r="I10432" s="1"/>
    </row>
    <row r="10433" spans="8:9" x14ac:dyDescent="0.2">
      <c r="H10433" s="1"/>
      <c r="I10433" s="1"/>
    </row>
    <row r="10434" spans="8:9" x14ac:dyDescent="0.2">
      <c r="H10434" s="1"/>
      <c r="I10434" s="1"/>
    </row>
    <row r="10435" spans="8:9" x14ac:dyDescent="0.2">
      <c r="H10435" s="1"/>
      <c r="I10435" s="1"/>
    </row>
    <row r="10436" spans="8:9" x14ac:dyDescent="0.2">
      <c r="H10436" s="1"/>
      <c r="I10436" s="1"/>
    </row>
    <row r="10437" spans="8:9" x14ac:dyDescent="0.2">
      <c r="H10437" s="1"/>
      <c r="I10437" s="1"/>
    </row>
    <row r="10438" spans="8:9" x14ac:dyDescent="0.2">
      <c r="H10438" s="1"/>
      <c r="I10438" s="1"/>
    </row>
    <row r="10439" spans="8:9" x14ac:dyDescent="0.2">
      <c r="H10439" s="1"/>
      <c r="I10439" s="1"/>
    </row>
    <row r="10440" spans="8:9" x14ac:dyDescent="0.2">
      <c r="H10440" s="1"/>
      <c r="I10440" s="1"/>
    </row>
    <row r="10441" spans="8:9" x14ac:dyDescent="0.2">
      <c r="H10441" s="1"/>
      <c r="I10441" s="1"/>
    </row>
    <row r="10442" spans="8:9" x14ac:dyDescent="0.2">
      <c r="H10442" s="1"/>
      <c r="I10442" s="1"/>
    </row>
    <row r="10443" spans="8:9" x14ac:dyDescent="0.2">
      <c r="H10443" s="1"/>
      <c r="I10443" s="1"/>
    </row>
    <row r="10444" spans="8:9" x14ac:dyDescent="0.2">
      <c r="H10444" s="1"/>
      <c r="I10444" s="1"/>
    </row>
    <row r="10445" spans="8:9" x14ac:dyDescent="0.2">
      <c r="H10445" s="1"/>
      <c r="I10445" s="1"/>
    </row>
    <row r="10446" spans="8:9" x14ac:dyDescent="0.2">
      <c r="H10446" s="1"/>
      <c r="I10446" s="1"/>
    </row>
    <row r="10447" spans="8:9" x14ac:dyDescent="0.2">
      <c r="H10447" s="1"/>
      <c r="I10447" s="1"/>
    </row>
    <row r="10448" spans="8:9" x14ac:dyDescent="0.2">
      <c r="H10448" s="1"/>
      <c r="I10448" s="1"/>
    </row>
    <row r="10449" spans="8:9" x14ac:dyDescent="0.2">
      <c r="H10449" s="1"/>
      <c r="I10449" s="1"/>
    </row>
    <row r="10450" spans="8:9" x14ac:dyDescent="0.2">
      <c r="H10450" s="1"/>
      <c r="I10450" s="1"/>
    </row>
    <row r="10451" spans="8:9" x14ac:dyDescent="0.2">
      <c r="H10451" s="1"/>
      <c r="I10451" s="1"/>
    </row>
    <row r="10452" spans="8:9" x14ac:dyDescent="0.2">
      <c r="H10452" s="1"/>
      <c r="I10452" s="1"/>
    </row>
    <row r="10453" spans="8:9" x14ac:dyDescent="0.2">
      <c r="H10453" s="1"/>
      <c r="I10453" s="1"/>
    </row>
    <row r="10454" spans="8:9" x14ac:dyDescent="0.2">
      <c r="H10454" s="1"/>
      <c r="I10454" s="1"/>
    </row>
    <row r="10455" spans="8:9" x14ac:dyDescent="0.2">
      <c r="H10455" s="1"/>
      <c r="I10455" s="1"/>
    </row>
    <row r="10456" spans="8:9" x14ac:dyDescent="0.2">
      <c r="H10456" s="1"/>
      <c r="I10456" s="1"/>
    </row>
    <row r="10457" spans="8:9" x14ac:dyDescent="0.2">
      <c r="H10457" s="1"/>
      <c r="I10457" s="1"/>
    </row>
    <row r="10458" spans="8:9" x14ac:dyDescent="0.2">
      <c r="H10458" s="1"/>
      <c r="I10458" s="1"/>
    </row>
    <row r="10459" spans="8:9" x14ac:dyDescent="0.2">
      <c r="H10459" s="1"/>
      <c r="I10459" s="1"/>
    </row>
    <row r="10460" spans="8:9" x14ac:dyDescent="0.2">
      <c r="H10460" s="1"/>
      <c r="I10460" s="1"/>
    </row>
    <row r="10461" spans="8:9" x14ac:dyDescent="0.2">
      <c r="H10461" s="1"/>
      <c r="I10461" s="1"/>
    </row>
    <row r="10462" spans="8:9" x14ac:dyDescent="0.2">
      <c r="H10462" s="1"/>
      <c r="I10462" s="1"/>
    </row>
    <row r="10463" spans="8:9" x14ac:dyDescent="0.2">
      <c r="H10463" s="1"/>
      <c r="I10463" s="1"/>
    </row>
    <row r="10464" spans="8:9" x14ac:dyDescent="0.2">
      <c r="H10464" s="1"/>
      <c r="I10464" s="1"/>
    </row>
    <row r="10465" spans="8:9" x14ac:dyDescent="0.2">
      <c r="H10465" s="1"/>
      <c r="I10465" s="1"/>
    </row>
    <row r="10466" spans="8:9" x14ac:dyDescent="0.2">
      <c r="H10466" s="1"/>
      <c r="I10466" s="1"/>
    </row>
    <row r="10467" spans="8:9" x14ac:dyDescent="0.2">
      <c r="H10467" s="1"/>
      <c r="I10467" s="1"/>
    </row>
    <row r="10468" spans="8:9" x14ac:dyDescent="0.2">
      <c r="H10468" s="1"/>
      <c r="I10468" s="1"/>
    </row>
    <row r="10469" spans="8:9" x14ac:dyDescent="0.2">
      <c r="H10469" s="1"/>
      <c r="I10469" s="1"/>
    </row>
    <row r="10470" spans="8:9" x14ac:dyDescent="0.2">
      <c r="H10470" s="1"/>
      <c r="I10470" s="1"/>
    </row>
    <row r="10471" spans="8:9" x14ac:dyDescent="0.2">
      <c r="H10471" s="1"/>
      <c r="I10471" s="1"/>
    </row>
    <row r="10472" spans="8:9" x14ac:dyDescent="0.2">
      <c r="H10472" s="1"/>
      <c r="I10472" s="1"/>
    </row>
    <row r="10473" spans="8:9" x14ac:dyDescent="0.2">
      <c r="H10473" s="1"/>
      <c r="I10473" s="1"/>
    </row>
    <row r="10474" spans="8:9" x14ac:dyDescent="0.2">
      <c r="H10474" s="1"/>
      <c r="I10474" s="1"/>
    </row>
    <row r="10475" spans="8:9" x14ac:dyDescent="0.2">
      <c r="H10475" s="1"/>
      <c r="I10475" s="1"/>
    </row>
    <row r="10476" spans="8:9" x14ac:dyDescent="0.2">
      <c r="H10476" s="1"/>
      <c r="I10476" s="1"/>
    </row>
    <row r="10477" spans="8:9" x14ac:dyDescent="0.2">
      <c r="H10477" s="1"/>
      <c r="I10477" s="1"/>
    </row>
    <row r="10478" spans="8:9" x14ac:dyDescent="0.2">
      <c r="H10478" s="1"/>
      <c r="I10478" s="1"/>
    </row>
    <row r="10479" spans="8:9" x14ac:dyDescent="0.2">
      <c r="H10479" s="1"/>
      <c r="I10479" s="1"/>
    </row>
    <row r="10480" spans="8:9" x14ac:dyDescent="0.2">
      <c r="H10480" s="1"/>
      <c r="I10480" s="1"/>
    </row>
    <row r="10481" spans="8:9" x14ac:dyDescent="0.2">
      <c r="H10481" s="1"/>
      <c r="I10481" s="1"/>
    </row>
    <row r="10482" spans="8:9" x14ac:dyDescent="0.2">
      <c r="H10482" s="1"/>
      <c r="I10482" s="1"/>
    </row>
    <row r="10483" spans="8:9" x14ac:dyDescent="0.2">
      <c r="H10483" s="1"/>
      <c r="I10483" s="1"/>
    </row>
    <row r="10484" spans="8:9" x14ac:dyDescent="0.2">
      <c r="H10484" s="1"/>
      <c r="I10484" s="1"/>
    </row>
    <row r="10485" spans="8:9" x14ac:dyDescent="0.2">
      <c r="H10485" s="1"/>
      <c r="I10485" s="1"/>
    </row>
    <row r="10486" spans="8:9" x14ac:dyDescent="0.2">
      <c r="H10486" s="1"/>
      <c r="I10486" s="1"/>
    </row>
    <row r="10487" spans="8:9" x14ac:dyDescent="0.2">
      <c r="H10487" s="1"/>
      <c r="I10487" s="1"/>
    </row>
    <row r="10488" spans="8:9" x14ac:dyDescent="0.2">
      <c r="H10488" s="1"/>
      <c r="I10488" s="1"/>
    </row>
    <row r="10489" spans="8:9" x14ac:dyDescent="0.2">
      <c r="H10489" s="1"/>
      <c r="I10489" s="1"/>
    </row>
    <row r="10490" spans="8:9" x14ac:dyDescent="0.2">
      <c r="H10490" s="1"/>
      <c r="I10490" s="1"/>
    </row>
    <row r="10491" spans="8:9" x14ac:dyDescent="0.2">
      <c r="H10491" s="1"/>
      <c r="I10491" s="1"/>
    </row>
    <row r="10492" spans="8:9" x14ac:dyDescent="0.2">
      <c r="H10492" s="1"/>
      <c r="I10492" s="1"/>
    </row>
    <row r="10493" spans="8:9" x14ac:dyDescent="0.2">
      <c r="H10493" s="1"/>
      <c r="I10493" s="1"/>
    </row>
    <row r="10494" spans="8:9" x14ac:dyDescent="0.2">
      <c r="H10494" s="1"/>
      <c r="I10494" s="1"/>
    </row>
    <row r="10495" spans="8:9" x14ac:dyDescent="0.2">
      <c r="H10495" s="1"/>
      <c r="I10495" s="1"/>
    </row>
    <row r="10496" spans="8:9" x14ac:dyDescent="0.2">
      <c r="H10496" s="1"/>
      <c r="I10496" s="1"/>
    </row>
    <row r="10497" spans="8:9" x14ac:dyDescent="0.2">
      <c r="H10497" s="1"/>
      <c r="I10497" s="1"/>
    </row>
    <row r="10498" spans="8:9" x14ac:dyDescent="0.2">
      <c r="H10498" s="1"/>
      <c r="I10498" s="1"/>
    </row>
    <row r="10499" spans="8:9" x14ac:dyDescent="0.2">
      <c r="H10499" s="1"/>
      <c r="I10499" s="1"/>
    </row>
    <row r="10500" spans="8:9" x14ac:dyDescent="0.2">
      <c r="H10500" s="1"/>
      <c r="I10500" s="1"/>
    </row>
    <row r="10501" spans="8:9" x14ac:dyDescent="0.2">
      <c r="H10501" s="1"/>
      <c r="I10501" s="1"/>
    </row>
    <row r="10502" spans="8:9" x14ac:dyDescent="0.2">
      <c r="H10502" s="1"/>
      <c r="I10502" s="1"/>
    </row>
    <row r="10503" spans="8:9" x14ac:dyDescent="0.2">
      <c r="H10503" s="1"/>
      <c r="I10503" s="1"/>
    </row>
    <row r="10504" spans="8:9" x14ac:dyDescent="0.2">
      <c r="H10504" s="1"/>
      <c r="I10504" s="1"/>
    </row>
    <row r="10505" spans="8:9" x14ac:dyDescent="0.2">
      <c r="H10505" s="1"/>
      <c r="I10505" s="1"/>
    </row>
    <row r="10506" spans="8:9" x14ac:dyDescent="0.2">
      <c r="H10506" s="1"/>
      <c r="I10506" s="1"/>
    </row>
    <row r="10507" spans="8:9" x14ac:dyDescent="0.2">
      <c r="H10507" s="1"/>
      <c r="I10507" s="1"/>
    </row>
    <row r="10508" spans="8:9" x14ac:dyDescent="0.2">
      <c r="H10508" s="1"/>
      <c r="I10508" s="1"/>
    </row>
    <row r="10509" spans="8:9" x14ac:dyDescent="0.2">
      <c r="H10509" s="1"/>
      <c r="I10509" s="1"/>
    </row>
    <row r="10510" spans="8:9" x14ac:dyDescent="0.2">
      <c r="H10510" s="1"/>
      <c r="I10510" s="1"/>
    </row>
    <row r="10511" spans="8:9" x14ac:dyDescent="0.2">
      <c r="H10511" s="1"/>
      <c r="I10511" s="1"/>
    </row>
    <row r="10512" spans="8:9" x14ac:dyDescent="0.2">
      <c r="H10512" s="1"/>
      <c r="I10512" s="1"/>
    </row>
    <row r="10513" spans="8:9" x14ac:dyDescent="0.2">
      <c r="H10513" s="1"/>
      <c r="I10513" s="1"/>
    </row>
    <row r="10514" spans="8:9" x14ac:dyDescent="0.2">
      <c r="H10514" s="1"/>
      <c r="I10514" s="1"/>
    </row>
    <row r="10515" spans="8:9" x14ac:dyDescent="0.2">
      <c r="H10515" s="1"/>
      <c r="I10515" s="1"/>
    </row>
    <row r="10516" spans="8:9" x14ac:dyDescent="0.2">
      <c r="H10516" s="1"/>
      <c r="I10516" s="1"/>
    </row>
    <row r="10517" spans="8:9" x14ac:dyDescent="0.2">
      <c r="H10517" s="1"/>
      <c r="I10517" s="1"/>
    </row>
    <row r="10518" spans="8:9" x14ac:dyDescent="0.2">
      <c r="H10518" s="1"/>
      <c r="I10518" s="1"/>
    </row>
    <row r="10519" spans="8:9" x14ac:dyDescent="0.2">
      <c r="H10519" s="1"/>
      <c r="I10519" s="1"/>
    </row>
    <row r="10520" spans="8:9" x14ac:dyDescent="0.2">
      <c r="H10520" s="1"/>
      <c r="I10520" s="1"/>
    </row>
    <row r="10521" spans="8:9" x14ac:dyDescent="0.2">
      <c r="H10521" s="1"/>
      <c r="I10521" s="1"/>
    </row>
    <row r="10522" spans="8:9" x14ac:dyDescent="0.2">
      <c r="H10522" s="1"/>
      <c r="I10522" s="1"/>
    </row>
    <row r="10523" spans="8:9" x14ac:dyDescent="0.2">
      <c r="H10523" s="1"/>
      <c r="I10523" s="1"/>
    </row>
    <row r="10524" spans="8:9" x14ac:dyDescent="0.2">
      <c r="H10524" s="1"/>
      <c r="I10524" s="1"/>
    </row>
    <row r="10525" spans="8:9" x14ac:dyDescent="0.2">
      <c r="H10525" s="1"/>
      <c r="I10525" s="1"/>
    </row>
    <row r="10526" spans="8:9" x14ac:dyDescent="0.2">
      <c r="H10526" s="1"/>
      <c r="I10526" s="1"/>
    </row>
    <row r="10527" spans="8:9" x14ac:dyDescent="0.2">
      <c r="H10527" s="1"/>
      <c r="I10527" s="1"/>
    </row>
    <row r="10528" spans="8:9" x14ac:dyDescent="0.2">
      <c r="H10528" s="1"/>
      <c r="I10528" s="1"/>
    </row>
    <row r="10529" spans="8:9" x14ac:dyDescent="0.2">
      <c r="H10529" s="1"/>
      <c r="I10529" s="1"/>
    </row>
    <row r="10530" spans="8:9" x14ac:dyDescent="0.2">
      <c r="H10530" s="1"/>
      <c r="I10530" s="1"/>
    </row>
    <row r="10531" spans="8:9" x14ac:dyDescent="0.2">
      <c r="H10531" s="1"/>
      <c r="I10531" s="1"/>
    </row>
    <row r="10532" spans="8:9" x14ac:dyDescent="0.2">
      <c r="H10532" s="1"/>
      <c r="I10532" s="1"/>
    </row>
    <row r="10533" spans="8:9" x14ac:dyDescent="0.2">
      <c r="H10533" s="1"/>
      <c r="I10533" s="1"/>
    </row>
    <row r="10534" spans="8:9" x14ac:dyDescent="0.2">
      <c r="H10534" s="1"/>
      <c r="I10534" s="1"/>
    </row>
    <row r="10535" spans="8:9" x14ac:dyDescent="0.2">
      <c r="H10535" s="1"/>
      <c r="I10535" s="1"/>
    </row>
    <row r="10536" spans="8:9" x14ac:dyDescent="0.2">
      <c r="H10536" s="1"/>
      <c r="I10536" s="1"/>
    </row>
    <row r="10537" spans="8:9" x14ac:dyDescent="0.2">
      <c r="H10537" s="1"/>
      <c r="I10537" s="1"/>
    </row>
    <row r="10538" spans="8:9" x14ac:dyDescent="0.2">
      <c r="H10538" s="1"/>
      <c r="I10538" s="1"/>
    </row>
    <row r="10539" spans="8:9" x14ac:dyDescent="0.2">
      <c r="H10539" s="1"/>
      <c r="I10539" s="1"/>
    </row>
    <row r="10540" spans="8:9" x14ac:dyDescent="0.2">
      <c r="H10540" s="1"/>
      <c r="I10540" s="1"/>
    </row>
    <row r="10541" spans="8:9" x14ac:dyDescent="0.2">
      <c r="H10541" s="1"/>
      <c r="I10541" s="1"/>
    </row>
    <row r="10542" spans="8:9" x14ac:dyDescent="0.2">
      <c r="H10542" s="1"/>
      <c r="I10542" s="1"/>
    </row>
    <row r="10543" spans="8:9" x14ac:dyDescent="0.2">
      <c r="H10543" s="1"/>
      <c r="I10543" s="1"/>
    </row>
    <row r="10544" spans="8:9" x14ac:dyDescent="0.2">
      <c r="H10544" s="1"/>
      <c r="I10544" s="1"/>
    </row>
    <row r="10545" spans="8:9" x14ac:dyDescent="0.2">
      <c r="H10545" s="1"/>
      <c r="I10545" s="1"/>
    </row>
    <row r="10546" spans="8:9" x14ac:dyDescent="0.2">
      <c r="H10546" s="1"/>
      <c r="I10546" s="1"/>
    </row>
    <row r="10547" spans="8:9" x14ac:dyDescent="0.2">
      <c r="H10547" s="1"/>
      <c r="I10547" s="1"/>
    </row>
    <row r="10548" spans="8:9" x14ac:dyDescent="0.2">
      <c r="H10548" s="1"/>
      <c r="I10548" s="1"/>
    </row>
    <row r="10549" spans="8:9" x14ac:dyDescent="0.2">
      <c r="H10549" s="1"/>
      <c r="I10549" s="1"/>
    </row>
    <row r="10550" spans="8:9" x14ac:dyDescent="0.2">
      <c r="H10550" s="1"/>
      <c r="I10550" s="1"/>
    </row>
    <row r="10551" spans="8:9" x14ac:dyDescent="0.2">
      <c r="H10551" s="1"/>
      <c r="I10551" s="1"/>
    </row>
    <row r="10552" spans="8:9" x14ac:dyDescent="0.2">
      <c r="H10552" s="1"/>
      <c r="I10552" s="1"/>
    </row>
    <row r="10553" spans="8:9" x14ac:dyDescent="0.2">
      <c r="H10553" s="1"/>
      <c r="I10553" s="1"/>
    </row>
    <row r="10554" spans="8:9" x14ac:dyDescent="0.2">
      <c r="H10554" s="1"/>
      <c r="I10554" s="1"/>
    </row>
    <row r="10555" spans="8:9" x14ac:dyDescent="0.2">
      <c r="H10555" s="1"/>
      <c r="I10555" s="1"/>
    </row>
    <row r="10556" spans="8:9" x14ac:dyDescent="0.2">
      <c r="H10556" s="1"/>
      <c r="I10556" s="1"/>
    </row>
    <row r="10557" spans="8:9" x14ac:dyDescent="0.2">
      <c r="H10557" s="1"/>
      <c r="I10557" s="1"/>
    </row>
    <row r="10558" spans="8:9" x14ac:dyDescent="0.2">
      <c r="H10558" s="1"/>
      <c r="I10558" s="1"/>
    </row>
    <row r="10559" spans="8:9" x14ac:dyDescent="0.2">
      <c r="H10559" s="1"/>
      <c r="I10559" s="1"/>
    </row>
    <row r="10560" spans="8:9" x14ac:dyDescent="0.2">
      <c r="H10560" s="1"/>
      <c r="I10560" s="1"/>
    </row>
    <row r="10561" spans="8:9" x14ac:dyDescent="0.2">
      <c r="H10561" s="1"/>
      <c r="I10561" s="1"/>
    </row>
    <row r="10562" spans="8:9" x14ac:dyDescent="0.2">
      <c r="H10562" s="1"/>
      <c r="I10562" s="1"/>
    </row>
    <row r="10563" spans="8:9" x14ac:dyDescent="0.2">
      <c r="H10563" s="1"/>
      <c r="I10563" s="1"/>
    </row>
    <row r="10564" spans="8:9" x14ac:dyDescent="0.2">
      <c r="H10564" s="1"/>
      <c r="I10564" s="1"/>
    </row>
    <row r="10565" spans="8:9" x14ac:dyDescent="0.2">
      <c r="H10565" s="1"/>
      <c r="I10565" s="1"/>
    </row>
    <row r="10566" spans="8:9" x14ac:dyDescent="0.2">
      <c r="H10566" s="1"/>
      <c r="I10566" s="1"/>
    </row>
    <row r="10567" spans="8:9" x14ac:dyDescent="0.2">
      <c r="H10567" s="1"/>
      <c r="I10567" s="1"/>
    </row>
    <row r="10568" spans="8:9" x14ac:dyDescent="0.2">
      <c r="H10568" s="1"/>
      <c r="I10568" s="1"/>
    </row>
    <row r="10569" spans="8:9" x14ac:dyDescent="0.2">
      <c r="H10569" s="1"/>
      <c r="I10569" s="1"/>
    </row>
    <row r="10570" spans="8:9" x14ac:dyDescent="0.2">
      <c r="H10570" s="1"/>
      <c r="I10570" s="1"/>
    </row>
    <row r="10571" spans="8:9" x14ac:dyDescent="0.2">
      <c r="H10571" s="1"/>
      <c r="I10571" s="1"/>
    </row>
    <row r="10572" spans="8:9" x14ac:dyDescent="0.2">
      <c r="H10572" s="1"/>
      <c r="I10572" s="1"/>
    </row>
    <row r="10573" spans="8:9" x14ac:dyDescent="0.2">
      <c r="H10573" s="1"/>
      <c r="I10573" s="1"/>
    </row>
    <row r="10574" spans="8:9" x14ac:dyDescent="0.2">
      <c r="H10574" s="1"/>
      <c r="I10574" s="1"/>
    </row>
    <row r="10575" spans="8:9" x14ac:dyDescent="0.2">
      <c r="H10575" s="1"/>
      <c r="I10575" s="1"/>
    </row>
    <row r="10576" spans="8:9" x14ac:dyDescent="0.2">
      <c r="H10576" s="1"/>
      <c r="I10576" s="1"/>
    </row>
    <row r="10577" spans="8:9" x14ac:dyDescent="0.2">
      <c r="H10577" s="1"/>
      <c r="I10577" s="1"/>
    </row>
    <row r="10578" spans="8:9" x14ac:dyDescent="0.2">
      <c r="H10578" s="1"/>
      <c r="I10578" s="1"/>
    </row>
    <row r="10579" spans="8:9" x14ac:dyDescent="0.2">
      <c r="H10579" s="1"/>
      <c r="I10579" s="1"/>
    </row>
    <row r="10580" spans="8:9" x14ac:dyDescent="0.2">
      <c r="H10580" s="1"/>
      <c r="I10580" s="1"/>
    </row>
    <row r="10581" spans="8:9" x14ac:dyDescent="0.2">
      <c r="H10581" s="1"/>
      <c r="I10581" s="1"/>
    </row>
    <row r="10582" spans="8:9" x14ac:dyDescent="0.2">
      <c r="H10582" s="1"/>
      <c r="I10582" s="1"/>
    </row>
    <row r="10583" spans="8:9" x14ac:dyDescent="0.2">
      <c r="H10583" s="1"/>
      <c r="I10583" s="1"/>
    </row>
    <row r="10584" spans="8:9" x14ac:dyDescent="0.2">
      <c r="H10584" s="1"/>
      <c r="I10584" s="1"/>
    </row>
    <row r="10585" spans="8:9" x14ac:dyDescent="0.2">
      <c r="H10585" s="1"/>
      <c r="I10585" s="1"/>
    </row>
    <row r="10586" spans="8:9" x14ac:dyDescent="0.2">
      <c r="H10586" s="1"/>
      <c r="I10586" s="1"/>
    </row>
    <row r="10587" spans="8:9" x14ac:dyDescent="0.2">
      <c r="H10587" s="1"/>
      <c r="I10587" s="1"/>
    </row>
    <row r="10588" spans="8:9" x14ac:dyDescent="0.2">
      <c r="H10588" s="1"/>
      <c r="I10588" s="1"/>
    </row>
    <row r="10589" spans="8:9" x14ac:dyDescent="0.2">
      <c r="H10589" s="1"/>
      <c r="I10589" s="1"/>
    </row>
    <row r="10590" spans="8:9" x14ac:dyDescent="0.2">
      <c r="H10590" s="1"/>
      <c r="I10590" s="1"/>
    </row>
    <row r="10591" spans="8:9" x14ac:dyDescent="0.2">
      <c r="H10591" s="1"/>
      <c r="I10591" s="1"/>
    </row>
    <row r="10592" spans="8:9" x14ac:dyDescent="0.2">
      <c r="H10592" s="1"/>
      <c r="I10592" s="1"/>
    </row>
    <row r="10593" spans="8:9" x14ac:dyDescent="0.2">
      <c r="H10593" s="1"/>
      <c r="I10593" s="1"/>
    </row>
    <row r="10594" spans="8:9" x14ac:dyDescent="0.2">
      <c r="H10594" s="1"/>
      <c r="I10594" s="1"/>
    </row>
    <row r="10595" spans="8:9" x14ac:dyDescent="0.2">
      <c r="H10595" s="1"/>
      <c r="I10595" s="1"/>
    </row>
    <row r="10596" spans="8:9" x14ac:dyDescent="0.2">
      <c r="H10596" s="1"/>
      <c r="I10596" s="1"/>
    </row>
    <row r="10597" spans="8:9" x14ac:dyDescent="0.2">
      <c r="H10597" s="1"/>
      <c r="I10597" s="1"/>
    </row>
    <row r="10598" spans="8:9" x14ac:dyDescent="0.2">
      <c r="H10598" s="1"/>
      <c r="I10598" s="1"/>
    </row>
    <row r="10599" spans="8:9" x14ac:dyDescent="0.2">
      <c r="H10599" s="1"/>
      <c r="I10599" s="1"/>
    </row>
    <row r="10600" spans="8:9" x14ac:dyDescent="0.2">
      <c r="H10600" s="1"/>
      <c r="I10600" s="1"/>
    </row>
    <row r="10601" spans="8:9" x14ac:dyDescent="0.2">
      <c r="H10601" s="1"/>
      <c r="I10601" s="1"/>
    </row>
    <row r="10602" spans="8:9" x14ac:dyDescent="0.2">
      <c r="H10602" s="1"/>
      <c r="I10602" s="1"/>
    </row>
    <row r="10603" spans="8:9" x14ac:dyDescent="0.2">
      <c r="H10603" s="1"/>
      <c r="I10603" s="1"/>
    </row>
    <row r="10604" spans="8:9" x14ac:dyDescent="0.2">
      <c r="H10604" s="1"/>
      <c r="I10604" s="1"/>
    </row>
    <row r="10605" spans="8:9" x14ac:dyDescent="0.2">
      <c r="H10605" s="1"/>
      <c r="I10605" s="1"/>
    </row>
    <row r="10606" spans="8:9" x14ac:dyDescent="0.2">
      <c r="H10606" s="1"/>
      <c r="I10606" s="1"/>
    </row>
    <row r="10607" spans="8:9" x14ac:dyDescent="0.2">
      <c r="H10607" s="1"/>
      <c r="I10607" s="1"/>
    </row>
    <row r="10608" spans="8:9" x14ac:dyDescent="0.2">
      <c r="H10608" s="1"/>
      <c r="I10608" s="1"/>
    </row>
    <row r="10609" spans="8:9" x14ac:dyDescent="0.2">
      <c r="H10609" s="1"/>
      <c r="I10609" s="1"/>
    </row>
    <row r="10610" spans="8:9" x14ac:dyDescent="0.2">
      <c r="H10610" s="1"/>
      <c r="I10610" s="1"/>
    </row>
    <row r="10611" spans="8:9" x14ac:dyDescent="0.2">
      <c r="H10611" s="1"/>
      <c r="I10611" s="1"/>
    </row>
    <row r="10612" spans="8:9" x14ac:dyDescent="0.2">
      <c r="H10612" s="1"/>
      <c r="I10612" s="1"/>
    </row>
    <row r="10613" spans="8:9" x14ac:dyDescent="0.2">
      <c r="H10613" s="1"/>
      <c r="I10613" s="1"/>
    </row>
    <row r="10614" spans="8:9" x14ac:dyDescent="0.2">
      <c r="H10614" s="1"/>
      <c r="I10614" s="1"/>
    </row>
    <row r="10615" spans="8:9" x14ac:dyDescent="0.2">
      <c r="H10615" s="1"/>
      <c r="I10615" s="1"/>
    </row>
    <row r="10616" spans="8:9" x14ac:dyDescent="0.2">
      <c r="H10616" s="1"/>
      <c r="I10616" s="1"/>
    </row>
    <row r="10617" spans="8:9" x14ac:dyDescent="0.2">
      <c r="H10617" s="1"/>
      <c r="I10617" s="1"/>
    </row>
    <row r="10618" spans="8:9" x14ac:dyDescent="0.2">
      <c r="H10618" s="1"/>
      <c r="I10618" s="1"/>
    </row>
    <row r="10619" spans="8:9" x14ac:dyDescent="0.2">
      <c r="H10619" s="1"/>
      <c r="I10619" s="1"/>
    </row>
    <row r="10620" spans="8:9" x14ac:dyDescent="0.2">
      <c r="H10620" s="1"/>
      <c r="I10620" s="1"/>
    </row>
    <row r="10621" spans="8:9" x14ac:dyDescent="0.2">
      <c r="H10621" s="1"/>
      <c r="I10621" s="1"/>
    </row>
    <row r="10622" spans="8:9" x14ac:dyDescent="0.2">
      <c r="H10622" s="1"/>
      <c r="I10622" s="1"/>
    </row>
    <row r="10623" spans="8:9" x14ac:dyDescent="0.2">
      <c r="H10623" s="1"/>
      <c r="I10623" s="1"/>
    </row>
    <row r="10624" spans="8:9" x14ac:dyDescent="0.2">
      <c r="H10624" s="1"/>
      <c r="I10624" s="1"/>
    </row>
    <row r="10625" spans="8:9" x14ac:dyDescent="0.2">
      <c r="H10625" s="1"/>
      <c r="I10625" s="1"/>
    </row>
    <row r="10626" spans="8:9" x14ac:dyDescent="0.2">
      <c r="H10626" s="1"/>
      <c r="I10626" s="1"/>
    </row>
    <row r="10627" spans="8:9" x14ac:dyDescent="0.2">
      <c r="H10627" s="1"/>
      <c r="I10627" s="1"/>
    </row>
    <row r="10628" spans="8:9" x14ac:dyDescent="0.2">
      <c r="H10628" s="1"/>
      <c r="I10628" s="1"/>
    </row>
    <row r="10629" spans="8:9" x14ac:dyDescent="0.2">
      <c r="H10629" s="1"/>
      <c r="I10629" s="1"/>
    </row>
    <row r="10630" spans="8:9" x14ac:dyDescent="0.2">
      <c r="H10630" s="1"/>
      <c r="I10630" s="1"/>
    </row>
    <row r="10631" spans="8:9" x14ac:dyDescent="0.2">
      <c r="H10631" s="1"/>
      <c r="I10631" s="1"/>
    </row>
    <row r="10632" spans="8:9" x14ac:dyDescent="0.2">
      <c r="H10632" s="1"/>
      <c r="I10632" s="1"/>
    </row>
    <row r="10633" spans="8:9" x14ac:dyDescent="0.2">
      <c r="H10633" s="1"/>
      <c r="I10633" s="1"/>
    </row>
    <row r="10634" spans="8:9" x14ac:dyDescent="0.2">
      <c r="H10634" s="1"/>
      <c r="I10634" s="1"/>
    </row>
    <row r="10635" spans="8:9" x14ac:dyDescent="0.2">
      <c r="H10635" s="1"/>
      <c r="I10635" s="1"/>
    </row>
    <row r="10636" spans="8:9" x14ac:dyDescent="0.2">
      <c r="H10636" s="1"/>
      <c r="I10636" s="1"/>
    </row>
    <row r="10637" spans="8:9" x14ac:dyDescent="0.2">
      <c r="H10637" s="1"/>
      <c r="I10637" s="1"/>
    </row>
    <row r="10638" spans="8:9" x14ac:dyDescent="0.2">
      <c r="H10638" s="1"/>
      <c r="I10638" s="1"/>
    </row>
    <row r="10639" spans="8:9" x14ac:dyDescent="0.2">
      <c r="H10639" s="1"/>
      <c r="I10639" s="1"/>
    </row>
    <row r="10640" spans="8:9" x14ac:dyDescent="0.2">
      <c r="H10640" s="1"/>
      <c r="I10640" s="1"/>
    </row>
    <row r="10641" spans="8:9" x14ac:dyDescent="0.2">
      <c r="H10641" s="1"/>
      <c r="I10641" s="1"/>
    </row>
    <row r="10642" spans="8:9" x14ac:dyDescent="0.2">
      <c r="H10642" s="1"/>
      <c r="I10642" s="1"/>
    </row>
    <row r="10643" spans="8:9" x14ac:dyDescent="0.2">
      <c r="H10643" s="1"/>
      <c r="I10643" s="1"/>
    </row>
    <row r="10644" spans="8:9" x14ac:dyDescent="0.2">
      <c r="H10644" s="1"/>
      <c r="I10644" s="1"/>
    </row>
    <row r="10645" spans="8:9" x14ac:dyDescent="0.2">
      <c r="H10645" s="1"/>
      <c r="I10645" s="1"/>
    </row>
    <row r="10646" spans="8:9" x14ac:dyDescent="0.2">
      <c r="H10646" s="1"/>
      <c r="I10646" s="1"/>
    </row>
    <row r="10647" spans="8:9" x14ac:dyDescent="0.2">
      <c r="H10647" s="1"/>
      <c r="I10647" s="1"/>
    </row>
    <row r="10648" spans="8:9" x14ac:dyDescent="0.2">
      <c r="H10648" s="1"/>
      <c r="I10648" s="1"/>
    </row>
    <row r="10649" spans="8:9" x14ac:dyDescent="0.2">
      <c r="H10649" s="1"/>
      <c r="I10649" s="1"/>
    </row>
    <row r="10650" spans="8:9" x14ac:dyDescent="0.2">
      <c r="H10650" s="1"/>
      <c r="I10650" s="1"/>
    </row>
    <row r="10651" spans="8:9" x14ac:dyDescent="0.2">
      <c r="H10651" s="1"/>
      <c r="I10651" s="1"/>
    </row>
    <row r="10652" spans="8:9" x14ac:dyDescent="0.2">
      <c r="H10652" s="1"/>
      <c r="I10652" s="1"/>
    </row>
    <row r="10653" spans="8:9" x14ac:dyDescent="0.2">
      <c r="H10653" s="1"/>
      <c r="I10653" s="1"/>
    </row>
    <row r="10654" spans="8:9" x14ac:dyDescent="0.2">
      <c r="H10654" s="1"/>
      <c r="I10654" s="1"/>
    </row>
    <row r="10655" spans="8:9" x14ac:dyDescent="0.2">
      <c r="H10655" s="1"/>
      <c r="I10655" s="1"/>
    </row>
    <row r="10656" spans="8:9" x14ac:dyDescent="0.2">
      <c r="H10656" s="1"/>
      <c r="I10656" s="1"/>
    </row>
    <row r="10657" spans="8:9" x14ac:dyDescent="0.2">
      <c r="H10657" s="1"/>
      <c r="I10657" s="1"/>
    </row>
    <row r="10658" spans="8:9" x14ac:dyDescent="0.2">
      <c r="H10658" s="1"/>
      <c r="I10658" s="1"/>
    </row>
    <row r="10659" spans="8:9" x14ac:dyDescent="0.2">
      <c r="H10659" s="1"/>
      <c r="I10659" s="1"/>
    </row>
    <row r="10660" spans="8:9" x14ac:dyDescent="0.2">
      <c r="H10660" s="1"/>
      <c r="I10660" s="1"/>
    </row>
    <row r="10661" spans="8:9" x14ac:dyDescent="0.2">
      <c r="H10661" s="1"/>
      <c r="I10661" s="1"/>
    </row>
    <row r="10662" spans="8:9" x14ac:dyDescent="0.2">
      <c r="H10662" s="1"/>
      <c r="I10662" s="1"/>
    </row>
    <row r="10663" spans="8:9" x14ac:dyDescent="0.2">
      <c r="H10663" s="1"/>
      <c r="I10663" s="1"/>
    </row>
    <row r="10664" spans="8:9" x14ac:dyDescent="0.2">
      <c r="H10664" s="1"/>
      <c r="I10664" s="1"/>
    </row>
    <row r="10665" spans="8:9" x14ac:dyDescent="0.2">
      <c r="H10665" s="1"/>
      <c r="I10665" s="1"/>
    </row>
    <row r="10666" spans="8:9" x14ac:dyDescent="0.2">
      <c r="H10666" s="1"/>
      <c r="I10666" s="1"/>
    </row>
    <row r="10667" spans="8:9" x14ac:dyDescent="0.2">
      <c r="H10667" s="1"/>
      <c r="I10667" s="1"/>
    </row>
    <row r="10668" spans="8:9" x14ac:dyDescent="0.2">
      <c r="H10668" s="1"/>
      <c r="I10668" s="1"/>
    </row>
    <row r="10669" spans="8:9" x14ac:dyDescent="0.2">
      <c r="H10669" s="1"/>
      <c r="I10669" s="1"/>
    </row>
    <row r="10670" spans="8:9" x14ac:dyDescent="0.2">
      <c r="H10670" s="1"/>
      <c r="I10670" s="1"/>
    </row>
    <row r="10671" spans="8:9" x14ac:dyDescent="0.2">
      <c r="H10671" s="1"/>
      <c r="I10671" s="1"/>
    </row>
    <row r="10672" spans="8:9" x14ac:dyDescent="0.2">
      <c r="H10672" s="1"/>
      <c r="I10672" s="1"/>
    </row>
    <row r="10673" spans="8:9" x14ac:dyDescent="0.2">
      <c r="H10673" s="1"/>
      <c r="I10673" s="1"/>
    </row>
    <row r="10674" spans="8:9" x14ac:dyDescent="0.2">
      <c r="H10674" s="1"/>
      <c r="I10674" s="1"/>
    </row>
    <row r="10675" spans="8:9" x14ac:dyDescent="0.2">
      <c r="H10675" s="1"/>
      <c r="I10675" s="1"/>
    </row>
    <row r="10676" spans="8:9" x14ac:dyDescent="0.2">
      <c r="H10676" s="1"/>
      <c r="I10676" s="1"/>
    </row>
    <row r="10677" spans="8:9" x14ac:dyDescent="0.2">
      <c r="H10677" s="1"/>
      <c r="I10677" s="1"/>
    </row>
    <row r="10678" spans="8:9" x14ac:dyDescent="0.2">
      <c r="H10678" s="1"/>
      <c r="I10678" s="1"/>
    </row>
    <row r="10679" spans="8:9" x14ac:dyDescent="0.2">
      <c r="H10679" s="1"/>
      <c r="I10679" s="1"/>
    </row>
    <row r="10680" spans="8:9" x14ac:dyDescent="0.2">
      <c r="H10680" s="1"/>
      <c r="I10680" s="1"/>
    </row>
    <row r="10681" spans="8:9" x14ac:dyDescent="0.2">
      <c r="H10681" s="1"/>
      <c r="I10681" s="1"/>
    </row>
    <row r="10682" spans="8:9" x14ac:dyDescent="0.2">
      <c r="H10682" s="1"/>
      <c r="I10682" s="1"/>
    </row>
    <row r="10683" spans="8:9" x14ac:dyDescent="0.2">
      <c r="H10683" s="1"/>
      <c r="I10683" s="1"/>
    </row>
    <row r="10684" spans="8:9" x14ac:dyDescent="0.2">
      <c r="H10684" s="1"/>
      <c r="I10684" s="1"/>
    </row>
    <row r="10685" spans="8:9" x14ac:dyDescent="0.2">
      <c r="H10685" s="1"/>
      <c r="I10685" s="1"/>
    </row>
    <row r="10686" spans="8:9" x14ac:dyDescent="0.2">
      <c r="H10686" s="1"/>
      <c r="I10686" s="1"/>
    </row>
    <row r="10687" spans="8:9" x14ac:dyDescent="0.2">
      <c r="H10687" s="1"/>
      <c r="I10687" s="1"/>
    </row>
    <row r="10688" spans="8:9" x14ac:dyDescent="0.2">
      <c r="H10688" s="1"/>
      <c r="I10688" s="1"/>
    </row>
    <row r="10689" spans="8:9" x14ac:dyDescent="0.2">
      <c r="H10689" s="1"/>
      <c r="I10689" s="1"/>
    </row>
    <row r="10690" spans="8:9" x14ac:dyDescent="0.2">
      <c r="H10690" s="1"/>
      <c r="I10690" s="1"/>
    </row>
    <row r="10691" spans="8:9" x14ac:dyDescent="0.2">
      <c r="H10691" s="1"/>
      <c r="I10691" s="1"/>
    </row>
    <row r="10692" spans="8:9" x14ac:dyDescent="0.2">
      <c r="H10692" s="1"/>
      <c r="I10692" s="1"/>
    </row>
    <row r="10693" spans="8:9" x14ac:dyDescent="0.2">
      <c r="H10693" s="1"/>
      <c r="I10693" s="1"/>
    </row>
    <row r="10694" spans="8:9" x14ac:dyDescent="0.2">
      <c r="H10694" s="1"/>
      <c r="I10694" s="1"/>
    </row>
    <row r="10695" spans="8:9" x14ac:dyDescent="0.2">
      <c r="H10695" s="1"/>
      <c r="I10695" s="1"/>
    </row>
    <row r="10696" spans="8:9" x14ac:dyDescent="0.2">
      <c r="H10696" s="1"/>
      <c r="I10696" s="1"/>
    </row>
    <row r="10697" spans="8:9" x14ac:dyDescent="0.2">
      <c r="H10697" s="1"/>
      <c r="I10697" s="1"/>
    </row>
    <row r="10698" spans="8:9" x14ac:dyDescent="0.2">
      <c r="H10698" s="1"/>
      <c r="I10698" s="1"/>
    </row>
    <row r="10699" spans="8:9" x14ac:dyDescent="0.2">
      <c r="H10699" s="1"/>
      <c r="I10699" s="1"/>
    </row>
    <row r="10700" spans="8:9" x14ac:dyDescent="0.2">
      <c r="H10700" s="1"/>
      <c r="I10700" s="1"/>
    </row>
    <row r="10701" spans="8:9" x14ac:dyDescent="0.2">
      <c r="H10701" s="1"/>
      <c r="I10701" s="1"/>
    </row>
    <row r="10702" spans="8:9" x14ac:dyDescent="0.2">
      <c r="H10702" s="1"/>
      <c r="I10702" s="1"/>
    </row>
    <row r="10703" spans="8:9" x14ac:dyDescent="0.2">
      <c r="H10703" s="1"/>
      <c r="I10703" s="1"/>
    </row>
    <row r="10704" spans="8:9" x14ac:dyDescent="0.2">
      <c r="H10704" s="1"/>
      <c r="I10704" s="1"/>
    </row>
    <row r="10705" spans="8:9" x14ac:dyDescent="0.2">
      <c r="H10705" s="1"/>
      <c r="I10705" s="1"/>
    </row>
    <row r="10706" spans="8:9" x14ac:dyDescent="0.2">
      <c r="H10706" s="1"/>
      <c r="I10706" s="1"/>
    </row>
    <row r="10707" spans="8:9" x14ac:dyDescent="0.2">
      <c r="H10707" s="1"/>
      <c r="I10707" s="1"/>
    </row>
    <row r="10708" spans="8:9" x14ac:dyDescent="0.2">
      <c r="H10708" s="1"/>
      <c r="I10708" s="1"/>
    </row>
    <row r="10709" spans="8:9" x14ac:dyDescent="0.2">
      <c r="H10709" s="1"/>
      <c r="I10709" s="1"/>
    </row>
    <row r="10710" spans="8:9" x14ac:dyDescent="0.2">
      <c r="H10710" s="1"/>
      <c r="I10710" s="1"/>
    </row>
    <row r="10711" spans="8:9" x14ac:dyDescent="0.2">
      <c r="H10711" s="1"/>
      <c r="I10711" s="1"/>
    </row>
    <row r="10712" spans="8:9" x14ac:dyDescent="0.2">
      <c r="H10712" s="1"/>
      <c r="I10712" s="1"/>
    </row>
    <row r="10713" spans="8:9" x14ac:dyDescent="0.2">
      <c r="H10713" s="1"/>
      <c r="I10713" s="1"/>
    </row>
    <row r="10714" spans="8:9" x14ac:dyDescent="0.2">
      <c r="H10714" s="1"/>
      <c r="I10714" s="1"/>
    </row>
    <row r="10715" spans="8:9" x14ac:dyDescent="0.2">
      <c r="H10715" s="1"/>
      <c r="I10715" s="1"/>
    </row>
    <row r="10716" spans="8:9" x14ac:dyDescent="0.2">
      <c r="H10716" s="1"/>
      <c r="I10716" s="1"/>
    </row>
    <row r="10717" spans="8:9" x14ac:dyDescent="0.2">
      <c r="H10717" s="1"/>
      <c r="I10717" s="1"/>
    </row>
    <row r="10718" spans="8:9" x14ac:dyDescent="0.2">
      <c r="H10718" s="1"/>
      <c r="I10718" s="1"/>
    </row>
    <row r="10719" spans="8:9" x14ac:dyDescent="0.2">
      <c r="H10719" s="1"/>
      <c r="I10719" s="1"/>
    </row>
    <row r="10720" spans="8:9" x14ac:dyDescent="0.2">
      <c r="H10720" s="1"/>
      <c r="I10720" s="1"/>
    </row>
    <row r="10721" spans="8:9" x14ac:dyDescent="0.2">
      <c r="H10721" s="1"/>
      <c r="I10721" s="1"/>
    </row>
    <row r="10722" spans="8:9" x14ac:dyDescent="0.2">
      <c r="H10722" s="1"/>
      <c r="I10722" s="1"/>
    </row>
    <row r="10723" spans="8:9" x14ac:dyDescent="0.2">
      <c r="H10723" s="1"/>
      <c r="I10723" s="1"/>
    </row>
    <row r="10724" spans="8:9" x14ac:dyDescent="0.2">
      <c r="H10724" s="1"/>
      <c r="I10724" s="1"/>
    </row>
    <row r="10725" spans="8:9" x14ac:dyDescent="0.2">
      <c r="H10725" s="1"/>
      <c r="I10725" s="1"/>
    </row>
    <row r="10726" spans="8:9" x14ac:dyDescent="0.2">
      <c r="H10726" s="1"/>
      <c r="I10726" s="1"/>
    </row>
    <row r="10727" spans="8:9" x14ac:dyDescent="0.2">
      <c r="H10727" s="1"/>
      <c r="I10727" s="1"/>
    </row>
    <row r="10728" spans="8:9" x14ac:dyDescent="0.2">
      <c r="H10728" s="1"/>
      <c r="I10728" s="1"/>
    </row>
    <row r="10729" spans="8:9" x14ac:dyDescent="0.2">
      <c r="H10729" s="1"/>
      <c r="I10729" s="1"/>
    </row>
    <row r="10730" spans="8:9" x14ac:dyDescent="0.2">
      <c r="H10730" s="1"/>
      <c r="I10730" s="1"/>
    </row>
    <row r="10731" spans="8:9" x14ac:dyDescent="0.2">
      <c r="H10731" s="1"/>
      <c r="I10731" s="1"/>
    </row>
    <row r="10732" spans="8:9" x14ac:dyDescent="0.2">
      <c r="H10732" s="1"/>
      <c r="I10732" s="1"/>
    </row>
    <row r="10733" spans="8:9" x14ac:dyDescent="0.2">
      <c r="H10733" s="1"/>
      <c r="I10733" s="1"/>
    </row>
    <row r="10734" spans="8:9" x14ac:dyDescent="0.2">
      <c r="H10734" s="1"/>
      <c r="I10734" s="1"/>
    </row>
    <row r="10735" spans="8:9" x14ac:dyDescent="0.2">
      <c r="H10735" s="1"/>
      <c r="I10735" s="1"/>
    </row>
    <row r="10736" spans="8:9" x14ac:dyDescent="0.2">
      <c r="H10736" s="1"/>
      <c r="I10736" s="1"/>
    </row>
    <row r="10737" spans="8:9" x14ac:dyDescent="0.2">
      <c r="H10737" s="1"/>
      <c r="I10737" s="1"/>
    </row>
    <row r="10738" spans="8:9" x14ac:dyDescent="0.2">
      <c r="H10738" s="1"/>
      <c r="I10738" s="1"/>
    </row>
    <row r="10739" spans="8:9" x14ac:dyDescent="0.2">
      <c r="H10739" s="1"/>
      <c r="I10739" s="1"/>
    </row>
    <row r="10740" spans="8:9" x14ac:dyDescent="0.2">
      <c r="H10740" s="1"/>
      <c r="I10740" s="1"/>
    </row>
    <row r="10741" spans="8:9" x14ac:dyDescent="0.2">
      <c r="H10741" s="1"/>
      <c r="I10741" s="1"/>
    </row>
    <row r="10742" spans="8:9" x14ac:dyDescent="0.2">
      <c r="H10742" s="1"/>
      <c r="I10742" s="1"/>
    </row>
    <row r="10743" spans="8:9" x14ac:dyDescent="0.2">
      <c r="H10743" s="1"/>
      <c r="I10743" s="1"/>
    </row>
    <row r="10744" spans="8:9" x14ac:dyDescent="0.2">
      <c r="H10744" s="1"/>
      <c r="I10744" s="1"/>
    </row>
    <row r="10745" spans="8:9" x14ac:dyDescent="0.2">
      <c r="H10745" s="1"/>
      <c r="I10745" s="1"/>
    </row>
    <row r="10746" spans="8:9" x14ac:dyDescent="0.2">
      <c r="H10746" s="1"/>
      <c r="I10746" s="1"/>
    </row>
    <row r="10747" spans="8:9" x14ac:dyDescent="0.2">
      <c r="H10747" s="1"/>
      <c r="I10747" s="1"/>
    </row>
    <row r="10748" spans="8:9" x14ac:dyDescent="0.2">
      <c r="H10748" s="1"/>
      <c r="I10748" s="1"/>
    </row>
    <row r="10749" spans="8:9" x14ac:dyDescent="0.2">
      <c r="H10749" s="1"/>
      <c r="I10749" s="1"/>
    </row>
    <row r="10750" spans="8:9" x14ac:dyDescent="0.2">
      <c r="H10750" s="1"/>
      <c r="I10750" s="1"/>
    </row>
    <row r="10751" spans="8:9" x14ac:dyDescent="0.2">
      <c r="H10751" s="1"/>
      <c r="I10751" s="1"/>
    </row>
    <row r="10752" spans="8:9" x14ac:dyDescent="0.2">
      <c r="H10752" s="1"/>
      <c r="I10752" s="1"/>
    </row>
    <row r="10753" spans="8:9" x14ac:dyDescent="0.2">
      <c r="H10753" s="1"/>
      <c r="I10753" s="1"/>
    </row>
    <row r="10754" spans="8:9" x14ac:dyDescent="0.2">
      <c r="H10754" s="1"/>
      <c r="I10754" s="1"/>
    </row>
    <row r="10755" spans="8:9" x14ac:dyDescent="0.2">
      <c r="H10755" s="1"/>
      <c r="I10755" s="1"/>
    </row>
    <row r="10756" spans="8:9" x14ac:dyDescent="0.2">
      <c r="H10756" s="1"/>
      <c r="I10756" s="1"/>
    </row>
    <row r="10757" spans="8:9" x14ac:dyDescent="0.2">
      <c r="H10757" s="1"/>
      <c r="I10757" s="1"/>
    </row>
    <row r="10758" spans="8:9" x14ac:dyDescent="0.2">
      <c r="H10758" s="1"/>
      <c r="I10758" s="1"/>
    </row>
    <row r="10759" spans="8:9" x14ac:dyDescent="0.2">
      <c r="H10759" s="1"/>
      <c r="I10759" s="1"/>
    </row>
    <row r="10760" spans="8:9" x14ac:dyDescent="0.2">
      <c r="H10760" s="1"/>
      <c r="I10760" s="1"/>
    </row>
    <row r="10761" spans="8:9" x14ac:dyDescent="0.2">
      <c r="H10761" s="1"/>
      <c r="I10761" s="1"/>
    </row>
    <row r="10762" spans="8:9" x14ac:dyDescent="0.2">
      <c r="H10762" s="1"/>
      <c r="I10762" s="1"/>
    </row>
    <row r="10763" spans="8:9" x14ac:dyDescent="0.2">
      <c r="H10763" s="1"/>
      <c r="I10763" s="1"/>
    </row>
    <row r="10764" spans="8:9" x14ac:dyDescent="0.2">
      <c r="H10764" s="1"/>
      <c r="I10764" s="1"/>
    </row>
    <row r="10765" spans="8:9" x14ac:dyDescent="0.2">
      <c r="H10765" s="1"/>
      <c r="I10765" s="1"/>
    </row>
    <row r="10766" spans="8:9" x14ac:dyDescent="0.2">
      <c r="H10766" s="1"/>
      <c r="I10766" s="1"/>
    </row>
    <row r="10767" spans="8:9" x14ac:dyDescent="0.2">
      <c r="H10767" s="1"/>
      <c r="I10767" s="1"/>
    </row>
    <row r="10768" spans="8:9" x14ac:dyDescent="0.2">
      <c r="H10768" s="1"/>
      <c r="I10768" s="1"/>
    </row>
    <row r="10769" spans="8:9" x14ac:dyDescent="0.2">
      <c r="H10769" s="1"/>
      <c r="I10769" s="1"/>
    </row>
    <row r="10770" spans="8:9" x14ac:dyDescent="0.2">
      <c r="H10770" s="1"/>
      <c r="I10770" s="1"/>
    </row>
    <row r="10771" spans="8:9" x14ac:dyDescent="0.2">
      <c r="H10771" s="1"/>
      <c r="I10771" s="1"/>
    </row>
    <row r="10772" spans="8:9" x14ac:dyDescent="0.2">
      <c r="H10772" s="1"/>
      <c r="I10772" s="1"/>
    </row>
    <row r="10773" spans="8:9" x14ac:dyDescent="0.2">
      <c r="H10773" s="1"/>
      <c r="I10773" s="1"/>
    </row>
    <row r="10774" spans="8:9" x14ac:dyDescent="0.2">
      <c r="H10774" s="1"/>
      <c r="I10774" s="1"/>
    </row>
    <row r="10775" spans="8:9" x14ac:dyDescent="0.2">
      <c r="H10775" s="1"/>
      <c r="I10775" s="1"/>
    </row>
    <row r="10776" spans="8:9" x14ac:dyDescent="0.2">
      <c r="H10776" s="1"/>
      <c r="I10776" s="1"/>
    </row>
    <row r="10777" spans="8:9" x14ac:dyDescent="0.2">
      <c r="H10777" s="1"/>
      <c r="I10777" s="1"/>
    </row>
    <row r="10778" spans="8:9" x14ac:dyDescent="0.2">
      <c r="H10778" s="1"/>
      <c r="I10778" s="1"/>
    </row>
    <row r="10779" spans="8:9" x14ac:dyDescent="0.2">
      <c r="H10779" s="1"/>
      <c r="I10779" s="1"/>
    </row>
    <row r="10780" spans="8:9" x14ac:dyDescent="0.2">
      <c r="H10780" s="1"/>
      <c r="I10780" s="1"/>
    </row>
    <row r="10781" spans="8:9" x14ac:dyDescent="0.2">
      <c r="H10781" s="1"/>
      <c r="I10781" s="1"/>
    </row>
    <row r="10782" spans="8:9" x14ac:dyDescent="0.2">
      <c r="H10782" s="1"/>
      <c r="I10782" s="1"/>
    </row>
    <row r="10783" spans="8:9" x14ac:dyDescent="0.2">
      <c r="H10783" s="1"/>
      <c r="I10783" s="1"/>
    </row>
    <row r="10784" spans="8:9" x14ac:dyDescent="0.2">
      <c r="H10784" s="1"/>
      <c r="I10784" s="1"/>
    </row>
    <row r="10785" spans="8:9" x14ac:dyDescent="0.2">
      <c r="H10785" s="1"/>
      <c r="I10785" s="1"/>
    </row>
    <row r="10786" spans="8:9" x14ac:dyDescent="0.2">
      <c r="H10786" s="1"/>
      <c r="I10786" s="1"/>
    </row>
    <row r="10787" spans="8:9" x14ac:dyDescent="0.2">
      <c r="H10787" s="1"/>
      <c r="I10787" s="1"/>
    </row>
    <row r="10788" spans="8:9" x14ac:dyDescent="0.2">
      <c r="H10788" s="1"/>
      <c r="I10788" s="1"/>
    </row>
    <row r="10789" spans="8:9" x14ac:dyDescent="0.2">
      <c r="H10789" s="1"/>
      <c r="I10789" s="1"/>
    </row>
    <row r="10790" spans="8:9" x14ac:dyDescent="0.2">
      <c r="H10790" s="1"/>
      <c r="I10790" s="1"/>
    </row>
    <row r="10791" spans="8:9" x14ac:dyDescent="0.2">
      <c r="H10791" s="1"/>
      <c r="I10791" s="1"/>
    </row>
    <row r="10792" spans="8:9" x14ac:dyDescent="0.2">
      <c r="H10792" s="1"/>
      <c r="I10792" s="1"/>
    </row>
    <row r="10793" spans="8:9" x14ac:dyDescent="0.2">
      <c r="H10793" s="1"/>
      <c r="I10793" s="1"/>
    </row>
    <row r="10794" spans="8:9" x14ac:dyDescent="0.2">
      <c r="H10794" s="1"/>
      <c r="I10794" s="1"/>
    </row>
    <row r="10795" spans="8:9" x14ac:dyDescent="0.2">
      <c r="H10795" s="1"/>
      <c r="I10795" s="1"/>
    </row>
    <row r="10796" spans="8:9" x14ac:dyDescent="0.2">
      <c r="H10796" s="1"/>
      <c r="I10796" s="1"/>
    </row>
    <row r="10797" spans="8:9" x14ac:dyDescent="0.2">
      <c r="H10797" s="1"/>
      <c r="I10797" s="1"/>
    </row>
    <row r="10798" spans="8:9" x14ac:dyDescent="0.2">
      <c r="H10798" s="1"/>
      <c r="I10798" s="1"/>
    </row>
    <row r="10799" spans="8:9" x14ac:dyDescent="0.2">
      <c r="H10799" s="1"/>
      <c r="I10799" s="1"/>
    </row>
    <row r="10800" spans="8:9" x14ac:dyDescent="0.2">
      <c r="H10800" s="1"/>
      <c r="I10800" s="1"/>
    </row>
    <row r="10801" spans="8:9" x14ac:dyDescent="0.2">
      <c r="H10801" s="1"/>
      <c r="I10801" s="1"/>
    </row>
    <row r="10802" spans="8:9" x14ac:dyDescent="0.2">
      <c r="H10802" s="1"/>
      <c r="I10802" s="1"/>
    </row>
    <row r="10803" spans="8:9" x14ac:dyDescent="0.2">
      <c r="H10803" s="1"/>
      <c r="I10803" s="1"/>
    </row>
    <row r="10804" spans="8:9" x14ac:dyDescent="0.2">
      <c r="H10804" s="1"/>
      <c r="I10804" s="1"/>
    </row>
    <row r="10805" spans="8:9" x14ac:dyDescent="0.2">
      <c r="H10805" s="1"/>
      <c r="I10805" s="1"/>
    </row>
    <row r="10806" spans="8:9" x14ac:dyDescent="0.2">
      <c r="H10806" s="1"/>
      <c r="I10806" s="1"/>
    </row>
    <row r="10807" spans="8:9" x14ac:dyDescent="0.2">
      <c r="H10807" s="1"/>
      <c r="I10807" s="1"/>
    </row>
    <row r="10808" spans="8:9" x14ac:dyDescent="0.2">
      <c r="H10808" s="1"/>
      <c r="I10808" s="1"/>
    </row>
    <row r="10809" spans="8:9" x14ac:dyDescent="0.2">
      <c r="H10809" s="1"/>
      <c r="I10809" s="1"/>
    </row>
    <row r="10810" spans="8:9" x14ac:dyDescent="0.2">
      <c r="H10810" s="1"/>
      <c r="I10810" s="1"/>
    </row>
    <row r="10811" spans="8:9" x14ac:dyDescent="0.2">
      <c r="H10811" s="1"/>
      <c r="I10811" s="1"/>
    </row>
    <row r="10812" spans="8:9" x14ac:dyDescent="0.2">
      <c r="H10812" s="1"/>
      <c r="I10812" s="1"/>
    </row>
    <row r="10813" spans="8:9" x14ac:dyDescent="0.2">
      <c r="H10813" s="1"/>
      <c r="I10813" s="1"/>
    </row>
    <row r="10814" spans="8:9" x14ac:dyDescent="0.2">
      <c r="H10814" s="1"/>
      <c r="I10814" s="1"/>
    </row>
    <row r="10815" spans="8:9" x14ac:dyDescent="0.2">
      <c r="H10815" s="1"/>
      <c r="I10815" s="1"/>
    </row>
    <row r="10816" spans="8:9" x14ac:dyDescent="0.2">
      <c r="H10816" s="1"/>
      <c r="I10816" s="1"/>
    </row>
    <row r="10817" spans="8:9" x14ac:dyDescent="0.2">
      <c r="H10817" s="1"/>
      <c r="I10817" s="1"/>
    </row>
    <row r="10818" spans="8:9" x14ac:dyDescent="0.2">
      <c r="H10818" s="1"/>
      <c r="I10818" s="1"/>
    </row>
    <row r="10819" spans="8:9" x14ac:dyDescent="0.2">
      <c r="H10819" s="1"/>
      <c r="I10819" s="1"/>
    </row>
    <row r="10820" spans="8:9" x14ac:dyDescent="0.2">
      <c r="H10820" s="1"/>
      <c r="I10820" s="1"/>
    </row>
    <row r="10821" spans="8:9" x14ac:dyDescent="0.2">
      <c r="H10821" s="1"/>
      <c r="I10821" s="1"/>
    </row>
    <row r="10822" spans="8:9" x14ac:dyDescent="0.2">
      <c r="H10822" s="1"/>
      <c r="I10822" s="1"/>
    </row>
    <row r="10823" spans="8:9" x14ac:dyDescent="0.2">
      <c r="H10823" s="1"/>
      <c r="I10823" s="1"/>
    </row>
    <row r="10824" spans="8:9" x14ac:dyDescent="0.2">
      <c r="H10824" s="1"/>
      <c r="I10824" s="1"/>
    </row>
    <row r="10825" spans="8:9" x14ac:dyDescent="0.2">
      <c r="H10825" s="1"/>
      <c r="I10825" s="1"/>
    </row>
    <row r="10826" spans="8:9" x14ac:dyDescent="0.2">
      <c r="H10826" s="1"/>
      <c r="I10826" s="1"/>
    </row>
    <row r="10827" spans="8:9" x14ac:dyDescent="0.2">
      <c r="H10827" s="1"/>
      <c r="I10827" s="1"/>
    </row>
    <row r="10828" spans="8:9" x14ac:dyDescent="0.2">
      <c r="H10828" s="1"/>
      <c r="I10828" s="1"/>
    </row>
    <row r="10829" spans="8:9" x14ac:dyDescent="0.2">
      <c r="H10829" s="1"/>
      <c r="I10829" s="1"/>
    </row>
    <row r="10830" spans="8:9" x14ac:dyDescent="0.2">
      <c r="H10830" s="1"/>
      <c r="I10830" s="1"/>
    </row>
    <row r="10831" spans="8:9" x14ac:dyDescent="0.2">
      <c r="H10831" s="1"/>
      <c r="I10831" s="1"/>
    </row>
    <row r="10832" spans="8:9" x14ac:dyDescent="0.2">
      <c r="H10832" s="1"/>
      <c r="I10832" s="1"/>
    </row>
    <row r="10833" spans="8:9" x14ac:dyDescent="0.2">
      <c r="H10833" s="1"/>
      <c r="I10833" s="1"/>
    </row>
    <row r="10834" spans="8:9" x14ac:dyDescent="0.2">
      <c r="H10834" s="1"/>
      <c r="I10834" s="1"/>
    </row>
    <row r="10835" spans="8:9" x14ac:dyDescent="0.2">
      <c r="H10835" s="1"/>
      <c r="I10835" s="1"/>
    </row>
    <row r="10836" spans="8:9" x14ac:dyDescent="0.2">
      <c r="H10836" s="1"/>
      <c r="I10836" s="1"/>
    </row>
    <row r="10837" spans="8:9" x14ac:dyDescent="0.2">
      <c r="H10837" s="1"/>
      <c r="I10837" s="1"/>
    </row>
    <row r="10838" spans="8:9" x14ac:dyDescent="0.2">
      <c r="H10838" s="1"/>
      <c r="I10838" s="1"/>
    </row>
    <row r="10839" spans="8:9" x14ac:dyDescent="0.2">
      <c r="H10839" s="1"/>
      <c r="I10839" s="1"/>
    </row>
    <row r="10840" spans="8:9" x14ac:dyDescent="0.2">
      <c r="H10840" s="1"/>
      <c r="I10840" s="1"/>
    </row>
    <row r="10841" spans="8:9" x14ac:dyDescent="0.2">
      <c r="H10841" s="1"/>
      <c r="I10841" s="1"/>
    </row>
    <row r="10842" spans="8:9" x14ac:dyDescent="0.2">
      <c r="H10842" s="1"/>
      <c r="I10842" s="1"/>
    </row>
    <row r="10843" spans="8:9" x14ac:dyDescent="0.2">
      <c r="H10843" s="1"/>
      <c r="I10843" s="1"/>
    </row>
    <row r="10844" spans="8:9" x14ac:dyDescent="0.2">
      <c r="H10844" s="1"/>
      <c r="I10844" s="1"/>
    </row>
    <row r="10845" spans="8:9" x14ac:dyDescent="0.2">
      <c r="H10845" s="1"/>
      <c r="I10845" s="1"/>
    </row>
    <row r="10846" spans="8:9" x14ac:dyDescent="0.2">
      <c r="H10846" s="1"/>
      <c r="I10846" s="1"/>
    </row>
    <row r="10847" spans="8:9" x14ac:dyDescent="0.2">
      <c r="H10847" s="1"/>
      <c r="I10847" s="1"/>
    </row>
    <row r="10848" spans="8:9" x14ac:dyDescent="0.2">
      <c r="H10848" s="1"/>
      <c r="I10848" s="1"/>
    </row>
    <row r="10849" spans="8:9" x14ac:dyDescent="0.2">
      <c r="H10849" s="1"/>
      <c r="I10849" s="1"/>
    </row>
    <row r="10850" spans="8:9" x14ac:dyDescent="0.2">
      <c r="H10850" s="1"/>
      <c r="I10850" s="1"/>
    </row>
    <row r="10851" spans="8:9" x14ac:dyDescent="0.2">
      <c r="H10851" s="1"/>
      <c r="I10851" s="1"/>
    </row>
    <row r="10852" spans="8:9" x14ac:dyDescent="0.2">
      <c r="H10852" s="1"/>
      <c r="I10852" s="1"/>
    </row>
    <row r="10853" spans="8:9" x14ac:dyDescent="0.2">
      <c r="H10853" s="1"/>
      <c r="I10853" s="1"/>
    </row>
    <row r="10854" spans="8:9" x14ac:dyDescent="0.2">
      <c r="H10854" s="1"/>
      <c r="I10854" s="1"/>
    </row>
    <row r="10855" spans="8:9" x14ac:dyDescent="0.2">
      <c r="H10855" s="1"/>
      <c r="I10855" s="1"/>
    </row>
    <row r="10856" spans="8:9" x14ac:dyDescent="0.2">
      <c r="H10856" s="1"/>
      <c r="I10856" s="1"/>
    </row>
    <row r="10857" spans="8:9" x14ac:dyDescent="0.2">
      <c r="H10857" s="1"/>
      <c r="I10857" s="1"/>
    </row>
    <row r="10858" spans="8:9" x14ac:dyDescent="0.2">
      <c r="H10858" s="1"/>
      <c r="I10858" s="1"/>
    </row>
    <row r="10859" spans="8:9" x14ac:dyDescent="0.2">
      <c r="H10859" s="1"/>
      <c r="I10859" s="1"/>
    </row>
    <row r="10860" spans="8:9" x14ac:dyDescent="0.2">
      <c r="H10860" s="1"/>
      <c r="I10860" s="1"/>
    </row>
    <row r="10861" spans="8:9" x14ac:dyDescent="0.2">
      <c r="H10861" s="1"/>
      <c r="I10861" s="1"/>
    </row>
    <row r="10862" spans="8:9" x14ac:dyDescent="0.2">
      <c r="H10862" s="1"/>
      <c r="I10862" s="1"/>
    </row>
    <row r="10863" spans="8:9" x14ac:dyDescent="0.2">
      <c r="H10863" s="1"/>
      <c r="I10863" s="1"/>
    </row>
    <row r="10864" spans="8:9" x14ac:dyDescent="0.2">
      <c r="H10864" s="1"/>
      <c r="I10864" s="1"/>
    </row>
    <row r="10865" spans="8:9" x14ac:dyDescent="0.2">
      <c r="H10865" s="1"/>
      <c r="I10865" s="1"/>
    </row>
    <row r="10866" spans="8:9" x14ac:dyDescent="0.2">
      <c r="H10866" s="1"/>
      <c r="I10866" s="1"/>
    </row>
    <row r="10867" spans="8:9" x14ac:dyDescent="0.2">
      <c r="H10867" s="1"/>
      <c r="I10867" s="1"/>
    </row>
    <row r="10868" spans="8:9" x14ac:dyDescent="0.2">
      <c r="H10868" s="1"/>
      <c r="I10868" s="1"/>
    </row>
    <row r="10869" spans="8:9" x14ac:dyDescent="0.2">
      <c r="H10869" s="1"/>
      <c r="I10869" s="1"/>
    </row>
    <row r="10870" spans="8:9" x14ac:dyDescent="0.2">
      <c r="H10870" s="1"/>
      <c r="I10870" s="1"/>
    </row>
    <row r="10871" spans="8:9" x14ac:dyDescent="0.2">
      <c r="H10871" s="1"/>
      <c r="I10871" s="1"/>
    </row>
    <row r="10872" spans="8:9" x14ac:dyDescent="0.2">
      <c r="H10872" s="1"/>
      <c r="I10872" s="1"/>
    </row>
    <row r="10873" spans="8:9" x14ac:dyDescent="0.2">
      <c r="H10873" s="1"/>
      <c r="I10873" s="1"/>
    </row>
    <row r="10874" spans="8:9" x14ac:dyDescent="0.2">
      <c r="H10874" s="1"/>
      <c r="I10874" s="1"/>
    </row>
    <row r="10875" spans="8:9" x14ac:dyDescent="0.2">
      <c r="H10875" s="1"/>
      <c r="I10875" s="1"/>
    </row>
    <row r="10876" spans="8:9" x14ac:dyDescent="0.2">
      <c r="H10876" s="1"/>
      <c r="I10876" s="1"/>
    </row>
    <row r="10877" spans="8:9" x14ac:dyDescent="0.2">
      <c r="H10877" s="1"/>
      <c r="I10877" s="1"/>
    </row>
    <row r="10878" spans="8:9" x14ac:dyDescent="0.2">
      <c r="H10878" s="1"/>
      <c r="I10878" s="1"/>
    </row>
    <row r="10879" spans="8:9" x14ac:dyDescent="0.2">
      <c r="H10879" s="1"/>
      <c r="I10879" s="1"/>
    </row>
    <row r="10880" spans="8:9" x14ac:dyDescent="0.2">
      <c r="H10880" s="1"/>
      <c r="I10880" s="1"/>
    </row>
    <row r="10881" spans="8:9" x14ac:dyDescent="0.2">
      <c r="H10881" s="1"/>
      <c r="I10881" s="1"/>
    </row>
    <row r="10882" spans="8:9" x14ac:dyDescent="0.2">
      <c r="H10882" s="1"/>
      <c r="I10882" s="1"/>
    </row>
    <row r="10883" spans="8:9" x14ac:dyDescent="0.2">
      <c r="H10883" s="1"/>
      <c r="I10883" s="1"/>
    </row>
    <row r="10884" spans="8:9" x14ac:dyDescent="0.2">
      <c r="H10884" s="1"/>
      <c r="I10884" s="1"/>
    </row>
    <row r="10885" spans="8:9" x14ac:dyDescent="0.2">
      <c r="H10885" s="1"/>
      <c r="I10885" s="1"/>
    </row>
    <row r="10886" spans="8:9" x14ac:dyDescent="0.2">
      <c r="H10886" s="1"/>
      <c r="I10886" s="1"/>
    </row>
    <row r="10887" spans="8:9" x14ac:dyDescent="0.2">
      <c r="H10887" s="1"/>
      <c r="I10887" s="1"/>
    </row>
    <row r="10888" spans="8:9" x14ac:dyDescent="0.2">
      <c r="H10888" s="1"/>
      <c r="I10888" s="1"/>
    </row>
    <row r="10889" spans="8:9" x14ac:dyDescent="0.2">
      <c r="H10889" s="1"/>
      <c r="I10889" s="1"/>
    </row>
    <row r="10890" spans="8:9" x14ac:dyDescent="0.2">
      <c r="H10890" s="1"/>
      <c r="I10890" s="1"/>
    </row>
    <row r="10891" spans="8:9" x14ac:dyDescent="0.2">
      <c r="H10891" s="1"/>
      <c r="I10891" s="1"/>
    </row>
    <row r="10892" spans="8:9" x14ac:dyDescent="0.2">
      <c r="H10892" s="1"/>
      <c r="I10892" s="1"/>
    </row>
    <row r="10893" spans="8:9" x14ac:dyDescent="0.2">
      <c r="H10893" s="1"/>
      <c r="I10893" s="1"/>
    </row>
    <row r="10894" spans="8:9" x14ac:dyDescent="0.2">
      <c r="H10894" s="1"/>
      <c r="I10894" s="1"/>
    </row>
    <row r="10895" spans="8:9" x14ac:dyDescent="0.2">
      <c r="H10895" s="1"/>
      <c r="I10895" s="1"/>
    </row>
    <row r="10896" spans="8:9" x14ac:dyDescent="0.2">
      <c r="H10896" s="1"/>
      <c r="I10896" s="1"/>
    </row>
    <row r="10897" spans="8:9" x14ac:dyDescent="0.2">
      <c r="H10897" s="1"/>
      <c r="I10897" s="1"/>
    </row>
    <row r="10898" spans="8:9" x14ac:dyDescent="0.2">
      <c r="H10898" s="1"/>
      <c r="I10898" s="1"/>
    </row>
    <row r="10899" spans="8:9" x14ac:dyDescent="0.2">
      <c r="H10899" s="1"/>
      <c r="I10899" s="1"/>
    </row>
    <row r="10900" spans="8:9" x14ac:dyDescent="0.2">
      <c r="H10900" s="1"/>
      <c r="I10900" s="1"/>
    </row>
    <row r="10901" spans="8:9" x14ac:dyDescent="0.2">
      <c r="H10901" s="1"/>
      <c r="I10901" s="1"/>
    </row>
    <row r="10902" spans="8:9" x14ac:dyDescent="0.2">
      <c r="H10902" s="1"/>
      <c r="I10902" s="1"/>
    </row>
    <row r="10903" spans="8:9" x14ac:dyDescent="0.2">
      <c r="H10903" s="1"/>
      <c r="I10903" s="1"/>
    </row>
    <row r="10904" spans="8:9" x14ac:dyDescent="0.2">
      <c r="H10904" s="1"/>
      <c r="I10904" s="1"/>
    </row>
    <row r="10905" spans="8:9" x14ac:dyDescent="0.2">
      <c r="H10905" s="1"/>
      <c r="I10905" s="1"/>
    </row>
    <row r="10906" spans="8:9" x14ac:dyDescent="0.2">
      <c r="H10906" s="1"/>
      <c r="I10906" s="1"/>
    </row>
    <row r="10907" spans="8:9" x14ac:dyDescent="0.2">
      <c r="H10907" s="1"/>
      <c r="I10907" s="1"/>
    </row>
    <row r="10908" spans="8:9" x14ac:dyDescent="0.2">
      <c r="H10908" s="1"/>
      <c r="I10908" s="1"/>
    </row>
    <row r="10909" spans="8:9" x14ac:dyDescent="0.2">
      <c r="H10909" s="1"/>
      <c r="I10909" s="1"/>
    </row>
    <row r="10910" spans="8:9" x14ac:dyDescent="0.2">
      <c r="H10910" s="1"/>
      <c r="I10910" s="1"/>
    </row>
    <row r="10911" spans="8:9" x14ac:dyDescent="0.2">
      <c r="H10911" s="1"/>
      <c r="I10911" s="1"/>
    </row>
    <row r="10912" spans="8:9" x14ac:dyDescent="0.2">
      <c r="H10912" s="1"/>
      <c r="I10912" s="1"/>
    </row>
    <row r="10913" spans="8:9" x14ac:dyDescent="0.2">
      <c r="H10913" s="1"/>
      <c r="I10913" s="1"/>
    </row>
    <row r="10914" spans="8:9" x14ac:dyDescent="0.2">
      <c r="H10914" s="1"/>
      <c r="I10914" s="1"/>
    </row>
    <row r="10915" spans="8:9" x14ac:dyDescent="0.2">
      <c r="H10915" s="1"/>
      <c r="I10915" s="1"/>
    </row>
    <row r="10916" spans="8:9" x14ac:dyDescent="0.2">
      <c r="H10916" s="1"/>
      <c r="I10916" s="1"/>
    </row>
    <row r="10917" spans="8:9" x14ac:dyDescent="0.2">
      <c r="H10917" s="1"/>
      <c r="I10917" s="1"/>
    </row>
    <row r="10918" spans="8:9" x14ac:dyDescent="0.2">
      <c r="H10918" s="1"/>
      <c r="I10918" s="1"/>
    </row>
    <row r="10919" spans="8:9" x14ac:dyDescent="0.2">
      <c r="H10919" s="1"/>
      <c r="I10919" s="1"/>
    </row>
    <row r="10920" spans="8:9" x14ac:dyDescent="0.2">
      <c r="H10920" s="1"/>
      <c r="I10920" s="1"/>
    </row>
    <row r="10921" spans="8:9" x14ac:dyDescent="0.2">
      <c r="H10921" s="1"/>
      <c r="I10921" s="1"/>
    </row>
    <row r="10922" spans="8:9" x14ac:dyDescent="0.2">
      <c r="H10922" s="1"/>
      <c r="I10922" s="1"/>
    </row>
    <row r="10923" spans="8:9" x14ac:dyDescent="0.2">
      <c r="H10923" s="1"/>
      <c r="I10923" s="1"/>
    </row>
    <row r="10924" spans="8:9" x14ac:dyDescent="0.2">
      <c r="H10924" s="1"/>
      <c r="I10924" s="1"/>
    </row>
    <row r="10925" spans="8:9" x14ac:dyDescent="0.2">
      <c r="H10925" s="1"/>
      <c r="I10925" s="1"/>
    </row>
    <row r="10926" spans="8:9" x14ac:dyDescent="0.2">
      <c r="H10926" s="1"/>
      <c r="I10926" s="1"/>
    </row>
    <row r="10927" spans="8:9" x14ac:dyDescent="0.2">
      <c r="H10927" s="1"/>
      <c r="I10927" s="1"/>
    </row>
    <row r="10928" spans="8:9" x14ac:dyDescent="0.2">
      <c r="H10928" s="1"/>
      <c r="I10928" s="1"/>
    </row>
    <row r="10929" spans="8:9" x14ac:dyDescent="0.2">
      <c r="H10929" s="1"/>
      <c r="I10929" s="1"/>
    </row>
    <row r="10930" spans="8:9" x14ac:dyDescent="0.2">
      <c r="H10930" s="1"/>
      <c r="I10930" s="1"/>
    </row>
    <row r="10931" spans="8:9" x14ac:dyDescent="0.2">
      <c r="H10931" s="1"/>
      <c r="I10931" s="1"/>
    </row>
    <row r="10932" spans="8:9" x14ac:dyDescent="0.2">
      <c r="H10932" s="1"/>
      <c r="I10932" s="1"/>
    </row>
    <row r="10933" spans="8:9" x14ac:dyDescent="0.2">
      <c r="H10933" s="1"/>
      <c r="I10933" s="1"/>
    </row>
    <row r="10934" spans="8:9" x14ac:dyDescent="0.2">
      <c r="H10934" s="1"/>
      <c r="I10934" s="1"/>
    </row>
    <row r="10935" spans="8:9" x14ac:dyDescent="0.2">
      <c r="H10935" s="1"/>
      <c r="I10935" s="1"/>
    </row>
    <row r="10936" spans="8:9" x14ac:dyDescent="0.2">
      <c r="H10936" s="1"/>
      <c r="I10936" s="1"/>
    </row>
    <row r="10937" spans="8:9" x14ac:dyDescent="0.2">
      <c r="H10937" s="1"/>
      <c r="I10937" s="1"/>
    </row>
    <row r="10938" spans="8:9" x14ac:dyDescent="0.2">
      <c r="H10938" s="1"/>
      <c r="I10938" s="1"/>
    </row>
    <row r="10939" spans="8:9" x14ac:dyDescent="0.2">
      <c r="H10939" s="1"/>
      <c r="I10939" s="1"/>
    </row>
    <row r="10940" spans="8:9" x14ac:dyDescent="0.2">
      <c r="H10940" s="1"/>
      <c r="I10940" s="1"/>
    </row>
    <row r="10941" spans="8:9" x14ac:dyDescent="0.2">
      <c r="H10941" s="1"/>
      <c r="I10941" s="1"/>
    </row>
    <row r="10942" spans="8:9" x14ac:dyDescent="0.2">
      <c r="H10942" s="1"/>
      <c r="I10942" s="1"/>
    </row>
    <row r="10943" spans="8:9" x14ac:dyDescent="0.2">
      <c r="H10943" s="1"/>
      <c r="I10943" s="1"/>
    </row>
    <row r="10944" spans="8:9" x14ac:dyDescent="0.2">
      <c r="H10944" s="1"/>
      <c r="I10944" s="1"/>
    </row>
    <row r="10945" spans="8:9" x14ac:dyDescent="0.2">
      <c r="H10945" s="1"/>
      <c r="I10945" s="1"/>
    </row>
    <row r="10946" spans="8:9" x14ac:dyDescent="0.2">
      <c r="H10946" s="1"/>
      <c r="I10946" s="1"/>
    </row>
    <row r="10947" spans="8:9" x14ac:dyDescent="0.2">
      <c r="H10947" s="1"/>
      <c r="I10947" s="1"/>
    </row>
    <row r="10948" spans="8:9" x14ac:dyDescent="0.2">
      <c r="H10948" s="1"/>
      <c r="I10948" s="1"/>
    </row>
    <row r="10949" spans="8:9" x14ac:dyDescent="0.2">
      <c r="H10949" s="1"/>
      <c r="I10949" s="1"/>
    </row>
    <row r="10950" spans="8:9" x14ac:dyDescent="0.2">
      <c r="H10950" s="1"/>
      <c r="I10950" s="1"/>
    </row>
    <row r="10951" spans="8:9" x14ac:dyDescent="0.2">
      <c r="H10951" s="1"/>
      <c r="I10951" s="1"/>
    </row>
    <row r="10952" spans="8:9" x14ac:dyDescent="0.2">
      <c r="H10952" s="1"/>
      <c r="I10952" s="1"/>
    </row>
    <row r="10953" spans="8:9" x14ac:dyDescent="0.2">
      <c r="H10953" s="1"/>
      <c r="I10953" s="1"/>
    </row>
    <row r="10954" spans="8:9" x14ac:dyDescent="0.2">
      <c r="H10954" s="1"/>
      <c r="I10954" s="1"/>
    </row>
    <row r="10955" spans="8:9" x14ac:dyDescent="0.2">
      <c r="H10955" s="1"/>
      <c r="I10955" s="1"/>
    </row>
    <row r="10956" spans="8:9" x14ac:dyDescent="0.2">
      <c r="H10956" s="1"/>
      <c r="I10956" s="1"/>
    </row>
    <row r="10957" spans="8:9" x14ac:dyDescent="0.2">
      <c r="H10957" s="1"/>
      <c r="I10957" s="1"/>
    </row>
    <row r="10958" spans="8:9" x14ac:dyDescent="0.2">
      <c r="H10958" s="1"/>
      <c r="I10958" s="1"/>
    </row>
    <row r="10959" spans="8:9" x14ac:dyDescent="0.2">
      <c r="H10959" s="1"/>
      <c r="I10959" s="1"/>
    </row>
    <row r="10960" spans="8:9" x14ac:dyDescent="0.2">
      <c r="H10960" s="1"/>
      <c r="I10960" s="1"/>
    </row>
    <row r="10961" spans="8:9" x14ac:dyDescent="0.2">
      <c r="H10961" s="1"/>
      <c r="I10961" s="1"/>
    </row>
    <row r="10962" spans="8:9" x14ac:dyDescent="0.2">
      <c r="H10962" s="1"/>
      <c r="I10962" s="1"/>
    </row>
    <row r="10963" spans="8:9" x14ac:dyDescent="0.2">
      <c r="H10963" s="1"/>
      <c r="I10963" s="1"/>
    </row>
    <row r="10964" spans="8:9" x14ac:dyDescent="0.2">
      <c r="H10964" s="1"/>
      <c r="I10964" s="1"/>
    </row>
    <row r="10965" spans="8:9" x14ac:dyDescent="0.2">
      <c r="H10965" s="1"/>
      <c r="I10965" s="1"/>
    </row>
    <row r="10966" spans="8:9" x14ac:dyDescent="0.2">
      <c r="H10966" s="1"/>
      <c r="I10966" s="1"/>
    </row>
    <row r="10967" spans="8:9" x14ac:dyDescent="0.2">
      <c r="H10967" s="1"/>
      <c r="I10967" s="1"/>
    </row>
    <row r="10968" spans="8:9" x14ac:dyDescent="0.2">
      <c r="H10968" s="1"/>
      <c r="I10968" s="1"/>
    </row>
    <row r="10969" spans="8:9" x14ac:dyDescent="0.2">
      <c r="H10969" s="1"/>
      <c r="I10969" s="1"/>
    </row>
    <row r="10970" spans="8:9" x14ac:dyDescent="0.2">
      <c r="H10970" s="1"/>
      <c r="I10970" s="1"/>
    </row>
    <row r="10971" spans="8:9" x14ac:dyDescent="0.2">
      <c r="H10971" s="1"/>
      <c r="I10971" s="1"/>
    </row>
    <row r="10972" spans="8:9" x14ac:dyDescent="0.2">
      <c r="H10972" s="1"/>
      <c r="I10972" s="1"/>
    </row>
    <row r="10973" spans="8:9" x14ac:dyDescent="0.2">
      <c r="H10973" s="1"/>
      <c r="I10973" s="1"/>
    </row>
    <row r="10974" spans="8:9" x14ac:dyDescent="0.2">
      <c r="H10974" s="1"/>
      <c r="I10974" s="1"/>
    </row>
    <row r="10975" spans="8:9" x14ac:dyDescent="0.2">
      <c r="H10975" s="1"/>
      <c r="I10975" s="1"/>
    </row>
    <row r="10976" spans="8:9" x14ac:dyDescent="0.2">
      <c r="H10976" s="1"/>
      <c r="I10976" s="1"/>
    </row>
    <row r="10977" spans="8:9" x14ac:dyDescent="0.2">
      <c r="H10977" s="1"/>
      <c r="I10977" s="1"/>
    </row>
    <row r="10978" spans="8:9" x14ac:dyDescent="0.2">
      <c r="H10978" s="1"/>
      <c r="I10978" s="1"/>
    </row>
    <row r="10979" spans="8:9" x14ac:dyDescent="0.2">
      <c r="H10979" s="1"/>
      <c r="I10979" s="1"/>
    </row>
    <row r="10980" spans="8:9" x14ac:dyDescent="0.2">
      <c r="H10980" s="1"/>
      <c r="I10980" s="1"/>
    </row>
    <row r="10981" spans="8:9" x14ac:dyDescent="0.2">
      <c r="H10981" s="1"/>
      <c r="I10981" s="1"/>
    </row>
    <row r="10982" spans="8:9" x14ac:dyDescent="0.2">
      <c r="H10982" s="1"/>
      <c r="I10982" s="1"/>
    </row>
    <row r="10983" spans="8:9" x14ac:dyDescent="0.2">
      <c r="H10983" s="1"/>
      <c r="I10983" s="1"/>
    </row>
    <row r="10984" spans="8:9" x14ac:dyDescent="0.2">
      <c r="H10984" s="1"/>
      <c r="I10984" s="1"/>
    </row>
    <row r="10985" spans="8:9" x14ac:dyDescent="0.2">
      <c r="H10985" s="1"/>
      <c r="I10985" s="1"/>
    </row>
    <row r="10986" spans="8:9" x14ac:dyDescent="0.2">
      <c r="H10986" s="1"/>
      <c r="I10986" s="1"/>
    </row>
    <row r="10987" spans="8:9" x14ac:dyDescent="0.2">
      <c r="H10987" s="1"/>
      <c r="I10987" s="1"/>
    </row>
    <row r="10988" spans="8:9" x14ac:dyDescent="0.2">
      <c r="H10988" s="1"/>
      <c r="I10988" s="1"/>
    </row>
    <row r="10989" spans="8:9" x14ac:dyDescent="0.2">
      <c r="H10989" s="1"/>
      <c r="I10989" s="1"/>
    </row>
    <row r="10990" spans="8:9" x14ac:dyDescent="0.2">
      <c r="H10990" s="1"/>
      <c r="I10990" s="1"/>
    </row>
    <row r="10991" spans="8:9" x14ac:dyDescent="0.2">
      <c r="H10991" s="1"/>
      <c r="I10991" s="1"/>
    </row>
    <row r="10992" spans="8:9" x14ac:dyDescent="0.2">
      <c r="H10992" s="1"/>
      <c r="I10992" s="1"/>
    </row>
    <row r="10993" spans="8:9" x14ac:dyDescent="0.2">
      <c r="H10993" s="1"/>
      <c r="I10993" s="1"/>
    </row>
    <row r="10994" spans="8:9" x14ac:dyDescent="0.2">
      <c r="H10994" s="1"/>
      <c r="I10994" s="1"/>
    </row>
    <row r="10995" spans="8:9" x14ac:dyDescent="0.2">
      <c r="H10995" s="1"/>
      <c r="I10995" s="1"/>
    </row>
    <row r="10996" spans="8:9" x14ac:dyDescent="0.2">
      <c r="H10996" s="1"/>
      <c r="I10996" s="1"/>
    </row>
    <row r="10997" spans="8:9" x14ac:dyDescent="0.2">
      <c r="H10997" s="1"/>
      <c r="I10997" s="1"/>
    </row>
    <row r="10998" spans="8:9" x14ac:dyDescent="0.2">
      <c r="H10998" s="1"/>
      <c r="I10998" s="1"/>
    </row>
    <row r="10999" spans="8:9" x14ac:dyDescent="0.2">
      <c r="H10999" s="1"/>
      <c r="I10999" s="1"/>
    </row>
    <row r="11000" spans="8:9" x14ac:dyDescent="0.2">
      <c r="H11000" s="1"/>
      <c r="I11000" s="1"/>
    </row>
    <row r="11001" spans="8:9" x14ac:dyDescent="0.2">
      <c r="H11001" s="1"/>
      <c r="I11001" s="1"/>
    </row>
    <row r="11002" spans="8:9" x14ac:dyDescent="0.2">
      <c r="H11002" s="1"/>
      <c r="I11002" s="1"/>
    </row>
    <row r="11003" spans="8:9" x14ac:dyDescent="0.2">
      <c r="H11003" s="1"/>
      <c r="I11003" s="1"/>
    </row>
    <row r="11004" spans="8:9" x14ac:dyDescent="0.2">
      <c r="H11004" s="1"/>
      <c r="I11004" s="1"/>
    </row>
    <row r="11005" spans="8:9" x14ac:dyDescent="0.2">
      <c r="H11005" s="1"/>
      <c r="I11005" s="1"/>
    </row>
    <row r="11006" spans="8:9" x14ac:dyDescent="0.2">
      <c r="H11006" s="1"/>
      <c r="I11006" s="1"/>
    </row>
    <row r="11007" spans="8:9" x14ac:dyDescent="0.2">
      <c r="H11007" s="1"/>
      <c r="I11007" s="1"/>
    </row>
    <row r="11008" spans="8:9" x14ac:dyDescent="0.2">
      <c r="H11008" s="1"/>
      <c r="I11008" s="1"/>
    </row>
    <row r="11009" spans="8:9" x14ac:dyDescent="0.2">
      <c r="H11009" s="1"/>
      <c r="I11009" s="1"/>
    </row>
    <row r="11010" spans="8:9" x14ac:dyDescent="0.2">
      <c r="H11010" s="1"/>
      <c r="I11010" s="1"/>
    </row>
    <row r="11011" spans="8:9" x14ac:dyDescent="0.2">
      <c r="H11011" s="1"/>
      <c r="I11011" s="1"/>
    </row>
    <row r="11012" spans="8:9" x14ac:dyDescent="0.2">
      <c r="H11012" s="1"/>
      <c r="I11012" s="1"/>
    </row>
    <row r="11013" spans="8:9" x14ac:dyDescent="0.2">
      <c r="H11013" s="1"/>
      <c r="I11013" s="1"/>
    </row>
    <row r="11014" spans="8:9" x14ac:dyDescent="0.2">
      <c r="H11014" s="1"/>
      <c r="I11014" s="1"/>
    </row>
    <row r="11015" spans="8:9" x14ac:dyDescent="0.2">
      <c r="H11015" s="1"/>
      <c r="I11015" s="1"/>
    </row>
    <row r="11016" spans="8:9" x14ac:dyDescent="0.2">
      <c r="H11016" s="1"/>
      <c r="I11016" s="1"/>
    </row>
    <row r="11017" spans="8:9" x14ac:dyDescent="0.2">
      <c r="H11017" s="1"/>
      <c r="I11017" s="1"/>
    </row>
    <row r="11018" spans="8:9" x14ac:dyDescent="0.2">
      <c r="H11018" s="1"/>
      <c r="I11018" s="1"/>
    </row>
    <row r="11019" spans="8:9" x14ac:dyDescent="0.2">
      <c r="H11019" s="1"/>
      <c r="I11019" s="1"/>
    </row>
    <row r="11020" spans="8:9" x14ac:dyDescent="0.2">
      <c r="H11020" s="1"/>
      <c r="I11020" s="1"/>
    </row>
    <row r="11021" spans="8:9" x14ac:dyDescent="0.2">
      <c r="H11021" s="1"/>
      <c r="I11021" s="1"/>
    </row>
    <row r="11022" spans="8:9" x14ac:dyDescent="0.2">
      <c r="H11022" s="1"/>
      <c r="I11022" s="1"/>
    </row>
    <row r="11023" spans="8:9" x14ac:dyDescent="0.2">
      <c r="H11023" s="1"/>
      <c r="I11023" s="1"/>
    </row>
    <row r="11024" spans="8:9" x14ac:dyDescent="0.2">
      <c r="H11024" s="1"/>
      <c r="I11024" s="1"/>
    </row>
    <row r="11025" spans="8:9" x14ac:dyDescent="0.2">
      <c r="H11025" s="1"/>
      <c r="I11025" s="1"/>
    </row>
    <row r="11026" spans="8:9" x14ac:dyDescent="0.2">
      <c r="H11026" s="1"/>
      <c r="I11026" s="1"/>
    </row>
    <row r="11027" spans="8:9" x14ac:dyDescent="0.2">
      <c r="H11027" s="1"/>
      <c r="I11027" s="1"/>
    </row>
    <row r="11028" spans="8:9" x14ac:dyDescent="0.2">
      <c r="H11028" s="1"/>
      <c r="I11028" s="1"/>
    </row>
    <row r="11029" spans="8:9" x14ac:dyDescent="0.2">
      <c r="H11029" s="1"/>
      <c r="I11029" s="1"/>
    </row>
    <row r="11030" spans="8:9" x14ac:dyDescent="0.2">
      <c r="H11030" s="1"/>
      <c r="I11030" s="1"/>
    </row>
    <row r="11031" spans="8:9" x14ac:dyDescent="0.2">
      <c r="H11031" s="1"/>
      <c r="I11031" s="1"/>
    </row>
    <row r="11032" spans="8:9" x14ac:dyDescent="0.2">
      <c r="H11032" s="1"/>
      <c r="I11032" s="1"/>
    </row>
    <row r="11033" spans="8:9" x14ac:dyDescent="0.2">
      <c r="H11033" s="1"/>
      <c r="I11033" s="1"/>
    </row>
    <row r="11034" spans="8:9" x14ac:dyDescent="0.2">
      <c r="H11034" s="1"/>
      <c r="I11034" s="1"/>
    </row>
    <row r="11035" spans="8:9" x14ac:dyDescent="0.2">
      <c r="H11035" s="1"/>
      <c r="I11035" s="1"/>
    </row>
    <row r="11036" spans="8:9" x14ac:dyDescent="0.2">
      <c r="H11036" s="1"/>
      <c r="I11036" s="1"/>
    </row>
    <row r="11037" spans="8:9" x14ac:dyDescent="0.2">
      <c r="H11037" s="1"/>
      <c r="I11037" s="1"/>
    </row>
    <row r="11038" spans="8:9" x14ac:dyDescent="0.2">
      <c r="H11038" s="1"/>
      <c r="I11038" s="1"/>
    </row>
    <row r="11039" spans="8:9" x14ac:dyDescent="0.2">
      <c r="H11039" s="1"/>
      <c r="I11039" s="1"/>
    </row>
    <row r="11040" spans="8:9" x14ac:dyDescent="0.2">
      <c r="H11040" s="1"/>
      <c r="I11040" s="1"/>
    </row>
    <row r="11041" spans="8:9" x14ac:dyDescent="0.2">
      <c r="H11041" s="1"/>
      <c r="I11041" s="1"/>
    </row>
    <row r="11042" spans="8:9" x14ac:dyDescent="0.2">
      <c r="H11042" s="1"/>
      <c r="I11042" s="1"/>
    </row>
    <row r="11043" spans="8:9" x14ac:dyDescent="0.2">
      <c r="H11043" s="1"/>
      <c r="I11043" s="1"/>
    </row>
    <row r="11044" spans="8:9" x14ac:dyDescent="0.2">
      <c r="H11044" s="1"/>
      <c r="I11044" s="1"/>
    </row>
    <row r="11045" spans="8:9" x14ac:dyDescent="0.2">
      <c r="H11045" s="1"/>
      <c r="I11045" s="1"/>
    </row>
    <row r="11046" spans="8:9" x14ac:dyDescent="0.2">
      <c r="H11046" s="1"/>
      <c r="I11046" s="1"/>
    </row>
    <row r="11047" spans="8:9" x14ac:dyDescent="0.2">
      <c r="H11047" s="1"/>
      <c r="I11047" s="1"/>
    </row>
    <row r="11048" spans="8:9" x14ac:dyDescent="0.2">
      <c r="H11048" s="1"/>
      <c r="I11048" s="1"/>
    </row>
    <row r="11049" spans="8:9" x14ac:dyDescent="0.2">
      <c r="H11049" s="1"/>
      <c r="I11049" s="1"/>
    </row>
    <row r="11050" spans="8:9" x14ac:dyDescent="0.2">
      <c r="H11050" s="1"/>
      <c r="I11050" s="1"/>
    </row>
    <row r="11051" spans="8:9" x14ac:dyDescent="0.2">
      <c r="H11051" s="1"/>
      <c r="I11051" s="1"/>
    </row>
    <row r="11052" spans="8:9" x14ac:dyDescent="0.2">
      <c r="H11052" s="1"/>
      <c r="I11052" s="1"/>
    </row>
    <row r="11053" spans="8:9" x14ac:dyDescent="0.2">
      <c r="H11053" s="1"/>
      <c r="I11053" s="1"/>
    </row>
    <row r="11054" spans="8:9" x14ac:dyDescent="0.2">
      <c r="H11054" s="1"/>
      <c r="I11054" s="1"/>
    </row>
    <row r="11055" spans="8:9" x14ac:dyDescent="0.2">
      <c r="H11055" s="1"/>
      <c r="I11055" s="1"/>
    </row>
    <row r="11056" spans="8:9" x14ac:dyDescent="0.2">
      <c r="H11056" s="1"/>
      <c r="I11056" s="1"/>
    </row>
    <row r="11057" spans="8:9" x14ac:dyDescent="0.2">
      <c r="H11057" s="1"/>
      <c r="I11057" s="1"/>
    </row>
    <row r="11058" spans="8:9" x14ac:dyDescent="0.2">
      <c r="H11058" s="1"/>
      <c r="I11058" s="1"/>
    </row>
    <row r="11059" spans="8:9" x14ac:dyDescent="0.2">
      <c r="H11059" s="1"/>
      <c r="I11059" s="1"/>
    </row>
    <row r="11060" spans="8:9" x14ac:dyDescent="0.2">
      <c r="H11060" s="1"/>
      <c r="I11060" s="1"/>
    </row>
    <row r="11061" spans="8:9" x14ac:dyDescent="0.2">
      <c r="H11061" s="1"/>
      <c r="I11061" s="1"/>
    </row>
    <row r="11062" spans="8:9" x14ac:dyDescent="0.2">
      <c r="H11062" s="1"/>
      <c r="I11062" s="1"/>
    </row>
    <row r="11063" spans="8:9" x14ac:dyDescent="0.2">
      <c r="H11063" s="1"/>
      <c r="I11063" s="1"/>
    </row>
    <row r="11064" spans="8:9" x14ac:dyDescent="0.2">
      <c r="H11064" s="1"/>
      <c r="I11064" s="1"/>
    </row>
    <row r="11065" spans="8:9" x14ac:dyDescent="0.2">
      <c r="H11065" s="1"/>
      <c r="I11065" s="1"/>
    </row>
    <row r="11066" spans="8:9" x14ac:dyDescent="0.2">
      <c r="H11066" s="1"/>
      <c r="I11066" s="1"/>
    </row>
    <row r="11067" spans="8:9" x14ac:dyDescent="0.2">
      <c r="H11067" s="1"/>
      <c r="I11067" s="1"/>
    </row>
    <row r="11068" spans="8:9" x14ac:dyDescent="0.2">
      <c r="H11068" s="1"/>
      <c r="I11068" s="1"/>
    </row>
    <row r="11069" spans="8:9" x14ac:dyDescent="0.2">
      <c r="H11069" s="1"/>
      <c r="I11069" s="1"/>
    </row>
    <row r="11070" spans="8:9" x14ac:dyDescent="0.2">
      <c r="H11070" s="1"/>
      <c r="I11070" s="1"/>
    </row>
    <row r="11071" spans="8:9" x14ac:dyDescent="0.2">
      <c r="H11071" s="1"/>
      <c r="I11071" s="1"/>
    </row>
    <row r="11072" spans="8:9" x14ac:dyDescent="0.2">
      <c r="H11072" s="1"/>
      <c r="I11072" s="1"/>
    </row>
    <row r="11073" spans="8:9" x14ac:dyDescent="0.2">
      <c r="H11073" s="1"/>
      <c r="I11073" s="1"/>
    </row>
    <row r="11074" spans="8:9" x14ac:dyDescent="0.2">
      <c r="H11074" s="1"/>
      <c r="I11074" s="1"/>
    </row>
    <row r="11075" spans="8:9" x14ac:dyDescent="0.2">
      <c r="H11075" s="1"/>
      <c r="I11075" s="1"/>
    </row>
    <row r="11076" spans="8:9" x14ac:dyDescent="0.2">
      <c r="H11076" s="1"/>
      <c r="I11076" s="1"/>
    </row>
    <row r="11077" spans="8:9" x14ac:dyDescent="0.2">
      <c r="H11077" s="1"/>
      <c r="I11077" s="1"/>
    </row>
    <row r="11078" spans="8:9" x14ac:dyDescent="0.2">
      <c r="H11078" s="1"/>
      <c r="I11078" s="1"/>
    </row>
    <row r="11079" spans="8:9" x14ac:dyDescent="0.2">
      <c r="H11079" s="1"/>
      <c r="I11079" s="1"/>
    </row>
    <row r="11080" spans="8:9" x14ac:dyDescent="0.2">
      <c r="H11080" s="1"/>
      <c r="I11080" s="1"/>
    </row>
    <row r="11081" spans="8:9" x14ac:dyDescent="0.2">
      <c r="H11081" s="1"/>
      <c r="I11081" s="1"/>
    </row>
    <row r="11082" spans="8:9" x14ac:dyDescent="0.2">
      <c r="H11082" s="1"/>
      <c r="I11082" s="1"/>
    </row>
    <row r="11083" spans="8:9" x14ac:dyDescent="0.2">
      <c r="H11083" s="1"/>
      <c r="I11083" s="1"/>
    </row>
    <row r="11084" spans="8:9" x14ac:dyDescent="0.2">
      <c r="H11084" s="1"/>
      <c r="I11084" s="1"/>
    </row>
    <row r="11085" spans="8:9" x14ac:dyDescent="0.2">
      <c r="H11085" s="1"/>
      <c r="I11085" s="1"/>
    </row>
    <row r="11086" spans="8:9" x14ac:dyDescent="0.2">
      <c r="H11086" s="1"/>
      <c r="I11086" s="1"/>
    </row>
    <row r="11087" spans="8:9" x14ac:dyDescent="0.2">
      <c r="H11087" s="1"/>
      <c r="I11087" s="1"/>
    </row>
    <row r="11088" spans="8:9" x14ac:dyDescent="0.2">
      <c r="H11088" s="1"/>
      <c r="I11088" s="1"/>
    </row>
    <row r="11089" spans="8:9" x14ac:dyDescent="0.2">
      <c r="H11089" s="1"/>
      <c r="I11089" s="1"/>
    </row>
    <row r="11090" spans="8:9" x14ac:dyDescent="0.2">
      <c r="H11090" s="1"/>
      <c r="I11090" s="1"/>
    </row>
    <row r="11091" spans="8:9" x14ac:dyDescent="0.2">
      <c r="H11091" s="1"/>
      <c r="I11091" s="1"/>
    </row>
    <row r="11092" spans="8:9" x14ac:dyDescent="0.2">
      <c r="H11092" s="1"/>
      <c r="I11092" s="1"/>
    </row>
    <row r="11093" spans="8:9" x14ac:dyDescent="0.2">
      <c r="H11093" s="1"/>
      <c r="I11093" s="1"/>
    </row>
    <row r="11094" spans="8:9" x14ac:dyDescent="0.2">
      <c r="H11094" s="1"/>
      <c r="I11094" s="1"/>
    </row>
    <row r="11095" spans="8:9" x14ac:dyDescent="0.2">
      <c r="H11095" s="1"/>
      <c r="I11095" s="1"/>
    </row>
    <row r="11096" spans="8:9" x14ac:dyDescent="0.2">
      <c r="H11096" s="1"/>
      <c r="I11096" s="1"/>
    </row>
    <row r="11097" spans="8:9" x14ac:dyDescent="0.2">
      <c r="H11097" s="1"/>
      <c r="I11097" s="1"/>
    </row>
    <row r="11098" spans="8:9" x14ac:dyDescent="0.2">
      <c r="H11098" s="1"/>
      <c r="I11098" s="1"/>
    </row>
    <row r="11099" spans="8:9" x14ac:dyDescent="0.2">
      <c r="H11099" s="1"/>
      <c r="I11099" s="1"/>
    </row>
    <row r="11100" spans="8:9" x14ac:dyDescent="0.2">
      <c r="H11100" s="1"/>
      <c r="I11100" s="1"/>
    </row>
    <row r="11101" spans="8:9" x14ac:dyDescent="0.2">
      <c r="H11101" s="1"/>
      <c r="I11101" s="1"/>
    </row>
    <row r="11102" spans="8:9" x14ac:dyDescent="0.2">
      <c r="H11102" s="1"/>
      <c r="I11102" s="1"/>
    </row>
    <row r="11103" spans="8:9" x14ac:dyDescent="0.2">
      <c r="H11103" s="1"/>
      <c r="I11103" s="1"/>
    </row>
    <row r="11104" spans="8:9" x14ac:dyDescent="0.2">
      <c r="H11104" s="1"/>
      <c r="I11104" s="1"/>
    </row>
    <row r="11105" spans="8:9" x14ac:dyDescent="0.2">
      <c r="H11105" s="1"/>
      <c r="I11105" s="1"/>
    </row>
    <row r="11106" spans="8:9" x14ac:dyDescent="0.2">
      <c r="H11106" s="1"/>
      <c r="I11106" s="1"/>
    </row>
    <row r="11107" spans="8:9" x14ac:dyDescent="0.2">
      <c r="H11107" s="1"/>
      <c r="I11107" s="1"/>
    </row>
    <row r="11108" spans="8:9" x14ac:dyDescent="0.2">
      <c r="H11108" s="1"/>
      <c r="I11108" s="1"/>
    </row>
    <row r="11109" spans="8:9" x14ac:dyDescent="0.2">
      <c r="H11109" s="1"/>
      <c r="I11109" s="1"/>
    </row>
    <row r="11110" spans="8:9" x14ac:dyDescent="0.2">
      <c r="H11110" s="1"/>
      <c r="I11110" s="1"/>
    </row>
    <row r="11111" spans="8:9" x14ac:dyDescent="0.2">
      <c r="H11111" s="1"/>
      <c r="I11111" s="1"/>
    </row>
    <row r="11112" spans="8:9" x14ac:dyDescent="0.2">
      <c r="H11112" s="1"/>
      <c r="I11112" s="1"/>
    </row>
    <row r="11113" spans="8:9" x14ac:dyDescent="0.2">
      <c r="H11113" s="1"/>
      <c r="I11113" s="1"/>
    </row>
    <row r="11114" spans="8:9" x14ac:dyDescent="0.2">
      <c r="H11114" s="1"/>
      <c r="I11114" s="1"/>
    </row>
    <row r="11115" spans="8:9" x14ac:dyDescent="0.2">
      <c r="H11115" s="1"/>
      <c r="I11115" s="1"/>
    </row>
    <row r="11116" spans="8:9" x14ac:dyDescent="0.2">
      <c r="H11116" s="1"/>
      <c r="I11116" s="1"/>
    </row>
    <row r="11117" spans="8:9" x14ac:dyDescent="0.2">
      <c r="H11117" s="1"/>
      <c r="I11117" s="1"/>
    </row>
    <row r="11118" spans="8:9" x14ac:dyDescent="0.2">
      <c r="H11118" s="1"/>
      <c r="I11118" s="1"/>
    </row>
    <row r="11119" spans="8:9" x14ac:dyDescent="0.2">
      <c r="H11119" s="1"/>
      <c r="I11119" s="1"/>
    </row>
    <row r="11120" spans="8:9" x14ac:dyDescent="0.2">
      <c r="H11120" s="1"/>
      <c r="I11120" s="1"/>
    </row>
    <row r="11121" spans="8:9" x14ac:dyDescent="0.2">
      <c r="H11121" s="1"/>
      <c r="I11121" s="1"/>
    </row>
    <row r="11122" spans="8:9" x14ac:dyDescent="0.2">
      <c r="H11122" s="1"/>
      <c r="I11122" s="1"/>
    </row>
    <row r="11123" spans="8:9" x14ac:dyDescent="0.2">
      <c r="H11123" s="1"/>
      <c r="I11123" s="1"/>
    </row>
    <row r="11124" spans="8:9" x14ac:dyDescent="0.2">
      <c r="H11124" s="1"/>
      <c r="I11124" s="1"/>
    </row>
    <row r="11125" spans="8:9" x14ac:dyDescent="0.2">
      <c r="H11125" s="1"/>
      <c r="I11125" s="1"/>
    </row>
    <row r="11126" spans="8:9" x14ac:dyDescent="0.2">
      <c r="H11126" s="1"/>
      <c r="I11126" s="1"/>
    </row>
    <row r="11127" spans="8:9" x14ac:dyDescent="0.2">
      <c r="H11127" s="1"/>
      <c r="I11127" s="1"/>
    </row>
    <row r="11128" spans="8:9" x14ac:dyDescent="0.2">
      <c r="H11128" s="1"/>
      <c r="I11128" s="1"/>
    </row>
    <row r="11129" spans="8:9" x14ac:dyDescent="0.2">
      <c r="H11129" s="1"/>
      <c r="I11129" s="1"/>
    </row>
    <row r="11130" spans="8:9" x14ac:dyDescent="0.2">
      <c r="H11130" s="1"/>
      <c r="I11130" s="1"/>
    </row>
    <row r="11131" spans="8:9" x14ac:dyDescent="0.2">
      <c r="H11131" s="1"/>
      <c r="I11131" s="1"/>
    </row>
    <row r="11132" spans="8:9" x14ac:dyDescent="0.2">
      <c r="H11132" s="1"/>
      <c r="I11132" s="1"/>
    </row>
    <row r="11133" spans="8:9" x14ac:dyDescent="0.2">
      <c r="H11133" s="1"/>
      <c r="I11133" s="1"/>
    </row>
    <row r="11134" spans="8:9" x14ac:dyDescent="0.2">
      <c r="H11134" s="1"/>
      <c r="I11134" s="1"/>
    </row>
    <row r="11135" spans="8:9" x14ac:dyDescent="0.2">
      <c r="H11135" s="1"/>
      <c r="I11135" s="1"/>
    </row>
    <row r="11136" spans="8:9" x14ac:dyDescent="0.2">
      <c r="H11136" s="1"/>
      <c r="I11136" s="1"/>
    </row>
    <row r="11137" spans="8:9" x14ac:dyDescent="0.2">
      <c r="H11137" s="1"/>
      <c r="I11137" s="1"/>
    </row>
    <row r="11138" spans="8:9" x14ac:dyDescent="0.2">
      <c r="H11138" s="1"/>
      <c r="I11138" s="1"/>
    </row>
    <row r="11139" spans="8:9" x14ac:dyDescent="0.2">
      <c r="H11139" s="1"/>
      <c r="I11139" s="1"/>
    </row>
    <row r="11140" spans="8:9" x14ac:dyDescent="0.2">
      <c r="H11140" s="1"/>
      <c r="I11140" s="1"/>
    </row>
    <row r="11141" spans="8:9" x14ac:dyDescent="0.2">
      <c r="H11141" s="1"/>
      <c r="I11141" s="1"/>
    </row>
    <row r="11142" spans="8:9" x14ac:dyDescent="0.2">
      <c r="H11142" s="1"/>
      <c r="I11142" s="1"/>
    </row>
    <row r="11143" spans="8:9" x14ac:dyDescent="0.2">
      <c r="H11143" s="1"/>
      <c r="I11143" s="1"/>
    </row>
    <row r="11144" spans="8:9" x14ac:dyDescent="0.2">
      <c r="H11144" s="1"/>
      <c r="I11144" s="1"/>
    </row>
    <row r="11145" spans="8:9" x14ac:dyDescent="0.2">
      <c r="H11145" s="1"/>
      <c r="I11145" s="1"/>
    </row>
    <row r="11146" spans="8:9" x14ac:dyDescent="0.2">
      <c r="H11146" s="1"/>
      <c r="I11146" s="1"/>
    </row>
    <row r="11147" spans="8:9" x14ac:dyDescent="0.2">
      <c r="H11147" s="1"/>
      <c r="I11147" s="1"/>
    </row>
    <row r="11148" spans="8:9" x14ac:dyDescent="0.2">
      <c r="H11148" s="1"/>
      <c r="I11148" s="1"/>
    </row>
    <row r="11149" spans="8:9" x14ac:dyDescent="0.2">
      <c r="H11149" s="1"/>
      <c r="I11149" s="1"/>
    </row>
    <row r="11150" spans="8:9" x14ac:dyDescent="0.2">
      <c r="H11150" s="1"/>
      <c r="I11150" s="1"/>
    </row>
    <row r="11151" spans="8:9" x14ac:dyDescent="0.2">
      <c r="H11151" s="1"/>
      <c r="I11151" s="1"/>
    </row>
    <row r="11152" spans="8:9" x14ac:dyDescent="0.2">
      <c r="H11152" s="1"/>
      <c r="I11152" s="1"/>
    </row>
    <row r="11153" spans="8:9" x14ac:dyDescent="0.2">
      <c r="H11153" s="1"/>
      <c r="I11153" s="1"/>
    </row>
    <row r="11154" spans="8:9" x14ac:dyDescent="0.2">
      <c r="H11154" s="1"/>
      <c r="I11154" s="1"/>
    </row>
    <row r="11155" spans="8:9" x14ac:dyDescent="0.2">
      <c r="H11155" s="1"/>
      <c r="I11155" s="1"/>
    </row>
    <row r="11156" spans="8:9" x14ac:dyDescent="0.2">
      <c r="H11156" s="1"/>
      <c r="I11156" s="1"/>
    </row>
    <row r="11157" spans="8:9" x14ac:dyDescent="0.2">
      <c r="H11157" s="1"/>
      <c r="I11157" s="1"/>
    </row>
    <row r="11158" spans="8:9" x14ac:dyDescent="0.2">
      <c r="H11158" s="1"/>
      <c r="I11158" s="1"/>
    </row>
    <row r="11159" spans="8:9" x14ac:dyDescent="0.2">
      <c r="H11159" s="1"/>
      <c r="I11159" s="1"/>
    </row>
    <row r="11160" spans="8:9" x14ac:dyDescent="0.2">
      <c r="H11160" s="1"/>
      <c r="I11160" s="1"/>
    </row>
    <row r="11161" spans="8:9" x14ac:dyDescent="0.2">
      <c r="H11161" s="1"/>
      <c r="I11161" s="1"/>
    </row>
    <row r="11162" spans="8:9" x14ac:dyDescent="0.2">
      <c r="H11162" s="1"/>
      <c r="I11162" s="1"/>
    </row>
    <row r="11163" spans="8:9" x14ac:dyDescent="0.2">
      <c r="H11163" s="1"/>
      <c r="I11163" s="1"/>
    </row>
    <row r="11164" spans="8:9" x14ac:dyDescent="0.2">
      <c r="H11164" s="1"/>
      <c r="I11164" s="1"/>
    </row>
    <row r="11165" spans="8:9" x14ac:dyDescent="0.2">
      <c r="H11165" s="1"/>
      <c r="I11165" s="1"/>
    </row>
    <row r="11166" spans="8:9" x14ac:dyDescent="0.2">
      <c r="H11166" s="1"/>
      <c r="I11166" s="1"/>
    </row>
    <row r="11167" spans="8:9" x14ac:dyDescent="0.2">
      <c r="H11167" s="1"/>
      <c r="I11167" s="1"/>
    </row>
    <row r="11168" spans="8:9" x14ac:dyDescent="0.2">
      <c r="H11168" s="1"/>
      <c r="I11168" s="1"/>
    </row>
    <row r="11169" spans="8:9" x14ac:dyDescent="0.2">
      <c r="H11169" s="1"/>
      <c r="I11169" s="1"/>
    </row>
    <row r="11170" spans="8:9" x14ac:dyDescent="0.2">
      <c r="H11170" s="1"/>
      <c r="I11170" s="1"/>
    </row>
    <row r="11171" spans="8:9" x14ac:dyDescent="0.2">
      <c r="H11171" s="1"/>
      <c r="I11171" s="1"/>
    </row>
    <row r="11172" spans="8:9" x14ac:dyDescent="0.2">
      <c r="H11172" s="1"/>
      <c r="I11172" s="1"/>
    </row>
    <row r="11173" spans="8:9" x14ac:dyDescent="0.2">
      <c r="H11173" s="1"/>
      <c r="I11173" s="1"/>
    </row>
    <row r="11174" spans="8:9" x14ac:dyDescent="0.2">
      <c r="H11174" s="1"/>
      <c r="I11174" s="1"/>
    </row>
    <row r="11175" spans="8:9" x14ac:dyDescent="0.2">
      <c r="H11175" s="1"/>
      <c r="I11175" s="1"/>
    </row>
    <row r="11176" spans="8:9" x14ac:dyDescent="0.2">
      <c r="H11176" s="1"/>
      <c r="I11176" s="1"/>
    </row>
    <row r="11177" spans="8:9" x14ac:dyDescent="0.2">
      <c r="H11177" s="1"/>
      <c r="I11177" s="1"/>
    </row>
    <row r="11178" spans="8:9" x14ac:dyDescent="0.2">
      <c r="H11178" s="1"/>
      <c r="I11178" s="1"/>
    </row>
    <row r="11179" spans="8:9" x14ac:dyDescent="0.2">
      <c r="H11179" s="1"/>
      <c r="I11179" s="1"/>
    </row>
    <row r="11180" spans="8:9" x14ac:dyDescent="0.2">
      <c r="H11180" s="1"/>
      <c r="I11180" s="1"/>
    </row>
    <row r="11181" spans="8:9" x14ac:dyDescent="0.2">
      <c r="H11181" s="1"/>
      <c r="I11181" s="1"/>
    </row>
    <row r="11182" spans="8:9" x14ac:dyDescent="0.2">
      <c r="H11182" s="1"/>
      <c r="I11182" s="1"/>
    </row>
    <row r="11183" spans="8:9" x14ac:dyDescent="0.2">
      <c r="H11183" s="1"/>
      <c r="I11183" s="1"/>
    </row>
    <row r="11184" spans="8:9" x14ac:dyDescent="0.2">
      <c r="H11184" s="1"/>
      <c r="I11184" s="1"/>
    </row>
    <row r="11185" spans="8:9" x14ac:dyDescent="0.2">
      <c r="H11185" s="1"/>
      <c r="I11185" s="1"/>
    </row>
    <row r="11186" spans="8:9" x14ac:dyDescent="0.2">
      <c r="H11186" s="1"/>
      <c r="I11186" s="1"/>
    </row>
    <row r="11187" spans="8:9" x14ac:dyDescent="0.2">
      <c r="H11187" s="1"/>
      <c r="I11187" s="1"/>
    </row>
    <row r="11188" spans="8:9" x14ac:dyDescent="0.2">
      <c r="H11188" s="1"/>
      <c r="I11188" s="1"/>
    </row>
    <row r="11189" spans="8:9" x14ac:dyDescent="0.2">
      <c r="H11189" s="1"/>
      <c r="I11189" s="1"/>
    </row>
    <row r="11190" spans="8:9" x14ac:dyDescent="0.2">
      <c r="H11190" s="1"/>
      <c r="I11190" s="1"/>
    </row>
    <row r="11191" spans="8:9" x14ac:dyDescent="0.2">
      <c r="H11191" s="1"/>
      <c r="I11191" s="1"/>
    </row>
    <row r="11192" spans="8:9" x14ac:dyDescent="0.2">
      <c r="H11192" s="1"/>
      <c r="I11192" s="1"/>
    </row>
    <row r="11193" spans="8:9" x14ac:dyDescent="0.2">
      <c r="H11193" s="1"/>
      <c r="I11193" s="1"/>
    </row>
    <row r="11194" spans="8:9" x14ac:dyDescent="0.2">
      <c r="H11194" s="1"/>
      <c r="I11194" s="1"/>
    </row>
    <row r="11195" spans="8:9" x14ac:dyDescent="0.2">
      <c r="H11195" s="1"/>
      <c r="I11195" s="1"/>
    </row>
    <row r="11196" spans="8:9" x14ac:dyDescent="0.2">
      <c r="H11196" s="1"/>
      <c r="I11196" s="1"/>
    </row>
    <row r="11197" spans="8:9" x14ac:dyDescent="0.2">
      <c r="H11197" s="1"/>
      <c r="I11197" s="1"/>
    </row>
    <row r="11198" spans="8:9" x14ac:dyDescent="0.2">
      <c r="H11198" s="1"/>
      <c r="I11198" s="1"/>
    </row>
    <row r="11199" spans="8:9" x14ac:dyDescent="0.2">
      <c r="H11199" s="1"/>
      <c r="I11199" s="1"/>
    </row>
    <row r="11200" spans="8:9" x14ac:dyDescent="0.2">
      <c r="H11200" s="1"/>
      <c r="I11200" s="1"/>
    </row>
    <row r="11201" spans="8:9" x14ac:dyDescent="0.2">
      <c r="H11201" s="1"/>
      <c r="I11201" s="1"/>
    </row>
    <row r="11202" spans="8:9" x14ac:dyDescent="0.2">
      <c r="H11202" s="1"/>
      <c r="I11202" s="1"/>
    </row>
    <row r="11203" spans="8:9" x14ac:dyDescent="0.2">
      <c r="H11203" s="1"/>
      <c r="I11203" s="1"/>
    </row>
    <row r="11204" spans="8:9" x14ac:dyDescent="0.2">
      <c r="H11204" s="1"/>
      <c r="I11204" s="1"/>
    </row>
    <row r="11205" spans="8:9" x14ac:dyDescent="0.2">
      <c r="H11205" s="1"/>
      <c r="I11205" s="1"/>
    </row>
    <row r="11206" spans="8:9" x14ac:dyDescent="0.2">
      <c r="H11206" s="1"/>
      <c r="I11206" s="1"/>
    </row>
    <row r="11207" spans="8:9" x14ac:dyDescent="0.2">
      <c r="H11207" s="1"/>
      <c r="I11207" s="1"/>
    </row>
    <row r="11208" spans="8:9" x14ac:dyDescent="0.2">
      <c r="H11208" s="1"/>
      <c r="I11208" s="1"/>
    </row>
    <row r="11209" spans="8:9" x14ac:dyDescent="0.2">
      <c r="H11209" s="1"/>
      <c r="I11209" s="1"/>
    </row>
    <row r="11210" spans="8:9" x14ac:dyDescent="0.2">
      <c r="H11210" s="1"/>
      <c r="I11210" s="1"/>
    </row>
    <row r="11211" spans="8:9" x14ac:dyDescent="0.2">
      <c r="H11211" s="1"/>
      <c r="I11211" s="1"/>
    </row>
    <row r="11212" spans="8:9" x14ac:dyDescent="0.2">
      <c r="H11212" s="1"/>
      <c r="I11212" s="1"/>
    </row>
    <row r="11213" spans="8:9" x14ac:dyDescent="0.2">
      <c r="H11213" s="1"/>
      <c r="I11213" s="1"/>
    </row>
    <row r="11214" spans="8:9" x14ac:dyDescent="0.2">
      <c r="H11214" s="1"/>
      <c r="I11214" s="1"/>
    </row>
    <row r="11215" spans="8:9" x14ac:dyDescent="0.2">
      <c r="H11215" s="1"/>
      <c r="I11215" s="1"/>
    </row>
    <row r="11216" spans="8:9" x14ac:dyDescent="0.2">
      <c r="H11216" s="1"/>
      <c r="I11216" s="1"/>
    </row>
    <row r="11217" spans="8:9" x14ac:dyDescent="0.2">
      <c r="H11217" s="1"/>
      <c r="I11217" s="1"/>
    </row>
    <row r="11218" spans="8:9" x14ac:dyDescent="0.2">
      <c r="H11218" s="1"/>
      <c r="I11218" s="1"/>
    </row>
    <row r="11219" spans="8:9" x14ac:dyDescent="0.2">
      <c r="H11219" s="1"/>
      <c r="I11219" s="1"/>
    </row>
    <row r="11220" spans="8:9" x14ac:dyDescent="0.2">
      <c r="H11220" s="1"/>
      <c r="I11220" s="1"/>
    </row>
    <row r="11221" spans="8:9" x14ac:dyDescent="0.2">
      <c r="H11221" s="1"/>
      <c r="I11221" s="1"/>
    </row>
    <row r="11222" spans="8:9" x14ac:dyDescent="0.2">
      <c r="H11222" s="1"/>
      <c r="I11222" s="1"/>
    </row>
    <row r="11223" spans="8:9" x14ac:dyDescent="0.2">
      <c r="H11223" s="1"/>
      <c r="I11223" s="1"/>
    </row>
    <row r="11224" spans="8:9" x14ac:dyDescent="0.2">
      <c r="H11224" s="1"/>
      <c r="I11224" s="1"/>
    </row>
    <row r="11225" spans="8:9" x14ac:dyDescent="0.2">
      <c r="H11225" s="1"/>
      <c r="I11225" s="1"/>
    </row>
    <row r="11226" spans="8:9" x14ac:dyDescent="0.2">
      <c r="H11226" s="1"/>
      <c r="I11226" s="1"/>
    </row>
    <row r="11227" spans="8:9" x14ac:dyDescent="0.2">
      <c r="H11227" s="1"/>
      <c r="I11227" s="1"/>
    </row>
    <row r="11228" spans="8:9" x14ac:dyDescent="0.2">
      <c r="H11228" s="1"/>
      <c r="I11228" s="1"/>
    </row>
    <row r="11229" spans="8:9" x14ac:dyDescent="0.2">
      <c r="H11229" s="1"/>
      <c r="I11229" s="1"/>
    </row>
    <row r="11230" spans="8:9" x14ac:dyDescent="0.2">
      <c r="H11230" s="1"/>
      <c r="I11230" s="1"/>
    </row>
    <row r="11231" spans="8:9" x14ac:dyDescent="0.2">
      <c r="H11231" s="1"/>
      <c r="I11231" s="1"/>
    </row>
    <row r="11232" spans="8:9" x14ac:dyDescent="0.2">
      <c r="H11232" s="1"/>
      <c r="I11232" s="1"/>
    </row>
    <row r="11233" spans="8:9" x14ac:dyDescent="0.2">
      <c r="H11233" s="1"/>
      <c r="I11233" s="1"/>
    </row>
    <row r="11234" spans="8:9" x14ac:dyDescent="0.2">
      <c r="H11234" s="1"/>
      <c r="I11234" s="1"/>
    </row>
    <row r="11235" spans="8:9" x14ac:dyDescent="0.2">
      <c r="H11235" s="1"/>
      <c r="I11235" s="1"/>
    </row>
    <row r="11236" spans="8:9" x14ac:dyDescent="0.2">
      <c r="H11236" s="1"/>
      <c r="I11236" s="1"/>
    </row>
    <row r="11237" spans="8:9" x14ac:dyDescent="0.2">
      <c r="H11237" s="1"/>
      <c r="I11237" s="1"/>
    </row>
    <row r="11238" spans="8:9" x14ac:dyDescent="0.2">
      <c r="H11238" s="1"/>
      <c r="I11238" s="1"/>
    </row>
    <row r="11239" spans="8:9" x14ac:dyDescent="0.2">
      <c r="H11239" s="1"/>
      <c r="I11239" s="1"/>
    </row>
    <row r="11240" spans="8:9" x14ac:dyDescent="0.2">
      <c r="H11240" s="1"/>
      <c r="I11240" s="1"/>
    </row>
    <row r="11241" spans="8:9" x14ac:dyDescent="0.2">
      <c r="H11241" s="1"/>
      <c r="I11241" s="1"/>
    </row>
    <row r="11242" spans="8:9" x14ac:dyDescent="0.2">
      <c r="H11242" s="1"/>
      <c r="I11242" s="1"/>
    </row>
    <row r="11243" spans="8:9" x14ac:dyDescent="0.2">
      <c r="H11243" s="1"/>
      <c r="I11243" s="1"/>
    </row>
    <row r="11244" spans="8:9" x14ac:dyDescent="0.2">
      <c r="H11244" s="1"/>
      <c r="I11244" s="1"/>
    </row>
    <row r="11245" spans="8:9" x14ac:dyDescent="0.2">
      <c r="H11245" s="1"/>
      <c r="I11245" s="1"/>
    </row>
    <row r="11246" spans="8:9" x14ac:dyDescent="0.2">
      <c r="H11246" s="1"/>
      <c r="I11246" s="1"/>
    </row>
    <row r="11247" spans="8:9" x14ac:dyDescent="0.2">
      <c r="H11247" s="1"/>
      <c r="I11247" s="1"/>
    </row>
    <row r="11248" spans="8:9" x14ac:dyDescent="0.2">
      <c r="H11248" s="1"/>
      <c r="I11248" s="1"/>
    </row>
    <row r="11249" spans="8:9" x14ac:dyDescent="0.2">
      <c r="H11249" s="1"/>
      <c r="I11249" s="1"/>
    </row>
    <row r="11250" spans="8:9" x14ac:dyDescent="0.2">
      <c r="H11250" s="1"/>
      <c r="I11250" s="1"/>
    </row>
    <row r="11251" spans="8:9" x14ac:dyDescent="0.2">
      <c r="H11251" s="1"/>
      <c r="I11251" s="1"/>
    </row>
    <row r="11252" spans="8:9" x14ac:dyDescent="0.2">
      <c r="H11252" s="1"/>
      <c r="I11252" s="1"/>
    </row>
    <row r="11253" spans="8:9" x14ac:dyDescent="0.2">
      <c r="H11253" s="1"/>
      <c r="I11253" s="1"/>
    </row>
    <row r="11254" spans="8:9" x14ac:dyDescent="0.2">
      <c r="H11254" s="1"/>
      <c r="I11254" s="1"/>
    </row>
    <row r="11255" spans="8:9" x14ac:dyDescent="0.2">
      <c r="H11255" s="1"/>
      <c r="I11255" s="1"/>
    </row>
    <row r="11256" spans="8:9" x14ac:dyDescent="0.2">
      <c r="H11256" s="1"/>
      <c r="I11256" s="1"/>
    </row>
    <row r="11257" spans="8:9" x14ac:dyDescent="0.2">
      <c r="H11257" s="1"/>
      <c r="I11257" s="1"/>
    </row>
    <row r="11258" spans="8:9" x14ac:dyDescent="0.2">
      <c r="H11258" s="1"/>
      <c r="I11258" s="1"/>
    </row>
    <row r="11259" spans="8:9" x14ac:dyDescent="0.2">
      <c r="H11259" s="1"/>
      <c r="I11259" s="1"/>
    </row>
    <row r="11260" spans="8:9" x14ac:dyDescent="0.2">
      <c r="H11260" s="1"/>
      <c r="I11260" s="1"/>
    </row>
    <row r="11261" spans="8:9" x14ac:dyDescent="0.2">
      <c r="H11261" s="1"/>
      <c r="I11261" s="1"/>
    </row>
    <row r="11262" spans="8:9" x14ac:dyDescent="0.2">
      <c r="H11262" s="1"/>
      <c r="I11262" s="1"/>
    </row>
    <row r="11263" spans="8:9" x14ac:dyDescent="0.2">
      <c r="H11263" s="1"/>
      <c r="I11263" s="1"/>
    </row>
    <row r="11264" spans="8:9" x14ac:dyDescent="0.2">
      <c r="H11264" s="1"/>
      <c r="I11264" s="1"/>
    </row>
    <row r="11265" spans="8:9" x14ac:dyDescent="0.2">
      <c r="H11265" s="1"/>
      <c r="I11265" s="1"/>
    </row>
    <row r="11266" spans="8:9" x14ac:dyDescent="0.2">
      <c r="H11266" s="1"/>
      <c r="I11266" s="1"/>
    </row>
    <row r="11267" spans="8:9" x14ac:dyDescent="0.2">
      <c r="H11267" s="1"/>
      <c r="I11267" s="1"/>
    </row>
    <row r="11268" spans="8:9" x14ac:dyDescent="0.2">
      <c r="H11268" s="1"/>
      <c r="I11268" s="1"/>
    </row>
    <row r="11269" spans="8:9" x14ac:dyDescent="0.2">
      <c r="H11269" s="1"/>
      <c r="I11269" s="1"/>
    </row>
    <row r="11270" spans="8:9" x14ac:dyDescent="0.2">
      <c r="H11270" s="1"/>
      <c r="I11270" s="1"/>
    </row>
    <row r="11271" spans="8:9" x14ac:dyDescent="0.2">
      <c r="H11271" s="1"/>
      <c r="I11271" s="1"/>
    </row>
    <row r="11272" spans="8:9" x14ac:dyDescent="0.2">
      <c r="H11272" s="1"/>
      <c r="I11272" s="1"/>
    </row>
    <row r="11273" spans="8:9" x14ac:dyDescent="0.2">
      <c r="H11273" s="1"/>
      <c r="I11273" s="1"/>
    </row>
    <row r="11274" spans="8:9" x14ac:dyDescent="0.2">
      <c r="H11274" s="1"/>
      <c r="I11274" s="1"/>
    </row>
    <row r="11275" spans="8:9" x14ac:dyDescent="0.2">
      <c r="H11275" s="1"/>
      <c r="I11275" s="1"/>
    </row>
    <row r="11276" spans="8:9" x14ac:dyDescent="0.2">
      <c r="H11276" s="1"/>
      <c r="I11276" s="1"/>
    </row>
    <row r="11277" spans="8:9" x14ac:dyDescent="0.2">
      <c r="H11277" s="1"/>
      <c r="I11277" s="1"/>
    </row>
    <row r="11278" spans="8:9" x14ac:dyDescent="0.2">
      <c r="H11278" s="1"/>
      <c r="I11278" s="1"/>
    </row>
    <row r="11279" spans="8:9" x14ac:dyDescent="0.2">
      <c r="H11279" s="1"/>
      <c r="I11279" s="1"/>
    </row>
    <row r="11280" spans="8:9" x14ac:dyDescent="0.2">
      <c r="H11280" s="1"/>
      <c r="I11280" s="1"/>
    </row>
    <row r="11281" spans="8:9" x14ac:dyDescent="0.2">
      <c r="H11281" s="1"/>
      <c r="I11281" s="1"/>
    </row>
    <row r="11282" spans="8:9" x14ac:dyDescent="0.2">
      <c r="H11282" s="1"/>
      <c r="I11282" s="1"/>
    </row>
    <row r="11283" spans="8:9" x14ac:dyDescent="0.2">
      <c r="H11283" s="1"/>
      <c r="I11283" s="1"/>
    </row>
    <row r="11284" spans="8:9" x14ac:dyDescent="0.2">
      <c r="H11284" s="1"/>
      <c r="I11284" s="1"/>
    </row>
    <row r="11285" spans="8:9" x14ac:dyDescent="0.2">
      <c r="H11285" s="1"/>
      <c r="I11285" s="1"/>
    </row>
    <row r="11286" spans="8:9" x14ac:dyDescent="0.2">
      <c r="H11286" s="1"/>
      <c r="I11286" s="1"/>
    </row>
    <row r="11287" spans="8:9" x14ac:dyDescent="0.2">
      <c r="H11287" s="1"/>
      <c r="I11287" s="1"/>
    </row>
    <row r="11288" spans="8:9" x14ac:dyDescent="0.2">
      <c r="H11288" s="1"/>
      <c r="I11288" s="1"/>
    </row>
    <row r="11289" spans="8:9" x14ac:dyDescent="0.2">
      <c r="H11289" s="1"/>
      <c r="I11289" s="1"/>
    </row>
    <row r="11290" spans="8:9" x14ac:dyDescent="0.2">
      <c r="H11290" s="1"/>
      <c r="I11290" s="1"/>
    </row>
    <row r="11291" spans="8:9" x14ac:dyDescent="0.2">
      <c r="H11291" s="1"/>
      <c r="I11291" s="1"/>
    </row>
    <row r="11292" spans="8:9" x14ac:dyDescent="0.2">
      <c r="H11292" s="1"/>
      <c r="I11292" s="1"/>
    </row>
    <row r="11293" spans="8:9" x14ac:dyDescent="0.2">
      <c r="H11293" s="1"/>
      <c r="I11293" s="1"/>
    </row>
    <row r="11294" spans="8:9" x14ac:dyDescent="0.2">
      <c r="H11294" s="1"/>
      <c r="I11294" s="1"/>
    </row>
    <row r="11295" spans="8:9" x14ac:dyDescent="0.2">
      <c r="H11295" s="1"/>
      <c r="I11295" s="1"/>
    </row>
    <row r="11296" spans="8:9" x14ac:dyDescent="0.2">
      <c r="H11296" s="1"/>
      <c r="I11296" s="1"/>
    </row>
    <row r="11297" spans="8:9" x14ac:dyDescent="0.2">
      <c r="H11297" s="1"/>
      <c r="I11297" s="1"/>
    </row>
    <row r="11298" spans="8:9" x14ac:dyDescent="0.2">
      <c r="H11298" s="1"/>
      <c r="I11298" s="1"/>
    </row>
    <row r="11299" spans="8:9" x14ac:dyDescent="0.2">
      <c r="H11299" s="1"/>
      <c r="I11299" s="1"/>
    </row>
    <row r="11300" spans="8:9" x14ac:dyDescent="0.2">
      <c r="H11300" s="1"/>
      <c r="I11300" s="1"/>
    </row>
    <row r="11301" spans="8:9" x14ac:dyDescent="0.2">
      <c r="H11301" s="1"/>
      <c r="I11301" s="1"/>
    </row>
    <row r="11302" spans="8:9" x14ac:dyDescent="0.2">
      <c r="H11302" s="1"/>
      <c r="I11302" s="1"/>
    </row>
    <row r="11303" spans="8:9" x14ac:dyDescent="0.2">
      <c r="H11303" s="1"/>
      <c r="I11303" s="1"/>
    </row>
    <row r="11304" spans="8:9" x14ac:dyDescent="0.2">
      <c r="H11304" s="1"/>
      <c r="I11304" s="1"/>
    </row>
    <row r="11305" spans="8:9" x14ac:dyDescent="0.2">
      <c r="H11305" s="1"/>
      <c r="I11305" s="1"/>
    </row>
    <row r="11306" spans="8:9" x14ac:dyDescent="0.2">
      <c r="H11306" s="1"/>
      <c r="I11306" s="1"/>
    </row>
    <row r="11307" spans="8:9" x14ac:dyDescent="0.2">
      <c r="H11307" s="1"/>
      <c r="I11307" s="1"/>
    </row>
    <row r="11308" spans="8:9" x14ac:dyDescent="0.2">
      <c r="H11308" s="1"/>
      <c r="I11308" s="1"/>
    </row>
    <row r="11309" spans="8:9" x14ac:dyDescent="0.2">
      <c r="H11309" s="1"/>
      <c r="I11309" s="1"/>
    </row>
    <row r="11310" spans="8:9" x14ac:dyDescent="0.2">
      <c r="H11310" s="1"/>
      <c r="I11310" s="1"/>
    </row>
    <row r="11311" spans="8:9" x14ac:dyDescent="0.2">
      <c r="H11311" s="1"/>
      <c r="I11311" s="1"/>
    </row>
    <row r="11312" spans="8:9" x14ac:dyDescent="0.2">
      <c r="H11312" s="1"/>
      <c r="I11312" s="1"/>
    </row>
    <row r="11313" spans="8:9" x14ac:dyDescent="0.2">
      <c r="H11313" s="1"/>
      <c r="I11313" s="1"/>
    </row>
    <row r="11314" spans="8:9" x14ac:dyDescent="0.2">
      <c r="H11314" s="1"/>
      <c r="I11314" s="1"/>
    </row>
    <row r="11315" spans="8:9" x14ac:dyDescent="0.2">
      <c r="H11315" s="1"/>
      <c r="I11315" s="1"/>
    </row>
    <row r="11316" spans="8:9" x14ac:dyDescent="0.2">
      <c r="H11316" s="1"/>
      <c r="I11316" s="1"/>
    </row>
    <row r="11317" spans="8:9" x14ac:dyDescent="0.2">
      <c r="H11317" s="1"/>
      <c r="I11317" s="1"/>
    </row>
    <row r="11318" spans="8:9" x14ac:dyDescent="0.2">
      <c r="H11318" s="1"/>
      <c r="I11318" s="1"/>
    </row>
    <row r="11319" spans="8:9" x14ac:dyDescent="0.2">
      <c r="H11319" s="1"/>
      <c r="I11319" s="1"/>
    </row>
    <row r="11320" spans="8:9" x14ac:dyDescent="0.2">
      <c r="H11320" s="1"/>
      <c r="I11320" s="1"/>
    </row>
    <row r="11321" spans="8:9" x14ac:dyDescent="0.2">
      <c r="H11321" s="1"/>
      <c r="I11321" s="1"/>
    </row>
    <row r="11322" spans="8:9" x14ac:dyDescent="0.2">
      <c r="H11322" s="1"/>
      <c r="I11322" s="1"/>
    </row>
    <row r="11323" spans="8:9" x14ac:dyDescent="0.2">
      <c r="H11323" s="1"/>
      <c r="I11323" s="1"/>
    </row>
    <row r="11324" spans="8:9" x14ac:dyDescent="0.2">
      <c r="H11324" s="1"/>
      <c r="I11324" s="1"/>
    </row>
    <row r="11325" spans="8:9" x14ac:dyDescent="0.2">
      <c r="H11325" s="1"/>
      <c r="I11325" s="1"/>
    </row>
    <row r="11326" spans="8:9" x14ac:dyDescent="0.2">
      <c r="H11326" s="1"/>
      <c r="I11326" s="1"/>
    </row>
    <row r="11327" spans="8:9" x14ac:dyDescent="0.2">
      <c r="H11327" s="1"/>
      <c r="I11327" s="1"/>
    </row>
    <row r="11328" spans="8:9" x14ac:dyDescent="0.2">
      <c r="H11328" s="1"/>
      <c r="I11328" s="1"/>
    </row>
    <row r="11329" spans="8:9" x14ac:dyDescent="0.2">
      <c r="H11329" s="1"/>
      <c r="I11329" s="1"/>
    </row>
    <row r="11330" spans="8:9" x14ac:dyDescent="0.2">
      <c r="H11330" s="1"/>
      <c r="I11330" s="1"/>
    </row>
    <row r="11331" spans="8:9" x14ac:dyDescent="0.2">
      <c r="H11331" s="1"/>
      <c r="I11331" s="1"/>
    </row>
    <row r="11332" spans="8:9" x14ac:dyDescent="0.2">
      <c r="H11332" s="1"/>
      <c r="I11332" s="1"/>
    </row>
    <row r="11333" spans="8:9" x14ac:dyDescent="0.2">
      <c r="H11333" s="1"/>
      <c r="I11333" s="1"/>
    </row>
    <row r="11334" spans="8:9" x14ac:dyDescent="0.2">
      <c r="H11334" s="1"/>
      <c r="I11334" s="1"/>
    </row>
    <row r="11335" spans="8:9" x14ac:dyDescent="0.2">
      <c r="H11335" s="1"/>
      <c r="I11335" s="1"/>
    </row>
    <row r="11336" spans="8:9" x14ac:dyDescent="0.2">
      <c r="H11336" s="1"/>
      <c r="I11336" s="1"/>
    </row>
    <row r="11337" spans="8:9" x14ac:dyDescent="0.2">
      <c r="H11337" s="1"/>
      <c r="I11337" s="1"/>
    </row>
    <row r="11338" spans="8:9" x14ac:dyDescent="0.2">
      <c r="H11338" s="1"/>
      <c r="I11338" s="1"/>
    </row>
    <row r="11339" spans="8:9" x14ac:dyDescent="0.2">
      <c r="H11339" s="1"/>
      <c r="I11339" s="1"/>
    </row>
    <row r="11340" spans="8:9" x14ac:dyDescent="0.2">
      <c r="H11340" s="1"/>
      <c r="I11340" s="1"/>
    </row>
    <row r="11341" spans="8:9" x14ac:dyDescent="0.2">
      <c r="H11341" s="1"/>
      <c r="I11341" s="1"/>
    </row>
    <row r="11342" spans="8:9" x14ac:dyDescent="0.2">
      <c r="H11342" s="1"/>
      <c r="I11342" s="1"/>
    </row>
    <row r="11343" spans="8:9" x14ac:dyDescent="0.2">
      <c r="H11343" s="1"/>
      <c r="I11343" s="1"/>
    </row>
    <row r="11344" spans="8:9" x14ac:dyDescent="0.2">
      <c r="H11344" s="1"/>
      <c r="I11344" s="1"/>
    </row>
    <row r="11345" spans="8:9" x14ac:dyDescent="0.2">
      <c r="H11345" s="1"/>
      <c r="I11345" s="1"/>
    </row>
    <row r="11346" spans="8:9" x14ac:dyDescent="0.2">
      <c r="H11346" s="1"/>
      <c r="I11346" s="1"/>
    </row>
    <row r="11347" spans="8:9" x14ac:dyDescent="0.2">
      <c r="H11347" s="1"/>
      <c r="I11347" s="1"/>
    </row>
    <row r="11348" spans="8:9" x14ac:dyDescent="0.2">
      <c r="H11348" s="1"/>
      <c r="I11348" s="1"/>
    </row>
    <row r="11349" spans="8:9" x14ac:dyDescent="0.2">
      <c r="H11349" s="1"/>
      <c r="I11349" s="1"/>
    </row>
    <row r="11350" spans="8:9" x14ac:dyDescent="0.2">
      <c r="H11350" s="1"/>
      <c r="I11350" s="1"/>
    </row>
    <row r="11351" spans="8:9" x14ac:dyDescent="0.2">
      <c r="H11351" s="1"/>
      <c r="I11351" s="1"/>
    </row>
    <row r="11352" spans="8:9" x14ac:dyDescent="0.2">
      <c r="H11352" s="1"/>
      <c r="I11352" s="1"/>
    </row>
    <row r="11353" spans="8:9" x14ac:dyDescent="0.2">
      <c r="H11353" s="1"/>
      <c r="I11353" s="1"/>
    </row>
    <row r="11354" spans="8:9" x14ac:dyDescent="0.2">
      <c r="H11354" s="1"/>
      <c r="I11354" s="1"/>
    </row>
    <row r="11355" spans="8:9" x14ac:dyDescent="0.2">
      <c r="H11355" s="1"/>
      <c r="I11355" s="1"/>
    </row>
    <row r="11356" spans="8:9" x14ac:dyDescent="0.2">
      <c r="H11356" s="1"/>
      <c r="I11356" s="1"/>
    </row>
    <row r="11357" spans="8:9" x14ac:dyDescent="0.2">
      <c r="H11357" s="1"/>
      <c r="I11357" s="1"/>
    </row>
    <row r="11358" spans="8:9" x14ac:dyDescent="0.2">
      <c r="H11358" s="1"/>
      <c r="I11358" s="1"/>
    </row>
    <row r="11359" spans="8:9" x14ac:dyDescent="0.2">
      <c r="H11359" s="1"/>
      <c r="I11359" s="1"/>
    </row>
    <row r="11360" spans="8:9" x14ac:dyDescent="0.2">
      <c r="H11360" s="1"/>
      <c r="I11360" s="1"/>
    </row>
    <row r="11361" spans="8:9" x14ac:dyDescent="0.2">
      <c r="H11361" s="1"/>
      <c r="I11361" s="1"/>
    </row>
    <row r="11362" spans="8:9" x14ac:dyDescent="0.2">
      <c r="H11362" s="1"/>
      <c r="I11362" s="1"/>
    </row>
    <row r="11363" spans="8:9" x14ac:dyDescent="0.2">
      <c r="H11363" s="1"/>
      <c r="I11363" s="1"/>
    </row>
    <row r="11364" spans="8:9" x14ac:dyDescent="0.2">
      <c r="H11364" s="1"/>
      <c r="I11364" s="1"/>
    </row>
    <row r="11365" spans="8:9" x14ac:dyDescent="0.2">
      <c r="H11365" s="1"/>
      <c r="I11365" s="1"/>
    </row>
    <row r="11366" spans="8:9" x14ac:dyDescent="0.2">
      <c r="H11366" s="1"/>
      <c r="I11366" s="1"/>
    </row>
    <row r="11367" spans="8:9" x14ac:dyDescent="0.2">
      <c r="H11367" s="1"/>
      <c r="I11367" s="1"/>
    </row>
    <row r="11368" spans="8:9" x14ac:dyDescent="0.2">
      <c r="H11368" s="1"/>
      <c r="I11368" s="1"/>
    </row>
    <row r="11369" spans="8:9" x14ac:dyDescent="0.2">
      <c r="H11369" s="1"/>
      <c r="I11369" s="1"/>
    </row>
    <row r="11370" spans="8:9" x14ac:dyDescent="0.2">
      <c r="H11370" s="1"/>
      <c r="I11370" s="1"/>
    </row>
    <row r="11371" spans="8:9" x14ac:dyDescent="0.2">
      <c r="H11371" s="1"/>
      <c r="I11371" s="1"/>
    </row>
    <row r="11372" spans="8:9" x14ac:dyDescent="0.2">
      <c r="H11372" s="1"/>
      <c r="I11372" s="1"/>
    </row>
    <row r="11373" spans="8:9" x14ac:dyDescent="0.2">
      <c r="H11373" s="1"/>
      <c r="I11373" s="1"/>
    </row>
    <row r="11374" spans="8:9" x14ac:dyDescent="0.2">
      <c r="H11374" s="1"/>
      <c r="I11374" s="1"/>
    </row>
    <row r="11375" spans="8:9" x14ac:dyDescent="0.2">
      <c r="H11375" s="1"/>
      <c r="I11375" s="1"/>
    </row>
    <row r="11376" spans="8:9" x14ac:dyDescent="0.2">
      <c r="H11376" s="1"/>
      <c r="I11376" s="1"/>
    </row>
    <row r="11377" spans="8:9" x14ac:dyDescent="0.2">
      <c r="H11377" s="1"/>
      <c r="I11377" s="1"/>
    </row>
    <row r="11378" spans="8:9" x14ac:dyDescent="0.2">
      <c r="H11378" s="1"/>
      <c r="I11378" s="1"/>
    </row>
    <row r="11379" spans="8:9" x14ac:dyDescent="0.2">
      <c r="H11379" s="1"/>
      <c r="I11379" s="1"/>
    </row>
    <row r="11380" spans="8:9" x14ac:dyDescent="0.2">
      <c r="H11380" s="1"/>
      <c r="I11380" s="1"/>
    </row>
    <row r="11381" spans="8:9" x14ac:dyDescent="0.2">
      <c r="H11381" s="1"/>
      <c r="I11381" s="1"/>
    </row>
    <row r="11382" spans="8:9" x14ac:dyDescent="0.2">
      <c r="H11382" s="1"/>
      <c r="I11382" s="1"/>
    </row>
    <row r="11383" spans="8:9" x14ac:dyDescent="0.2">
      <c r="H11383" s="1"/>
      <c r="I11383" s="1"/>
    </row>
    <row r="11384" spans="8:9" x14ac:dyDescent="0.2">
      <c r="H11384" s="1"/>
      <c r="I11384" s="1"/>
    </row>
    <row r="11385" spans="8:9" x14ac:dyDescent="0.2">
      <c r="H11385" s="1"/>
      <c r="I11385" s="1"/>
    </row>
    <row r="11386" spans="8:9" x14ac:dyDescent="0.2">
      <c r="H11386" s="1"/>
      <c r="I11386" s="1"/>
    </row>
    <row r="11387" spans="8:9" x14ac:dyDescent="0.2">
      <c r="H11387" s="1"/>
      <c r="I11387" s="1"/>
    </row>
    <row r="11388" spans="8:9" x14ac:dyDescent="0.2">
      <c r="H11388" s="1"/>
      <c r="I11388" s="1"/>
    </row>
    <row r="11389" spans="8:9" x14ac:dyDescent="0.2">
      <c r="H11389" s="1"/>
      <c r="I11389" s="1"/>
    </row>
    <row r="11390" spans="8:9" x14ac:dyDescent="0.2">
      <c r="H11390" s="1"/>
      <c r="I11390" s="1"/>
    </row>
    <row r="11391" spans="8:9" x14ac:dyDescent="0.2">
      <c r="H11391" s="1"/>
      <c r="I11391" s="1"/>
    </row>
    <row r="11392" spans="8:9" x14ac:dyDescent="0.2">
      <c r="H11392" s="1"/>
      <c r="I11392" s="1"/>
    </row>
    <row r="11393" spans="8:9" x14ac:dyDescent="0.2">
      <c r="H11393" s="1"/>
      <c r="I11393" s="1"/>
    </row>
    <row r="11394" spans="8:9" x14ac:dyDescent="0.2">
      <c r="H11394" s="1"/>
      <c r="I11394" s="1"/>
    </row>
    <row r="11395" spans="8:9" x14ac:dyDescent="0.2">
      <c r="H11395" s="1"/>
      <c r="I11395" s="1"/>
    </row>
    <row r="11396" spans="8:9" x14ac:dyDescent="0.2">
      <c r="H11396" s="1"/>
      <c r="I11396" s="1"/>
    </row>
    <row r="11397" spans="8:9" x14ac:dyDescent="0.2">
      <c r="H11397" s="1"/>
      <c r="I11397" s="1"/>
    </row>
    <row r="11398" spans="8:9" x14ac:dyDescent="0.2">
      <c r="H11398" s="1"/>
      <c r="I11398" s="1"/>
    </row>
    <row r="11399" spans="8:9" x14ac:dyDescent="0.2">
      <c r="H11399" s="1"/>
      <c r="I11399" s="1"/>
    </row>
    <row r="11400" spans="8:9" x14ac:dyDescent="0.2">
      <c r="H11400" s="1"/>
      <c r="I11400" s="1"/>
    </row>
    <row r="11401" spans="8:9" x14ac:dyDescent="0.2">
      <c r="H11401" s="1"/>
      <c r="I11401" s="1"/>
    </row>
    <row r="11402" spans="8:9" x14ac:dyDescent="0.2">
      <c r="H11402" s="1"/>
      <c r="I11402" s="1"/>
    </row>
    <row r="11403" spans="8:9" x14ac:dyDescent="0.2">
      <c r="H11403" s="1"/>
      <c r="I11403" s="1"/>
    </row>
    <row r="11404" spans="8:9" x14ac:dyDescent="0.2">
      <c r="H11404" s="1"/>
      <c r="I11404" s="1"/>
    </row>
    <row r="11405" spans="8:9" x14ac:dyDescent="0.2">
      <c r="H11405" s="1"/>
      <c r="I11405" s="1"/>
    </row>
    <row r="11406" spans="8:9" x14ac:dyDescent="0.2">
      <c r="H11406" s="1"/>
      <c r="I11406" s="1"/>
    </row>
    <row r="11407" spans="8:9" x14ac:dyDescent="0.2">
      <c r="H11407" s="1"/>
      <c r="I11407" s="1"/>
    </row>
    <row r="11408" spans="8:9" x14ac:dyDescent="0.2">
      <c r="H11408" s="1"/>
      <c r="I11408" s="1"/>
    </row>
    <row r="11409" spans="8:9" x14ac:dyDescent="0.2">
      <c r="H11409" s="1"/>
      <c r="I11409" s="1"/>
    </row>
    <row r="11410" spans="8:9" x14ac:dyDescent="0.2">
      <c r="H11410" s="1"/>
      <c r="I11410" s="1"/>
    </row>
    <row r="11411" spans="8:9" x14ac:dyDescent="0.2">
      <c r="H11411" s="1"/>
      <c r="I11411" s="1"/>
    </row>
    <row r="11412" spans="8:9" x14ac:dyDescent="0.2">
      <c r="H11412" s="1"/>
      <c r="I11412" s="1"/>
    </row>
    <row r="11413" spans="8:9" x14ac:dyDescent="0.2">
      <c r="H11413" s="1"/>
      <c r="I11413" s="1"/>
    </row>
    <row r="11414" spans="8:9" x14ac:dyDescent="0.2">
      <c r="H11414" s="1"/>
      <c r="I11414" s="1"/>
    </row>
    <row r="11415" spans="8:9" x14ac:dyDescent="0.2">
      <c r="H11415" s="1"/>
      <c r="I11415" s="1"/>
    </row>
    <row r="11416" spans="8:9" x14ac:dyDescent="0.2">
      <c r="H11416" s="1"/>
      <c r="I11416" s="1"/>
    </row>
    <row r="11417" spans="8:9" x14ac:dyDescent="0.2">
      <c r="H11417" s="1"/>
      <c r="I11417" s="1"/>
    </row>
    <row r="11418" spans="8:9" x14ac:dyDescent="0.2">
      <c r="H11418" s="1"/>
      <c r="I11418" s="1"/>
    </row>
    <row r="11419" spans="8:9" x14ac:dyDescent="0.2">
      <c r="H11419" s="1"/>
      <c r="I11419" s="1"/>
    </row>
    <row r="11420" spans="8:9" x14ac:dyDescent="0.2">
      <c r="H11420" s="1"/>
      <c r="I11420" s="1"/>
    </row>
    <row r="11421" spans="8:9" x14ac:dyDescent="0.2">
      <c r="H11421" s="1"/>
      <c r="I11421" s="1"/>
    </row>
    <row r="11422" spans="8:9" x14ac:dyDescent="0.2">
      <c r="H11422" s="1"/>
      <c r="I11422" s="1"/>
    </row>
    <row r="11423" spans="8:9" x14ac:dyDescent="0.2">
      <c r="H11423" s="1"/>
      <c r="I11423" s="1"/>
    </row>
    <row r="11424" spans="8:9" x14ac:dyDescent="0.2">
      <c r="H11424" s="1"/>
      <c r="I11424" s="1"/>
    </row>
    <row r="11425" spans="8:9" x14ac:dyDescent="0.2">
      <c r="H11425" s="1"/>
      <c r="I11425" s="1"/>
    </row>
    <row r="11426" spans="8:9" x14ac:dyDescent="0.2">
      <c r="H11426" s="1"/>
      <c r="I11426" s="1"/>
    </row>
    <row r="11427" spans="8:9" x14ac:dyDescent="0.2">
      <c r="H11427" s="1"/>
      <c r="I11427" s="1"/>
    </row>
    <row r="11428" spans="8:9" x14ac:dyDescent="0.2">
      <c r="H11428" s="1"/>
      <c r="I11428" s="1"/>
    </row>
    <row r="11429" spans="8:9" x14ac:dyDescent="0.2">
      <c r="H11429" s="1"/>
      <c r="I11429" s="1"/>
    </row>
    <row r="11430" spans="8:9" x14ac:dyDescent="0.2">
      <c r="H11430" s="1"/>
      <c r="I11430" s="1"/>
    </row>
    <row r="11431" spans="8:9" x14ac:dyDescent="0.2">
      <c r="H11431" s="1"/>
      <c r="I11431" s="1"/>
    </row>
    <row r="11432" spans="8:9" x14ac:dyDescent="0.2">
      <c r="H11432" s="1"/>
      <c r="I11432" s="1"/>
    </row>
    <row r="11433" spans="8:9" x14ac:dyDescent="0.2">
      <c r="H11433" s="1"/>
      <c r="I11433" s="1"/>
    </row>
    <row r="11434" spans="8:9" x14ac:dyDescent="0.2">
      <c r="H11434" s="1"/>
      <c r="I11434" s="1"/>
    </row>
    <row r="11435" spans="8:9" x14ac:dyDescent="0.2">
      <c r="H11435" s="1"/>
      <c r="I11435" s="1"/>
    </row>
    <row r="11436" spans="8:9" x14ac:dyDescent="0.2">
      <c r="H11436" s="1"/>
      <c r="I11436" s="1"/>
    </row>
    <row r="11437" spans="8:9" x14ac:dyDescent="0.2">
      <c r="H11437" s="1"/>
      <c r="I11437" s="1"/>
    </row>
    <row r="11438" spans="8:9" x14ac:dyDescent="0.2">
      <c r="H11438" s="1"/>
      <c r="I11438" s="1"/>
    </row>
    <row r="11439" spans="8:9" x14ac:dyDescent="0.2">
      <c r="H11439" s="1"/>
      <c r="I11439" s="1"/>
    </row>
    <row r="11440" spans="8:9" x14ac:dyDescent="0.2">
      <c r="H11440" s="1"/>
      <c r="I11440" s="1"/>
    </row>
    <row r="11441" spans="8:9" x14ac:dyDescent="0.2">
      <c r="H11441" s="1"/>
      <c r="I11441" s="1"/>
    </row>
    <row r="11442" spans="8:9" x14ac:dyDescent="0.2">
      <c r="H11442" s="1"/>
      <c r="I11442" s="1"/>
    </row>
    <row r="11443" spans="8:9" x14ac:dyDescent="0.2">
      <c r="H11443" s="1"/>
      <c r="I11443" s="1"/>
    </row>
    <row r="11444" spans="8:9" x14ac:dyDescent="0.2">
      <c r="H11444" s="1"/>
      <c r="I11444" s="1"/>
    </row>
    <row r="11445" spans="8:9" x14ac:dyDescent="0.2">
      <c r="H11445" s="1"/>
      <c r="I11445" s="1"/>
    </row>
    <row r="11446" spans="8:9" x14ac:dyDescent="0.2">
      <c r="H11446" s="1"/>
      <c r="I11446" s="1"/>
    </row>
    <row r="11447" spans="8:9" x14ac:dyDescent="0.2">
      <c r="H11447" s="1"/>
      <c r="I11447" s="1"/>
    </row>
    <row r="11448" spans="8:9" x14ac:dyDescent="0.2">
      <c r="H11448" s="1"/>
      <c r="I11448" s="1"/>
    </row>
    <row r="11449" spans="8:9" x14ac:dyDescent="0.2">
      <c r="H11449" s="1"/>
      <c r="I11449" s="1"/>
    </row>
    <row r="11450" spans="8:9" x14ac:dyDescent="0.2">
      <c r="H11450" s="1"/>
      <c r="I11450" s="1"/>
    </row>
    <row r="11451" spans="8:9" x14ac:dyDescent="0.2">
      <c r="H11451" s="1"/>
      <c r="I11451" s="1"/>
    </row>
    <row r="11452" spans="8:9" x14ac:dyDescent="0.2">
      <c r="H11452" s="1"/>
      <c r="I11452" s="1"/>
    </row>
    <row r="11453" spans="8:9" x14ac:dyDescent="0.2">
      <c r="H11453" s="1"/>
      <c r="I11453" s="1"/>
    </row>
    <row r="11454" spans="8:9" x14ac:dyDescent="0.2">
      <c r="H11454" s="1"/>
      <c r="I11454" s="1"/>
    </row>
    <row r="11455" spans="8:9" x14ac:dyDescent="0.2">
      <c r="H11455" s="1"/>
      <c r="I11455" s="1"/>
    </row>
    <row r="11456" spans="8:9" x14ac:dyDescent="0.2">
      <c r="H11456" s="1"/>
      <c r="I11456" s="1"/>
    </row>
    <row r="11457" spans="8:9" x14ac:dyDescent="0.2">
      <c r="H11457" s="1"/>
      <c r="I11457" s="1"/>
    </row>
    <row r="11458" spans="8:9" x14ac:dyDescent="0.2">
      <c r="H11458" s="1"/>
      <c r="I11458" s="1"/>
    </row>
    <row r="11459" spans="8:9" x14ac:dyDescent="0.2">
      <c r="H11459" s="1"/>
      <c r="I11459" s="1"/>
    </row>
    <row r="11460" spans="8:9" x14ac:dyDescent="0.2">
      <c r="H11460" s="1"/>
      <c r="I11460" s="1"/>
    </row>
    <row r="11461" spans="8:9" x14ac:dyDescent="0.2">
      <c r="H11461" s="1"/>
      <c r="I11461" s="1"/>
    </row>
    <row r="11462" spans="8:9" x14ac:dyDescent="0.2">
      <c r="H11462" s="1"/>
      <c r="I11462" s="1"/>
    </row>
    <row r="11463" spans="8:9" x14ac:dyDescent="0.2">
      <c r="H11463" s="1"/>
      <c r="I11463" s="1"/>
    </row>
    <row r="11464" spans="8:9" x14ac:dyDescent="0.2">
      <c r="H11464" s="1"/>
      <c r="I11464" s="1"/>
    </row>
    <row r="11465" spans="8:9" x14ac:dyDescent="0.2">
      <c r="H11465" s="1"/>
      <c r="I11465" s="1"/>
    </row>
    <row r="11466" spans="8:9" x14ac:dyDescent="0.2">
      <c r="H11466" s="1"/>
      <c r="I11466" s="1"/>
    </row>
    <row r="11467" spans="8:9" x14ac:dyDescent="0.2">
      <c r="H11467" s="1"/>
      <c r="I11467" s="1"/>
    </row>
    <row r="11468" spans="8:9" x14ac:dyDescent="0.2">
      <c r="H11468" s="1"/>
      <c r="I11468" s="1"/>
    </row>
    <row r="11469" spans="8:9" x14ac:dyDescent="0.2">
      <c r="H11469" s="1"/>
      <c r="I11469" s="1"/>
    </row>
    <row r="11470" spans="8:9" x14ac:dyDescent="0.2">
      <c r="H11470" s="1"/>
      <c r="I11470" s="1"/>
    </row>
    <row r="11471" spans="8:9" x14ac:dyDescent="0.2">
      <c r="H11471" s="1"/>
      <c r="I11471" s="1"/>
    </row>
    <row r="11472" spans="8:9" x14ac:dyDescent="0.2">
      <c r="H11472" s="1"/>
      <c r="I11472" s="1"/>
    </row>
    <row r="11473" spans="8:9" x14ac:dyDescent="0.2">
      <c r="H11473" s="1"/>
      <c r="I11473" s="1"/>
    </row>
    <row r="11474" spans="8:9" x14ac:dyDescent="0.2">
      <c r="H11474" s="1"/>
      <c r="I11474" s="1"/>
    </row>
    <row r="11475" spans="8:9" x14ac:dyDescent="0.2">
      <c r="H11475" s="1"/>
      <c r="I11475" s="1"/>
    </row>
    <row r="11476" spans="8:9" x14ac:dyDescent="0.2">
      <c r="H11476" s="1"/>
      <c r="I11476" s="1"/>
    </row>
    <row r="11477" spans="8:9" x14ac:dyDescent="0.2">
      <c r="H11477" s="1"/>
      <c r="I11477" s="1"/>
    </row>
    <row r="11478" spans="8:9" x14ac:dyDescent="0.2">
      <c r="H11478" s="1"/>
      <c r="I11478" s="1"/>
    </row>
    <row r="11479" spans="8:9" x14ac:dyDescent="0.2">
      <c r="H11479" s="1"/>
      <c r="I11479" s="1"/>
    </row>
    <row r="11480" spans="8:9" x14ac:dyDescent="0.2">
      <c r="H11480" s="1"/>
      <c r="I11480" s="1"/>
    </row>
    <row r="11481" spans="8:9" x14ac:dyDescent="0.2">
      <c r="H11481" s="1"/>
      <c r="I11481" s="1"/>
    </row>
    <row r="11482" spans="8:9" x14ac:dyDescent="0.2">
      <c r="H11482" s="1"/>
      <c r="I11482" s="1"/>
    </row>
    <row r="11483" spans="8:9" x14ac:dyDescent="0.2">
      <c r="H11483" s="1"/>
      <c r="I11483" s="1"/>
    </row>
    <row r="11484" spans="8:9" x14ac:dyDescent="0.2">
      <c r="H11484" s="1"/>
      <c r="I11484" s="1"/>
    </row>
    <row r="11485" spans="8:9" x14ac:dyDescent="0.2">
      <c r="H11485" s="1"/>
      <c r="I11485" s="1"/>
    </row>
    <row r="11486" spans="8:9" x14ac:dyDescent="0.2">
      <c r="H11486" s="1"/>
      <c r="I11486" s="1"/>
    </row>
    <row r="11487" spans="8:9" x14ac:dyDescent="0.2">
      <c r="H11487" s="1"/>
      <c r="I11487" s="1"/>
    </row>
    <row r="11488" spans="8:9" x14ac:dyDescent="0.2">
      <c r="H11488" s="1"/>
      <c r="I11488" s="1"/>
    </row>
    <row r="11489" spans="8:9" x14ac:dyDescent="0.2">
      <c r="H11489" s="1"/>
      <c r="I11489" s="1"/>
    </row>
    <row r="11490" spans="8:9" x14ac:dyDescent="0.2">
      <c r="H11490" s="1"/>
      <c r="I11490" s="1"/>
    </row>
    <row r="11491" spans="8:9" x14ac:dyDescent="0.2">
      <c r="H11491" s="1"/>
      <c r="I11491" s="1"/>
    </row>
    <row r="11492" spans="8:9" x14ac:dyDescent="0.2">
      <c r="H11492" s="1"/>
      <c r="I11492" s="1"/>
    </row>
    <row r="11493" spans="8:9" x14ac:dyDescent="0.2">
      <c r="H11493" s="1"/>
      <c r="I11493" s="1"/>
    </row>
    <row r="11494" spans="8:9" x14ac:dyDescent="0.2">
      <c r="H11494" s="1"/>
      <c r="I11494" s="1"/>
    </row>
    <row r="11495" spans="8:9" x14ac:dyDescent="0.2">
      <c r="H11495" s="1"/>
      <c r="I11495" s="1"/>
    </row>
    <row r="11496" spans="8:9" x14ac:dyDescent="0.2">
      <c r="H11496" s="1"/>
      <c r="I11496" s="1"/>
    </row>
    <row r="11497" spans="8:9" x14ac:dyDescent="0.2">
      <c r="H11497" s="1"/>
      <c r="I11497" s="1"/>
    </row>
    <row r="11498" spans="8:9" x14ac:dyDescent="0.2">
      <c r="H11498" s="1"/>
      <c r="I11498" s="1"/>
    </row>
    <row r="11499" spans="8:9" x14ac:dyDescent="0.2">
      <c r="H11499" s="1"/>
      <c r="I11499" s="1"/>
    </row>
    <row r="11500" spans="8:9" x14ac:dyDescent="0.2">
      <c r="H11500" s="1"/>
      <c r="I11500" s="1"/>
    </row>
    <row r="11501" spans="8:9" x14ac:dyDescent="0.2">
      <c r="H11501" s="1"/>
      <c r="I11501" s="1"/>
    </row>
    <row r="11502" spans="8:9" x14ac:dyDescent="0.2">
      <c r="H11502" s="1"/>
      <c r="I11502" s="1"/>
    </row>
    <row r="11503" spans="8:9" x14ac:dyDescent="0.2">
      <c r="H11503" s="1"/>
      <c r="I11503" s="1"/>
    </row>
    <row r="11504" spans="8:9" x14ac:dyDescent="0.2">
      <c r="H11504" s="1"/>
      <c r="I11504" s="1"/>
    </row>
    <row r="11505" spans="8:9" x14ac:dyDescent="0.2">
      <c r="H11505" s="1"/>
      <c r="I11505" s="1"/>
    </row>
    <row r="11506" spans="8:9" x14ac:dyDescent="0.2">
      <c r="H11506" s="1"/>
      <c r="I11506" s="1"/>
    </row>
    <row r="11507" spans="8:9" x14ac:dyDescent="0.2">
      <c r="H11507" s="1"/>
      <c r="I11507" s="1"/>
    </row>
    <row r="11508" spans="8:9" x14ac:dyDescent="0.2">
      <c r="H11508" s="1"/>
      <c r="I11508" s="1"/>
    </row>
    <row r="11509" spans="8:9" x14ac:dyDescent="0.2">
      <c r="H11509" s="1"/>
      <c r="I11509" s="1"/>
    </row>
    <row r="11510" spans="8:9" x14ac:dyDescent="0.2">
      <c r="H11510" s="1"/>
      <c r="I11510" s="1"/>
    </row>
    <row r="11511" spans="8:9" x14ac:dyDescent="0.2">
      <c r="H11511" s="1"/>
      <c r="I11511" s="1"/>
    </row>
    <row r="11512" spans="8:9" x14ac:dyDescent="0.2">
      <c r="H11512" s="1"/>
      <c r="I11512" s="1"/>
    </row>
    <row r="11513" spans="8:9" x14ac:dyDescent="0.2">
      <c r="H11513" s="1"/>
      <c r="I11513" s="1"/>
    </row>
    <row r="11514" spans="8:9" x14ac:dyDescent="0.2">
      <c r="H11514" s="1"/>
      <c r="I11514" s="1"/>
    </row>
    <row r="11515" spans="8:9" x14ac:dyDescent="0.2">
      <c r="H11515" s="1"/>
      <c r="I11515" s="1"/>
    </row>
    <row r="11516" spans="8:9" x14ac:dyDescent="0.2">
      <c r="H11516" s="1"/>
      <c r="I11516" s="1"/>
    </row>
    <row r="11517" spans="8:9" x14ac:dyDescent="0.2">
      <c r="H11517" s="1"/>
      <c r="I11517" s="1"/>
    </row>
    <row r="11518" spans="8:9" x14ac:dyDescent="0.2">
      <c r="H11518" s="1"/>
      <c r="I11518" s="1"/>
    </row>
    <row r="11519" spans="8:9" x14ac:dyDescent="0.2">
      <c r="H11519" s="1"/>
      <c r="I11519" s="1"/>
    </row>
    <row r="11520" spans="8:9" x14ac:dyDescent="0.2">
      <c r="H11520" s="1"/>
      <c r="I11520" s="1"/>
    </row>
    <row r="11521" spans="8:9" x14ac:dyDescent="0.2">
      <c r="H11521" s="1"/>
      <c r="I11521" s="1"/>
    </row>
    <row r="11522" spans="8:9" x14ac:dyDescent="0.2">
      <c r="H11522" s="1"/>
      <c r="I11522" s="1"/>
    </row>
    <row r="11523" spans="8:9" x14ac:dyDescent="0.2">
      <c r="H11523" s="1"/>
      <c r="I11523" s="1"/>
    </row>
    <row r="11524" spans="8:9" x14ac:dyDescent="0.2">
      <c r="H11524" s="1"/>
      <c r="I11524" s="1"/>
    </row>
    <row r="11525" spans="8:9" x14ac:dyDescent="0.2">
      <c r="H11525" s="1"/>
      <c r="I11525" s="1"/>
    </row>
    <row r="11526" spans="8:9" x14ac:dyDescent="0.2">
      <c r="H11526" s="1"/>
      <c r="I11526" s="1"/>
    </row>
    <row r="11527" spans="8:9" x14ac:dyDescent="0.2">
      <c r="H11527" s="1"/>
      <c r="I11527" s="1"/>
    </row>
    <row r="11528" spans="8:9" x14ac:dyDescent="0.2">
      <c r="H11528" s="1"/>
      <c r="I11528" s="1"/>
    </row>
    <row r="11529" spans="8:9" x14ac:dyDescent="0.2">
      <c r="H11529" s="1"/>
      <c r="I11529" s="1"/>
    </row>
    <row r="11530" spans="8:9" x14ac:dyDescent="0.2">
      <c r="H11530" s="1"/>
      <c r="I11530" s="1"/>
    </row>
    <row r="11531" spans="8:9" x14ac:dyDescent="0.2">
      <c r="H11531" s="1"/>
      <c r="I11531" s="1"/>
    </row>
    <row r="11532" spans="8:9" x14ac:dyDescent="0.2">
      <c r="H11532" s="1"/>
      <c r="I11532" s="1"/>
    </row>
    <row r="11533" spans="8:9" x14ac:dyDescent="0.2">
      <c r="H11533" s="1"/>
      <c r="I11533" s="1"/>
    </row>
    <row r="11534" spans="8:9" x14ac:dyDescent="0.2">
      <c r="H11534" s="1"/>
      <c r="I11534" s="1"/>
    </row>
    <row r="11535" spans="8:9" x14ac:dyDescent="0.2">
      <c r="H11535" s="1"/>
      <c r="I11535" s="1"/>
    </row>
    <row r="11536" spans="8:9" x14ac:dyDescent="0.2">
      <c r="H11536" s="1"/>
      <c r="I11536" s="1"/>
    </row>
    <row r="11537" spans="8:9" x14ac:dyDescent="0.2">
      <c r="H11537" s="1"/>
      <c r="I11537" s="1"/>
    </row>
    <row r="11538" spans="8:9" x14ac:dyDescent="0.2">
      <c r="H11538" s="1"/>
      <c r="I11538" s="1"/>
    </row>
    <row r="11539" spans="8:9" x14ac:dyDescent="0.2">
      <c r="H11539" s="1"/>
      <c r="I11539" s="1"/>
    </row>
    <row r="11540" spans="8:9" x14ac:dyDescent="0.2">
      <c r="H11540" s="1"/>
      <c r="I11540" s="1"/>
    </row>
    <row r="11541" spans="8:9" x14ac:dyDescent="0.2">
      <c r="H11541" s="1"/>
      <c r="I11541" s="1"/>
    </row>
    <row r="11542" spans="8:9" x14ac:dyDescent="0.2">
      <c r="H11542" s="1"/>
      <c r="I11542" s="1"/>
    </row>
    <row r="11543" spans="8:9" x14ac:dyDescent="0.2">
      <c r="H11543" s="1"/>
      <c r="I11543" s="1"/>
    </row>
    <row r="11544" spans="8:9" x14ac:dyDescent="0.2">
      <c r="H11544" s="1"/>
      <c r="I11544" s="1"/>
    </row>
    <row r="11545" spans="8:9" x14ac:dyDescent="0.2">
      <c r="H11545" s="1"/>
      <c r="I11545" s="1"/>
    </row>
    <row r="11546" spans="8:9" x14ac:dyDescent="0.2">
      <c r="H11546" s="1"/>
      <c r="I11546" s="1"/>
    </row>
    <row r="11547" spans="8:9" x14ac:dyDescent="0.2">
      <c r="H11547" s="1"/>
      <c r="I11547" s="1"/>
    </row>
    <row r="11548" spans="8:9" x14ac:dyDescent="0.2">
      <c r="H11548" s="1"/>
      <c r="I11548" s="1"/>
    </row>
    <row r="11549" spans="8:9" x14ac:dyDescent="0.2">
      <c r="H11549" s="1"/>
      <c r="I11549" s="1"/>
    </row>
    <row r="11550" spans="8:9" x14ac:dyDescent="0.2">
      <c r="H11550" s="1"/>
      <c r="I11550" s="1"/>
    </row>
    <row r="11551" spans="8:9" x14ac:dyDescent="0.2">
      <c r="H11551" s="1"/>
      <c r="I11551" s="1"/>
    </row>
    <row r="11552" spans="8:9" x14ac:dyDescent="0.2">
      <c r="H11552" s="1"/>
      <c r="I11552" s="1"/>
    </row>
    <row r="11553" spans="8:9" x14ac:dyDescent="0.2">
      <c r="H11553" s="1"/>
      <c r="I11553" s="1"/>
    </row>
    <row r="11554" spans="8:9" x14ac:dyDescent="0.2">
      <c r="H11554" s="1"/>
      <c r="I11554" s="1"/>
    </row>
    <row r="11555" spans="8:9" x14ac:dyDescent="0.2">
      <c r="H11555" s="1"/>
      <c r="I11555" s="1"/>
    </row>
    <row r="11556" spans="8:9" x14ac:dyDescent="0.2">
      <c r="H11556" s="1"/>
      <c r="I11556" s="1"/>
    </row>
    <row r="11557" spans="8:9" x14ac:dyDescent="0.2">
      <c r="H11557" s="1"/>
      <c r="I11557" s="1"/>
    </row>
    <row r="11558" spans="8:9" x14ac:dyDescent="0.2">
      <c r="H11558" s="1"/>
      <c r="I11558" s="1"/>
    </row>
    <row r="11559" spans="8:9" x14ac:dyDescent="0.2">
      <c r="H11559" s="1"/>
      <c r="I11559" s="1"/>
    </row>
    <row r="11560" spans="8:9" x14ac:dyDescent="0.2">
      <c r="H11560" s="1"/>
      <c r="I11560" s="1"/>
    </row>
    <row r="11561" spans="8:9" x14ac:dyDescent="0.2">
      <c r="H11561" s="1"/>
      <c r="I11561" s="1"/>
    </row>
    <row r="11562" spans="8:9" x14ac:dyDescent="0.2">
      <c r="H11562" s="1"/>
      <c r="I11562" s="1"/>
    </row>
    <row r="11563" spans="8:9" x14ac:dyDescent="0.2">
      <c r="H11563" s="1"/>
      <c r="I11563" s="1"/>
    </row>
    <row r="11564" spans="8:9" x14ac:dyDescent="0.2">
      <c r="H11564" s="1"/>
      <c r="I11564" s="1"/>
    </row>
    <row r="11565" spans="8:9" x14ac:dyDescent="0.2">
      <c r="H11565" s="1"/>
      <c r="I11565" s="1"/>
    </row>
    <row r="11566" spans="8:9" x14ac:dyDescent="0.2">
      <c r="H11566" s="1"/>
      <c r="I11566" s="1"/>
    </row>
    <row r="11567" spans="8:9" x14ac:dyDescent="0.2">
      <c r="H11567" s="1"/>
      <c r="I11567" s="1"/>
    </row>
    <row r="11568" spans="8:9" x14ac:dyDescent="0.2">
      <c r="H11568" s="1"/>
      <c r="I11568" s="1"/>
    </row>
    <row r="11569" spans="8:9" x14ac:dyDescent="0.2">
      <c r="H11569" s="1"/>
      <c r="I11569" s="1"/>
    </row>
    <row r="11570" spans="8:9" x14ac:dyDescent="0.2">
      <c r="H11570" s="1"/>
      <c r="I11570" s="1"/>
    </row>
    <row r="11571" spans="8:9" x14ac:dyDescent="0.2">
      <c r="H11571" s="1"/>
      <c r="I11571" s="1"/>
    </row>
    <row r="11572" spans="8:9" x14ac:dyDescent="0.2">
      <c r="H11572" s="1"/>
      <c r="I11572" s="1"/>
    </row>
    <row r="11573" spans="8:9" x14ac:dyDescent="0.2">
      <c r="H11573" s="1"/>
      <c r="I11573" s="1"/>
    </row>
    <row r="11574" spans="8:9" x14ac:dyDescent="0.2">
      <c r="H11574" s="1"/>
      <c r="I11574" s="1"/>
    </row>
    <row r="11575" spans="8:9" x14ac:dyDescent="0.2">
      <c r="H11575" s="1"/>
      <c r="I11575" s="1"/>
    </row>
    <row r="11576" spans="8:9" x14ac:dyDescent="0.2">
      <c r="H11576" s="1"/>
      <c r="I11576" s="1"/>
    </row>
    <row r="11577" spans="8:9" x14ac:dyDescent="0.2">
      <c r="H11577" s="1"/>
      <c r="I11577" s="1"/>
    </row>
    <row r="11578" spans="8:9" x14ac:dyDescent="0.2">
      <c r="H11578" s="1"/>
      <c r="I11578" s="1"/>
    </row>
    <row r="11579" spans="8:9" x14ac:dyDescent="0.2">
      <c r="H11579" s="1"/>
      <c r="I11579" s="1"/>
    </row>
    <row r="11580" spans="8:9" x14ac:dyDescent="0.2">
      <c r="H11580" s="1"/>
      <c r="I11580" s="1"/>
    </row>
    <row r="11581" spans="8:9" x14ac:dyDescent="0.2">
      <c r="H11581" s="1"/>
      <c r="I11581" s="1"/>
    </row>
    <row r="11582" spans="8:9" x14ac:dyDescent="0.2">
      <c r="H11582" s="1"/>
      <c r="I11582" s="1"/>
    </row>
    <row r="11583" spans="8:9" x14ac:dyDescent="0.2">
      <c r="H11583" s="1"/>
      <c r="I11583" s="1"/>
    </row>
    <row r="11584" spans="8:9" x14ac:dyDescent="0.2">
      <c r="H11584" s="1"/>
      <c r="I11584" s="1"/>
    </row>
    <row r="11585" spans="8:9" x14ac:dyDescent="0.2">
      <c r="H11585" s="1"/>
      <c r="I11585" s="1"/>
    </row>
    <row r="11586" spans="8:9" x14ac:dyDescent="0.2">
      <c r="H11586" s="1"/>
      <c r="I11586" s="1"/>
    </row>
    <row r="11587" spans="8:9" x14ac:dyDescent="0.2">
      <c r="H11587" s="1"/>
      <c r="I11587" s="1"/>
    </row>
    <row r="11588" spans="8:9" x14ac:dyDescent="0.2">
      <c r="H11588" s="1"/>
      <c r="I11588" s="1"/>
    </row>
    <row r="11589" spans="8:9" x14ac:dyDescent="0.2">
      <c r="H11589" s="1"/>
      <c r="I11589" s="1"/>
    </row>
    <row r="11590" spans="8:9" x14ac:dyDescent="0.2">
      <c r="H11590" s="1"/>
      <c r="I11590" s="1"/>
    </row>
    <row r="11591" spans="8:9" x14ac:dyDescent="0.2">
      <c r="H11591" s="1"/>
      <c r="I11591" s="1"/>
    </row>
    <row r="11592" spans="8:9" x14ac:dyDescent="0.2">
      <c r="H11592" s="1"/>
      <c r="I11592" s="1"/>
    </row>
    <row r="11593" spans="8:9" x14ac:dyDescent="0.2">
      <c r="H11593" s="1"/>
      <c r="I11593" s="1"/>
    </row>
    <row r="11594" spans="8:9" x14ac:dyDescent="0.2">
      <c r="H11594" s="1"/>
      <c r="I11594" s="1"/>
    </row>
    <row r="11595" spans="8:9" x14ac:dyDescent="0.2">
      <c r="H11595" s="1"/>
      <c r="I11595" s="1"/>
    </row>
    <row r="11596" spans="8:9" x14ac:dyDescent="0.2">
      <c r="H11596" s="1"/>
      <c r="I11596" s="1"/>
    </row>
    <row r="11597" spans="8:9" x14ac:dyDescent="0.2">
      <c r="H11597" s="1"/>
      <c r="I11597" s="1"/>
    </row>
    <row r="11598" spans="8:9" x14ac:dyDescent="0.2">
      <c r="H11598" s="1"/>
      <c r="I11598" s="1"/>
    </row>
    <row r="11599" spans="8:9" x14ac:dyDescent="0.2">
      <c r="H11599" s="1"/>
      <c r="I11599" s="1"/>
    </row>
    <row r="11600" spans="8:9" x14ac:dyDescent="0.2">
      <c r="H11600" s="1"/>
      <c r="I11600" s="1"/>
    </row>
    <row r="11601" spans="8:9" x14ac:dyDescent="0.2">
      <c r="H11601" s="1"/>
      <c r="I11601" s="1"/>
    </row>
    <row r="11602" spans="8:9" x14ac:dyDescent="0.2">
      <c r="H11602" s="1"/>
      <c r="I11602" s="1"/>
    </row>
    <row r="11603" spans="8:9" x14ac:dyDescent="0.2">
      <c r="H11603" s="1"/>
      <c r="I11603" s="1"/>
    </row>
    <row r="11604" spans="8:9" x14ac:dyDescent="0.2">
      <c r="H11604" s="1"/>
      <c r="I11604" s="1"/>
    </row>
    <row r="11605" spans="8:9" x14ac:dyDescent="0.2">
      <c r="H11605" s="1"/>
      <c r="I11605" s="1"/>
    </row>
    <row r="11606" spans="8:9" x14ac:dyDescent="0.2">
      <c r="H11606" s="1"/>
      <c r="I11606" s="1"/>
    </row>
    <row r="11607" spans="8:9" x14ac:dyDescent="0.2">
      <c r="H11607" s="1"/>
      <c r="I11607" s="1"/>
    </row>
    <row r="11608" spans="8:9" x14ac:dyDescent="0.2">
      <c r="H11608" s="1"/>
      <c r="I11608" s="1"/>
    </row>
    <row r="11609" spans="8:9" x14ac:dyDescent="0.2">
      <c r="H11609" s="1"/>
      <c r="I11609" s="1"/>
    </row>
    <row r="11610" spans="8:9" x14ac:dyDescent="0.2">
      <c r="H11610" s="1"/>
      <c r="I11610" s="1"/>
    </row>
    <row r="11611" spans="8:9" x14ac:dyDescent="0.2">
      <c r="H11611" s="1"/>
      <c r="I11611" s="1"/>
    </row>
    <row r="11612" spans="8:9" x14ac:dyDescent="0.2">
      <c r="H11612" s="1"/>
      <c r="I11612" s="1"/>
    </row>
    <row r="11613" spans="8:9" x14ac:dyDescent="0.2">
      <c r="H11613" s="1"/>
      <c r="I11613" s="1"/>
    </row>
    <row r="11614" spans="8:9" x14ac:dyDescent="0.2">
      <c r="H11614" s="1"/>
      <c r="I11614" s="1"/>
    </row>
    <row r="11615" spans="8:9" x14ac:dyDescent="0.2">
      <c r="H11615" s="1"/>
      <c r="I11615" s="1"/>
    </row>
    <row r="11616" spans="8:9" x14ac:dyDescent="0.2">
      <c r="H11616" s="1"/>
      <c r="I11616" s="1"/>
    </row>
    <row r="11617" spans="8:9" x14ac:dyDescent="0.2">
      <c r="H11617" s="1"/>
      <c r="I11617" s="1"/>
    </row>
    <row r="11618" spans="8:9" x14ac:dyDescent="0.2">
      <c r="H11618" s="1"/>
      <c r="I11618" s="1"/>
    </row>
    <row r="11619" spans="8:9" x14ac:dyDescent="0.2">
      <c r="H11619" s="1"/>
      <c r="I11619" s="1"/>
    </row>
    <row r="11620" spans="8:9" x14ac:dyDescent="0.2">
      <c r="H11620" s="1"/>
      <c r="I11620" s="1"/>
    </row>
    <row r="11621" spans="8:9" x14ac:dyDescent="0.2">
      <c r="H11621" s="1"/>
      <c r="I11621" s="1"/>
    </row>
    <row r="11622" spans="8:9" x14ac:dyDescent="0.2">
      <c r="H11622" s="1"/>
      <c r="I11622" s="1"/>
    </row>
    <row r="11623" spans="8:9" x14ac:dyDescent="0.2">
      <c r="H11623" s="1"/>
      <c r="I11623" s="1"/>
    </row>
    <row r="11624" spans="8:9" x14ac:dyDescent="0.2">
      <c r="H11624" s="1"/>
      <c r="I11624" s="1"/>
    </row>
    <row r="11625" spans="8:9" x14ac:dyDescent="0.2">
      <c r="H11625" s="1"/>
      <c r="I11625" s="1"/>
    </row>
    <row r="11626" spans="8:9" x14ac:dyDescent="0.2">
      <c r="H11626" s="1"/>
      <c r="I11626" s="1"/>
    </row>
    <row r="11627" spans="8:9" x14ac:dyDescent="0.2">
      <c r="H11627" s="1"/>
      <c r="I11627" s="1"/>
    </row>
    <row r="11628" spans="8:9" x14ac:dyDescent="0.2">
      <c r="H11628" s="1"/>
      <c r="I11628" s="1"/>
    </row>
    <row r="11629" spans="8:9" x14ac:dyDescent="0.2">
      <c r="H11629" s="1"/>
      <c r="I11629" s="1"/>
    </row>
    <row r="11630" spans="8:9" x14ac:dyDescent="0.2">
      <c r="H11630" s="1"/>
      <c r="I11630" s="1"/>
    </row>
    <row r="11631" spans="8:9" x14ac:dyDescent="0.2">
      <c r="H11631" s="1"/>
      <c r="I11631" s="1"/>
    </row>
    <row r="11632" spans="8:9" x14ac:dyDescent="0.2">
      <c r="H11632" s="1"/>
      <c r="I11632" s="1"/>
    </row>
    <row r="11633" spans="8:9" x14ac:dyDescent="0.2">
      <c r="H11633" s="1"/>
      <c r="I11633" s="1"/>
    </row>
    <row r="11634" spans="8:9" x14ac:dyDescent="0.2">
      <c r="H11634" s="1"/>
      <c r="I11634" s="1"/>
    </row>
    <row r="11635" spans="8:9" x14ac:dyDescent="0.2">
      <c r="H11635" s="1"/>
      <c r="I11635" s="1"/>
    </row>
    <row r="11636" spans="8:9" x14ac:dyDescent="0.2">
      <c r="H11636" s="1"/>
      <c r="I11636" s="1"/>
    </row>
    <row r="11637" spans="8:9" x14ac:dyDescent="0.2">
      <c r="H11637" s="1"/>
      <c r="I11637" s="1"/>
    </row>
    <row r="11638" spans="8:9" x14ac:dyDescent="0.2">
      <c r="H11638" s="1"/>
      <c r="I11638" s="1"/>
    </row>
    <row r="11639" spans="8:9" x14ac:dyDescent="0.2">
      <c r="H11639" s="1"/>
      <c r="I11639" s="1"/>
    </row>
    <row r="11640" spans="8:9" x14ac:dyDescent="0.2">
      <c r="H11640" s="1"/>
      <c r="I11640" s="1"/>
    </row>
    <row r="11641" spans="8:9" x14ac:dyDescent="0.2">
      <c r="H11641" s="1"/>
      <c r="I11641" s="1"/>
    </row>
    <row r="11642" spans="8:9" x14ac:dyDescent="0.2">
      <c r="H11642" s="1"/>
      <c r="I11642" s="1"/>
    </row>
    <row r="11643" spans="8:9" x14ac:dyDescent="0.2">
      <c r="H11643" s="1"/>
      <c r="I11643" s="1"/>
    </row>
    <row r="11644" spans="8:9" x14ac:dyDescent="0.2">
      <c r="H11644" s="1"/>
      <c r="I11644" s="1"/>
    </row>
    <row r="11645" spans="8:9" x14ac:dyDescent="0.2">
      <c r="H11645" s="1"/>
      <c r="I11645" s="1"/>
    </row>
    <row r="11646" spans="8:9" x14ac:dyDescent="0.2">
      <c r="H11646" s="1"/>
      <c r="I11646" s="1"/>
    </row>
    <row r="11647" spans="8:9" x14ac:dyDescent="0.2">
      <c r="H11647" s="1"/>
      <c r="I11647" s="1"/>
    </row>
    <row r="11648" spans="8:9" x14ac:dyDescent="0.2">
      <c r="H11648" s="1"/>
      <c r="I11648" s="1"/>
    </row>
    <row r="11649" spans="8:9" x14ac:dyDescent="0.2">
      <c r="H11649" s="1"/>
      <c r="I11649" s="1"/>
    </row>
    <row r="11650" spans="8:9" x14ac:dyDescent="0.2">
      <c r="H11650" s="1"/>
      <c r="I11650" s="1"/>
    </row>
    <row r="11651" spans="8:9" x14ac:dyDescent="0.2">
      <c r="H11651" s="1"/>
      <c r="I11651" s="1"/>
    </row>
    <row r="11652" spans="8:9" x14ac:dyDescent="0.2">
      <c r="H11652" s="1"/>
      <c r="I11652" s="1"/>
    </row>
    <row r="11653" spans="8:9" x14ac:dyDescent="0.2">
      <c r="H11653" s="1"/>
      <c r="I11653" s="1"/>
    </row>
    <row r="11654" spans="8:9" x14ac:dyDescent="0.2">
      <c r="H11654" s="1"/>
      <c r="I11654" s="1"/>
    </row>
    <row r="11655" spans="8:9" x14ac:dyDescent="0.2">
      <c r="H11655" s="1"/>
      <c r="I11655" s="1"/>
    </row>
    <row r="11656" spans="8:9" x14ac:dyDescent="0.2">
      <c r="H11656" s="1"/>
      <c r="I11656" s="1"/>
    </row>
    <row r="11657" spans="8:9" x14ac:dyDescent="0.2">
      <c r="H11657" s="1"/>
      <c r="I11657" s="1"/>
    </row>
    <row r="11658" spans="8:9" x14ac:dyDescent="0.2">
      <c r="H11658" s="1"/>
      <c r="I11658" s="1"/>
    </row>
    <row r="11659" spans="8:9" x14ac:dyDescent="0.2">
      <c r="H11659" s="1"/>
      <c r="I11659" s="1"/>
    </row>
    <row r="11660" spans="8:9" x14ac:dyDescent="0.2">
      <c r="H11660" s="1"/>
      <c r="I11660" s="1"/>
    </row>
    <row r="11661" spans="8:9" x14ac:dyDescent="0.2">
      <c r="H11661" s="1"/>
      <c r="I11661" s="1"/>
    </row>
    <row r="11662" spans="8:9" x14ac:dyDescent="0.2">
      <c r="H11662" s="1"/>
      <c r="I11662" s="1"/>
    </row>
    <row r="11663" spans="8:9" x14ac:dyDescent="0.2">
      <c r="H11663" s="1"/>
      <c r="I11663" s="1"/>
    </row>
    <row r="11664" spans="8:9" x14ac:dyDescent="0.2">
      <c r="H11664" s="1"/>
      <c r="I11664" s="1"/>
    </row>
    <row r="11665" spans="8:9" x14ac:dyDescent="0.2">
      <c r="H11665" s="1"/>
      <c r="I11665" s="1"/>
    </row>
    <row r="11666" spans="8:9" x14ac:dyDescent="0.2">
      <c r="H11666" s="1"/>
      <c r="I11666" s="1"/>
    </row>
    <row r="11667" spans="8:9" x14ac:dyDescent="0.2">
      <c r="H11667" s="1"/>
      <c r="I11667" s="1"/>
    </row>
    <row r="11668" spans="8:9" x14ac:dyDescent="0.2">
      <c r="H11668" s="1"/>
      <c r="I11668" s="1"/>
    </row>
    <row r="11669" spans="8:9" x14ac:dyDescent="0.2">
      <c r="H11669" s="1"/>
      <c r="I11669" s="1"/>
    </row>
    <row r="11670" spans="8:9" x14ac:dyDescent="0.2">
      <c r="H11670" s="1"/>
      <c r="I11670" s="1"/>
    </row>
    <row r="11671" spans="8:9" x14ac:dyDescent="0.2">
      <c r="H11671" s="1"/>
      <c r="I11671" s="1"/>
    </row>
    <row r="11672" spans="8:9" x14ac:dyDescent="0.2">
      <c r="H11672" s="1"/>
      <c r="I11672" s="1"/>
    </row>
    <row r="11673" spans="8:9" x14ac:dyDescent="0.2">
      <c r="H11673" s="1"/>
      <c r="I11673" s="1"/>
    </row>
    <row r="11674" spans="8:9" x14ac:dyDescent="0.2">
      <c r="H11674" s="1"/>
      <c r="I11674" s="1"/>
    </row>
    <row r="11675" spans="8:9" x14ac:dyDescent="0.2">
      <c r="H11675" s="1"/>
      <c r="I11675" s="1"/>
    </row>
    <row r="11676" spans="8:9" x14ac:dyDescent="0.2">
      <c r="H11676" s="1"/>
      <c r="I11676" s="1"/>
    </row>
    <row r="11677" spans="8:9" x14ac:dyDescent="0.2">
      <c r="H11677" s="1"/>
      <c r="I11677" s="1"/>
    </row>
    <row r="11678" spans="8:9" x14ac:dyDescent="0.2">
      <c r="H11678" s="1"/>
      <c r="I11678" s="1"/>
    </row>
    <row r="11679" spans="8:9" x14ac:dyDescent="0.2">
      <c r="H11679" s="1"/>
      <c r="I11679" s="1"/>
    </row>
    <row r="11680" spans="8:9" x14ac:dyDescent="0.2">
      <c r="H11680" s="1"/>
      <c r="I11680" s="1"/>
    </row>
    <row r="11681" spans="8:9" x14ac:dyDescent="0.2">
      <c r="H11681" s="1"/>
      <c r="I11681" s="1"/>
    </row>
    <row r="11682" spans="8:9" x14ac:dyDescent="0.2">
      <c r="H11682" s="1"/>
      <c r="I11682" s="1"/>
    </row>
    <row r="11683" spans="8:9" x14ac:dyDescent="0.2">
      <c r="H11683" s="1"/>
      <c r="I11683" s="1"/>
    </row>
    <row r="11684" spans="8:9" x14ac:dyDescent="0.2">
      <c r="H11684" s="1"/>
      <c r="I11684" s="1"/>
    </row>
    <row r="11685" spans="8:9" x14ac:dyDescent="0.2">
      <c r="H11685" s="1"/>
      <c r="I11685" s="1"/>
    </row>
    <row r="11686" spans="8:9" x14ac:dyDescent="0.2">
      <c r="H11686" s="1"/>
      <c r="I11686" s="1"/>
    </row>
    <row r="11687" spans="8:9" x14ac:dyDescent="0.2">
      <c r="H11687" s="1"/>
      <c r="I11687" s="1"/>
    </row>
    <row r="11688" spans="8:9" x14ac:dyDescent="0.2">
      <c r="H11688" s="1"/>
      <c r="I11688" s="1"/>
    </row>
    <row r="11689" spans="8:9" x14ac:dyDescent="0.2">
      <c r="H11689" s="1"/>
      <c r="I11689" s="1"/>
    </row>
    <row r="11690" spans="8:9" x14ac:dyDescent="0.2">
      <c r="H11690" s="1"/>
      <c r="I11690" s="1"/>
    </row>
    <row r="11691" spans="8:9" x14ac:dyDescent="0.2">
      <c r="H11691" s="1"/>
      <c r="I11691" s="1"/>
    </row>
    <row r="11692" spans="8:9" x14ac:dyDescent="0.2">
      <c r="H11692" s="1"/>
      <c r="I11692" s="1"/>
    </row>
    <row r="11693" spans="8:9" x14ac:dyDescent="0.2">
      <c r="H11693" s="1"/>
      <c r="I11693" s="1"/>
    </row>
    <row r="11694" spans="8:9" x14ac:dyDescent="0.2">
      <c r="H11694" s="1"/>
      <c r="I11694" s="1"/>
    </row>
    <row r="11695" spans="8:9" x14ac:dyDescent="0.2">
      <c r="H11695" s="1"/>
      <c r="I11695" s="1"/>
    </row>
    <row r="11696" spans="8:9" x14ac:dyDescent="0.2">
      <c r="H11696" s="1"/>
      <c r="I11696" s="1"/>
    </row>
    <row r="11697" spans="8:9" x14ac:dyDescent="0.2">
      <c r="H11697" s="1"/>
      <c r="I11697" s="1"/>
    </row>
    <row r="11698" spans="8:9" x14ac:dyDescent="0.2">
      <c r="H11698" s="1"/>
      <c r="I11698" s="1"/>
    </row>
    <row r="11699" spans="8:9" x14ac:dyDescent="0.2">
      <c r="H11699" s="1"/>
      <c r="I11699" s="1"/>
    </row>
    <row r="11700" spans="8:9" x14ac:dyDescent="0.2">
      <c r="H11700" s="1"/>
      <c r="I11700" s="1"/>
    </row>
    <row r="11701" spans="8:9" x14ac:dyDescent="0.2">
      <c r="H11701" s="1"/>
      <c r="I11701" s="1"/>
    </row>
    <row r="11702" spans="8:9" x14ac:dyDescent="0.2">
      <c r="H11702" s="1"/>
      <c r="I11702" s="1"/>
    </row>
    <row r="11703" spans="8:9" x14ac:dyDescent="0.2">
      <c r="H11703" s="1"/>
      <c r="I11703" s="1"/>
    </row>
    <row r="11704" spans="8:9" x14ac:dyDescent="0.2">
      <c r="H11704" s="1"/>
      <c r="I11704" s="1"/>
    </row>
    <row r="11705" spans="8:9" x14ac:dyDescent="0.2">
      <c r="H11705" s="1"/>
      <c r="I11705" s="1"/>
    </row>
    <row r="11706" spans="8:9" x14ac:dyDescent="0.2">
      <c r="H11706" s="1"/>
      <c r="I11706" s="1"/>
    </row>
    <row r="11707" spans="8:9" x14ac:dyDescent="0.2">
      <c r="H11707" s="1"/>
      <c r="I11707" s="1"/>
    </row>
    <row r="11708" spans="8:9" x14ac:dyDescent="0.2">
      <c r="H11708" s="1"/>
      <c r="I11708" s="1"/>
    </row>
    <row r="11709" spans="8:9" x14ac:dyDescent="0.2">
      <c r="H11709" s="1"/>
      <c r="I11709" s="1"/>
    </row>
    <row r="11710" spans="8:9" x14ac:dyDescent="0.2">
      <c r="H11710" s="1"/>
      <c r="I11710" s="1"/>
    </row>
    <row r="11711" spans="8:9" x14ac:dyDescent="0.2">
      <c r="H11711" s="1"/>
      <c r="I11711" s="1"/>
    </row>
    <row r="11712" spans="8:9" x14ac:dyDescent="0.2">
      <c r="H11712" s="1"/>
      <c r="I11712" s="1"/>
    </row>
    <row r="11713" spans="8:9" x14ac:dyDescent="0.2">
      <c r="H11713" s="1"/>
      <c r="I11713" s="1"/>
    </row>
    <row r="11714" spans="8:9" x14ac:dyDescent="0.2">
      <c r="H11714" s="1"/>
      <c r="I11714" s="1"/>
    </row>
    <row r="11715" spans="8:9" x14ac:dyDescent="0.2">
      <c r="H11715" s="1"/>
      <c r="I11715" s="1"/>
    </row>
    <row r="11716" spans="8:9" x14ac:dyDescent="0.2">
      <c r="H11716" s="1"/>
      <c r="I11716" s="1"/>
    </row>
    <row r="11717" spans="8:9" x14ac:dyDescent="0.2">
      <c r="H11717" s="1"/>
      <c r="I11717" s="1"/>
    </row>
    <row r="11718" spans="8:9" x14ac:dyDescent="0.2">
      <c r="H11718" s="1"/>
      <c r="I11718" s="1"/>
    </row>
    <row r="11719" spans="8:9" x14ac:dyDescent="0.2">
      <c r="H11719" s="1"/>
      <c r="I11719" s="1"/>
    </row>
    <row r="11720" spans="8:9" x14ac:dyDescent="0.2">
      <c r="H11720" s="1"/>
      <c r="I11720" s="1"/>
    </row>
    <row r="11721" spans="8:9" x14ac:dyDescent="0.2">
      <c r="H11721" s="1"/>
      <c r="I11721" s="1"/>
    </row>
    <row r="11722" spans="8:9" x14ac:dyDescent="0.2">
      <c r="H11722" s="1"/>
      <c r="I11722" s="1"/>
    </row>
    <row r="11723" spans="8:9" x14ac:dyDescent="0.2">
      <c r="H11723" s="1"/>
      <c r="I11723" s="1"/>
    </row>
    <row r="11724" spans="8:9" x14ac:dyDescent="0.2">
      <c r="H11724" s="1"/>
      <c r="I11724" s="1"/>
    </row>
    <row r="11725" spans="8:9" x14ac:dyDescent="0.2">
      <c r="H11725" s="1"/>
      <c r="I11725" s="1"/>
    </row>
    <row r="11726" spans="8:9" x14ac:dyDescent="0.2">
      <c r="H11726" s="1"/>
      <c r="I11726" s="1"/>
    </row>
    <row r="11727" spans="8:9" x14ac:dyDescent="0.2">
      <c r="H11727" s="1"/>
      <c r="I11727" s="1"/>
    </row>
    <row r="11728" spans="8:9" x14ac:dyDescent="0.2">
      <c r="H11728" s="1"/>
      <c r="I11728" s="1"/>
    </row>
    <row r="11729" spans="8:9" x14ac:dyDescent="0.2">
      <c r="H11729" s="1"/>
      <c r="I11729" s="1"/>
    </row>
    <row r="11730" spans="8:9" x14ac:dyDescent="0.2">
      <c r="H11730" s="1"/>
      <c r="I11730" s="1"/>
    </row>
    <row r="11731" spans="8:9" x14ac:dyDescent="0.2">
      <c r="H11731" s="1"/>
      <c r="I11731" s="1"/>
    </row>
    <row r="11732" spans="8:9" x14ac:dyDescent="0.2">
      <c r="H11732" s="1"/>
      <c r="I11732" s="1"/>
    </row>
    <row r="11733" spans="8:9" x14ac:dyDescent="0.2">
      <c r="H11733" s="1"/>
      <c r="I11733" s="1"/>
    </row>
    <row r="11734" spans="8:9" x14ac:dyDescent="0.2">
      <c r="H11734" s="1"/>
      <c r="I11734" s="1"/>
    </row>
    <row r="11735" spans="8:9" x14ac:dyDescent="0.2">
      <c r="H11735" s="1"/>
      <c r="I11735" s="1"/>
    </row>
    <row r="11736" spans="8:9" x14ac:dyDescent="0.2">
      <c r="H11736" s="1"/>
      <c r="I11736" s="1"/>
    </row>
    <row r="11737" spans="8:9" x14ac:dyDescent="0.2">
      <c r="H11737" s="1"/>
      <c r="I11737" s="1"/>
    </row>
    <row r="11738" spans="8:9" x14ac:dyDescent="0.2">
      <c r="H11738" s="1"/>
      <c r="I11738" s="1"/>
    </row>
    <row r="11739" spans="8:9" x14ac:dyDescent="0.2">
      <c r="H11739" s="1"/>
      <c r="I11739" s="1"/>
    </row>
    <row r="11740" spans="8:9" x14ac:dyDescent="0.2">
      <c r="H11740" s="1"/>
      <c r="I11740" s="1"/>
    </row>
    <row r="11741" spans="8:9" x14ac:dyDescent="0.2">
      <c r="H11741" s="1"/>
      <c r="I11741" s="1"/>
    </row>
    <row r="11742" spans="8:9" x14ac:dyDescent="0.2">
      <c r="H11742" s="1"/>
      <c r="I11742" s="1"/>
    </row>
    <row r="11743" spans="8:9" x14ac:dyDescent="0.2">
      <c r="H11743" s="1"/>
      <c r="I11743" s="1"/>
    </row>
    <row r="11744" spans="8:9" x14ac:dyDescent="0.2">
      <c r="H11744" s="1"/>
      <c r="I11744" s="1"/>
    </row>
    <row r="11745" spans="8:9" x14ac:dyDescent="0.2">
      <c r="H11745" s="1"/>
      <c r="I11745" s="1"/>
    </row>
    <row r="11746" spans="8:9" x14ac:dyDescent="0.2">
      <c r="H11746" s="1"/>
      <c r="I11746" s="1"/>
    </row>
    <row r="11747" spans="8:9" x14ac:dyDescent="0.2">
      <c r="H11747" s="1"/>
      <c r="I11747" s="1"/>
    </row>
    <row r="11748" spans="8:9" x14ac:dyDescent="0.2">
      <c r="H11748" s="1"/>
      <c r="I11748" s="1"/>
    </row>
    <row r="11749" spans="8:9" x14ac:dyDescent="0.2">
      <c r="H11749" s="1"/>
      <c r="I11749" s="1"/>
    </row>
    <row r="11750" spans="8:9" x14ac:dyDescent="0.2">
      <c r="H11750" s="1"/>
      <c r="I11750" s="1"/>
    </row>
    <row r="11751" spans="8:9" x14ac:dyDescent="0.2">
      <c r="H11751" s="1"/>
      <c r="I11751" s="1"/>
    </row>
    <row r="11752" spans="8:9" x14ac:dyDescent="0.2">
      <c r="H11752" s="1"/>
      <c r="I11752" s="1"/>
    </row>
    <row r="11753" spans="8:9" x14ac:dyDescent="0.2">
      <c r="H11753" s="1"/>
      <c r="I11753" s="1"/>
    </row>
    <row r="11754" spans="8:9" x14ac:dyDescent="0.2">
      <c r="H11754" s="1"/>
      <c r="I11754" s="1"/>
    </row>
    <row r="11755" spans="8:9" x14ac:dyDescent="0.2">
      <c r="H11755" s="1"/>
      <c r="I11755" s="1"/>
    </row>
    <row r="11756" spans="8:9" x14ac:dyDescent="0.2">
      <c r="H11756" s="1"/>
      <c r="I11756" s="1"/>
    </row>
    <row r="11757" spans="8:9" x14ac:dyDescent="0.2">
      <c r="H11757" s="1"/>
      <c r="I11757" s="1"/>
    </row>
    <row r="11758" spans="8:9" x14ac:dyDescent="0.2">
      <c r="H11758" s="1"/>
      <c r="I11758" s="1"/>
    </row>
    <row r="11759" spans="8:9" x14ac:dyDescent="0.2">
      <c r="H11759" s="1"/>
      <c r="I11759" s="1"/>
    </row>
    <row r="11760" spans="8:9" x14ac:dyDescent="0.2">
      <c r="H11760" s="1"/>
      <c r="I11760" s="1"/>
    </row>
    <row r="11761" spans="8:9" x14ac:dyDescent="0.2">
      <c r="H11761" s="1"/>
      <c r="I11761" s="1"/>
    </row>
    <row r="11762" spans="8:9" x14ac:dyDescent="0.2">
      <c r="H11762" s="1"/>
      <c r="I11762" s="1"/>
    </row>
    <row r="11763" spans="8:9" x14ac:dyDescent="0.2">
      <c r="H11763" s="1"/>
      <c r="I11763" s="1"/>
    </row>
    <row r="11764" spans="8:9" x14ac:dyDescent="0.2">
      <c r="H11764" s="1"/>
      <c r="I11764" s="1"/>
    </row>
    <row r="11765" spans="8:9" x14ac:dyDescent="0.2">
      <c r="H11765" s="1"/>
      <c r="I11765" s="1"/>
    </row>
    <row r="11766" spans="8:9" x14ac:dyDescent="0.2">
      <c r="H11766" s="1"/>
      <c r="I11766" s="1"/>
    </row>
    <row r="11767" spans="8:9" x14ac:dyDescent="0.2">
      <c r="H11767" s="1"/>
      <c r="I11767" s="1"/>
    </row>
    <row r="11768" spans="8:9" x14ac:dyDescent="0.2">
      <c r="H11768" s="1"/>
      <c r="I11768" s="1"/>
    </row>
    <row r="11769" spans="8:9" x14ac:dyDescent="0.2">
      <c r="H11769" s="1"/>
      <c r="I11769" s="1"/>
    </row>
    <row r="11770" spans="8:9" x14ac:dyDescent="0.2">
      <c r="H11770" s="1"/>
      <c r="I11770" s="1"/>
    </row>
    <row r="11771" spans="8:9" x14ac:dyDescent="0.2">
      <c r="H11771" s="1"/>
      <c r="I11771" s="1"/>
    </row>
    <row r="11772" spans="8:9" x14ac:dyDescent="0.2">
      <c r="H11772" s="1"/>
      <c r="I11772" s="1"/>
    </row>
    <row r="11773" spans="8:9" x14ac:dyDescent="0.2">
      <c r="H11773" s="1"/>
      <c r="I11773" s="1"/>
    </row>
    <row r="11774" spans="8:9" x14ac:dyDescent="0.2">
      <c r="H11774" s="1"/>
      <c r="I11774" s="1"/>
    </row>
    <row r="11775" spans="8:9" x14ac:dyDescent="0.2">
      <c r="H11775" s="1"/>
      <c r="I11775" s="1"/>
    </row>
    <row r="11776" spans="8:9" x14ac:dyDescent="0.2">
      <c r="H11776" s="1"/>
      <c r="I11776" s="1"/>
    </row>
    <row r="11777" spans="8:9" x14ac:dyDescent="0.2">
      <c r="H11777" s="1"/>
      <c r="I11777" s="1"/>
    </row>
    <row r="11778" spans="8:9" x14ac:dyDescent="0.2">
      <c r="H11778" s="1"/>
      <c r="I11778" s="1"/>
    </row>
    <row r="11779" spans="8:9" x14ac:dyDescent="0.2">
      <c r="H11779" s="1"/>
      <c r="I11779" s="1"/>
    </row>
    <row r="11780" spans="8:9" x14ac:dyDescent="0.2">
      <c r="H11780" s="1"/>
      <c r="I11780" s="1"/>
    </row>
    <row r="11781" spans="8:9" x14ac:dyDescent="0.2">
      <c r="H11781" s="1"/>
      <c r="I11781" s="1"/>
    </row>
    <row r="11782" spans="8:9" x14ac:dyDescent="0.2">
      <c r="H11782" s="1"/>
      <c r="I11782" s="1"/>
    </row>
    <row r="11783" spans="8:9" x14ac:dyDescent="0.2">
      <c r="H11783" s="1"/>
      <c r="I11783" s="1"/>
    </row>
    <row r="11784" spans="8:9" x14ac:dyDescent="0.2">
      <c r="H11784" s="1"/>
      <c r="I11784" s="1"/>
    </row>
    <row r="11785" spans="8:9" x14ac:dyDescent="0.2">
      <c r="H11785" s="1"/>
      <c r="I11785" s="1"/>
    </row>
    <row r="11786" spans="8:9" x14ac:dyDescent="0.2">
      <c r="H11786" s="1"/>
      <c r="I11786" s="1"/>
    </row>
    <row r="11787" spans="8:9" x14ac:dyDescent="0.2">
      <c r="H11787" s="1"/>
      <c r="I11787" s="1"/>
    </row>
    <row r="11788" spans="8:9" x14ac:dyDescent="0.2">
      <c r="H11788" s="1"/>
      <c r="I11788" s="1"/>
    </row>
    <row r="11789" spans="8:9" x14ac:dyDescent="0.2">
      <c r="H11789" s="1"/>
      <c r="I11789" s="1"/>
    </row>
    <row r="11790" spans="8:9" x14ac:dyDescent="0.2">
      <c r="H11790" s="1"/>
      <c r="I11790" s="1"/>
    </row>
    <row r="11791" spans="8:9" x14ac:dyDescent="0.2">
      <c r="H11791" s="1"/>
      <c r="I11791" s="1"/>
    </row>
    <row r="11792" spans="8:9" x14ac:dyDescent="0.2">
      <c r="H11792" s="1"/>
      <c r="I11792" s="1"/>
    </row>
    <row r="11793" spans="8:9" x14ac:dyDescent="0.2">
      <c r="H11793" s="1"/>
      <c r="I11793" s="1"/>
    </row>
    <row r="11794" spans="8:9" x14ac:dyDescent="0.2">
      <c r="H11794" s="1"/>
      <c r="I11794" s="1"/>
    </row>
    <row r="11795" spans="8:9" x14ac:dyDescent="0.2">
      <c r="H11795" s="1"/>
      <c r="I11795" s="1"/>
    </row>
    <row r="11796" spans="8:9" x14ac:dyDescent="0.2">
      <c r="H11796" s="1"/>
      <c r="I11796" s="1"/>
    </row>
    <row r="11797" spans="8:9" x14ac:dyDescent="0.2">
      <c r="H11797" s="1"/>
      <c r="I11797" s="1"/>
    </row>
    <row r="11798" spans="8:9" x14ac:dyDescent="0.2">
      <c r="H11798" s="1"/>
      <c r="I11798" s="1"/>
    </row>
    <row r="11799" spans="8:9" x14ac:dyDescent="0.2">
      <c r="H11799" s="1"/>
      <c r="I11799" s="1"/>
    </row>
    <row r="11800" spans="8:9" x14ac:dyDescent="0.2">
      <c r="H11800" s="1"/>
      <c r="I11800" s="1"/>
    </row>
    <row r="11801" spans="8:9" x14ac:dyDescent="0.2">
      <c r="H11801" s="1"/>
      <c r="I11801" s="1"/>
    </row>
    <row r="11802" spans="8:9" x14ac:dyDescent="0.2">
      <c r="H11802" s="1"/>
      <c r="I11802" s="1"/>
    </row>
    <row r="11803" spans="8:9" x14ac:dyDescent="0.2">
      <c r="H11803" s="1"/>
      <c r="I11803" s="1"/>
    </row>
    <row r="11804" spans="8:9" x14ac:dyDescent="0.2">
      <c r="H11804" s="1"/>
      <c r="I11804" s="1"/>
    </row>
    <row r="11805" spans="8:9" x14ac:dyDescent="0.2">
      <c r="H11805" s="1"/>
      <c r="I11805" s="1"/>
    </row>
    <row r="11806" spans="8:9" x14ac:dyDescent="0.2">
      <c r="H11806" s="1"/>
      <c r="I11806" s="1"/>
    </row>
    <row r="11807" spans="8:9" x14ac:dyDescent="0.2">
      <c r="H11807" s="1"/>
      <c r="I11807" s="1"/>
    </row>
    <row r="11808" spans="8:9" x14ac:dyDescent="0.2">
      <c r="H11808" s="1"/>
      <c r="I11808" s="1"/>
    </row>
    <row r="11809" spans="8:9" x14ac:dyDescent="0.2">
      <c r="H11809" s="1"/>
      <c r="I11809" s="1"/>
    </row>
    <row r="11810" spans="8:9" x14ac:dyDescent="0.2">
      <c r="H11810" s="1"/>
      <c r="I11810" s="1"/>
    </row>
    <row r="11811" spans="8:9" x14ac:dyDescent="0.2">
      <c r="H11811" s="1"/>
      <c r="I11811" s="1"/>
    </row>
    <row r="11812" spans="8:9" x14ac:dyDescent="0.2">
      <c r="H11812" s="1"/>
      <c r="I11812" s="1"/>
    </row>
    <row r="11813" spans="8:9" x14ac:dyDescent="0.2">
      <c r="H11813" s="1"/>
      <c r="I11813" s="1"/>
    </row>
    <row r="11814" spans="8:9" x14ac:dyDescent="0.2">
      <c r="H11814" s="1"/>
      <c r="I11814" s="1"/>
    </row>
    <row r="11815" spans="8:9" x14ac:dyDescent="0.2">
      <c r="H11815" s="1"/>
      <c r="I11815" s="1"/>
    </row>
    <row r="11816" spans="8:9" x14ac:dyDescent="0.2">
      <c r="H11816" s="1"/>
      <c r="I11816" s="1"/>
    </row>
    <row r="11817" spans="8:9" x14ac:dyDescent="0.2">
      <c r="H11817" s="1"/>
      <c r="I11817" s="1"/>
    </row>
    <row r="11818" spans="8:9" x14ac:dyDescent="0.2">
      <c r="H11818" s="1"/>
      <c r="I11818" s="1"/>
    </row>
    <row r="11819" spans="8:9" x14ac:dyDescent="0.2">
      <c r="H11819" s="1"/>
      <c r="I11819" s="1"/>
    </row>
    <row r="11820" spans="8:9" x14ac:dyDescent="0.2">
      <c r="H11820" s="1"/>
      <c r="I11820" s="1"/>
    </row>
    <row r="11821" spans="8:9" x14ac:dyDescent="0.2">
      <c r="H11821" s="1"/>
      <c r="I11821" s="1"/>
    </row>
    <row r="11822" spans="8:9" x14ac:dyDescent="0.2">
      <c r="H11822" s="1"/>
      <c r="I11822" s="1"/>
    </row>
    <row r="11823" spans="8:9" x14ac:dyDescent="0.2">
      <c r="H11823" s="1"/>
      <c r="I11823" s="1"/>
    </row>
    <row r="11824" spans="8:9" x14ac:dyDescent="0.2">
      <c r="H11824" s="1"/>
      <c r="I11824" s="1"/>
    </row>
    <row r="11825" spans="8:9" x14ac:dyDescent="0.2">
      <c r="H11825" s="1"/>
      <c r="I11825" s="1"/>
    </row>
    <row r="11826" spans="8:9" x14ac:dyDescent="0.2">
      <c r="H11826" s="1"/>
      <c r="I11826" s="1"/>
    </row>
    <row r="11827" spans="8:9" x14ac:dyDescent="0.2">
      <c r="H11827" s="1"/>
      <c r="I11827" s="1"/>
    </row>
    <row r="11828" spans="8:9" x14ac:dyDescent="0.2">
      <c r="H11828" s="1"/>
      <c r="I11828" s="1"/>
    </row>
    <row r="11829" spans="8:9" x14ac:dyDescent="0.2">
      <c r="H11829" s="1"/>
      <c r="I11829" s="1"/>
    </row>
    <row r="11830" spans="8:9" x14ac:dyDescent="0.2">
      <c r="H11830" s="1"/>
      <c r="I11830" s="1"/>
    </row>
    <row r="11831" spans="8:9" x14ac:dyDescent="0.2">
      <c r="H11831" s="1"/>
      <c r="I11831" s="1"/>
    </row>
    <row r="11832" spans="8:9" x14ac:dyDescent="0.2">
      <c r="H11832" s="1"/>
      <c r="I11832" s="1"/>
    </row>
    <row r="11833" spans="8:9" x14ac:dyDescent="0.2">
      <c r="H11833" s="1"/>
      <c r="I11833" s="1"/>
    </row>
    <row r="11834" spans="8:9" x14ac:dyDescent="0.2">
      <c r="H11834" s="1"/>
      <c r="I11834" s="1"/>
    </row>
    <row r="11835" spans="8:9" x14ac:dyDescent="0.2">
      <c r="H11835" s="1"/>
      <c r="I11835" s="1"/>
    </row>
    <row r="11836" spans="8:9" x14ac:dyDescent="0.2">
      <c r="H11836" s="1"/>
      <c r="I11836" s="1"/>
    </row>
    <row r="11837" spans="8:9" x14ac:dyDescent="0.2">
      <c r="H11837" s="1"/>
      <c r="I11837" s="1"/>
    </row>
    <row r="11838" spans="8:9" x14ac:dyDescent="0.2">
      <c r="H11838" s="1"/>
      <c r="I11838" s="1"/>
    </row>
    <row r="11839" spans="8:9" x14ac:dyDescent="0.2">
      <c r="H11839" s="1"/>
      <c r="I11839" s="1"/>
    </row>
    <row r="11840" spans="8:9" x14ac:dyDescent="0.2">
      <c r="H11840" s="1"/>
      <c r="I11840" s="1"/>
    </row>
    <row r="11841" spans="8:9" x14ac:dyDescent="0.2">
      <c r="H11841" s="1"/>
      <c r="I11841" s="1"/>
    </row>
    <row r="11842" spans="8:9" x14ac:dyDescent="0.2">
      <c r="H11842" s="1"/>
      <c r="I11842" s="1"/>
    </row>
    <row r="11843" spans="8:9" x14ac:dyDescent="0.2">
      <c r="H11843" s="1"/>
      <c r="I11843" s="1"/>
    </row>
    <row r="11844" spans="8:9" x14ac:dyDescent="0.2">
      <c r="H11844" s="1"/>
      <c r="I11844" s="1"/>
    </row>
    <row r="11845" spans="8:9" x14ac:dyDescent="0.2">
      <c r="H11845" s="1"/>
      <c r="I11845" s="1"/>
    </row>
    <row r="11846" spans="8:9" x14ac:dyDescent="0.2">
      <c r="H11846" s="1"/>
      <c r="I11846" s="1"/>
    </row>
    <row r="11847" spans="8:9" x14ac:dyDescent="0.2">
      <c r="H11847" s="1"/>
      <c r="I11847" s="1"/>
    </row>
    <row r="11848" spans="8:9" x14ac:dyDescent="0.2">
      <c r="H11848" s="1"/>
      <c r="I11848" s="1"/>
    </row>
    <row r="11849" spans="8:9" x14ac:dyDescent="0.2">
      <c r="H11849" s="1"/>
      <c r="I11849" s="1"/>
    </row>
    <row r="11850" spans="8:9" x14ac:dyDescent="0.2">
      <c r="H11850" s="1"/>
      <c r="I11850" s="1"/>
    </row>
    <row r="11851" spans="8:9" x14ac:dyDescent="0.2">
      <c r="H11851" s="1"/>
      <c r="I11851" s="1"/>
    </row>
    <row r="11852" spans="8:9" x14ac:dyDescent="0.2">
      <c r="H11852" s="1"/>
      <c r="I11852" s="1"/>
    </row>
    <row r="11853" spans="8:9" x14ac:dyDescent="0.2">
      <c r="H11853" s="1"/>
      <c r="I11853" s="1"/>
    </row>
    <row r="11854" spans="8:9" x14ac:dyDescent="0.2">
      <c r="H11854" s="1"/>
      <c r="I11854" s="1"/>
    </row>
    <row r="11855" spans="8:9" x14ac:dyDescent="0.2">
      <c r="H11855" s="1"/>
      <c r="I11855" s="1"/>
    </row>
    <row r="11856" spans="8:9" x14ac:dyDescent="0.2">
      <c r="H11856" s="1"/>
      <c r="I11856" s="1"/>
    </row>
    <row r="11857" spans="8:9" x14ac:dyDescent="0.2">
      <c r="H11857" s="1"/>
      <c r="I11857" s="1"/>
    </row>
    <row r="11858" spans="8:9" x14ac:dyDescent="0.2">
      <c r="H11858" s="1"/>
      <c r="I11858" s="1"/>
    </row>
    <row r="11859" spans="8:9" x14ac:dyDescent="0.2">
      <c r="H11859" s="1"/>
      <c r="I11859" s="1"/>
    </row>
    <row r="11860" spans="8:9" x14ac:dyDescent="0.2">
      <c r="H11860" s="1"/>
      <c r="I11860" s="1"/>
    </row>
    <row r="11861" spans="8:9" x14ac:dyDescent="0.2">
      <c r="H11861" s="1"/>
      <c r="I11861" s="1"/>
    </row>
    <row r="11862" spans="8:9" x14ac:dyDescent="0.2">
      <c r="H11862" s="1"/>
      <c r="I11862" s="1"/>
    </row>
    <row r="11863" spans="8:9" x14ac:dyDescent="0.2">
      <c r="H11863" s="1"/>
      <c r="I11863" s="1"/>
    </row>
    <row r="11864" spans="8:9" x14ac:dyDescent="0.2">
      <c r="H11864" s="1"/>
      <c r="I11864" s="1"/>
    </row>
    <row r="11865" spans="8:9" x14ac:dyDescent="0.2">
      <c r="H11865" s="1"/>
      <c r="I11865" s="1"/>
    </row>
    <row r="11866" spans="8:9" x14ac:dyDescent="0.2">
      <c r="H11866" s="1"/>
      <c r="I11866" s="1"/>
    </row>
    <row r="11867" spans="8:9" x14ac:dyDescent="0.2">
      <c r="H11867" s="1"/>
      <c r="I11867" s="1"/>
    </row>
    <row r="11868" spans="8:9" x14ac:dyDescent="0.2">
      <c r="H11868" s="1"/>
      <c r="I11868" s="1"/>
    </row>
    <row r="11869" spans="8:9" x14ac:dyDescent="0.2">
      <c r="H11869" s="1"/>
      <c r="I11869" s="1"/>
    </row>
    <row r="11870" spans="8:9" x14ac:dyDescent="0.2">
      <c r="H11870" s="1"/>
      <c r="I11870" s="1"/>
    </row>
    <row r="11871" spans="8:9" x14ac:dyDescent="0.2">
      <c r="H11871" s="1"/>
      <c r="I11871" s="1"/>
    </row>
    <row r="11872" spans="8:9" x14ac:dyDescent="0.2">
      <c r="H11872" s="1"/>
      <c r="I11872" s="1"/>
    </row>
    <row r="11873" spans="8:9" x14ac:dyDescent="0.2">
      <c r="H11873" s="1"/>
      <c r="I11873" s="1"/>
    </row>
    <row r="11874" spans="8:9" x14ac:dyDescent="0.2">
      <c r="H11874" s="1"/>
      <c r="I11874" s="1"/>
    </row>
    <row r="11875" spans="8:9" x14ac:dyDescent="0.2">
      <c r="H11875" s="1"/>
      <c r="I11875" s="1"/>
    </row>
    <row r="11876" spans="8:9" x14ac:dyDescent="0.2">
      <c r="H11876" s="1"/>
      <c r="I11876" s="1"/>
    </row>
    <row r="11877" spans="8:9" x14ac:dyDescent="0.2">
      <c r="H11877" s="1"/>
      <c r="I11877" s="1"/>
    </row>
    <row r="11878" spans="8:9" x14ac:dyDescent="0.2">
      <c r="H11878" s="1"/>
      <c r="I11878" s="1"/>
    </row>
    <row r="11879" spans="8:9" x14ac:dyDescent="0.2">
      <c r="H11879" s="1"/>
      <c r="I11879" s="1"/>
    </row>
    <row r="11880" spans="8:9" x14ac:dyDescent="0.2">
      <c r="H11880" s="1"/>
      <c r="I11880" s="1"/>
    </row>
    <row r="11881" spans="8:9" x14ac:dyDescent="0.2">
      <c r="H11881" s="1"/>
      <c r="I11881" s="1"/>
    </row>
    <row r="11882" spans="8:9" x14ac:dyDescent="0.2">
      <c r="H11882" s="1"/>
      <c r="I11882" s="1"/>
    </row>
    <row r="11883" spans="8:9" x14ac:dyDescent="0.2">
      <c r="H11883" s="1"/>
      <c r="I11883" s="1"/>
    </row>
    <row r="11884" spans="8:9" x14ac:dyDescent="0.2">
      <c r="H11884" s="1"/>
      <c r="I11884" s="1"/>
    </row>
    <row r="11885" spans="8:9" x14ac:dyDescent="0.2">
      <c r="H11885" s="1"/>
      <c r="I11885" s="1"/>
    </row>
    <row r="11886" spans="8:9" x14ac:dyDescent="0.2">
      <c r="H11886" s="1"/>
      <c r="I11886" s="1"/>
    </row>
    <row r="11887" spans="8:9" x14ac:dyDescent="0.2">
      <c r="H11887" s="1"/>
      <c r="I11887" s="1"/>
    </row>
    <row r="11888" spans="8:9" x14ac:dyDescent="0.2">
      <c r="H11888" s="1"/>
      <c r="I11888" s="1"/>
    </row>
    <row r="11889" spans="8:9" x14ac:dyDescent="0.2">
      <c r="H11889" s="1"/>
      <c r="I11889" s="1"/>
    </row>
    <row r="11890" spans="8:9" x14ac:dyDescent="0.2">
      <c r="H11890" s="1"/>
      <c r="I11890" s="1"/>
    </row>
    <row r="11891" spans="8:9" x14ac:dyDescent="0.2">
      <c r="H11891" s="1"/>
      <c r="I11891" s="1"/>
    </row>
    <row r="11892" spans="8:9" x14ac:dyDescent="0.2">
      <c r="H11892" s="1"/>
      <c r="I11892" s="1"/>
    </row>
    <row r="11893" spans="8:9" x14ac:dyDescent="0.2">
      <c r="H11893" s="1"/>
      <c r="I11893" s="1"/>
    </row>
    <row r="11894" spans="8:9" x14ac:dyDescent="0.2">
      <c r="H11894" s="1"/>
      <c r="I11894" s="1"/>
    </row>
    <row r="11895" spans="8:9" x14ac:dyDescent="0.2">
      <c r="H11895" s="1"/>
      <c r="I11895" s="1"/>
    </row>
    <row r="11896" spans="8:9" x14ac:dyDescent="0.2">
      <c r="H11896" s="1"/>
      <c r="I11896" s="1"/>
    </row>
    <row r="11897" spans="8:9" x14ac:dyDescent="0.2">
      <c r="H11897" s="1"/>
      <c r="I11897" s="1"/>
    </row>
    <row r="11898" spans="8:9" x14ac:dyDescent="0.2">
      <c r="H11898" s="1"/>
      <c r="I11898" s="1"/>
    </row>
    <row r="11899" spans="8:9" x14ac:dyDescent="0.2">
      <c r="H11899" s="1"/>
      <c r="I11899" s="1"/>
    </row>
    <row r="11900" spans="8:9" x14ac:dyDescent="0.2">
      <c r="H11900" s="1"/>
      <c r="I11900" s="1"/>
    </row>
    <row r="11901" spans="8:9" x14ac:dyDescent="0.2">
      <c r="H11901" s="1"/>
      <c r="I11901" s="1"/>
    </row>
    <row r="11902" spans="8:9" x14ac:dyDescent="0.2">
      <c r="H11902" s="1"/>
      <c r="I11902" s="1"/>
    </row>
    <row r="11903" spans="8:9" x14ac:dyDescent="0.2">
      <c r="H11903" s="1"/>
      <c r="I11903" s="1"/>
    </row>
    <row r="11904" spans="8:9" x14ac:dyDescent="0.2">
      <c r="H11904" s="1"/>
      <c r="I11904" s="1"/>
    </row>
    <row r="11905" spans="8:9" x14ac:dyDescent="0.2">
      <c r="H11905" s="1"/>
      <c r="I11905" s="1"/>
    </row>
    <row r="11906" spans="8:9" x14ac:dyDescent="0.2">
      <c r="H11906" s="1"/>
      <c r="I11906" s="1"/>
    </row>
    <row r="11907" spans="8:9" x14ac:dyDescent="0.2">
      <c r="H11907" s="1"/>
      <c r="I11907" s="1"/>
    </row>
    <row r="11908" spans="8:9" x14ac:dyDescent="0.2">
      <c r="H11908" s="1"/>
      <c r="I11908" s="1"/>
    </row>
    <row r="11909" spans="8:9" x14ac:dyDescent="0.2">
      <c r="H11909" s="1"/>
      <c r="I11909" s="1"/>
    </row>
    <row r="11910" spans="8:9" x14ac:dyDescent="0.2">
      <c r="H11910" s="1"/>
      <c r="I11910" s="1"/>
    </row>
    <row r="11911" spans="8:9" x14ac:dyDescent="0.2">
      <c r="H11911" s="1"/>
      <c r="I11911" s="1"/>
    </row>
    <row r="11912" spans="8:9" x14ac:dyDescent="0.2">
      <c r="H11912" s="1"/>
      <c r="I11912" s="1"/>
    </row>
    <row r="11913" spans="8:9" x14ac:dyDescent="0.2">
      <c r="H11913" s="1"/>
      <c r="I11913" s="1"/>
    </row>
    <row r="11914" spans="8:9" x14ac:dyDescent="0.2">
      <c r="H11914" s="1"/>
      <c r="I11914" s="1"/>
    </row>
    <row r="11915" spans="8:9" x14ac:dyDescent="0.2">
      <c r="H11915" s="1"/>
      <c r="I11915" s="1"/>
    </row>
    <row r="11916" spans="8:9" x14ac:dyDescent="0.2">
      <c r="H11916" s="1"/>
      <c r="I11916" s="1"/>
    </row>
    <row r="11917" spans="8:9" x14ac:dyDescent="0.2">
      <c r="H11917" s="1"/>
      <c r="I11917" s="1"/>
    </row>
    <row r="11918" spans="8:9" x14ac:dyDescent="0.2">
      <c r="H11918" s="1"/>
      <c r="I11918" s="1"/>
    </row>
    <row r="11919" spans="8:9" x14ac:dyDescent="0.2">
      <c r="H11919" s="1"/>
      <c r="I11919" s="1"/>
    </row>
    <row r="11920" spans="8:9" x14ac:dyDescent="0.2">
      <c r="H11920" s="1"/>
      <c r="I11920" s="1"/>
    </row>
    <row r="11921" spans="8:9" x14ac:dyDescent="0.2">
      <c r="H11921" s="1"/>
      <c r="I11921" s="1"/>
    </row>
    <row r="11922" spans="8:9" x14ac:dyDescent="0.2">
      <c r="H11922" s="1"/>
      <c r="I11922" s="1"/>
    </row>
    <row r="11923" spans="8:9" x14ac:dyDescent="0.2">
      <c r="H11923" s="1"/>
      <c r="I11923" s="1"/>
    </row>
    <row r="11924" spans="8:9" x14ac:dyDescent="0.2">
      <c r="H11924" s="1"/>
      <c r="I11924" s="1"/>
    </row>
    <row r="11925" spans="8:9" x14ac:dyDescent="0.2">
      <c r="H11925" s="1"/>
      <c r="I11925" s="1"/>
    </row>
    <row r="11926" spans="8:9" x14ac:dyDescent="0.2">
      <c r="H11926" s="1"/>
      <c r="I11926" s="1"/>
    </row>
    <row r="11927" spans="8:9" x14ac:dyDescent="0.2">
      <c r="H11927" s="1"/>
      <c r="I11927" s="1"/>
    </row>
    <row r="11928" spans="8:9" x14ac:dyDescent="0.2">
      <c r="H11928" s="1"/>
      <c r="I11928" s="1"/>
    </row>
    <row r="11929" spans="8:9" x14ac:dyDescent="0.2">
      <c r="H11929" s="1"/>
      <c r="I11929" s="1"/>
    </row>
    <row r="11930" spans="8:9" x14ac:dyDescent="0.2">
      <c r="H11930" s="1"/>
      <c r="I11930" s="1"/>
    </row>
    <row r="11931" spans="8:9" x14ac:dyDescent="0.2">
      <c r="H11931" s="1"/>
      <c r="I11931" s="1"/>
    </row>
    <row r="11932" spans="8:9" x14ac:dyDescent="0.2">
      <c r="H11932" s="1"/>
      <c r="I11932" s="1"/>
    </row>
    <row r="11933" spans="8:9" x14ac:dyDescent="0.2">
      <c r="H11933" s="1"/>
      <c r="I11933" s="1"/>
    </row>
    <row r="11934" spans="8:9" x14ac:dyDescent="0.2">
      <c r="H11934" s="1"/>
      <c r="I11934" s="1"/>
    </row>
    <row r="11935" spans="8:9" x14ac:dyDescent="0.2">
      <c r="H11935" s="1"/>
      <c r="I11935" s="1"/>
    </row>
    <row r="11936" spans="8:9" x14ac:dyDescent="0.2">
      <c r="H11936" s="1"/>
      <c r="I11936" s="1"/>
    </row>
    <row r="11937" spans="8:9" x14ac:dyDescent="0.2">
      <c r="H11937" s="1"/>
      <c r="I11937" s="1"/>
    </row>
    <row r="11938" spans="8:9" x14ac:dyDescent="0.2">
      <c r="H11938" s="1"/>
      <c r="I11938" s="1"/>
    </row>
    <row r="11939" spans="8:9" x14ac:dyDescent="0.2">
      <c r="H11939" s="1"/>
      <c r="I11939" s="1"/>
    </row>
    <row r="11940" spans="8:9" x14ac:dyDescent="0.2">
      <c r="H11940" s="1"/>
      <c r="I11940" s="1"/>
    </row>
    <row r="11941" spans="8:9" x14ac:dyDescent="0.2">
      <c r="H11941" s="1"/>
      <c r="I11941" s="1"/>
    </row>
    <row r="11942" spans="8:9" x14ac:dyDescent="0.2">
      <c r="H11942" s="1"/>
      <c r="I11942" s="1"/>
    </row>
    <row r="11943" spans="8:9" x14ac:dyDescent="0.2">
      <c r="H11943" s="1"/>
      <c r="I11943" s="1"/>
    </row>
    <row r="11944" spans="8:9" x14ac:dyDescent="0.2">
      <c r="H11944" s="1"/>
      <c r="I11944" s="1"/>
    </row>
    <row r="11945" spans="8:9" x14ac:dyDescent="0.2">
      <c r="H11945" s="1"/>
      <c r="I11945" s="1"/>
    </row>
    <row r="11946" spans="8:9" x14ac:dyDescent="0.2">
      <c r="H11946" s="1"/>
      <c r="I11946" s="1"/>
    </row>
    <row r="11947" spans="8:9" x14ac:dyDescent="0.2">
      <c r="H11947" s="1"/>
      <c r="I11947" s="1"/>
    </row>
    <row r="11948" spans="8:9" x14ac:dyDescent="0.2">
      <c r="H11948" s="1"/>
      <c r="I11948" s="1"/>
    </row>
    <row r="11949" spans="8:9" x14ac:dyDescent="0.2">
      <c r="H11949" s="1"/>
      <c r="I11949" s="1"/>
    </row>
    <row r="11950" spans="8:9" x14ac:dyDescent="0.2">
      <c r="H11950" s="1"/>
      <c r="I11950" s="1"/>
    </row>
    <row r="11951" spans="8:9" x14ac:dyDescent="0.2">
      <c r="H11951" s="1"/>
      <c r="I11951" s="1"/>
    </row>
    <row r="11952" spans="8:9" x14ac:dyDescent="0.2">
      <c r="H11952" s="1"/>
      <c r="I11952" s="1"/>
    </row>
    <row r="11953" spans="8:9" x14ac:dyDescent="0.2">
      <c r="H11953" s="1"/>
      <c r="I11953" s="1"/>
    </row>
    <row r="11954" spans="8:9" x14ac:dyDescent="0.2">
      <c r="H11954" s="1"/>
      <c r="I11954" s="1"/>
    </row>
    <row r="11955" spans="8:9" x14ac:dyDescent="0.2">
      <c r="H11955" s="1"/>
      <c r="I11955" s="1"/>
    </row>
    <row r="11956" spans="8:9" x14ac:dyDescent="0.2">
      <c r="H11956" s="1"/>
      <c r="I11956" s="1"/>
    </row>
    <row r="11957" spans="8:9" x14ac:dyDescent="0.2">
      <c r="H11957" s="1"/>
      <c r="I11957" s="1"/>
    </row>
    <row r="11958" spans="8:9" x14ac:dyDescent="0.2">
      <c r="H11958" s="1"/>
      <c r="I11958" s="1"/>
    </row>
    <row r="11959" spans="8:9" x14ac:dyDescent="0.2">
      <c r="H11959" s="1"/>
      <c r="I11959" s="1"/>
    </row>
    <row r="11960" spans="8:9" x14ac:dyDescent="0.2">
      <c r="H11960" s="1"/>
      <c r="I11960" s="1"/>
    </row>
    <row r="11961" spans="8:9" x14ac:dyDescent="0.2">
      <c r="H11961" s="1"/>
      <c r="I11961" s="1"/>
    </row>
    <row r="11962" spans="8:9" x14ac:dyDescent="0.2">
      <c r="H11962" s="1"/>
      <c r="I11962" s="1"/>
    </row>
    <row r="11963" spans="8:9" x14ac:dyDescent="0.2">
      <c r="H11963" s="1"/>
      <c r="I11963" s="1"/>
    </row>
    <row r="11964" spans="8:9" x14ac:dyDescent="0.2">
      <c r="H11964" s="1"/>
      <c r="I11964" s="1"/>
    </row>
    <row r="11965" spans="8:9" x14ac:dyDescent="0.2">
      <c r="H11965" s="1"/>
      <c r="I11965" s="1"/>
    </row>
    <row r="11966" spans="8:9" x14ac:dyDescent="0.2">
      <c r="H11966" s="1"/>
      <c r="I11966" s="1"/>
    </row>
    <row r="11967" spans="8:9" x14ac:dyDescent="0.2">
      <c r="H11967" s="1"/>
      <c r="I11967" s="1"/>
    </row>
    <row r="11968" spans="8:9" x14ac:dyDescent="0.2">
      <c r="H11968" s="1"/>
      <c r="I11968" s="1"/>
    </row>
    <row r="11969" spans="8:9" x14ac:dyDescent="0.2">
      <c r="H11969" s="1"/>
      <c r="I11969" s="1"/>
    </row>
    <row r="11970" spans="8:9" x14ac:dyDescent="0.2">
      <c r="H11970" s="1"/>
      <c r="I11970" s="1"/>
    </row>
    <row r="11971" spans="8:9" x14ac:dyDescent="0.2">
      <c r="H11971" s="1"/>
      <c r="I11971" s="1"/>
    </row>
    <row r="11972" spans="8:9" x14ac:dyDescent="0.2">
      <c r="H11972" s="1"/>
      <c r="I11972" s="1"/>
    </row>
    <row r="11973" spans="8:9" x14ac:dyDescent="0.2">
      <c r="H11973" s="1"/>
      <c r="I11973" s="1"/>
    </row>
    <row r="11974" spans="8:9" x14ac:dyDescent="0.2">
      <c r="H11974" s="1"/>
      <c r="I11974" s="1"/>
    </row>
    <row r="11975" spans="8:9" x14ac:dyDescent="0.2">
      <c r="H11975" s="1"/>
      <c r="I11975" s="1"/>
    </row>
    <row r="11976" spans="8:9" x14ac:dyDescent="0.2">
      <c r="H11976" s="1"/>
      <c r="I11976" s="1"/>
    </row>
    <row r="11977" spans="8:9" x14ac:dyDescent="0.2">
      <c r="H11977" s="1"/>
      <c r="I11977" s="1"/>
    </row>
    <row r="11978" spans="8:9" x14ac:dyDescent="0.2">
      <c r="H11978" s="1"/>
      <c r="I11978" s="1"/>
    </row>
    <row r="11979" spans="8:9" x14ac:dyDescent="0.2">
      <c r="H11979" s="1"/>
      <c r="I11979" s="1"/>
    </row>
    <row r="11980" spans="8:9" x14ac:dyDescent="0.2">
      <c r="H11980" s="1"/>
      <c r="I11980" s="1"/>
    </row>
    <row r="11981" spans="8:9" x14ac:dyDescent="0.2">
      <c r="H11981" s="1"/>
      <c r="I11981" s="1"/>
    </row>
    <row r="11982" spans="8:9" x14ac:dyDescent="0.2">
      <c r="H11982" s="1"/>
      <c r="I11982" s="1"/>
    </row>
    <row r="11983" spans="8:9" x14ac:dyDescent="0.2">
      <c r="H11983" s="1"/>
      <c r="I11983" s="1"/>
    </row>
    <row r="11984" spans="8:9" x14ac:dyDescent="0.2">
      <c r="H11984" s="1"/>
      <c r="I11984" s="1"/>
    </row>
    <row r="11985" spans="8:9" x14ac:dyDescent="0.2">
      <c r="H11985" s="1"/>
      <c r="I11985" s="1"/>
    </row>
    <row r="11986" spans="8:9" x14ac:dyDescent="0.2">
      <c r="H11986" s="1"/>
      <c r="I11986" s="1"/>
    </row>
    <row r="11987" spans="8:9" x14ac:dyDescent="0.2">
      <c r="H11987" s="1"/>
      <c r="I11987" s="1"/>
    </row>
    <row r="11988" spans="8:9" x14ac:dyDescent="0.2">
      <c r="H11988" s="1"/>
      <c r="I11988" s="1"/>
    </row>
    <row r="11989" spans="8:9" x14ac:dyDescent="0.2">
      <c r="H11989" s="1"/>
      <c r="I11989" s="1"/>
    </row>
    <row r="11990" spans="8:9" x14ac:dyDescent="0.2">
      <c r="H11990" s="1"/>
      <c r="I11990" s="1"/>
    </row>
    <row r="11991" spans="8:9" x14ac:dyDescent="0.2">
      <c r="H11991" s="1"/>
      <c r="I11991" s="1"/>
    </row>
    <row r="11992" spans="8:9" x14ac:dyDescent="0.2">
      <c r="H11992" s="1"/>
      <c r="I11992" s="1"/>
    </row>
    <row r="11993" spans="8:9" x14ac:dyDescent="0.2">
      <c r="H11993" s="1"/>
      <c r="I11993" s="1"/>
    </row>
    <row r="11994" spans="8:9" x14ac:dyDescent="0.2">
      <c r="H11994" s="1"/>
      <c r="I11994" s="1"/>
    </row>
    <row r="11995" spans="8:9" x14ac:dyDescent="0.2">
      <c r="H11995" s="1"/>
      <c r="I11995" s="1"/>
    </row>
    <row r="11996" spans="8:9" x14ac:dyDescent="0.2">
      <c r="H11996" s="1"/>
      <c r="I11996" s="1"/>
    </row>
    <row r="11997" spans="8:9" x14ac:dyDescent="0.2">
      <c r="H11997" s="1"/>
      <c r="I11997" s="1"/>
    </row>
    <row r="11998" spans="8:9" x14ac:dyDescent="0.2">
      <c r="H11998" s="1"/>
      <c r="I11998" s="1"/>
    </row>
    <row r="11999" spans="8:9" x14ac:dyDescent="0.2">
      <c r="H11999" s="1"/>
      <c r="I11999" s="1"/>
    </row>
    <row r="12000" spans="8:9" x14ac:dyDescent="0.2">
      <c r="H12000" s="1"/>
      <c r="I12000" s="1"/>
    </row>
    <row r="12001" spans="8:9" x14ac:dyDescent="0.2">
      <c r="H12001" s="1"/>
      <c r="I12001" s="1"/>
    </row>
    <row r="12002" spans="8:9" x14ac:dyDescent="0.2">
      <c r="H12002" s="1"/>
      <c r="I12002" s="1"/>
    </row>
    <row r="12003" spans="8:9" x14ac:dyDescent="0.2">
      <c r="H12003" s="1"/>
      <c r="I12003" s="1"/>
    </row>
    <row r="12004" spans="8:9" x14ac:dyDescent="0.2">
      <c r="H12004" s="1"/>
      <c r="I12004" s="1"/>
    </row>
    <row r="12005" spans="8:9" x14ac:dyDescent="0.2">
      <c r="H12005" s="1"/>
      <c r="I12005" s="1"/>
    </row>
    <row r="12006" spans="8:9" x14ac:dyDescent="0.2">
      <c r="H12006" s="1"/>
      <c r="I12006" s="1"/>
    </row>
    <row r="12007" spans="8:9" x14ac:dyDescent="0.2">
      <c r="H12007" s="1"/>
      <c r="I12007" s="1"/>
    </row>
    <row r="12008" spans="8:9" x14ac:dyDescent="0.2">
      <c r="H12008" s="1"/>
      <c r="I12008" s="1"/>
    </row>
    <row r="12009" spans="8:9" x14ac:dyDescent="0.2">
      <c r="H12009" s="1"/>
      <c r="I12009" s="1"/>
    </row>
    <row r="12010" spans="8:9" x14ac:dyDescent="0.2">
      <c r="H12010" s="1"/>
      <c r="I12010" s="1"/>
    </row>
    <row r="12011" spans="8:9" x14ac:dyDescent="0.2">
      <c r="H12011" s="1"/>
      <c r="I12011" s="1"/>
    </row>
    <row r="12012" spans="8:9" x14ac:dyDescent="0.2">
      <c r="H12012" s="1"/>
      <c r="I12012" s="1"/>
    </row>
    <row r="12013" spans="8:9" x14ac:dyDescent="0.2">
      <c r="H12013" s="1"/>
      <c r="I12013" s="1"/>
    </row>
    <row r="12014" spans="8:9" x14ac:dyDescent="0.2">
      <c r="H12014" s="1"/>
      <c r="I12014" s="1"/>
    </row>
    <row r="12015" spans="8:9" x14ac:dyDescent="0.2">
      <c r="H12015" s="1"/>
      <c r="I12015" s="1"/>
    </row>
    <row r="12016" spans="8:9" x14ac:dyDescent="0.2">
      <c r="H12016" s="1"/>
      <c r="I12016" s="1"/>
    </row>
    <row r="12017" spans="8:9" x14ac:dyDescent="0.2">
      <c r="H12017" s="1"/>
      <c r="I12017" s="1"/>
    </row>
    <row r="12018" spans="8:9" x14ac:dyDescent="0.2">
      <c r="H12018" s="1"/>
      <c r="I12018" s="1"/>
    </row>
    <row r="12019" spans="8:9" x14ac:dyDescent="0.2">
      <c r="H12019" s="1"/>
      <c r="I12019" s="1"/>
    </row>
    <row r="12020" spans="8:9" x14ac:dyDescent="0.2">
      <c r="H12020" s="1"/>
      <c r="I12020" s="1"/>
    </row>
    <row r="12021" spans="8:9" x14ac:dyDescent="0.2">
      <c r="H12021" s="1"/>
      <c r="I12021" s="1"/>
    </row>
    <row r="12022" spans="8:9" x14ac:dyDescent="0.2">
      <c r="H12022" s="1"/>
      <c r="I12022" s="1"/>
    </row>
    <row r="12023" spans="8:9" x14ac:dyDescent="0.2">
      <c r="H12023" s="1"/>
      <c r="I12023" s="1"/>
    </row>
    <row r="12024" spans="8:9" x14ac:dyDescent="0.2">
      <c r="H12024" s="1"/>
      <c r="I12024" s="1"/>
    </row>
    <row r="12025" spans="8:9" x14ac:dyDescent="0.2">
      <c r="H12025" s="1"/>
      <c r="I12025" s="1"/>
    </row>
    <row r="12026" spans="8:9" x14ac:dyDescent="0.2">
      <c r="H12026" s="1"/>
      <c r="I12026" s="1"/>
    </row>
    <row r="12027" spans="8:9" x14ac:dyDescent="0.2">
      <c r="H12027" s="1"/>
      <c r="I12027" s="1"/>
    </row>
    <row r="12028" spans="8:9" x14ac:dyDescent="0.2">
      <c r="H12028" s="1"/>
      <c r="I12028" s="1"/>
    </row>
    <row r="12029" spans="8:9" x14ac:dyDescent="0.2">
      <c r="H12029" s="1"/>
      <c r="I12029" s="1"/>
    </row>
    <row r="12030" spans="8:9" x14ac:dyDescent="0.2">
      <c r="H12030" s="1"/>
      <c r="I12030" s="1"/>
    </row>
    <row r="12031" spans="8:9" x14ac:dyDescent="0.2">
      <c r="H12031" s="1"/>
      <c r="I12031" s="1"/>
    </row>
    <row r="12032" spans="8:9" x14ac:dyDescent="0.2">
      <c r="H12032" s="1"/>
      <c r="I12032" s="1"/>
    </row>
    <row r="12033" spans="8:9" x14ac:dyDescent="0.2">
      <c r="H12033" s="1"/>
      <c r="I12033" s="1"/>
    </row>
    <row r="12034" spans="8:9" x14ac:dyDescent="0.2">
      <c r="H12034" s="1"/>
      <c r="I12034" s="1"/>
    </row>
    <row r="12035" spans="8:9" x14ac:dyDescent="0.2">
      <c r="H12035" s="1"/>
      <c r="I12035" s="1"/>
    </row>
    <row r="12036" spans="8:9" x14ac:dyDescent="0.2">
      <c r="H12036" s="1"/>
      <c r="I12036" s="1"/>
    </row>
    <row r="12037" spans="8:9" x14ac:dyDescent="0.2">
      <c r="H12037" s="1"/>
      <c r="I12037" s="1"/>
    </row>
    <row r="12038" spans="8:9" x14ac:dyDescent="0.2">
      <c r="H12038" s="1"/>
      <c r="I12038" s="1"/>
    </row>
    <row r="12039" spans="8:9" x14ac:dyDescent="0.2">
      <c r="H12039" s="1"/>
      <c r="I12039" s="1"/>
    </row>
    <row r="12040" spans="8:9" x14ac:dyDescent="0.2">
      <c r="H12040" s="1"/>
      <c r="I12040" s="1"/>
    </row>
    <row r="12041" spans="8:9" x14ac:dyDescent="0.2">
      <c r="H12041" s="1"/>
      <c r="I12041" s="1"/>
    </row>
    <row r="12042" spans="8:9" x14ac:dyDescent="0.2">
      <c r="H12042" s="1"/>
      <c r="I12042" s="1"/>
    </row>
    <row r="12043" spans="8:9" x14ac:dyDescent="0.2">
      <c r="H12043" s="1"/>
      <c r="I12043" s="1"/>
    </row>
    <row r="12044" spans="8:9" x14ac:dyDescent="0.2">
      <c r="H12044" s="1"/>
      <c r="I12044" s="1"/>
    </row>
    <row r="12045" spans="8:9" x14ac:dyDescent="0.2">
      <c r="H12045" s="1"/>
      <c r="I12045" s="1"/>
    </row>
    <row r="12046" spans="8:9" x14ac:dyDescent="0.2">
      <c r="H12046" s="1"/>
      <c r="I12046" s="1"/>
    </row>
    <row r="12047" spans="8:9" x14ac:dyDescent="0.2">
      <c r="H12047" s="1"/>
      <c r="I12047" s="1"/>
    </row>
    <row r="12048" spans="8:9" x14ac:dyDescent="0.2">
      <c r="H12048" s="1"/>
      <c r="I12048" s="1"/>
    </row>
    <row r="12049" spans="8:9" x14ac:dyDescent="0.2">
      <c r="H12049" s="1"/>
      <c r="I12049" s="1"/>
    </row>
    <row r="12050" spans="8:9" x14ac:dyDescent="0.2">
      <c r="H12050" s="1"/>
      <c r="I12050" s="1"/>
    </row>
    <row r="12051" spans="8:9" x14ac:dyDescent="0.2">
      <c r="H12051" s="1"/>
      <c r="I12051" s="1"/>
    </row>
    <row r="12052" spans="8:9" x14ac:dyDescent="0.2">
      <c r="H12052" s="1"/>
      <c r="I12052" s="1"/>
    </row>
    <row r="12053" spans="8:9" x14ac:dyDescent="0.2">
      <c r="H12053" s="1"/>
      <c r="I12053" s="1"/>
    </row>
    <row r="12054" spans="8:9" x14ac:dyDescent="0.2">
      <c r="H12054" s="1"/>
      <c r="I12054" s="1"/>
    </row>
    <row r="12055" spans="8:9" x14ac:dyDescent="0.2">
      <c r="H12055" s="1"/>
      <c r="I12055" s="1"/>
    </row>
    <row r="12056" spans="8:9" x14ac:dyDescent="0.2">
      <c r="H12056" s="1"/>
      <c r="I12056" s="1"/>
    </row>
    <row r="12057" spans="8:9" x14ac:dyDescent="0.2">
      <c r="H12057" s="1"/>
      <c r="I12057" s="1"/>
    </row>
    <row r="12058" spans="8:9" x14ac:dyDescent="0.2">
      <c r="H12058" s="1"/>
      <c r="I12058" s="1"/>
    </row>
    <row r="12059" spans="8:9" x14ac:dyDescent="0.2">
      <c r="H12059" s="1"/>
      <c r="I12059" s="1"/>
    </row>
    <row r="12060" spans="8:9" x14ac:dyDescent="0.2">
      <c r="H12060" s="1"/>
      <c r="I12060" s="1"/>
    </row>
    <row r="12061" spans="8:9" x14ac:dyDescent="0.2">
      <c r="H12061" s="1"/>
      <c r="I12061" s="1"/>
    </row>
    <row r="12062" spans="8:9" x14ac:dyDescent="0.2">
      <c r="H12062" s="1"/>
      <c r="I12062" s="1"/>
    </row>
    <row r="12063" spans="8:9" x14ac:dyDescent="0.2">
      <c r="H12063" s="1"/>
      <c r="I12063" s="1"/>
    </row>
    <row r="12064" spans="8:9" x14ac:dyDescent="0.2">
      <c r="H12064" s="1"/>
      <c r="I12064" s="1"/>
    </row>
    <row r="12065" spans="8:9" x14ac:dyDescent="0.2">
      <c r="H12065" s="1"/>
      <c r="I12065" s="1"/>
    </row>
    <row r="12066" spans="8:9" x14ac:dyDescent="0.2">
      <c r="H12066" s="1"/>
      <c r="I12066" s="1"/>
    </row>
    <row r="12067" spans="8:9" x14ac:dyDescent="0.2">
      <c r="H12067" s="1"/>
      <c r="I12067" s="1"/>
    </row>
    <row r="12068" spans="8:9" x14ac:dyDescent="0.2">
      <c r="H12068" s="1"/>
      <c r="I12068" s="1"/>
    </row>
    <row r="12069" spans="8:9" x14ac:dyDescent="0.2">
      <c r="H12069" s="1"/>
      <c r="I12069" s="1"/>
    </row>
    <row r="12070" spans="8:9" x14ac:dyDescent="0.2">
      <c r="H12070" s="1"/>
      <c r="I12070" s="1"/>
    </row>
    <row r="12071" spans="8:9" x14ac:dyDescent="0.2">
      <c r="H12071" s="1"/>
      <c r="I12071" s="1"/>
    </row>
    <row r="12072" spans="8:9" x14ac:dyDescent="0.2">
      <c r="H12072" s="1"/>
      <c r="I12072" s="1"/>
    </row>
    <row r="12073" spans="8:9" x14ac:dyDescent="0.2">
      <c r="H12073" s="1"/>
      <c r="I12073" s="1"/>
    </row>
    <row r="12074" spans="8:9" x14ac:dyDescent="0.2">
      <c r="H12074" s="1"/>
      <c r="I12074" s="1"/>
    </row>
    <row r="12075" spans="8:9" x14ac:dyDescent="0.2">
      <c r="H12075" s="1"/>
      <c r="I12075" s="1"/>
    </row>
    <row r="12076" spans="8:9" x14ac:dyDescent="0.2">
      <c r="H12076" s="1"/>
      <c r="I12076" s="1"/>
    </row>
    <row r="12077" spans="8:9" x14ac:dyDescent="0.2">
      <c r="H12077" s="1"/>
      <c r="I12077" s="1"/>
    </row>
    <row r="12078" spans="8:9" x14ac:dyDescent="0.2">
      <c r="H12078" s="1"/>
      <c r="I12078" s="1"/>
    </row>
    <row r="12079" spans="8:9" x14ac:dyDescent="0.2">
      <c r="H12079" s="1"/>
      <c r="I12079" s="1"/>
    </row>
    <row r="12080" spans="8:9" x14ac:dyDescent="0.2">
      <c r="H12080" s="1"/>
      <c r="I12080" s="1"/>
    </row>
    <row r="12081" spans="8:9" x14ac:dyDescent="0.2">
      <c r="H12081" s="1"/>
      <c r="I12081" s="1"/>
    </row>
    <row r="12082" spans="8:9" x14ac:dyDescent="0.2">
      <c r="H12082" s="1"/>
      <c r="I12082" s="1"/>
    </row>
    <row r="12083" spans="8:9" x14ac:dyDescent="0.2">
      <c r="H12083" s="1"/>
      <c r="I12083" s="1"/>
    </row>
    <row r="12084" spans="8:9" x14ac:dyDescent="0.2">
      <c r="H12084" s="1"/>
      <c r="I12084" s="1"/>
    </row>
    <row r="12085" spans="8:9" x14ac:dyDescent="0.2">
      <c r="H12085" s="1"/>
      <c r="I12085" s="1"/>
    </row>
    <row r="12086" spans="8:9" x14ac:dyDescent="0.2">
      <c r="H12086" s="1"/>
      <c r="I12086" s="1"/>
    </row>
    <row r="12087" spans="8:9" x14ac:dyDescent="0.2">
      <c r="H12087" s="1"/>
      <c r="I12087" s="1"/>
    </row>
    <row r="12088" spans="8:9" x14ac:dyDescent="0.2">
      <c r="H12088" s="1"/>
      <c r="I12088" s="1"/>
    </row>
    <row r="12089" spans="8:9" x14ac:dyDescent="0.2">
      <c r="H12089" s="1"/>
      <c r="I12089" s="1"/>
    </row>
    <row r="12090" spans="8:9" x14ac:dyDescent="0.2">
      <c r="H12090" s="1"/>
      <c r="I12090" s="1"/>
    </row>
    <row r="12091" spans="8:9" x14ac:dyDescent="0.2">
      <c r="H12091" s="1"/>
      <c r="I12091" s="1"/>
    </row>
    <row r="12092" spans="8:9" x14ac:dyDescent="0.2">
      <c r="H12092" s="1"/>
      <c r="I12092" s="1"/>
    </row>
    <row r="12093" spans="8:9" x14ac:dyDescent="0.2">
      <c r="H12093" s="1"/>
      <c r="I12093" s="1"/>
    </row>
    <row r="12094" spans="8:9" x14ac:dyDescent="0.2">
      <c r="H12094" s="1"/>
      <c r="I12094" s="1"/>
    </row>
    <row r="12095" spans="8:9" x14ac:dyDescent="0.2">
      <c r="H12095" s="1"/>
      <c r="I12095" s="1"/>
    </row>
    <row r="12096" spans="8:9" x14ac:dyDescent="0.2">
      <c r="H12096" s="1"/>
      <c r="I12096" s="1"/>
    </row>
    <row r="12097" spans="8:9" x14ac:dyDescent="0.2">
      <c r="H12097" s="1"/>
      <c r="I12097" s="1"/>
    </row>
    <row r="12098" spans="8:9" x14ac:dyDescent="0.2">
      <c r="H12098" s="1"/>
      <c r="I12098" s="1"/>
    </row>
    <row r="12099" spans="8:9" x14ac:dyDescent="0.2">
      <c r="H12099" s="1"/>
      <c r="I12099" s="1"/>
    </row>
    <row r="12100" spans="8:9" x14ac:dyDescent="0.2">
      <c r="H12100" s="1"/>
      <c r="I12100" s="1"/>
    </row>
    <row r="12101" spans="8:9" x14ac:dyDescent="0.2">
      <c r="H12101" s="1"/>
      <c r="I12101" s="1"/>
    </row>
    <row r="12102" spans="8:9" x14ac:dyDescent="0.2">
      <c r="H12102" s="1"/>
      <c r="I12102" s="1"/>
    </row>
    <row r="12103" spans="8:9" x14ac:dyDescent="0.2">
      <c r="H12103" s="1"/>
      <c r="I12103" s="1"/>
    </row>
    <row r="12104" spans="8:9" x14ac:dyDescent="0.2">
      <c r="H12104" s="1"/>
      <c r="I12104" s="1"/>
    </row>
    <row r="12105" spans="8:9" x14ac:dyDescent="0.2">
      <c r="H12105" s="1"/>
      <c r="I12105" s="1"/>
    </row>
    <row r="12106" spans="8:9" x14ac:dyDescent="0.2">
      <c r="H12106" s="1"/>
      <c r="I12106" s="1"/>
    </row>
    <row r="12107" spans="8:9" x14ac:dyDescent="0.2">
      <c r="H12107" s="1"/>
      <c r="I12107" s="1"/>
    </row>
    <row r="12108" spans="8:9" x14ac:dyDescent="0.2">
      <c r="H12108" s="1"/>
      <c r="I12108" s="1"/>
    </row>
    <row r="12109" spans="8:9" x14ac:dyDescent="0.2">
      <c r="H12109" s="1"/>
      <c r="I12109" s="1"/>
    </row>
    <row r="12110" spans="8:9" x14ac:dyDescent="0.2">
      <c r="H12110" s="1"/>
      <c r="I12110" s="1"/>
    </row>
    <row r="12111" spans="8:9" x14ac:dyDescent="0.2">
      <c r="H12111" s="1"/>
      <c r="I12111" s="1"/>
    </row>
    <row r="12112" spans="8:9" x14ac:dyDescent="0.2">
      <c r="H12112" s="1"/>
      <c r="I12112" s="1"/>
    </row>
    <row r="12113" spans="8:9" x14ac:dyDescent="0.2">
      <c r="H12113" s="1"/>
      <c r="I12113" s="1"/>
    </row>
    <row r="12114" spans="8:9" x14ac:dyDescent="0.2">
      <c r="H12114" s="1"/>
      <c r="I12114" s="1"/>
    </row>
    <row r="12115" spans="8:9" x14ac:dyDescent="0.2">
      <c r="H12115" s="1"/>
      <c r="I12115" s="1"/>
    </row>
    <row r="12116" spans="8:9" x14ac:dyDescent="0.2">
      <c r="H12116" s="1"/>
      <c r="I12116" s="1"/>
    </row>
    <row r="12117" spans="8:9" x14ac:dyDescent="0.2">
      <c r="H12117" s="1"/>
      <c r="I12117" s="1"/>
    </row>
    <row r="12118" spans="8:9" x14ac:dyDescent="0.2">
      <c r="H12118" s="1"/>
      <c r="I12118" s="1"/>
    </row>
    <row r="12119" spans="8:9" x14ac:dyDescent="0.2">
      <c r="H12119" s="1"/>
      <c r="I12119" s="1"/>
    </row>
    <row r="12120" spans="8:9" x14ac:dyDescent="0.2">
      <c r="H12120" s="1"/>
      <c r="I12120" s="1"/>
    </row>
    <row r="12121" spans="8:9" x14ac:dyDescent="0.2">
      <c r="H12121" s="1"/>
      <c r="I12121" s="1"/>
    </row>
    <row r="12122" spans="8:9" x14ac:dyDescent="0.2">
      <c r="H12122" s="1"/>
      <c r="I12122" s="1"/>
    </row>
    <row r="12123" spans="8:9" x14ac:dyDescent="0.2">
      <c r="H12123" s="1"/>
      <c r="I12123" s="1"/>
    </row>
    <row r="12124" spans="8:9" x14ac:dyDescent="0.2">
      <c r="H12124" s="1"/>
      <c r="I12124" s="1"/>
    </row>
    <row r="12125" spans="8:9" x14ac:dyDescent="0.2">
      <c r="H12125" s="1"/>
      <c r="I12125" s="1"/>
    </row>
    <row r="12126" spans="8:9" x14ac:dyDescent="0.2">
      <c r="H12126" s="1"/>
      <c r="I12126" s="1"/>
    </row>
    <row r="12127" spans="8:9" x14ac:dyDescent="0.2">
      <c r="H12127" s="1"/>
      <c r="I12127" s="1"/>
    </row>
    <row r="12128" spans="8:9" x14ac:dyDescent="0.2">
      <c r="H12128" s="1"/>
      <c r="I12128" s="1"/>
    </row>
    <row r="12129" spans="8:9" x14ac:dyDescent="0.2">
      <c r="H12129" s="1"/>
      <c r="I12129" s="1"/>
    </row>
    <row r="12130" spans="8:9" x14ac:dyDescent="0.2">
      <c r="H12130" s="1"/>
      <c r="I12130" s="1"/>
    </row>
    <row r="12131" spans="8:9" x14ac:dyDescent="0.2">
      <c r="H12131" s="1"/>
      <c r="I12131" s="1"/>
    </row>
    <row r="12132" spans="8:9" x14ac:dyDescent="0.2">
      <c r="H12132" s="1"/>
      <c r="I12132" s="1"/>
    </row>
    <row r="12133" spans="8:9" x14ac:dyDescent="0.2">
      <c r="H12133" s="1"/>
      <c r="I12133" s="1"/>
    </row>
    <row r="12134" spans="8:9" x14ac:dyDescent="0.2">
      <c r="H12134" s="1"/>
      <c r="I12134" s="1"/>
    </row>
    <row r="12135" spans="8:9" x14ac:dyDescent="0.2">
      <c r="H12135" s="1"/>
      <c r="I12135" s="1"/>
    </row>
    <row r="12136" spans="8:9" x14ac:dyDescent="0.2">
      <c r="H12136" s="1"/>
      <c r="I12136" s="1"/>
    </row>
    <row r="12137" spans="8:9" x14ac:dyDescent="0.2">
      <c r="H12137" s="1"/>
      <c r="I12137" s="1"/>
    </row>
    <row r="12138" spans="8:9" x14ac:dyDescent="0.2">
      <c r="H12138" s="1"/>
      <c r="I12138" s="1"/>
    </row>
    <row r="12139" spans="8:9" x14ac:dyDescent="0.2">
      <c r="H12139" s="1"/>
      <c r="I12139" s="1"/>
    </row>
    <row r="12140" spans="8:9" x14ac:dyDescent="0.2">
      <c r="H12140" s="1"/>
      <c r="I12140" s="1"/>
    </row>
    <row r="12141" spans="8:9" x14ac:dyDescent="0.2">
      <c r="H12141" s="1"/>
      <c r="I12141" s="1"/>
    </row>
    <row r="12142" spans="8:9" x14ac:dyDescent="0.2">
      <c r="H12142" s="1"/>
      <c r="I12142" s="1"/>
    </row>
    <row r="12143" spans="8:9" x14ac:dyDescent="0.2">
      <c r="H12143" s="1"/>
      <c r="I12143" s="1"/>
    </row>
    <row r="12144" spans="8:9" x14ac:dyDescent="0.2">
      <c r="H12144" s="1"/>
      <c r="I12144" s="1"/>
    </row>
    <row r="12145" spans="8:9" x14ac:dyDescent="0.2">
      <c r="H12145" s="1"/>
      <c r="I12145" s="1"/>
    </row>
    <row r="12146" spans="8:9" x14ac:dyDescent="0.2">
      <c r="H12146" s="1"/>
      <c r="I12146" s="1"/>
    </row>
    <row r="12147" spans="8:9" x14ac:dyDescent="0.2">
      <c r="H12147" s="1"/>
      <c r="I12147" s="1"/>
    </row>
    <row r="12148" spans="8:9" x14ac:dyDescent="0.2">
      <c r="H12148" s="1"/>
      <c r="I12148" s="1"/>
    </row>
    <row r="12149" spans="8:9" x14ac:dyDescent="0.2">
      <c r="H12149" s="1"/>
      <c r="I12149" s="1"/>
    </row>
    <row r="12150" spans="8:9" x14ac:dyDescent="0.2">
      <c r="H12150" s="1"/>
      <c r="I12150" s="1"/>
    </row>
    <row r="12151" spans="8:9" x14ac:dyDescent="0.2">
      <c r="H12151" s="1"/>
      <c r="I12151" s="1"/>
    </row>
    <row r="12152" spans="8:9" x14ac:dyDescent="0.2">
      <c r="H12152" s="1"/>
      <c r="I12152" s="1"/>
    </row>
    <row r="12153" spans="8:9" x14ac:dyDescent="0.2">
      <c r="H12153" s="1"/>
      <c r="I12153" s="1"/>
    </row>
    <row r="12154" spans="8:9" x14ac:dyDescent="0.2">
      <c r="H12154" s="1"/>
      <c r="I12154" s="1"/>
    </row>
    <row r="12155" spans="8:9" x14ac:dyDescent="0.2">
      <c r="H12155" s="1"/>
      <c r="I12155" s="1"/>
    </row>
    <row r="12156" spans="8:9" x14ac:dyDescent="0.2">
      <c r="H12156" s="1"/>
      <c r="I12156" s="1"/>
    </row>
    <row r="12157" spans="8:9" x14ac:dyDescent="0.2">
      <c r="H12157" s="1"/>
      <c r="I12157" s="1"/>
    </row>
    <row r="12158" spans="8:9" x14ac:dyDescent="0.2">
      <c r="H12158" s="1"/>
      <c r="I12158" s="1"/>
    </row>
    <row r="12159" spans="8:9" x14ac:dyDescent="0.2">
      <c r="H12159" s="1"/>
      <c r="I12159" s="1"/>
    </row>
    <row r="12160" spans="8:9" x14ac:dyDescent="0.2">
      <c r="H12160" s="1"/>
      <c r="I12160" s="1"/>
    </row>
    <row r="12161" spans="8:9" x14ac:dyDescent="0.2">
      <c r="H12161" s="1"/>
      <c r="I12161" s="1"/>
    </row>
    <row r="12162" spans="8:9" x14ac:dyDescent="0.2">
      <c r="H12162" s="1"/>
      <c r="I12162" s="1"/>
    </row>
    <row r="12163" spans="8:9" x14ac:dyDescent="0.2">
      <c r="H12163" s="1"/>
      <c r="I12163" s="1"/>
    </row>
    <row r="12164" spans="8:9" x14ac:dyDescent="0.2">
      <c r="H12164" s="1"/>
      <c r="I12164" s="1"/>
    </row>
    <row r="12165" spans="8:9" x14ac:dyDescent="0.2">
      <c r="H12165" s="1"/>
      <c r="I12165" s="1"/>
    </row>
    <row r="12166" spans="8:9" x14ac:dyDescent="0.2">
      <c r="H12166" s="1"/>
      <c r="I12166" s="1"/>
    </row>
    <row r="12167" spans="8:9" x14ac:dyDescent="0.2">
      <c r="H12167" s="1"/>
      <c r="I12167" s="1"/>
    </row>
    <row r="12168" spans="8:9" x14ac:dyDescent="0.2">
      <c r="H12168" s="1"/>
      <c r="I12168" s="1"/>
    </row>
    <row r="12169" spans="8:9" x14ac:dyDescent="0.2">
      <c r="H12169" s="1"/>
      <c r="I12169" s="1"/>
    </row>
    <row r="12170" spans="8:9" x14ac:dyDescent="0.2">
      <c r="H12170" s="1"/>
      <c r="I12170" s="1"/>
    </row>
    <row r="12171" spans="8:9" x14ac:dyDescent="0.2">
      <c r="H12171" s="1"/>
      <c r="I12171" s="1"/>
    </row>
    <row r="12172" spans="8:9" x14ac:dyDescent="0.2">
      <c r="H12172" s="1"/>
      <c r="I12172" s="1"/>
    </row>
    <row r="12173" spans="8:9" x14ac:dyDescent="0.2">
      <c r="H12173" s="1"/>
      <c r="I12173" s="1"/>
    </row>
    <row r="12174" spans="8:9" x14ac:dyDescent="0.2">
      <c r="H12174" s="1"/>
      <c r="I12174" s="1"/>
    </row>
    <row r="12175" spans="8:9" x14ac:dyDescent="0.2">
      <c r="H12175" s="1"/>
      <c r="I12175" s="1"/>
    </row>
    <row r="12176" spans="8:9" x14ac:dyDescent="0.2">
      <c r="H12176" s="1"/>
      <c r="I12176" s="1"/>
    </row>
    <row r="12177" spans="8:9" x14ac:dyDescent="0.2">
      <c r="H12177" s="1"/>
      <c r="I12177" s="1"/>
    </row>
    <row r="12178" spans="8:9" x14ac:dyDescent="0.2">
      <c r="H12178" s="1"/>
      <c r="I12178" s="1"/>
    </row>
    <row r="12179" spans="8:9" x14ac:dyDescent="0.2">
      <c r="H12179" s="1"/>
      <c r="I12179" s="1"/>
    </row>
    <row r="12180" spans="8:9" x14ac:dyDescent="0.2">
      <c r="H12180" s="1"/>
      <c r="I12180" s="1"/>
    </row>
    <row r="12181" spans="8:9" x14ac:dyDescent="0.2">
      <c r="H12181" s="1"/>
      <c r="I12181" s="1"/>
    </row>
    <row r="12182" spans="8:9" x14ac:dyDescent="0.2">
      <c r="H12182" s="1"/>
      <c r="I12182" s="1"/>
    </row>
    <row r="12183" spans="8:9" x14ac:dyDescent="0.2">
      <c r="H12183" s="1"/>
      <c r="I12183" s="1"/>
    </row>
    <row r="12184" spans="8:9" x14ac:dyDescent="0.2">
      <c r="H12184" s="1"/>
      <c r="I12184" s="1"/>
    </row>
    <row r="12185" spans="8:9" x14ac:dyDescent="0.2">
      <c r="H12185" s="1"/>
      <c r="I12185" s="1"/>
    </row>
    <row r="12186" spans="8:9" x14ac:dyDescent="0.2">
      <c r="H12186" s="1"/>
      <c r="I12186" s="1"/>
    </row>
    <row r="12187" spans="8:9" x14ac:dyDescent="0.2">
      <c r="H12187" s="1"/>
      <c r="I12187" s="1"/>
    </row>
    <row r="12188" spans="8:9" x14ac:dyDescent="0.2">
      <c r="H12188" s="1"/>
      <c r="I12188" s="1"/>
    </row>
    <row r="12189" spans="8:9" x14ac:dyDescent="0.2">
      <c r="H12189" s="1"/>
      <c r="I12189" s="1"/>
    </row>
    <row r="12190" spans="8:9" x14ac:dyDescent="0.2">
      <c r="H12190" s="1"/>
      <c r="I12190" s="1"/>
    </row>
    <row r="12191" spans="8:9" x14ac:dyDescent="0.2">
      <c r="H12191" s="1"/>
      <c r="I12191" s="1"/>
    </row>
    <row r="12192" spans="8:9" x14ac:dyDescent="0.2">
      <c r="H12192" s="1"/>
      <c r="I12192" s="1"/>
    </row>
    <row r="12193" spans="8:9" x14ac:dyDescent="0.2">
      <c r="H12193" s="1"/>
      <c r="I12193" s="1"/>
    </row>
    <row r="12194" spans="8:9" x14ac:dyDescent="0.2">
      <c r="H12194" s="1"/>
      <c r="I12194" s="1"/>
    </row>
    <row r="12195" spans="8:9" x14ac:dyDescent="0.2">
      <c r="H12195" s="1"/>
      <c r="I12195" s="1"/>
    </row>
    <row r="12196" spans="8:9" x14ac:dyDescent="0.2">
      <c r="H12196" s="1"/>
      <c r="I12196" s="1"/>
    </row>
    <row r="12197" spans="8:9" x14ac:dyDescent="0.2">
      <c r="H12197" s="1"/>
      <c r="I12197" s="1"/>
    </row>
    <row r="12198" spans="8:9" x14ac:dyDescent="0.2">
      <c r="H12198" s="1"/>
      <c r="I12198" s="1"/>
    </row>
    <row r="12199" spans="8:9" x14ac:dyDescent="0.2">
      <c r="H12199" s="1"/>
      <c r="I12199" s="1"/>
    </row>
    <row r="12200" spans="8:9" x14ac:dyDescent="0.2">
      <c r="H12200" s="1"/>
      <c r="I12200" s="1"/>
    </row>
    <row r="12201" spans="8:9" x14ac:dyDescent="0.2">
      <c r="H12201" s="1"/>
      <c r="I12201" s="1"/>
    </row>
    <row r="12202" spans="8:9" x14ac:dyDescent="0.2">
      <c r="H12202" s="1"/>
      <c r="I12202" s="1"/>
    </row>
    <row r="12203" spans="8:9" x14ac:dyDescent="0.2">
      <c r="H12203" s="1"/>
      <c r="I12203" s="1"/>
    </row>
    <row r="12204" spans="8:9" x14ac:dyDescent="0.2">
      <c r="H12204" s="1"/>
      <c r="I12204" s="1"/>
    </row>
    <row r="12205" spans="8:9" x14ac:dyDescent="0.2">
      <c r="H12205" s="1"/>
      <c r="I12205" s="1"/>
    </row>
    <row r="12206" spans="8:9" x14ac:dyDescent="0.2">
      <c r="H12206" s="1"/>
      <c r="I12206" s="1"/>
    </row>
    <row r="12207" spans="8:9" x14ac:dyDescent="0.2">
      <c r="H12207" s="1"/>
      <c r="I12207" s="1"/>
    </row>
    <row r="12208" spans="8:9" x14ac:dyDescent="0.2">
      <c r="H12208" s="1"/>
      <c r="I12208" s="1"/>
    </row>
    <row r="12209" spans="8:9" x14ac:dyDescent="0.2">
      <c r="H12209" s="1"/>
      <c r="I12209" s="1"/>
    </row>
    <row r="12210" spans="8:9" x14ac:dyDescent="0.2">
      <c r="H12210" s="1"/>
      <c r="I12210" s="1"/>
    </row>
    <row r="12211" spans="8:9" x14ac:dyDescent="0.2">
      <c r="H12211" s="1"/>
      <c r="I12211" s="1"/>
    </row>
    <row r="12212" spans="8:9" x14ac:dyDescent="0.2">
      <c r="H12212" s="1"/>
      <c r="I12212" s="1"/>
    </row>
    <row r="12213" spans="8:9" x14ac:dyDescent="0.2">
      <c r="H12213" s="1"/>
      <c r="I12213" s="1"/>
    </row>
    <row r="12214" spans="8:9" x14ac:dyDescent="0.2">
      <c r="H12214" s="1"/>
      <c r="I12214" s="1"/>
    </row>
    <row r="12215" spans="8:9" x14ac:dyDescent="0.2">
      <c r="H12215" s="1"/>
      <c r="I12215" s="1"/>
    </row>
    <row r="12216" spans="8:9" x14ac:dyDescent="0.2">
      <c r="H12216" s="1"/>
      <c r="I12216" s="1"/>
    </row>
    <row r="12217" spans="8:9" x14ac:dyDescent="0.2">
      <c r="H12217" s="1"/>
      <c r="I12217" s="1"/>
    </row>
    <row r="12218" spans="8:9" x14ac:dyDescent="0.2">
      <c r="H12218" s="1"/>
      <c r="I12218" s="1"/>
    </row>
    <row r="12219" spans="8:9" x14ac:dyDescent="0.2">
      <c r="H12219" s="1"/>
      <c r="I12219" s="1"/>
    </row>
    <row r="12220" spans="8:9" x14ac:dyDescent="0.2">
      <c r="H12220" s="1"/>
      <c r="I12220" s="1"/>
    </row>
    <row r="12221" spans="8:9" x14ac:dyDescent="0.2">
      <c r="H12221" s="1"/>
      <c r="I12221" s="1"/>
    </row>
    <row r="12222" spans="8:9" x14ac:dyDescent="0.2">
      <c r="H12222" s="1"/>
      <c r="I12222" s="1"/>
    </row>
    <row r="12223" spans="8:9" x14ac:dyDescent="0.2">
      <c r="H12223" s="1"/>
      <c r="I12223" s="1"/>
    </row>
    <row r="12224" spans="8:9" x14ac:dyDescent="0.2">
      <c r="H12224" s="1"/>
      <c r="I12224" s="1"/>
    </row>
    <row r="12225" spans="8:9" x14ac:dyDescent="0.2">
      <c r="H12225" s="1"/>
      <c r="I12225" s="1"/>
    </row>
    <row r="12226" spans="8:9" x14ac:dyDescent="0.2">
      <c r="H12226" s="1"/>
      <c r="I12226" s="1"/>
    </row>
    <row r="12227" spans="8:9" x14ac:dyDescent="0.2">
      <c r="H12227" s="1"/>
      <c r="I12227" s="1"/>
    </row>
    <row r="12228" spans="8:9" x14ac:dyDescent="0.2">
      <c r="H12228" s="1"/>
      <c r="I12228" s="1"/>
    </row>
    <row r="12229" spans="8:9" x14ac:dyDescent="0.2">
      <c r="H12229" s="1"/>
      <c r="I12229" s="1"/>
    </row>
    <row r="12230" spans="8:9" x14ac:dyDescent="0.2">
      <c r="H12230" s="1"/>
      <c r="I12230" s="1"/>
    </row>
    <row r="12231" spans="8:9" x14ac:dyDescent="0.2">
      <c r="H12231" s="1"/>
      <c r="I12231" s="1"/>
    </row>
    <row r="12232" spans="8:9" x14ac:dyDescent="0.2">
      <c r="H12232" s="1"/>
      <c r="I12232" s="1"/>
    </row>
    <row r="12233" spans="8:9" x14ac:dyDescent="0.2">
      <c r="H12233" s="1"/>
      <c r="I12233" s="1"/>
    </row>
    <row r="12234" spans="8:9" x14ac:dyDescent="0.2">
      <c r="H12234" s="1"/>
      <c r="I12234" s="1"/>
    </row>
    <row r="12235" spans="8:9" x14ac:dyDescent="0.2">
      <c r="H12235" s="1"/>
      <c r="I12235" s="1"/>
    </row>
    <row r="12236" spans="8:9" x14ac:dyDescent="0.2">
      <c r="H12236" s="1"/>
      <c r="I12236" s="1"/>
    </row>
    <row r="12237" spans="8:9" x14ac:dyDescent="0.2">
      <c r="H12237" s="1"/>
      <c r="I12237" s="1"/>
    </row>
    <row r="12238" spans="8:9" x14ac:dyDescent="0.2">
      <c r="H12238" s="1"/>
      <c r="I12238" s="1"/>
    </row>
    <row r="12239" spans="8:9" x14ac:dyDescent="0.2">
      <c r="H12239" s="1"/>
      <c r="I12239" s="1"/>
    </row>
    <row r="12240" spans="8:9" x14ac:dyDescent="0.2">
      <c r="H12240" s="1"/>
      <c r="I12240" s="1"/>
    </row>
    <row r="12241" spans="8:9" x14ac:dyDescent="0.2">
      <c r="H12241" s="1"/>
      <c r="I12241" s="1"/>
    </row>
    <row r="12242" spans="8:9" x14ac:dyDescent="0.2">
      <c r="H12242" s="1"/>
      <c r="I12242" s="1"/>
    </row>
    <row r="12243" spans="8:9" x14ac:dyDescent="0.2">
      <c r="H12243" s="1"/>
      <c r="I12243" s="1"/>
    </row>
    <row r="12244" spans="8:9" x14ac:dyDescent="0.2">
      <c r="H12244" s="1"/>
      <c r="I12244" s="1"/>
    </row>
    <row r="12245" spans="8:9" x14ac:dyDescent="0.2">
      <c r="H12245" s="1"/>
      <c r="I12245" s="1"/>
    </row>
    <row r="12246" spans="8:9" x14ac:dyDescent="0.2">
      <c r="H12246" s="1"/>
      <c r="I12246" s="1"/>
    </row>
    <row r="12247" spans="8:9" x14ac:dyDescent="0.2">
      <c r="H12247" s="1"/>
      <c r="I12247" s="1"/>
    </row>
    <row r="12248" spans="8:9" x14ac:dyDescent="0.2">
      <c r="H12248" s="1"/>
      <c r="I12248" s="1"/>
    </row>
    <row r="12249" spans="8:9" x14ac:dyDescent="0.2">
      <c r="H12249" s="1"/>
      <c r="I12249" s="1"/>
    </row>
    <row r="12250" spans="8:9" x14ac:dyDescent="0.2">
      <c r="H12250" s="1"/>
      <c r="I12250" s="1"/>
    </row>
    <row r="12251" spans="8:9" x14ac:dyDescent="0.2">
      <c r="H12251" s="1"/>
      <c r="I12251" s="1"/>
    </row>
    <row r="12252" spans="8:9" x14ac:dyDescent="0.2">
      <c r="H12252" s="1"/>
      <c r="I12252" s="1"/>
    </row>
    <row r="12253" spans="8:9" x14ac:dyDescent="0.2">
      <c r="H12253" s="1"/>
      <c r="I12253" s="1"/>
    </row>
    <row r="12254" spans="8:9" x14ac:dyDescent="0.2">
      <c r="H12254" s="1"/>
      <c r="I12254" s="1"/>
    </row>
    <row r="12255" spans="8:9" x14ac:dyDescent="0.2">
      <c r="H12255" s="1"/>
      <c r="I12255" s="1"/>
    </row>
    <row r="12256" spans="8:9" x14ac:dyDescent="0.2">
      <c r="H12256" s="1"/>
      <c r="I12256" s="1"/>
    </row>
    <row r="12257" spans="8:9" x14ac:dyDescent="0.2">
      <c r="H12257" s="1"/>
      <c r="I12257" s="1"/>
    </row>
    <row r="12258" spans="8:9" x14ac:dyDescent="0.2">
      <c r="H12258" s="1"/>
      <c r="I12258" s="1"/>
    </row>
    <row r="12259" spans="8:9" x14ac:dyDescent="0.2">
      <c r="H12259" s="1"/>
      <c r="I12259" s="1"/>
    </row>
    <row r="12260" spans="8:9" x14ac:dyDescent="0.2">
      <c r="H12260" s="1"/>
      <c r="I12260" s="1"/>
    </row>
    <row r="12261" spans="8:9" x14ac:dyDescent="0.2">
      <c r="H12261" s="1"/>
      <c r="I12261" s="1"/>
    </row>
    <row r="12262" spans="8:9" x14ac:dyDescent="0.2">
      <c r="H12262" s="1"/>
      <c r="I12262" s="1"/>
    </row>
    <row r="12263" spans="8:9" x14ac:dyDescent="0.2">
      <c r="H12263" s="1"/>
      <c r="I12263" s="1"/>
    </row>
    <row r="12264" spans="8:9" x14ac:dyDescent="0.2">
      <c r="H12264" s="1"/>
      <c r="I12264" s="1"/>
    </row>
    <row r="12265" spans="8:9" x14ac:dyDescent="0.2">
      <c r="H12265" s="1"/>
      <c r="I12265" s="1"/>
    </row>
    <row r="12266" spans="8:9" x14ac:dyDescent="0.2">
      <c r="H12266" s="1"/>
      <c r="I12266" s="1"/>
    </row>
    <row r="12267" spans="8:9" x14ac:dyDescent="0.2">
      <c r="H12267" s="1"/>
      <c r="I12267" s="1"/>
    </row>
    <row r="12268" spans="8:9" x14ac:dyDescent="0.2">
      <c r="H12268" s="1"/>
      <c r="I12268" s="1"/>
    </row>
    <row r="12269" spans="8:9" x14ac:dyDescent="0.2">
      <c r="H12269" s="1"/>
      <c r="I12269" s="1"/>
    </row>
    <row r="12270" spans="8:9" x14ac:dyDescent="0.2">
      <c r="H12270" s="1"/>
      <c r="I12270" s="1"/>
    </row>
    <row r="12271" spans="8:9" x14ac:dyDescent="0.2">
      <c r="H12271" s="1"/>
      <c r="I12271" s="1"/>
    </row>
    <row r="12272" spans="8:9" x14ac:dyDescent="0.2">
      <c r="H12272" s="1"/>
      <c r="I12272" s="1"/>
    </row>
    <row r="12273" spans="8:9" x14ac:dyDescent="0.2">
      <c r="H12273" s="1"/>
      <c r="I12273" s="1"/>
    </row>
    <row r="12274" spans="8:9" x14ac:dyDescent="0.2">
      <c r="H12274" s="1"/>
      <c r="I12274" s="1"/>
    </row>
    <row r="12275" spans="8:9" x14ac:dyDescent="0.2">
      <c r="H12275" s="1"/>
      <c r="I12275" s="1"/>
    </row>
    <row r="12276" spans="8:9" x14ac:dyDescent="0.2">
      <c r="H12276" s="1"/>
      <c r="I12276" s="1"/>
    </row>
    <row r="12277" spans="8:9" x14ac:dyDescent="0.2">
      <c r="H12277" s="1"/>
      <c r="I12277" s="1"/>
    </row>
    <row r="12278" spans="8:9" x14ac:dyDescent="0.2">
      <c r="H12278" s="1"/>
      <c r="I12278" s="1"/>
    </row>
    <row r="12279" spans="8:9" x14ac:dyDescent="0.2">
      <c r="H12279" s="1"/>
      <c r="I12279" s="1"/>
    </row>
    <row r="12280" spans="8:9" x14ac:dyDescent="0.2">
      <c r="H12280" s="1"/>
      <c r="I12280" s="1"/>
    </row>
    <row r="12281" spans="8:9" x14ac:dyDescent="0.2">
      <c r="H12281" s="1"/>
      <c r="I12281" s="1"/>
    </row>
    <row r="12282" spans="8:9" x14ac:dyDescent="0.2">
      <c r="H12282" s="1"/>
      <c r="I12282" s="1"/>
    </row>
    <row r="12283" spans="8:9" x14ac:dyDescent="0.2">
      <c r="H12283" s="1"/>
      <c r="I12283" s="1"/>
    </row>
    <row r="12284" spans="8:9" x14ac:dyDescent="0.2">
      <c r="H12284" s="1"/>
      <c r="I12284" s="1"/>
    </row>
    <row r="12285" spans="8:9" x14ac:dyDescent="0.2">
      <c r="H12285" s="1"/>
      <c r="I12285" s="1"/>
    </row>
    <row r="12286" spans="8:9" x14ac:dyDescent="0.2">
      <c r="H12286" s="1"/>
      <c r="I12286" s="1"/>
    </row>
    <row r="12287" spans="8:9" x14ac:dyDescent="0.2">
      <c r="H12287" s="1"/>
      <c r="I12287" s="1"/>
    </row>
    <row r="12288" spans="8:9" x14ac:dyDescent="0.2">
      <c r="H12288" s="1"/>
      <c r="I12288" s="1"/>
    </row>
    <row r="12289" spans="8:9" x14ac:dyDescent="0.2">
      <c r="H12289" s="1"/>
      <c r="I12289" s="1"/>
    </row>
    <row r="12290" spans="8:9" x14ac:dyDescent="0.2">
      <c r="H12290" s="1"/>
      <c r="I12290" s="1"/>
    </row>
    <row r="12291" spans="8:9" x14ac:dyDescent="0.2">
      <c r="H12291" s="1"/>
      <c r="I12291" s="1"/>
    </row>
    <row r="12292" spans="8:9" x14ac:dyDescent="0.2">
      <c r="H12292" s="1"/>
      <c r="I12292" s="1"/>
    </row>
    <row r="12293" spans="8:9" x14ac:dyDescent="0.2">
      <c r="H12293" s="1"/>
      <c r="I12293" s="1"/>
    </row>
    <row r="12294" spans="8:9" x14ac:dyDescent="0.2">
      <c r="H12294" s="1"/>
      <c r="I12294" s="1"/>
    </row>
    <row r="12295" spans="8:9" x14ac:dyDescent="0.2">
      <c r="H12295" s="1"/>
      <c r="I12295" s="1"/>
    </row>
    <row r="12296" spans="8:9" x14ac:dyDescent="0.2">
      <c r="H12296" s="1"/>
      <c r="I12296" s="1"/>
    </row>
    <row r="12297" spans="8:9" x14ac:dyDescent="0.2">
      <c r="H12297" s="1"/>
      <c r="I12297" s="1"/>
    </row>
    <row r="12298" spans="8:9" x14ac:dyDescent="0.2">
      <c r="H12298" s="1"/>
      <c r="I12298" s="1"/>
    </row>
    <row r="12299" spans="8:9" x14ac:dyDescent="0.2">
      <c r="H12299" s="1"/>
      <c r="I12299" s="1"/>
    </row>
    <row r="12300" spans="8:9" x14ac:dyDescent="0.2">
      <c r="H12300" s="1"/>
      <c r="I12300" s="1"/>
    </row>
    <row r="12301" spans="8:9" x14ac:dyDescent="0.2">
      <c r="H12301" s="1"/>
      <c r="I12301" s="1"/>
    </row>
    <row r="12302" spans="8:9" x14ac:dyDescent="0.2">
      <c r="H12302" s="1"/>
      <c r="I12302" s="1"/>
    </row>
    <row r="12303" spans="8:9" x14ac:dyDescent="0.2">
      <c r="H12303" s="1"/>
      <c r="I12303" s="1"/>
    </row>
    <row r="12304" spans="8:9" x14ac:dyDescent="0.2">
      <c r="H12304" s="1"/>
      <c r="I12304" s="1"/>
    </row>
    <row r="12305" spans="8:9" x14ac:dyDescent="0.2">
      <c r="H12305" s="1"/>
      <c r="I12305" s="1"/>
    </row>
    <row r="12306" spans="8:9" x14ac:dyDescent="0.2">
      <c r="H12306" s="1"/>
      <c r="I12306" s="1"/>
    </row>
    <row r="12307" spans="8:9" x14ac:dyDescent="0.2">
      <c r="H12307" s="1"/>
      <c r="I12307" s="1"/>
    </row>
    <row r="12308" spans="8:9" x14ac:dyDescent="0.2">
      <c r="H12308" s="1"/>
      <c r="I12308" s="1"/>
    </row>
    <row r="12309" spans="8:9" x14ac:dyDescent="0.2">
      <c r="H12309" s="1"/>
      <c r="I12309" s="1"/>
    </row>
    <row r="12310" spans="8:9" x14ac:dyDescent="0.2">
      <c r="H12310" s="1"/>
      <c r="I12310" s="1"/>
    </row>
    <row r="12311" spans="8:9" x14ac:dyDescent="0.2">
      <c r="H12311" s="1"/>
      <c r="I12311" s="1"/>
    </row>
    <row r="12312" spans="8:9" x14ac:dyDescent="0.2">
      <c r="H12312" s="1"/>
      <c r="I12312" s="1"/>
    </row>
    <row r="12313" spans="8:9" x14ac:dyDescent="0.2">
      <c r="H12313" s="1"/>
      <c r="I12313" s="1"/>
    </row>
    <row r="12314" spans="8:9" x14ac:dyDescent="0.2">
      <c r="H12314" s="1"/>
      <c r="I12314" s="1"/>
    </row>
    <row r="12315" spans="8:9" x14ac:dyDescent="0.2">
      <c r="H12315" s="1"/>
      <c r="I12315" s="1"/>
    </row>
    <row r="12316" spans="8:9" x14ac:dyDescent="0.2">
      <c r="H12316" s="1"/>
      <c r="I12316" s="1"/>
    </row>
    <row r="12317" spans="8:9" x14ac:dyDescent="0.2">
      <c r="H12317" s="1"/>
      <c r="I12317" s="1"/>
    </row>
    <row r="12318" spans="8:9" x14ac:dyDescent="0.2">
      <c r="H12318" s="1"/>
      <c r="I12318" s="1"/>
    </row>
    <row r="12319" spans="8:9" x14ac:dyDescent="0.2">
      <c r="H12319" s="1"/>
      <c r="I12319" s="1"/>
    </row>
    <row r="12320" spans="8:9" x14ac:dyDescent="0.2">
      <c r="H12320" s="1"/>
      <c r="I12320" s="1"/>
    </row>
    <row r="12321" spans="8:9" x14ac:dyDescent="0.2">
      <c r="H12321" s="1"/>
      <c r="I12321" s="1"/>
    </row>
    <row r="12322" spans="8:9" x14ac:dyDescent="0.2">
      <c r="H12322" s="1"/>
      <c r="I12322" s="1"/>
    </row>
    <row r="12323" spans="8:9" x14ac:dyDescent="0.2">
      <c r="H12323" s="1"/>
      <c r="I12323" s="1"/>
    </row>
    <row r="12324" spans="8:9" x14ac:dyDescent="0.2">
      <c r="H12324" s="1"/>
      <c r="I12324" s="1"/>
    </row>
    <row r="12325" spans="8:9" x14ac:dyDescent="0.2">
      <c r="H12325" s="1"/>
      <c r="I12325" s="1"/>
    </row>
    <row r="12326" spans="8:9" x14ac:dyDescent="0.2">
      <c r="H12326" s="1"/>
      <c r="I12326" s="1"/>
    </row>
    <row r="12327" spans="8:9" x14ac:dyDescent="0.2">
      <c r="H12327" s="1"/>
      <c r="I12327" s="1"/>
    </row>
    <row r="12328" spans="8:9" x14ac:dyDescent="0.2">
      <c r="H12328" s="1"/>
      <c r="I12328" s="1"/>
    </row>
    <row r="12329" spans="8:9" x14ac:dyDescent="0.2">
      <c r="H12329" s="1"/>
      <c r="I12329" s="1"/>
    </row>
    <row r="12330" spans="8:9" x14ac:dyDescent="0.2">
      <c r="H12330" s="1"/>
      <c r="I12330" s="1"/>
    </row>
    <row r="12331" spans="8:9" x14ac:dyDescent="0.2">
      <c r="H12331" s="1"/>
      <c r="I12331" s="1"/>
    </row>
    <row r="12332" spans="8:9" x14ac:dyDescent="0.2">
      <c r="H12332" s="1"/>
      <c r="I12332" s="1"/>
    </row>
    <row r="12333" spans="8:9" x14ac:dyDescent="0.2">
      <c r="H12333" s="1"/>
      <c r="I12333" s="1"/>
    </row>
    <row r="12334" spans="8:9" x14ac:dyDescent="0.2">
      <c r="H12334" s="1"/>
      <c r="I12334" s="1"/>
    </row>
    <row r="12335" spans="8:9" x14ac:dyDescent="0.2">
      <c r="H12335" s="1"/>
      <c r="I12335" s="1"/>
    </row>
    <row r="12336" spans="8:9" x14ac:dyDescent="0.2">
      <c r="H12336" s="1"/>
      <c r="I12336" s="1"/>
    </row>
    <row r="12337" spans="8:9" x14ac:dyDescent="0.2">
      <c r="H12337" s="1"/>
      <c r="I12337" s="1"/>
    </row>
    <row r="12338" spans="8:9" x14ac:dyDescent="0.2">
      <c r="H12338" s="1"/>
      <c r="I12338" s="1"/>
    </row>
    <row r="12339" spans="8:9" x14ac:dyDescent="0.2">
      <c r="H12339" s="1"/>
      <c r="I12339" s="1"/>
    </row>
    <row r="12340" spans="8:9" x14ac:dyDescent="0.2">
      <c r="H12340" s="1"/>
      <c r="I12340" s="1"/>
    </row>
    <row r="12341" spans="8:9" x14ac:dyDescent="0.2">
      <c r="H12341" s="1"/>
      <c r="I12341" s="1"/>
    </row>
    <row r="12342" spans="8:9" x14ac:dyDescent="0.2">
      <c r="H12342" s="1"/>
      <c r="I12342" s="1"/>
    </row>
    <row r="12343" spans="8:9" x14ac:dyDescent="0.2">
      <c r="H12343" s="1"/>
      <c r="I12343" s="1"/>
    </row>
    <row r="12344" spans="8:9" x14ac:dyDescent="0.2">
      <c r="H12344" s="1"/>
      <c r="I12344" s="1"/>
    </row>
    <row r="12345" spans="8:9" x14ac:dyDescent="0.2">
      <c r="H12345" s="1"/>
      <c r="I12345" s="1"/>
    </row>
    <row r="12346" spans="8:9" x14ac:dyDescent="0.2">
      <c r="H12346" s="1"/>
      <c r="I12346" s="1"/>
    </row>
    <row r="12347" spans="8:9" x14ac:dyDescent="0.2">
      <c r="H12347" s="1"/>
      <c r="I12347" s="1"/>
    </row>
    <row r="12348" spans="8:9" x14ac:dyDescent="0.2">
      <c r="H12348" s="1"/>
      <c r="I12348" s="1"/>
    </row>
    <row r="12349" spans="8:9" x14ac:dyDescent="0.2">
      <c r="H12349" s="1"/>
      <c r="I12349" s="1"/>
    </row>
    <row r="12350" spans="8:9" x14ac:dyDescent="0.2">
      <c r="H12350" s="1"/>
      <c r="I12350" s="1"/>
    </row>
    <row r="12351" spans="8:9" x14ac:dyDescent="0.2">
      <c r="H12351" s="1"/>
      <c r="I12351" s="1"/>
    </row>
    <row r="12352" spans="8:9" x14ac:dyDescent="0.2">
      <c r="H12352" s="1"/>
      <c r="I12352" s="1"/>
    </row>
    <row r="12353" spans="8:9" x14ac:dyDescent="0.2">
      <c r="H12353" s="1"/>
      <c r="I12353" s="1"/>
    </row>
    <row r="12354" spans="8:9" x14ac:dyDescent="0.2">
      <c r="H12354" s="1"/>
      <c r="I12354" s="1"/>
    </row>
    <row r="12355" spans="8:9" x14ac:dyDescent="0.2">
      <c r="H12355" s="1"/>
      <c r="I12355" s="1"/>
    </row>
    <row r="12356" spans="8:9" x14ac:dyDescent="0.2">
      <c r="H12356" s="1"/>
      <c r="I12356" s="1"/>
    </row>
    <row r="12357" spans="8:9" x14ac:dyDescent="0.2">
      <c r="H12357" s="1"/>
      <c r="I12357" s="1"/>
    </row>
    <row r="12358" spans="8:9" x14ac:dyDescent="0.2">
      <c r="H12358" s="1"/>
      <c r="I12358" s="1"/>
    </row>
    <row r="12359" spans="8:9" x14ac:dyDescent="0.2">
      <c r="H12359" s="1"/>
      <c r="I12359" s="1"/>
    </row>
    <row r="12360" spans="8:9" x14ac:dyDescent="0.2">
      <c r="H12360" s="1"/>
      <c r="I12360" s="1"/>
    </row>
    <row r="12361" spans="8:9" x14ac:dyDescent="0.2">
      <c r="H12361" s="1"/>
      <c r="I12361" s="1"/>
    </row>
    <row r="12362" spans="8:9" x14ac:dyDescent="0.2">
      <c r="H12362" s="1"/>
      <c r="I12362" s="1"/>
    </row>
    <row r="12363" spans="8:9" x14ac:dyDescent="0.2">
      <c r="H12363" s="1"/>
      <c r="I12363" s="1"/>
    </row>
    <row r="12364" spans="8:9" x14ac:dyDescent="0.2">
      <c r="H12364" s="1"/>
      <c r="I12364" s="1"/>
    </row>
    <row r="12365" spans="8:9" x14ac:dyDescent="0.2">
      <c r="H12365" s="1"/>
      <c r="I12365" s="1"/>
    </row>
    <row r="12366" spans="8:9" x14ac:dyDescent="0.2">
      <c r="H12366" s="1"/>
      <c r="I12366" s="1"/>
    </row>
    <row r="12367" spans="8:9" x14ac:dyDescent="0.2">
      <c r="H12367" s="1"/>
      <c r="I12367" s="1"/>
    </row>
    <row r="12368" spans="8:9" x14ac:dyDescent="0.2">
      <c r="H12368" s="1"/>
      <c r="I12368" s="1"/>
    </row>
    <row r="12369" spans="8:9" x14ac:dyDescent="0.2">
      <c r="H12369" s="1"/>
      <c r="I12369" s="1"/>
    </row>
    <row r="12370" spans="8:9" x14ac:dyDescent="0.2">
      <c r="H12370" s="1"/>
      <c r="I12370" s="1"/>
    </row>
    <row r="12371" spans="8:9" x14ac:dyDescent="0.2">
      <c r="H12371" s="1"/>
      <c r="I12371" s="1"/>
    </row>
    <row r="12372" spans="8:9" x14ac:dyDescent="0.2">
      <c r="H12372" s="1"/>
      <c r="I12372" s="1"/>
    </row>
    <row r="12373" spans="8:9" x14ac:dyDescent="0.2">
      <c r="H12373" s="1"/>
      <c r="I12373" s="1"/>
    </row>
    <row r="12374" spans="8:9" x14ac:dyDescent="0.2">
      <c r="H12374" s="1"/>
      <c r="I12374" s="1"/>
    </row>
    <row r="12375" spans="8:9" x14ac:dyDescent="0.2">
      <c r="H12375" s="1"/>
      <c r="I12375" s="1"/>
    </row>
    <row r="12376" spans="8:9" x14ac:dyDescent="0.2">
      <c r="H12376" s="1"/>
      <c r="I12376" s="1"/>
    </row>
    <row r="12377" spans="8:9" x14ac:dyDescent="0.2">
      <c r="H12377" s="1"/>
      <c r="I12377" s="1"/>
    </row>
    <row r="12378" spans="8:9" x14ac:dyDescent="0.2">
      <c r="H12378" s="1"/>
      <c r="I12378" s="1"/>
    </row>
    <row r="12379" spans="8:9" x14ac:dyDescent="0.2">
      <c r="H12379" s="1"/>
      <c r="I12379" s="1"/>
    </row>
    <row r="12380" spans="8:9" x14ac:dyDescent="0.2">
      <c r="H12380" s="1"/>
      <c r="I12380" s="1"/>
    </row>
    <row r="12381" spans="8:9" x14ac:dyDescent="0.2">
      <c r="H12381" s="1"/>
      <c r="I12381" s="1"/>
    </row>
    <row r="12382" spans="8:9" x14ac:dyDescent="0.2">
      <c r="H12382" s="1"/>
      <c r="I12382" s="1"/>
    </row>
    <row r="12383" spans="8:9" x14ac:dyDescent="0.2">
      <c r="H12383" s="1"/>
      <c r="I12383" s="1"/>
    </row>
    <row r="12384" spans="8:9" x14ac:dyDescent="0.2">
      <c r="H12384" s="1"/>
      <c r="I12384" s="1"/>
    </row>
    <row r="12385" spans="8:9" x14ac:dyDescent="0.2">
      <c r="H12385" s="1"/>
      <c r="I12385" s="1"/>
    </row>
    <row r="12386" spans="8:9" x14ac:dyDescent="0.2">
      <c r="H12386" s="1"/>
      <c r="I12386" s="1"/>
    </row>
    <row r="12387" spans="8:9" x14ac:dyDescent="0.2">
      <c r="H12387" s="1"/>
      <c r="I12387" s="1"/>
    </row>
    <row r="12388" spans="8:9" x14ac:dyDescent="0.2">
      <c r="H12388" s="1"/>
      <c r="I12388" s="1"/>
    </row>
    <row r="12389" spans="8:9" x14ac:dyDescent="0.2">
      <c r="H12389" s="1"/>
      <c r="I12389" s="1"/>
    </row>
    <row r="12390" spans="8:9" x14ac:dyDescent="0.2">
      <c r="H12390" s="1"/>
      <c r="I12390" s="1"/>
    </row>
    <row r="12391" spans="8:9" x14ac:dyDescent="0.2">
      <c r="H12391" s="1"/>
      <c r="I12391" s="1"/>
    </row>
    <row r="12392" spans="8:9" x14ac:dyDescent="0.2">
      <c r="H12392" s="1"/>
      <c r="I12392" s="1"/>
    </row>
    <row r="12393" spans="8:9" x14ac:dyDescent="0.2">
      <c r="H12393" s="1"/>
      <c r="I12393" s="1"/>
    </row>
    <row r="12394" spans="8:9" x14ac:dyDescent="0.2">
      <c r="H12394" s="1"/>
      <c r="I12394" s="1"/>
    </row>
    <row r="12395" spans="8:9" x14ac:dyDescent="0.2">
      <c r="H12395" s="1"/>
      <c r="I12395" s="1"/>
    </row>
    <row r="12396" spans="8:9" x14ac:dyDescent="0.2">
      <c r="H12396" s="1"/>
      <c r="I12396" s="1"/>
    </row>
    <row r="12397" spans="8:9" x14ac:dyDescent="0.2">
      <c r="H12397" s="1"/>
      <c r="I12397" s="1"/>
    </row>
    <row r="12398" spans="8:9" x14ac:dyDescent="0.2">
      <c r="H12398" s="1"/>
      <c r="I12398" s="1"/>
    </row>
    <row r="12399" spans="8:9" x14ac:dyDescent="0.2">
      <c r="H12399" s="1"/>
      <c r="I12399" s="1"/>
    </row>
    <row r="12400" spans="8:9" x14ac:dyDescent="0.2">
      <c r="H12400" s="1"/>
      <c r="I12400" s="1"/>
    </row>
    <row r="12401" spans="8:9" x14ac:dyDescent="0.2">
      <c r="H12401" s="1"/>
      <c r="I12401" s="1"/>
    </row>
    <row r="12402" spans="8:9" x14ac:dyDescent="0.2">
      <c r="H12402" s="1"/>
      <c r="I12402" s="1"/>
    </row>
    <row r="12403" spans="8:9" x14ac:dyDescent="0.2">
      <c r="H12403" s="1"/>
      <c r="I12403" s="1"/>
    </row>
    <row r="12404" spans="8:9" x14ac:dyDescent="0.2">
      <c r="H12404" s="1"/>
      <c r="I12404" s="1"/>
    </row>
    <row r="12405" spans="8:9" x14ac:dyDescent="0.2">
      <c r="H12405" s="1"/>
      <c r="I12405" s="1"/>
    </row>
    <row r="12406" spans="8:9" x14ac:dyDescent="0.2">
      <c r="H12406" s="1"/>
      <c r="I12406" s="1"/>
    </row>
    <row r="12407" spans="8:9" x14ac:dyDescent="0.2">
      <c r="H12407" s="1"/>
      <c r="I12407" s="1"/>
    </row>
    <row r="12408" spans="8:9" x14ac:dyDescent="0.2">
      <c r="H12408" s="1"/>
      <c r="I12408" s="1"/>
    </row>
    <row r="12409" spans="8:9" x14ac:dyDescent="0.2">
      <c r="H12409" s="1"/>
      <c r="I12409" s="1"/>
    </row>
    <row r="12410" spans="8:9" x14ac:dyDescent="0.2">
      <c r="H12410" s="1"/>
      <c r="I12410" s="1"/>
    </row>
    <row r="12411" spans="8:9" x14ac:dyDescent="0.2">
      <c r="H12411" s="1"/>
      <c r="I12411" s="1"/>
    </row>
    <row r="12412" spans="8:9" x14ac:dyDescent="0.2">
      <c r="H12412" s="1"/>
      <c r="I12412" s="1"/>
    </row>
    <row r="12413" spans="8:9" x14ac:dyDescent="0.2">
      <c r="H12413" s="1"/>
      <c r="I12413" s="1"/>
    </row>
    <row r="12414" spans="8:9" x14ac:dyDescent="0.2">
      <c r="H12414" s="1"/>
      <c r="I12414" s="1"/>
    </row>
    <row r="12415" spans="8:9" x14ac:dyDescent="0.2">
      <c r="H12415" s="1"/>
      <c r="I12415" s="1"/>
    </row>
    <row r="12416" spans="8:9" x14ac:dyDescent="0.2">
      <c r="H12416" s="1"/>
      <c r="I12416" s="1"/>
    </row>
    <row r="12417" spans="8:9" x14ac:dyDescent="0.2">
      <c r="H12417" s="1"/>
      <c r="I12417" s="1"/>
    </row>
    <row r="12418" spans="8:9" x14ac:dyDescent="0.2">
      <c r="H12418" s="1"/>
      <c r="I12418" s="1"/>
    </row>
    <row r="12419" spans="8:9" x14ac:dyDescent="0.2">
      <c r="H12419" s="1"/>
      <c r="I12419" s="1"/>
    </row>
    <row r="12420" spans="8:9" x14ac:dyDescent="0.2">
      <c r="H12420" s="1"/>
      <c r="I12420" s="1"/>
    </row>
    <row r="12421" spans="8:9" x14ac:dyDescent="0.2">
      <c r="H12421" s="1"/>
      <c r="I12421" s="1"/>
    </row>
    <row r="12422" spans="8:9" x14ac:dyDescent="0.2">
      <c r="H12422" s="1"/>
      <c r="I12422" s="1"/>
    </row>
    <row r="12423" spans="8:9" x14ac:dyDescent="0.2">
      <c r="H12423" s="1"/>
      <c r="I12423" s="1"/>
    </row>
    <row r="12424" spans="8:9" x14ac:dyDescent="0.2">
      <c r="H12424" s="1"/>
      <c r="I12424" s="1"/>
    </row>
    <row r="12425" spans="8:9" x14ac:dyDescent="0.2">
      <c r="H12425" s="1"/>
      <c r="I12425" s="1"/>
    </row>
    <row r="12426" spans="8:9" x14ac:dyDescent="0.2">
      <c r="H12426" s="1"/>
      <c r="I12426" s="1"/>
    </row>
    <row r="12427" spans="8:9" x14ac:dyDescent="0.2">
      <c r="H12427" s="1"/>
      <c r="I12427" s="1"/>
    </row>
    <row r="12428" spans="8:9" x14ac:dyDescent="0.2">
      <c r="H12428" s="1"/>
      <c r="I12428" s="1"/>
    </row>
    <row r="12429" spans="8:9" x14ac:dyDescent="0.2">
      <c r="H12429" s="1"/>
      <c r="I12429" s="1"/>
    </row>
    <row r="12430" spans="8:9" x14ac:dyDescent="0.2">
      <c r="H12430" s="1"/>
      <c r="I12430" s="1"/>
    </row>
    <row r="12431" spans="8:9" x14ac:dyDescent="0.2">
      <c r="H12431" s="1"/>
      <c r="I12431" s="1"/>
    </row>
    <row r="12432" spans="8:9" x14ac:dyDescent="0.2">
      <c r="H12432" s="1"/>
      <c r="I12432" s="1"/>
    </row>
    <row r="12433" spans="8:9" x14ac:dyDescent="0.2">
      <c r="H12433" s="1"/>
      <c r="I12433" s="1"/>
    </row>
    <row r="12434" spans="8:9" x14ac:dyDescent="0.2">
      <c r="H12434" s="1"/>
      <c r="I12434" s="1"/>
    </row>
    <row r="12435" spans="8:9" x14ac:dyDescent="0.2">
      <c r="H12435" s="1"/>
      <c r="I12435" s="1"/>
    </row>
    <row r="12436" spans="8:9" x14ac:dyDescent="0.2">
      <c r="H12436" s="1"/>
      <c r="I12436" s="1"/>
    </row>
    <row r="12437" spans="8:9" x14ac:dyDescent="0.2">
      <c r="H12437" s="1"/>
      <c r="I12437" s="1"/>
    </row>
    <row r="12438" spans="8:9" x14ac:dyDescent="0.2">
      <c r="H12438" s="1"/>
      <c r="I12438" s="1"/>
    </row>
    <row r="12439" spans="8:9" x14ac:dyDescent="0.2">
      <c r="H12439" s="1"/>
      <c r="I12439" s="1"/>
    </row>
    <row r="12440" spans="8:9" x14ac:dyDescent="0.2">
      <c r="H12440" s="1"/>
      <c r="I12440" s="1"/>
    </row>
    <row r="12441" spans="8:9" x14ac:dyDescent="0.2">
      <c r="H12441" s="1"/>
      <c r="I12441" s="1"/>
    </row>
    <row r="12442" spans="8:9" x14ac:dyDescent="0.2">
      <c r="H12442" s="1"/>
      <c r="I12442" s="1"/>
    </row>
    <row r="12443" spans="8:9" x14ac:dyDescent="0.2">
      <c r="H12443" s="1"/>
      <c r="I12443" s="1"/>
    </row>
    <row r="12444" spans="8:9" x14ac:dyDescent="0.2">
      <c r="H12444" s="1"/>
      <c r="I12444" s="1"/>
    </row>
    <row r="12445" spans="8:9" x14ac:dyDescent="0.2">
      <c r="H12445" s="1"/>
      <c r="I12445" s="1"/>
    </row>
    <row r="12446" spans="8:9" x14ac:dyDescent="0.2">
      <c r="H12446" s="1"/>
      <c r="I12446" s="1"/>
    </row>
    <row r="12447" spans="8:9" x14ac:dyDescent="0.2">
      <c r="H12447" s="1"/>
      <c r="I12447" s="1"/>
    </row>
    <row r="12448" spans="8:9" x14ac:dyDescent="0.2">
      <c r="H12448" s="1"/>
      <c r="I12448" s="1"/>
    </row>
    <row r="12449" spans="8:9" x14ac:dyDescent="0.2">
      <c r="H12449" s="1"/>
      <c r="I12449" s="1"/>
    </row>
    <row r="12450" spans="8:9" x14ac:dyDescent="0.2">
      <c r="H12450" s="1"/>
      <c r="I12450" s="1"/>
    </row>
    <row r="12451" spans="8:9" x14ac:dyDescent="0.2">
      <c r="H12451" s="1"/>
      <c r="I12451" s="1"/>
    </row>
    <row r="12452" spans="8:9" x14ac:dyDescent="0.2">
      <c r="H12452" s="1"/>
      <c r="I12452" s="1"/>
    </row>
    <row r="12453" spans="8:9" x14ac:dyDescent="0.2">
      <c r="H12453" s="1"/>
      <c r="I12453" s="1"/>
    </row>
    <row r="12454" spans="8:9" x14ac:dyDescent="0.2">
      <c r="H12454" s="1"/>
      <c r="I12454" s="1"/>
    </row>
    <row r="12455" spans="8:9" x14ac:dyDescent="0.2">
      <c r="H12455" s="1"/>
      <c r="I12455" s="1"/>
    </row>
    <row r="12456" spans="8:9" x14ac:dyDescent="0.2">
      <c r="H12456" s="1"/>
      <c r="I12456" s="1"/>
    </row>
    <row r="12457" spans="8:9" x14ac:dyDescent="0.2">
      <c r="H12457" s="1"/>
      <c r="I12457" s="1"/>
    </row>
    <row r="12458" spans="8:9" x14ac:dyDescent="0.2">
      <c r="H12458" s="1"/>
      <c r="I12458" s="1"/>
    </row>
    <row r="12459" spans="8:9" x14ac:dyDescent="0.2">
      <c r="H12459" s="1"/>
      <c r="I12459" s="1"/>
    </row>
    <row r="12460" spans="8:9" x14ac:dyDescent="0.2">
      <c r="H12460" s="1"/>
      <c r="I12460" s="1"/>
    </row>
    <row r="12461" spans="8:9" x14ac:dyDescent="0.2">
      <c r="H12461" s="1"/>
      <c r="I12461" s="1"/>
    </row>
    <row r="12462" spans="8:9" x14ac:dyDescent="0.2">
      <c r="H12462" s="1"/>
      <c r="I12462" s="1"/>
    </row>
    <row r="12463" spans="8:9" x14ac:dyDescent="0.2">
      <c r="H12463" s="1"/>
      <c r="I12463" s="1"/>
    </row>
    <row r="12464" spans="8:9" x14ac:dyDescent="0.2">
      <c r="H12464" s="1"/>
      <c r="I12464" s="1"/>
    </row>
    <row r="12465" spans="8:9" x14ac:dyDescent="0.2">
      <c r="H12465" s="1"/>
      <c r="I12465" s="1"/>
    </row>
    <row r="12466" spans="8:9" x14ac:dyDescent="0.2">
      <c r="H12466" s="1"/>
      <c r="I12466" s="1"/>
    </row>
    <row r="12467" spans="8:9" x14ac:dyDescent="0.2">
      <c r="H12467" s="1"/>
      <c r="I12467" s="1"/>
    </row>
    <row r="12468" spans="8:9" x14ac:dyDescent="0.2">
      <c r="H12468" s="1"/>
      <c r="I12468" s="1"/>
    </row>
    <row r="12469" spans="8:9" x14ac:dyDescent="0.2">
      <c r="H12469" s="1"/>
      <c r="I12469" s="1"/>
    </row>
    <row r="12470" spans="8:9" x14ac:dyDescent="0.2">
      <c r="H12470" s="1"/>
      <c r="I12470" s="1"/>
    </row>
    <row r="12471" spans="8:9" x14ac:dyDescent="0.2">
      <c r="H12471" s="1"/>
      <c r="I12471" s="1"/>
    </row>
    <row r="12472" spans="8:9" x14ac:dyDescent="0.2">
      <c r="H12472" s="1"/>
      <c r="I12472" s="1"/>
    </row>
    <row r="12473" spans="8:9" x14ac:dyDescent="0.2">
      <c r="H12473" s="1"/>
      <c r="I12473" s="1"/>
    </row>
    <row r="12474" spans="8:9" x14ac:dyDescent="0.2">
      <c r="H12474" s="1"/>
      <c r="I12474" s="1"/>
    </row>
    <row r="12475" spans="8:9" x14ac:dyDescent="0.2">
      <c r="H12475" s="1"/>
      <c r="I12475" s="1"/>
    </row>
    <row r="12476" spans="8:9" x14ac:dyDescent="0.2">
      <c r="H12476" s="1"/>
      <c r="I12476" s="1"/>
    </row>
    <row r="12477" spans="8:9" x14ac:dyDescent="0.2">
      <c r="H12477" s="1"/>
      <c r="I12477" s="1"/>
    </row>
    <row r="12478" spans="8:9" x14ac:dyDescent="0.2">
      <c r="H12478" s="1"/>
      <c r="I12478" s="1"/>
    </row>
    <row r="12479" spans="8:9" x14ac:dyDescent="0.2">
      <c r="H12479" s="1"/>
      <c r="I12479" s="1"/>
    </row>
    <row r="12480" spans="8:9" x14ac:dyDescent="0.2">
      <c r="H12480" s="1"/>
      <c r="I12480" s="1"/>
    </row>
    <row r="12481" spans="8:9" x14ac:dyDescent="0.2">
      <c r="H12481" s="1"/>
      <c r="I12481" s="1"/>
    </row>
    <row r="12482" spans="8:9" x14ac:dyDescent="0.2">
      <c r="H12482" s="1"/>
      <c r="I12482" s="1"/>
    </row>
    <row r="12483" spans="8:9" x14ac:dyDescent="0.2">
      <c r="H12483" s="1"/>
      <c r="I12483" s="1"/>
    </row>
    <row r="12484" spans="8:9" x14ac:dyDescent="0.2">
      <c r="H12484" s="1"/>
      <c r="I12484" s="1"/>
    </row>
    <row r="12485" spans="8:9" x14ac:dyDescent="0.2">
      <c r="H12485" s="1"/>
      <c r="I12485" s="1"/>
    </row>
    <row r="12486" spans="8:9" x14ac:dyDescent="0.2">
      <c r="H12486" s="1"/>
      <c r="I12486" s="1"/>
    </row>
    <row r="12487" spans="8:9" x14ac:dyDescent="0.2">
      <c r="H12487" s="1"/>
      <c r="I12487" s="1"/>
    </row>
    <row r="12488" spans="8:9" x14ac:dyDescent="0.2">
      <c r="H12488" s="1"/>
      <c r="I12488" s="1"/>
    </row>
    <row r="12489" spans="8:9" x14ac:dyDescent="0.2">
      <c r="H12489" s="1"/>
      <c r="I12489" s="1"/>
    </row>
    <row r="12490" spans="8:9" x14ac:dyDescent="0.2">
      <c r="H12490" s="1"/>
      <c r="I12490" s="1"/>
    </row>
    <row r="12491" spans="8:9" x14ac:dyDescent="0.2">
      <c r="H12491" s="1"/>
      <c r="I12491" s="1"/>
    </row>
    <row r="12492" spans="8:9" x14ac:dyDescent="0.2">
      <c r="H12492" s="1"/>
      <c r="I12492" s="1"/>
    </row>
    <row r="12493" spans="8:9" x14ac:dyDescent="0.2">
      <c r="H12493" s="1"/>
      <c r="I12493" s="1"/>
    </row>
    <row r="12494" spans="8:9" x14ac:dyDescent="0.2">
      <c r="H12494" s="1"/>
      <c r="I12494" s="1"/>
    </row>
    <row r="12495" spans="8:9" x14ac:dyDescent="0.2">
      <c r="H12495" s="1"/>
      <c r="I12495" s="1"/>
    </row>
    <row r="12496" spans="8:9" x14ac:dyDescent="0.2">
      <c r="H12496" s="1"/>
      <c r="I12496" s="1"/>
    </row>
    <row r="12497" spans="8:9" x14ac:dyDescent="0.2">
      <c r="H12497" s="1"/>
      <c r="I12497" s="1"/>
    </row>
    <row r="12498" spans="8:9" x14ac:dyDescent="0.2">
      <c r="H12498" s="1"/>
      <c r="I12498" s="1"/>
    </row>
    <row r="12499" spans="8:9" x14ac:dyDescent="0.2">
      <c r="H12499" s="1"/>
      <c r="I12499" s="1"/>
    </row>
    <row r="12500" spans="8:9" x14ac:dyDescent="0.2">
      <c r="H12500" s="1"/>
      <c r="I12500" s="1"/>
    </row>
    <row r="12501" spans="8:9" x14ac:dyDescent="0.2">
      <c r="H12501" s="1"/>
      <c r="I12501" s="1"/>
    </row>
    <row r="12502" spans="8:9" x14ac:dyDescent="0.2">
      <c r="H12502" s="1"/>
      <c r="I12502" s="1"/>
    </row>
    <row r="12503" spans="8:9" x14ac:dyDescent="0.2">
      <c r="H12503" s="1"/>
      <c r="I12503" s="1"/>
    </row>
    <row r="12504" spans="8:9" x14ac:dyDescent="0.2">
      <c r="H12504" s="1"/>
      <c r="I12504" s="1"/>
    </row>
    <row r="12505" spans="8:9" x14ac:dyDescent="0.2">
      <c r="H12505" s="1"/>
      <c r="I12505" s="1"/>
    </row>
    <row r="12506" spans="8:9" x14ac:dyDescent="0.2">
      <c r="H12506" s="1"/>
      <c r="I12506" s="1"/>
    </row>
    <row r="12507" spans="8:9" x14ac:dyDescent="0.2">
      <c r="H12507" s="1"/>
      <c r="I12507" s="1"/>
    </row>
    <row r="12508" spans="8:9" x14ac:dyDescent="0.2">
      <c r="H12508" s="1"/>
      <c r="I12508" s="1"/>
    </row>
    <row r="12509" spans="8:9" x14ac:dyDescent="0.2">
      <c r="H12509" s="1"/>
      <c r="I12509" s="1"/>
    </row>
    <row r="12510" spans="8:9" x14ac:dyDescent="0.2">
      <c r="H12510" s="1"/>
      <c r="I12510" s="1"/>
    </row>
    <row r="12511" spans="8:9" x14ac:dyDescent="0.2">
      <c r="H12511" s="1"/>
      <c r="I12511" s="1"/>
    </row>
    <row r="12512" spans="8:9" x14ac:dyDescent="0.2">
      <c r="H12512" s="1"/>
      <c r="I12512" s="1"/>
    </row>
    <row r="12513" spans="8:9" x14ac:dyDescent="0.2">
      <c r="H12513" s="1"/>
      <c r="I12513" s="1"/>
    </row>
    <row r="12514" spans="8:9" x14ac:dyDescent="0.2">
      <c r="H12514" s="1"/>
      <c r="I12514" s="1"/>
    </row>
    <row r="12515" spans="8:9" x14ac:dyDescent="0.2">
      <c r="H12515" s="1"/>
      <c r="I12515" s="1"/>
    </row>
    <row r="12516" spans="8:9" x14ac:dyDescent="0.2">
      <c r="H12516" s="1"/>
      <c r="I12516" s="1"/>
    </row>
    <row r="12517" spans="8:9" x14ac:dyDescent="0.2">
      <c r="H12517" s="1"/>
      <c r="I12517" s="1"/>
    </row>
    <row r="12518" spans="8:9" x14ac:dyDescent="0.2">
      <c r="H12518" s="1"/>
      <c r="I12518" s="1"/>
    </row>
    <row r="12519" spans="8:9" x14ac:dyDescent="0.2">
      <c r="H12519" s="1"/>
      <c r="I12519" s="1"/>
    </row>
    <row r="12520" spans="8:9" x14ac:dyDescent="0.2">
      <c r="H12520" s="1"/>
      <c r="I12520" s="1"/>
    </row>
    <row r="12521" spans="8:9" x14ac:dyDescent="0.2">
      <c r="H12521" s="1"/>
      <c r="I12521" s="1"/>
    </row>
    <row r="12522" spans="8:9" x14ac:dyDescent="0.2">
      <c r="H12522" s="1"/>
      <c r="I12522" s="1"/>
    </row>
    <row r="12523" spans="8:9" x14ac:dyDescent="0.2">
      <c r="H12523" s="1"/>
      <c r="I12523" s="1"/>
    </row>
    <row r="12524" spans="8:9" x14ac:dyDescent="0.2">
      <c r="H12524" s="1"/>
      <c r="I12524" s="1"/>
    </row>
    <row r="12525" spans="8:9" x14ac:dyDescent="0.2">
      <c r="H12525" s="1"/>
      <c r="I12525" s="1"/>
    </row>
    <row r="12526" spans="8:9" x14ac:dyDescent="0.2">
      <c r="H12526" s="1"/>
      <c r="I12526" s="1"/>
    </row>
    <row r="12527" spans="8:9" x14ac:dyDescent="0.2">
      <c r="H12527" s="1"/>
      <c r="I12527" s="1"/>
    </row>
    <row r="12528" spans="8:9" x14ac:dyDescent="0.2">
      <c r="H12528" s="1"/>
      <c r="I12528" s="1"/>
    </row>
    <row r="12529" spans="8:9" x14ac:dyDescent="0.2">
      <c r="H12529" s="1"/>
      <c r="I12529" s="1"/>
    </row>
    <row r="12530" spans="8:9" x14ac:dyDescent="0.2">
      <c r="H12530" s="1"/>
      <c r="I12530" s="1"/>
    </row>
    <row r="12531" spans="8:9" x14ac:dyDescent="0.2">
      <c r="H12531" s="1"/>
      <c r="I12531" s="1"/>
    </row>
    <row r="12532" spans="8:9" x14ac:dyDescent="0.2">
      <c r="H12532" s="1"/>
      <c r="I12532" s="1"/>
    </row>
    <row r="12533" spans="8:9" x14ac:dyDescent="0.2">
      <c r="H12533" s="1"/>
      <c r="I12533" s="1"/>
    </row>
    <row r="12534" spans="8:9" x14ac:dyDescent="0.2">
      <c r="H12534" s="1"/>
      <c r="I12534" s="1"/>
    </row>
    <row r="12535" spans="8:9" x14ac:dyDescent="0.2">
      <c r="H12535" s="1"/>
      <c r="I12535" s="1"/>
    </row>
    <row r="12536" spans="8:9" x14ac:dyDescent="0.2">
      <c r="H12536" s="1"/>
      <c r="I12536" s="1"/>
    </row>
    <row r="12537" spans="8:9" x14ac:dyDescent="0.2">
      <c r="H12537" s="1"/>
      <c r="I12537" s="1"/>
    </row>
    <row r="12538" spans="8:9" x14ac:dyDescent="0.2">
      <c r="H12538" s="1"/>
      <c r="I12538" s="1"/>
    </row>
    <row r="12539" spans="8:9" x14ac:dyDescent="0.2">
      <c r="H12539" s="1"/>
      <c r="I12539" s="1"/>
    </row>
    <row r="12540" spans="8:9" x14ac:dyDescent="0.2">
      <c r="H12540" s="1"/>
      <c r="I12540" s="1"/>
    </row>
    <row r="12541" spans="8:9" x14ac:dyDescent="0.2">
      <c r="H12541" s="1"/>
      <c r="I12541" s="1"/>
    </row>
    <row r="12542" spans="8:9" x14ac:dyDescent="0.2">
      <c r="H12542" s="1"/>
      <c r="I12542" s="1"/>
    </row>
    <row r="12543" spans="8:9" x14ac:dyDescent="0.2">
      <c r="H12543" s="1"/>
      <c r="I12543" s="1"/>
    </row>
    <row r="12544" spans="8:9" x14ac:dyDescent="0.2">
      <c r="H12544" s="1"/>
      <c r="I12544" s="1"/>
    </row>
    <row r="12545" spans="8:9" x14ac:dyDescent="0.2">
      <c r="H12545" s="1"/>
      <c r="I12545" s="1"/>
    </row>
    <row r="12546" spans="8:9" x14ac:dyDescent="0.2">
      <c r="H12546" s="1"/>
      <c r="I12546" s="1"/>
    </row>
    <row r="12547" spans="8:9" x14ac:dyDescent="0.2">
      <c r="H12547" s="1"/>
      <c r="I12547" s="1"/>
    </row>
    <row r="12548" spans="8:9" x14ac:dyDescent="0.2">
      <c r="H12548" s="1"/>
      <c r="I12548" s="1"/>
    </row>
    <row r="12549" spans="8:9" x14ac:dyDescent="0.2">
      <c r="H12549" s="1"/>
      <c r="I12549" s="1"/>
    </row>
    <row r="12550" spans="8:9" x14ac:dyDescent="0.2">
      <c r="H12550" s="1"/>
      <c r="I12550" s="1"/>
    </row>
    <row r="12551" spans="8:9" x14ac:dyDescent="0.2">
      <c r="H12551" s="1"/>
      <c r="I12551" s="1"/>
    </row>
    <row r="12552" spans="8:9" x14ac:dyDescent="0.2">
      <c r="H12552" s="1"/>
      <c r="I12552" s="1"/>
    </row>
    <row r="12553" spans="8:9" x14ac:dyDescent="0.2">
      <c r="H12553" s="1"/>
      <c r="I12553" s="1"/>
    </row>
    <row r="12554" spans="8:9" x14ac:dyDescent="0.2">
      <c r="H12554" s="1"/>
      <c r="I12554" s="1"/>
    </row>
    <row r="12555" spans="8:9" x14ac:dyDescent="0.2">
      <c r="H12555" s="1"/>
      <c r="I12555" s="1"/>
    </row>
    <row r="12556" spans="8:9" x14ac:dyDescent="0.2">
      <c r="H12556" s="1"/>
      <c r="I12556" s="1"/>
    </row>
    <row r="12557" spans="8:9" x14ac:dyDescent="0.2">
      <c r="H12557" s="1"/>
      <c r="I12557" s="1"/>
    </row>
    <row r="12558" spans="8:9" x14ac:dyDescent="0.2">
      <c r="H12558" s="1"/>
      <c r="I12558" s="1"/>
    </row>
    <row r="12559" spans="8:9" x14ac:dyDescent="0.2">
      <c r="H12559" s="1"/>
      <c r="I12559" s="1"/>
    </row>
    <row r="12560" spans="8:9" x14ac:dyDescent="0.2">
      <c r="H12560" s="1"/>
      <c r="I12560" s="1"/>
    </row>
    <row r="12561" spans="8:9" x14ac:dyDescent="0.2">
      <c r="H12561" s="1"/>
      <c r="I12561" s="1"/>
    </row>
    <row r="12562" spans="8:9" x14ac:dyDescent="0.2">
      <c r="H12562" s="1"/>
      <c r="I12562" s="1"/>
    </row>
    <row r="12563" spans="8:9" x14ac:dyDescent="0.2">
      <c r="H12563" s="1"/>
      <c r="I12563" s="1"/>
    </row>
    <row r="12564" spans="8:9" x14ac:dyDescent="0.2">
      <c r="H12564" s="1"/>
      <c r="I12564" s="1"/>
    </row>
    <row r="12565" spans="8:9" x14ac:dyDescent="0.2">
      <c r="H12565" s="1"/>
      <c r="I12565" s="1"/>
    </row>
    <row r="12566" spans="8:9" x14ac:dyDescent="0.2">
      <c r="H12566" s="1"/>
      <c r="I12566" s="1"/>
    </row>
    <row r="12567" spans="8:9" x14ac:dyDescent="0.2">
      <c r="H12567" s="1"/>
      <c r="I12567" s="1"/>
    </row>
    <row r="12568" spans="8:9" x14ac:dyDescent="0.2">
      <c r="H12568" s="1"/>
      <c r="I12568" s="1"/>
    </row>
    <row r="12569" spans="8:9" x14ac:dyDescent="0.2">
      <c r="H12569" s="1"/>
      <c r="I12569" s="1"/>
    </row>
    <row r="12570" spans="8:9" x14ac:dyDescent="0.2">
      <c r="H12570" s="1"/>
      <c r="I12570" s="1"/>
    </row>
    <row r="12571" spans="8:9" x14ac:dyDescent="0.2">
      <c r="H12571" s="1"/>
      <c r="I12571" s="1"/>
    </row>
    <row r="12572" spans="8:9" x14ac:dyDescent="0.2">
      <c r="H12572" s="1"/>
      <c r="I12572" s="1"/>
    </row>
    <row r="12573" spans="8:9" x14ac:dyDescent="0.2">
      <c r="H12573" s="1"/>
      <c r="I12573" s="1"/>
    </row>
    <row r="12574" spans="8:9" x14ac:dyDescent="0.2">
      <c r="H12574" s="1"/>
      <c r="I12574" s="1"/>
    </row>
    <row r="12575" spans="8:9" x14ac:dyDescent="0.2">
      <c r="H12575" s="1"/>
      <c r="I12575" s="1"/>
    </row>
    <row r="12576" spans="8:9" x14ac:dyDescent="0.2">
      <c r="H12576" s="1"/>
      <c r="I12576" s="1"/>
    </row>
    <row r="12577" spans="8:9" x14ac:dyDescent="0.2">
      <c r="H12577" s="1"/>
      <c r="I12577" s="1"/>
    </row>
    <row r="12578" spans="8:9" x14ac:dyDescent="0.2">
      <c r="H12578" s="1"/>
      <c r="I12578" s="1"/>
    </row>
    <row r="12579" spans="8:9" x14ac:dyDescent="0.2">
      <c r="H12579" s="1"/>
      <c r="I12579" s="1"/>
    </row>
    <row r="12580" spans="8:9" x14ac:dyDescent="0.2">
      <c r="H12580" s="1"/>
      <c r="I12580" s="1"/>
    </row>
    <row r="12581" spans="8:9" x14ac:dyDescent="0.2">
      <c r="H12581" s="1"/>
      <c r="I12581" s="1"/>
    </row>
    <row r="12582" spans="8:9" x14ac:dyDescent="0.2">
      <c r="H12582" s="1"/>
      <c r="I12582" s="1"/>
    </row>
    <row r="12583" spans="8:9" x14ac:dyDescent="0.2">
      <c r="H12583" s="1"/>
      <c r="I12583" s="1"/>
    </row>
    <row r="12584" spans="8:9" x14ac:dyDescent="0.2">
      <c r="H12584" s="1"/>
      <c r="I12584" s="1"/>
    </row>
    <row r="12585" spans="8:9" x14ac:dyDescent="0.2">
      <c r="H12585" s="1"/>
      <c r="I12585" s="1"/>
    </row>
    <row r="12586" spans="8:9" x14ac:dyDescent="0.2">
      <c r="H12586" s="1"/>
      <c r="I12586" s="1"/>
    </row>
    <row r="12587" spans="8:9" x14ac:dyDescent="0.2">
      <c r="H12587" s="1"/>
      <c r="I12587" s="1"/>
    </row>
    <row r="12588" spans="8:9" x14ac:dyDescent="0.2">
      <c r="H12588" s="1"/>
      <c r="I12588" s="1"/>
    </row>
    <row r="12589" spans="8:9" x14ac:dyDescent="0.2">
      <c r="H12589" s="1"/>
      <c r="I12589" s="1"/>
    </row>
    <row r="12590" spans="8:9" x14ac:dyDescent="0.2">
      <c r="H12590" s="1"/>
      <c r="I12590" s="1"/>
    </row>
    <row r="12591" spans="8:9" x14ac:dyDescent="0.2">
      <c r="H12591" s="1"/>
      <c r="I12591" s="1"/>
    </row>
    <row r="12592" spans="8:9" x14ac:dyDescent="0.2">
      <c r="H12592" s="1"/>
      <c r="I12592" s="1"/>
    </row>
    <row r="12593" spans="8:9" x14ac:dyDescent="0.2">
      <c r="H12593" s="1"/>
      <c r="I12593" s="1"/>
    </row>
    <row r="12594" spans="8:9" x14ac:dyDescent="0.2">
      <c r="H12594" s="1"/>
      <c r="I12594" s="1"/>
    </row>
    <row r="12595" spans="8:9" x14ac:dyDescent="0.2">
      <c r="H12595" s="1"/>
      <c r="I12595" s="1"/>
    </row>
    <row r="12596" spans="8:9" x14ac:dyDescent="0.2">
      <c r="H12596" s="1"/>
      <c r="I12596" s="1"/>
    </row>
    <row r="12597" spans="8:9" x14ac:dyDescent="0.2">
      <c r="H12597" s="1"/>
      <c r="I12597" s="1"/>
    </row>
    <row r="12598" spans="8:9" x14ac:dyDescent="0.2">
      <c r="H12598" s="1"/>
      <c r="I12598" s="1"/>
    </row>
    <row r="12599" spans="8:9" x14ac:dyDescent="0.2">
      <c r="H12599" s="1"/>
      <c r="I12599" s="1"/>
    </row>
    <row r="12600" spans="8:9" x14ac:dyDescent="0.2">
      <c r="H12600" s="1"/>
      <c r="I12600" s="1"/>
    </row>
    <row r="12601" spans="8:9" x14ac:dyDescent="0.2">
      <c r="H12601" s="1"/>
      <c r="I12601" s="1"/>
    </row>
    <row r="12602" spans="8:9" x14ac:dyDescent="0.2">
      <c r="H12602" s="1"/>
      <c r="I12602" s="1"/>
    </row>
    <row r="12603" spans="8:9" x14ac:dyDescent="0.2">
      <c r="H12603" s="1"/>
      <c r="I12603" s="1"/>
    </row>
    <row r="12604" spans="8:9" x14ac:dyDescent="0.2">
      <c r="H12604" s="1"/>
      <c r="I12604" s="1"/>
    </row>
    <row r="12605" spans="8:9" x14ac:dyDescent="0.2">
      <c r="H12605" s="1"/>
      <c r="I12605" s="1"/>
    </row>
    <row r="12606" spans="8:9" x14ac:dyDescent="0.2">
      <c r="H12606" s="1"/>
      <c r="I12606" s="1"/>
    </row>
    <row r="12607" spans="8:9" x14ac:dyDescent="0.2">
      <c r="H12607" s="1"/>
      <c r="I12607" s="1"/>
    </row>
    <row r="12608" spans="8:9" x14ac:dyDescent="0.2">
      <c r="H12608" s="1"/>
      <c r="I12608" s="1"/>
    </row>
    <row r="12609" spans="8:9" x14ac:dyDescent="0.2">
      <c r="H12609" s="1"/>
      <c r="I12609" s="1"/>
    </row>
    <row r="12610" spans="8:9" x14ac:dyDescent="0.2">
      <c r="H12610" s="1"/>
      <c r="I12610" s="1"/>
    </row>
    <row r="12611" spans="8:9" x14ac:dyDescent="0.2">
      <c r="H12611" s="1"/>
      <c r="I12611" s="1"/>
    </row>
    <row r="12612" spans="8:9" x14ac:dyDescent="0.2">
      <c r="H12612" s="1"/>
      <c r="I12612" s="1"/>
    </row>
    <row r="12613" spans="8:9" x14ac:dyDescent="0.2">
      <c r="H12613" s="1"/>
      <c r="I12613" s="1"/>
    </row>
    <row r="12614" spans="8:9" x14ac:dyDescent="0.2">
      <c r="H12614" s="1"/>
      <c r="I12614" s="1"/>
    </row>
    <row r="12615" spans="8:9" x14ac:dyDescent="0.2">
      <c r="H12615" s="1"/>
      <c r="I12615" s="1"/>
    </row>
    <row r="12616" spans="8:9" x14ac:dyDescent="0.2">
      <c r="H12616" s="1"/>
      <c r="I12616" s="1"/>
    </row>
    <row r="12617" spans="8:9" x14ac:dyDescent="0.2">
      <c r="H12617" s="1"/>
      <c r="I12617" s="1"/>
    </row>
    <row r="12618" spans="8:9" x14ac:dyDescent="0.2">
      <c r="H12618" s="1"/>
      <c r="I12618" s="1"/>
    </row>
    <row r="12619" spans="8:9" x14ac:dyDescent="0.2">
      <c r="H12619" s="1"/>
      <c r="I12619" s="1"/>
    </row>
    <row r="12620" spans="8:9" x14ac:dyDescent="0.2">
      <c r="H12620" s="1"/>
      <c r="I12620" s="1"/>
    </row>
    <row r="12621" spans="8:9" x14ac:dyDescent="0.2">
      <c r="H12621" s="1"/>
      <c r="I12621" s="1"/>
    </row>
    <row r="12622" spans="8:9" x14ac:dyDescent="0.2">
      <c r="H12622" s="1"/>
      <c r="I12622" s="1"/>
    </row>
    <row r="12623" spans="8:9" x14ac:dyDescent="0.2">
      <c r="H12623" s="1"/>
      <c r="I12623" s="1"/>
    </row>
    <row r="12624" spans="8:9" x14ac:dyDescent="0.2">
      <c r="H12624" s="1"/>
      <c r="I12624" s="1"/>
    </row>
    <row r="12625" spans="8:9" x14ac:dyDescent="0.2">
      <c r="H12625" s="1"/>
      <c r="I12625" s="1"/>
    </row>
    <row r="12626" spans="8:9" x14ac:dyDescent="0.2">
      <c r="H12626" s="1"/>
      <c r="I12626" s="1"/>
    </row>
    <row r="12627" spans="8:9" x14ac:dyDescent="0.2">
      <c r="H12627" s="1"/>
      <c r="I12627" s="1"/>
    </row>
    <row r="12628" spans="8:9" x14ac:dyDescent="0.2">
      <c r="H12628" s="1"/>
      <c r="I12628" s="1"/>
    </row>
    <row r="12629" spans="8:9" x14ac:dyDescent="0.2">
      <c r="H12629" s="1"/>
      <c r="I12629" s="1"/>
    </row>
    <row r="12630" spans="8:9" x14ac:dyDescent="0.2">
      <c r="H12630" s="1"/>
      <c r="I12630" s="1"/>
    </row>
    <row r="12631" spans="8:9" x14ac:dyDescent="0.2">
      <c r="H12631" s="1"/>
      <c r="I12631" s="1"/>
    </row>
    <row r="12632" spans="8:9" x14ac:dyDescent="0.2">
      <c r="H12632" s="1"/>
      <c r="I12632" s="1"/>
    </row>
    <row r="12633" spans="8:9" x14ac:dyDescent="0.2">
      <c r="H12633" s="1"/>
      <c r="I12633" s="1"/>
    </row>
    <row r="12634" spans="8:9" x14ac:dyDescent="0.2">
      <c r="H12634" s="1"/>
      <c r="I12634" s="1"/>
    </row>
    <row r="12635" spans="8:9" x14ac:dyDescent="0.2">
      <c r="H12635" s="1"/>
      <c r="I12635" s="1"/>
    </row>
    <row r="12636" spans="8:9" x14ac:dyDescent="0.2">
      <c r="H12636" s="1"/>
      <c r="I12636" s="1"/>
    </row>
    <row r="12637" spans="8:9" x14ac:dyDescent="0.2">
      <c r="H12637" s="1"/>
      <c r="I12637" s="1"/>
    </row>
    <row r="12638" spans="8:9" x14ac:dyDescent="0.2">
      <c r="H12638" s="1"/>
      <c r="I12638" s="1"/>
    </row>
    <row r="12639" spans="8:9" x14ac:dyDescent="0.2">
      <c r="H12639" s="1"/>
      <c r="I12639" s="1"/>
    </row>
    <row r="12640" spans="8:9" x14ac:dyDescent="0.2">
      <c r="H12640" s="1"/>
      <c r="I12640" s="1"/>
    </row>
    <row r="12641" spans="8:9" x14ac:dyDescent="0.2">
      <c r="H12641" s="1"/>
      <c r="I12641" s="1"/>
    </row>
    <row r="12642" spans="8:9" x14ac:dyDescent="0.2">
      <c r="H12642" s="1"/>
      <c r="I12642" s="1"/>
    </row>
    <row r="12643" spans="8:9" x14ac:dyDescent="0.2">
      <c r="H12643" s="1"/>
      <c r="I12643" s="1"/>
    </row>
    <row r="12644" spans="8:9" x14ac:dyDescent="0.2">
      <c r="H12644" s="1"/>
      <c r="I12644" s="1"/>
    </row>
    <row r="12645" spans="8:9" x14ac:dyDescent="0.2">
      <c r="H12645" s="1"/>
      <c r="I12645" s="1"/>
    </row>
    <row r="12646" spans="8:9" x14ac:dyDescent="0.2">
      <c r="H12646" s="1"/>
      <c r="I12646" s="1"/>
    </row>
    <row r="12647" spans="8:9" x14ac:dyDescent="0.2">
      <c r="H12647" s="1"/>
      <c r="I12647" s="1"/>
    </row>
    <row r="12648" spans="8:9" x14ac:dyDescent="0.2">
      <c r="H12648" s="1"/>
      <c r="I12648" s="1"/>
    </row>
    <row r="12649" spans="8:9" x14ac:dyDescent="0.2">
      <c r="H12649" s="1"/>
      <c r="I12649" s="1"/>
    </row>
    <row r="12650" spans="8:9" x14ac:dyDescent="0.2">
      <c r="H12650" s="1"/>
      <c r="I12650" s="1"/>
    </row>
    <row r="12651" spans="8:9" x14ac:dyDescent="0.2">
      <c r="H12651" s="1"/>
      <c r="I12651" s="1"/>
    </row>
    <row r="12652" spans="8:9" x14ac:dyDescent="0.2">
      <c r="H12652" s="1"/>
      <c r="I12652" s="1"/>
    </row>
    <row r="12653" spans="8:9" x14ac:dyDescent="0.2">
      <c r="H12653" s="1"/>
      <c r="I12653" s="1"/>
    </row>
    <row r="12654" spans="8:9" x14ac:dyDescent="0.2">
      <c r="H12654" s="1"/>
      <c r="I12654" s="1"/>
    </row>
    <row r="12655" spans="8:9" x14ac:dyDescent="0.2">
      <c r="H12655" s="1"/>
      <c r="I12655" s="1"/>
    </row>
    <row r="12656" spans="8:9" x14ac:dyDescent="0.2">
      <c r="H12656" s="1"/>
      <c r="I12656" s="1"/>
    </row>
    <row r="12657" spans="8:9" x14ac:dyDescent="0.2">
      <c r="H12657" s="1"/>
      <c r="I12657" s="1"/>
    </row>
    <row r="12658" spans="8:9" x14ac:dyDescent="0.2">
      <c r="H12658" s="1"/>
      <c r="I12658" s="1"/>
    </row>
    <row r="12659" spans="8:9" x14ac:dyDescent="0.2">
      <c r="H12659" s="1"/>
      <c r="I12659" s="1"/>
    </row>
    <row r="12660" spans="8:9" x14ac:dyDescent="0.2">
      <c r="H12660" s="1"/>
      <c r="I12660" s="1"/>
    </row>
    <row r="12661" spans="8:9" x14ac:dyDescent="0.2">
      <c r="H12661" s="1"/>
      <c r="I12661" s="1"/>
    </row>
    <row r="12662" spans="8:9" x14ac:dyDescent="0.2">
      <c r="H12662" s="1"/>
      <c r="I12662" s="1"/>
    </row>
    <row r="12663" spans="8:9" x14ac:dyDescent="0.2">
      <c r="H12663" s="1"/>
      <c r="I12663" s="1"/>
    </row>
    <row r="12664" spans="8:9" x14ac:dyDescent="0.2">
      <c r="H12664" s="1"/>
      <c r="I12664" s="1"/>
    </row>
    <row r="12665" spans="8:9" x14ac:dyDescent="0.2">
      <c r="H12665" s="1"/>
      <c r="I12665" s="1"/>
    </row>
    <row r="12666" spans="8:9" x14ac:dyDescent="0.2">
      <c r="H12666" s="1"/>
      <c r="I12666" s="1"/>
    </row>
    <row r="12667" spans="8:9" x14ac:dyDescent="0.2">
      <c r="H12667" s="1"/>
      <c r="I12667" s="1"/>
    </row>
    <row r="12668" spans="8:9" x14ac:dyDescent="0.2">
      <c r="H12668" s="1"/>
      <c r="I12668" s="1"/>
    </row>
    <row r="12669" spans="8:9" x14ac:dyDescent="0.2">
      <c r="H12669" s="1"/>
      <c r="I12669" s="1"/>
    </row>
    <row r="12670" spans="8:9" x14ac:dyDescent="0.2">
      <c r="H12670" s="1"/>
      <c r="I12670" s="1"/>
    </row>
    <row r="12671" spans="8:9" x14ac:dyDescent="0.2">
      <c r="H12671" s="1"/>
      <c r="I12671" s="1"/>
    </row>
    <row r="12672" spans="8:9" x14ac:dyDescent="0.2">
      <c r="H12672" s="1"/>
      <c r="I12672" s="1"/>
    </row>
    <row r="12673" spans="8:9" x14ac:dyDescent="0.2">
      <c r="H12673" s="1"/>
      <c r="I12673" s="1"/>
    </row>
    <row r="12674" spans="8:9" x14ac:dyDescent="0.2">
      <c r="H12674" s="1"/>
      <c r="I12674" s="1"/>
    </row>
    <row r="12675" spans="8:9" x14ac:dyDescent="0.2">
      <c r="H12675" s="1"/>
      <c r="I12675" s="1"/>
    </row>
    <row r="12676" spans="8:9" x14ac:dyDescent="0.2">
      <c r="H12676" s="1"/>
      <c r="I12676" s="1"/>
    </row>
    <row r="12677" spans="8:9" x14ac:dyDescent="0.2">
      <c r="H12677" s="1"/>
      <c r="I12677" s="1"/>
    </row>
    <row r="12678" spans="8:9" x14ac:dyDescent="0.2">
      <c r="H12678" s="1"/>
      <c r="I12678" s="1"/>
    </row>
    <row r="12679" spans="8:9" x14ac:dyDescent="0.2">
      <c r="H12679" s="1"/>
      <c r="I12679" s="1"/>
    </row>
    <row r="12680" spans="8:9" x14ac:dyDescent="0.2">
      <c r="H12680" s="1"/>
      <c r="I12680" s="1"/>
    </row>
    <row r="12681" spans="8:9" x14ac:dyDescent="0.2">
      <c r="H12681" s="1"/>
      <c r="I12681" s="1"/>
    </row>
    <row r="12682" spans="8:9" x14ac:dyDescent="0.2">
      <c r="H12682" s="1"/>
      <c r="I12682" s="1"/>
    </row>
    <row r="12683" spans="8:9" x14ac:dyDescent="0.2">
      <c r="H12683" s="1"/>
      <c r="I12683" s="1"/>
    </row>
    <row r="12684" spans="8:9" x14ac:dyDescent="0.2">
      <c r="H12684" s="1"/>
      <c r="I12684" s="1"/>
    </row>
    <row r="12685" spans="8:9" x14ac:dyDescent="0.2">
      <c r="H12685" s="1"/>
      <c r="I12685" s="1"/>
    </row>
    <row r="12686" spans="8:9" x14ac:dyDescent="0.2">
      <c r="H12686" s="1"/>
      <c r="I12686" s="1"/>
    </row>
    <row r="12687" spans="8:9" x14ac:dyDescent="0.2">
      <c r="H12687" s="1"/>
      <c r="I12687" s="1"/>
    </row>
    <row r="12688" spans="8:9" x14ac:dyDescent="0.2">
      <c r="H12688" s="1"/>
      <c r="I12688" s="1"/>
    </row>
    <row r="12689" spans="8:9" x14ac:dyDescent="0.2">
      <c r="H12689" s="1"/>
      <c r="I12689" s="1"/>
    </row>
    <row r="12690" spans="8:9" x14ac:dyDescent="0.2">
      <c r="H12690" s="1"/>
      <c r="I12690" s="1"/>
    </row>
    <row r="12691" spans="8:9" x14ac:dyDescent="0.2">
      <c r="H12691" s="1"/>
      <c r="I12691" s="1"/>
    </row>
    <row r="12692" spans="8:9" x14ac:dyDescent="0.2">
      <c r="H12692" s="1"/>
      <c r="I12692" s="1"/>
    </row>
    <row r="12693" spans="8:9" x14ac:dyDescent="0.2">
      <c r="H12693" s="1"/>
      <c r="I12693" s="1"/>
    </row>
    <row r="12694" spans="8:9" x14ac:dyDescent="0.2">
      <c r="H12694" s="1"/>
      <c r="I12694" s="1"/>
    </row>
    <row r="12695" spans="8:9" x14ac:dyDescent="0.2">
      <c r="H12695" s="1"/>
      <c r="I12695" s="1"/>
    </row>
    <row r="12696" spans="8:9" x14ac:dyDescent="0.2">
      <c r="H12696" s="1"/>
      <c r="I12696" s="1"/>
    </row>
    <row r="12697" spans="8:9" x14ac:dyDescent="0.2">
      <c r="H12697" s="1"/>
      <c r="I12697" s="1"/>
    </row>
    <row r="12698" spans="8:9" x14ac:dyDescent="0.2">
      <c r="H12698" s="1"/>
      <c r="I12698" s="1"/>
    </row>
    <row r="12699" spans="8:9" x14ac:dyDescent="0.2">
      <c r="H12699" s="1"/>
      <c r="I12699" s="1"/>
    </row>
    <row r="12700" spans="8:9" x14ac:dyDescent="0.2">
      <c r="H12700" s="1"/>
      <c r="I12700" s="1"/>
    </row>
    <row r="12701" spans="8:9" x14ac:dyDescent="0.2">
      <c r="H12701" s="1"/>
      <c r="I12701" s="1"/>
    </row>
    <row r="12702" spans="8:9" x14ac:dyDescent="0.2">
      <c r="H12702" s="1"/>
      <c r="I12702" s="1"/>
    </row>
    <row r="12703" spans="8:9" x14ac:dyDescent="0.2">
      <c r="H12703" s="1"/>
      <c r="I12703" s="1"/>
    </row>
    <row r="12704" spans="8:9" x14ac:dyDescent="0.2">
      <c r="H12704" s="1"/>
      <c r="I12704" s="1"/>
    </row>
    <row r="12705" spans="8:9" x14ac:dyDescent="0.2">
      <c r="H12705" s="1"/>
      <c r="I12705" s="1"/>
    </row>
    <row r="12706" spans="8:9" x14ac:dyDescent="0.2">
      <c r="H12706" s="1"/>
      <c r="I12706" s="1"/>
    </row>
    <row r="12707" spans="8:9" x14ac:dyDescent="0.2">
      <c r="H12707" s="1"/>
      <c r="I12707" s="1"/>
    </row>
    <row r="12708" spans="8:9" x14ac:dyDescent="0.2">
      <c r="H12708" s="1"/>
      <c r="I12708" s="1"/>
    </row>
    <row r="12709" spans="8:9" x14ac:dyDescent="0.2">
      <c r="H12709" s="1"/>
      <c r="I12709" s="1"/>
    </row>
    <row r="12710" spans="8:9" x14ac:dyDescent="0.2">
      <c r="H12710" s="1"/>
      <c r="I12710" s="1"/>
    </row>
    <row r="12711" spans="8:9" x14ac:dyDescent="0.2">
      <c r="H12711" s="1"/>
      <c r="I12711" s="1"/>
    </row>
    <row r="12712" spans="8:9" x14ac:dyDescent="0.2">
      <c r="H12712" s="1"/>
      <c r="I12712" s="1"/>
    </row>
    <row r="12713" spans="8:9" x14ac:dyDescent="0.2">
      <c r="H12713" s="1"/>
      <c r="I12713" s="1"/>
    </row>
    <row r="12714" spans="8:9" x14ac:dyDescent="0.2">
      <c r="H12714" s="1"/>
      <c r="I12714" s="1"/>
    </row>
    <row r="12715" spans="8:9" x14ac:dyDescent="0.2">
      <c r="H12715" s="1"/>
      <c r="I12715" s="1"/>
    </row>
    <row r="12716" spans="8:9" x14ac:dyDescent="0.2">
      <c r="H12716" s="1"/>
      <c r="I12716" s="1"/>
    </row>
    <row r="12717" spans="8:9" x14ac:dyDescent="0.2">
      <c r="H12717" s="1"/>
      <c r="I12717" s="1"/>
    </row>
    <row r="12718" spans="8:9" x14ac:dyDescent="0.2">
      <c r="H12718" s="1"/>
      <c r="I12718" s="1"/>
    </row>
    <row r="12719" spans="8:9" x14ac:dyDescent="0.2">
      <c r="H12719" s="1"/>
      <c r="I12719" s="1"/>
    </row>
    <row r="12720" spans="8:9" x14ac:dyDescent="0.2">
      <c r="H12720" s="1"/>
      <c r="I12720" s="1"/>
    </row>
    <row r="12721" spans="8:9" x14ac:dyDescent="0.2">
      <c r="H12721" s="1"/>
      <c r="I12721" s="1"/>
    </row>
    <row r="12722" spans="8:9" x14ac:dyDescent="0.2">
      <c r="H12722" s="1"/>
      <c r="I12722" s="1"/>
    </row>
    <row r="12723" spans="8:9" x14ac:dyDescent="0.2">
      <c r="H12723" s="1"/>
      <c r="I12723" s="1"/>
    </row>
    <row r="12724" spans="8:9" x14ac:dyDescent="0.2">
      <c r="H12724" s="1"/>
      <c r="I12724" s="1"/>
    </row>
    <row r="12725" spans="8:9" x14ac:dyDescent="0.2">
      <c r="H12725" s="1"/>
      <c r="I12725" s="1"/>
    </row>
    <row r="12726" spans="8:9" x14ac:dyDescent="0.2">
      <c r="H12726" s="1"/>
      <c r="I12726" s="1"/>
    </row>
    <row r="12727" spans="8:9" x14ac:dyDescent="0.2">
      <c r="H12727" s="1"/>
      <c r="I12727" s="1"/>
    </row>
    <row r="12728" spans="8:9" x14ac:dyDescent="0.2">
      <c r="H12728" s="1"/>
      <c r="I12728" s="1"/>
    </row>
    <row r="12729" spans="8:9" x14ac:dyDescent="0.2">
      <c r="H12729" s="1"/>
      <c r="I12729" s="1"/>
    </row>
    <row r="12730" spans="8:9" x14ac:dyDescent="0.2">
      <c r="H12730" s="1"/>
      <c r="I12730" s="1"/>
    </row>
    <row r="12731" spans="8:9" x14ac:dyDescent="0.2">
      <c r="H12731" s="1"/>
      <c r="I12731" s="1"/>
    </row>
    <row r="12732" spans="8:9" x14ac:dyDescent="0.2">
      <c r="H12732" s="1"/>
      <c r="I12732" s="1"/>
    </row>
    <row r="12733" spans="8:9" x14ac:dyDescent="0.2">
      <c r="H12733" s="1"/>
      <c r="I12733" s="1"/>
    </row>
    <row r="12734" spans="8:9" x14ac:dyDescent="0.2">
      <c r="H12734" s="1"/>
      <c r="I12734" s="1"/>
    </row>
    <row r="12735" spans="8:9" x14ac:dyDescent="0.2">
      <c r="H12735" s="1"/>
      <c r="I12735" s="1"/>
    </row>
    <row r="12736" spans="8:9" x14ac:dyDescent="0.2">
      <c r="H12736" s="1"/>
      <c r="I12736" s="1"/>
    </row>
    <row r="12737" spans="8:9" x14ac:dyDescent="0.2">
      <c r="H12737" s="1"/>
      <c r="I12737" s="1"/>
    </row>
    <row r="12738" spans="8:9" x14ac:dyDescent="0.2">
      <c r="H12738" s="1"/>
      <c r="I12738" s="1"/>
    </row>
    <row r="12739" spans="8:9" x14ac:dyDescent="0.2">
      <c r="H12739" s="1"/>
      <c r="I12739" s="1"/>
    </row>
    <row r="12740" spans="8:9" x14ac:dyDescent="0.2">
      <c r="H12740" s="1"/>
      <c r="I12740" s="1"/>
    </row>
    <row r="12741" spans="8:9" x14ac:dyDescent="0.2">
      <c r="H12741" s="1"/>
      <c r="I12741" s="1"/>
    </row>
    <row r="12742" spans="8:9" x14ac:dyDescent="0.2">
      <c r="H12742" s="1"/>
      <c r="I12742" s="1"/>
    </row>
    <row r="12743" spans="8:9" x14ac:dyDescent="0.2">
      <c r="H12743" s="1"/>
      <c r="I12743" s="1"/>
    </row>
    <row r="12744" spans="8:9" x14ac:dyDescent="0.2">
      <c r="H12744" s="1"/>
      <c r="I12744" s="1"/>
    </row>
    <row r="12745" spans="8:9" x14ac:dyDescent="0.2">
      <c r="H12745" s="1"/>
      <c r="I12745" s="1"/>
    </row>
    <row r="12746" spans="8:9" x14ac:dyDescent="0.2">
      <c r="H12746" s="1"/>
      <c r="I12746" s="1"/>
    </row>
    <row r="12747" spans="8:9" x14ac:dyDescent="0.2">
      <c r="H12747" s="1"/>
      <c r="I12747" s="1"/>
    </row>
    <row r="12748" spans="8:9" x14ac:dyDescent="0.2">
      <c r="H12748" s="1"/>
      <c r="I12748" s="1"/>
    </row>
    <row r="12749" spans="8:9" x14ac:dyDescent="0.2">
      <c r="H12749" s="1"/>
      <c r="I12749" s="1"/>
    </row>
    <row r="12750" spans="8:9" x14ac:dyDescent="0.2">
      <c r="H12750" s="1"/>
      <c r="I12750" s="1"/>
    </row>
    <row r="12751" spans="8:9" x14ac:dyDescent="0.2">
      <c r="H12751" s="1"/>
      <c r="I12751" s="1"/>
    </row>
    <row r="12752" spans="8:9" x14ac:dyDescent="0.2">
      <c r="H12752" s="1"/>
      <c r="I12752" s="1"/>
    </row>
    <row r="12753" spans="8:9" x14ac:dyDescent="0.2">
      <c r="H12753" s="1"/>
      <c r="I12753" s="1"/>
    </row>
    <row r="12754" spans="8:9" x14ac:dyDescent="0.2">
      <c r="H12754" s="1"/>
      <c r="I12754" s="1"/>
    </row>
    <row r="12755" spans="8:9" x14ac:dyDescent="0.2">
      <c r="H12755" s="1"/>
      <c r="I12755" s="1"/>
    </row>
    <row r="12756" spans="8:9" x14ac:dyDescent="0.2">
      <c r="H12756" s="1"/>
      <c r="I12756" s="1"/>
    </row>
    <row r="12757" spans="8:9" x14ac:dyDescent="0.2">
      <c r="H12757" s="1"/>
      <c r="I12757" s="1"/>
    </row>
    <row r="12758" spans="8:9" x14ac:dyDescent="0.2">
      <c r="H12758" s="1"/>
      <c r="I12758" s="1"/>
    </row>
    <row r="12759" spans="8:9" x14ac:dyDescent="0.2">
      <c r="H12759" s="1"/>
      <c r="I12759" s="1"/>
    </row>
    <row r="12760" spans="8:9" x14ac:dyDescent="0.2">
      <c r="H12760" s="1"/>
      <c r="I12760" s="1"/>
    </row>
    <row r="12761" spans="8:9" x14ac:dyDescent="0.2">
      <c r="H12761" s="1"/>
      <c r="I12761" s="1"/>
    </row>
    <row r="12762" spans="8:9" x14ac:dyDescent="0.2">
      <c r="H12762" s="1"/>
      <c r="I12762" s="1"/>
    </row>
    <row r="12763" spans="8:9" x14ac:dyDescent="0.2">
      <c r="H12763" s="1"/>
      <c r="I12763" s="1"/>
    </row>
    <row r="12764" spans="8:9" x14ac:dyDescent="0.2">
      <c r="H12764" s="1"/>
      <c r="I12764" s="1"/>
    </row>
    <row r="12765" spans="8:9" x14ac:dyDescent="0.2">
      <c r="H12765" s="1"/>
      <c r="I12765" s="1"/>
    </row>
    <row r="12766" spans="8:9" x14ac:dyDescent="0.2">
      <c r="H12766" s="1"/>
      <c r="I12766" s="1"/>
    </row>
    <row r="12767" spans="8:9" x14ac:dyDescent="0.2">
      <c r="H12767" s="1"/>
      <c r="I12767" s="1"/>
    </row>
    <row r="12768" spans="8:9" x14ac:dyDescent="0.2">
      <c r="H12768" s="1"/>
      <c r="I12768" s="1"/>
    </row>
    <row r="12769" spans="8:9" x14ac:dyDescent="0.2">
      <c r="H12769" s="1"/>
      <c r="I12769" s="1"/>
    </row>
    <row r="12770" spans="8:9" x14ac:dyDescent="0.2">
      <c r="H12770" s="1"/>
      <c r="I12770" s="1"/>
    </row>
    <row r="12771" spans="8:9" x14ac:dyDescent="0.2">
      <c r="H12771" s="1"/>
      <c r="I12771" s="1"/>
    </row>
    <row r="12772" spans="8:9" x14ac:dyDescent="0.2">
      <c r="H12772" s="1"/>
      <c r="I12772" s="1"/>
    </row>
    <row r="12773" spans="8:9" x14ac:dyDescent="0.2">
      <c r="H12773" s="1"/>
      <c r="I12773" s="1"/>
    </row>
    <row r="12774" spans="8:9" x14ac:dyDescent="0.2">
      <c r="H12774" s="1"/>
      <c r="I12774" s="1"/>
    </row>
    <row r="12775" spans="8:9" x14ac:dyDescent="0.2">
      <c r="H12775" s="1"/>
      <c r="I12775" s="1"/>
    </row>
    <row r="12776" spans="8:9" x14ac:dyDescent="0.2">
      <c r="H12776" s="1"/>
      <c r="I12776" s="1"/>
    </row>
    <row r="12777" spans="8:9" x14ac:dyDescent="0.2">
      <c r="H12777" s="1"/>
      <c r="I12777" s="1"/>
    </row>
    <row r="12778" spans="8:9" x14ac:dyDescent="0.2">
      <c r="H12778" s="1"/>
      <c r="I12778" s="1"/>
    </row>
    <row r="12779" spans="8:9" x14ac:dyDescent="0.2">
      <c r="H12779" s="1"/>
      <c r="I12779" s="1"/>
    </row>
    <row r="12780" spans="8:9" x14ac:dyDescent="0.2">
      <c r="H12780" s="1"/>
      <c r="I12780" s="1"/>
    </row>
    <row r="12781" spans="8:9" x14ac:dyDescent="0.2">
      <c r="H12781" s="1"/>
      <c r="I12781" s="1"/>
    </row>
    <row r="12782" spans="8:9" x14ac:dyDescent="0.2">
      <c r="H12782" s="1"/>
      <c r="I12782" s="1"/>
    </row>
    <row r="12783" spans="8:9" x14ac:dyDescent="0.2">
      <c r="H12783" s="1"/>
      <c r="I12783" s="1"/>
    </row>
    <row r="12784" spans="8:9" x14ac:dyDescent="0.2">
      <c r="H12784" s="1"/>
      <c r="I12784" s="1"/>
    </row>
    <row r="12785" spans="8:9" x14ac:dyDescent="0.2">
      <c r="H12785" s="1"/>
      <c r="I12785" s="1"/>
    </row>
    <row r="12786" spans="8:9" x14ac:dyDescent="0.2">
      <c r="H12786" s="1"/>
      <c r="I12786" s="1"/>
    </row>
    <row r="12787" spans="8:9" x14ac:dyDescent="0.2">
      <c r="H12787" s="1"/>
      <c r="I12787" s="1"/>
    </row>
    <row r="12788" spans="8:9" x14ac:dyDescent="0.2">
      <c r="H12788" s="1"/>
      <c r="I12788" s="1"/>
    </row>
    <row r="12789" spans="8:9" x14ac:dyDescent="0.2">
      <c r="H12789" s="1"/>
      <c r="I12789" s="1"/>
    </row>
    <row r="12790" spans="8:9" x14ac:dyDescent="0.2">
      <c r="H12790" s="1"/>
      <c r="I12790" s="1"/>
    </row>
    <row r="12791" spans="8:9" x14ac:dyDescent="0.2">
      <c r="H12791" s="1"/>
      <c r="I12791" s="1"/>
    </row>
    <row r="12792" spans="8:9" x14ac:dyDescent="0.2">
      <c r="H12792" s="1"/>
      <c r="I12792" s="1"/>
    </row>
    <row r="12793" spans="8:9" x14ac:dyDescent="0.2">
      <c r="H12793" s="1"/>
      <c r="I12793" s="1"/>
    </row>
    <row r="12794" spans="8:9" x14ac:dyDescent="0.2">
      <c r="H12794" s="1"/>
      <c r="I12794" s="1"/>
    </row>
    <row r="12795" spans="8:9" x14ac:dyDescent="0.2">
      <c r="H12795" s="1"/>
      <c r="I12795" s="1"/>
    </row>
    <row r="12796" spans="8:9" x14ac:dyDescent="0.2">
      <c r="H12796" s="1"/>
      <c r="I12796" s="1"/>
    </row>
    <row r="12797" spans="8:9" x14ac:dyDescent="0.2">
      <c r="H12797" s="1"/>
      <c r="I12797" s="1"/>
    </row>
    <row r="12798" spans="8:9" x14ac:dyDescent="0.2">
      <c r="H12798" s="1"/>
      <c r="I12798" s="1"/>
    </row>
    <row r="12799" spans="8:9" x14ac:dyDescent="0.2">
      <c r="H12799" s="1"/>
      <c r="I12799" s="1"/>
    </row>
    <row r="12800" spans="8:9" x14ac:dyDescent="0.2">
      <c r="H12800" s="1"/>
      <c r="I12800" s="1"/>
    </row>
    <row r="12801" spans="8:9" x14ac:dyDescent="0.2">
      <c r="H12801" s="1"/>
      <c r="I12801" s="1"/>
    </row>
    <row r="12802" spans="8:9" x14ac:dyDescent="0.2">
      <c r="H12802" s="1"/>
      <c r="I12802" s="1"/>
    </row>
    <row r="12803" spans="8:9" x14ac:dyDescent="0.2">
      <c r="H12803" s="1"/>
      <c r="I12803" s="1"/>
    </row>
    <row r="12804" spans="8:9" x14ac:dyDescent="0.2">
      <c r="H12804" s="1"/>
      <c r="I12804" s="1"/>
    </row>
    <row r="12805" spans="8:9" x14ac:dyDescent="0.2">
      <c r="H12805" s="1"/>
      <c r="I12805" s="1"/>
    </row>
    <row r="12806" spans="8:9" x14ac:dyDescent="0.2">
      <c r="H12806" s="1"/>
      <c r="I12806" s="1"/>
    </row>
    <row r="12807" spans="8:9" x14ac:dyDescent="0.2">
      <c r="H12807" s="1"/>
      <c r="I12807" s="1"/>
    </row>
    <row r="12808" spans="8:9" x14ac:dyDescent="0.2">
      <c r="H12808" s="1"/>
      <c r="I12808" s="1"/>
    </row>
    <row r="12809" spans="8:9" x14ac:dyDescent="0.2">
      <c r="H12809" s="1"/>
      <c r="I12809" s="1"/>
    </row>
    <row r="12810" spans="8:9" x14ac:dyDescent="0.2">
      <c r="H12810" s="1"/>
      <c r="I12810" s="1"/>
    </row>
    <row r="12811" spans="8:9" x14ac:dyDescent="0.2">
      <c r="H12811" s="1"/>
      <c r="I12811" s="1"/>
    </row>
    <row r="12812" spans="8:9" x14ac:dyDescent="0.2">
      <c r="H12812" s="1"/>
      <c r="I12812" s="1"/>
    </row>
    <row r="12813" spans="8:9" x14ac:dyDescent="0.2">
      <c r="H12813" s="1"/>
      <c r="I12813" s="1"/>
    </row>
    <row r="12814" spans="8:9" x14ac:dyDescent="0.2">
      <c r="H12814" s="1"/>
      <c r="I12814" s="1"/>
    </row>
    <row r="12815" spans="8:9" x14ac:dyDescent="0.2">
      <c r="H12815" s="1"/>
      <c r="I12815" s="1"/>
    </row>
    <row r="12816" spans="8:9" x14ac:dyDescent="0.2">
      <c r="H12816" s="1"/>
      <c r="I12816" s="1"/>
    </row>
    <row r="12817" spans="8:9" x14ac:dyDescent="0.2">
      <c r="H12817" s="1"/>
      <c r="I12817" s="1"/>
    </row>
    <row r="12818" spans="8:9" x14ac:dyDescent="0.2">
      <c r="H12818" s="1"/>
      <c r="I12818" s="1"/>
    </row>
    <row r="12819" spans="8:9" x14ac:dyDescent="0.2">
      <c r="H12819" s="1"/>
      <c r="I12819" s="1"/>
    </row>
    <row r="12820" spans="8:9" x14ac:dyDescent="0.2">
      <c r="H12820" s="1"/>
      <c r="I12820" s="1"/>
    </row>
    <row r="12821" spans="8:9" x14ac:dyDescent="0.2">
      <c r="H12821" s="1"/>
      <c r="I12821" s="1"/>
    </row>
    <row r="12822" spans="8:9" x14ac:dyDescent="0.2">
      <c r="H12822" s="1"/>
      <c r="I12822" s="1"/>
    </row>
    <row r="12823" spans="8:9" x14ac:dyDescent="0.2">
      <c r="H12823" s="1"/>
      <c r="I12823" s="1"/>
    </row>
    <row r="12824" spans="8:9" x14ac:dyDescent="0.2">
      <c r="H12824" s="1"/>
      <c r="I12824" s="1"/>
    </row>
    <row r="12825" spans="8:9" x14ac:dyDescent="0.2">
      <c r="H12825" s="1"/>
      <c r="I12825" s="1"/>
    </row>
    <row r="12826" spans="8:9" x14ac:dyDescent="0.2">
      <c r="H12826" s="1"/>
      <c r="I12826" s="1"/>
    </row>
    <row r="12827" spans="8:9" x14ac:dyDescent="0.2">
      <c r="H12827" s="1"/>
      <c r="I12827" s="1"/>
    </row>
    <row r="12828" spans="8:9" x14ac:dyDescent="0.2">
      <c r="H12828" s="1"/>
      <c r="I12828" s="1"/>
    </row>
    <row r="12829" spans="8:9" x14ac:dyDescent="0.2">
      <c r="H12829" s="1"/>
      <c r="I12829" s="1"/>
    </row>
    <row r="12830" spans="8:9" x14ac:dyDescent="0.2">
      <c r="H12830" s="1"/>
      <c r="I12830" s="1"/>
    </row>
    <row r="12831" spans="8:9" x14ac:dyDescent="0.2">
      <c r="H12831" s="1"/>
      <c r="I12831" s="1"/>
    </row>
    <row r="12832" spans="8:9" x14ac:dyDescent="0.2">
      <c r="H12832" s="1"/>
      <c r="I12832" s="1"/>
    </row>
    <row r="12833" spans="8:9" x14ac:dyDescent="0.2">
      <c r="H12833" s="1"/>
      <c r="I12833" s="1"/>
    </row>
    <row r="12834" spans="8:9" x14ac:dyDescent="0.2">
      <c r="H12834" s="1"/>
      <c r="I12834" s="1"/>
    </row>
    <row r="12835" spans="8:9" x14ac:dyDescent="0.2">
      <c r="H12835" s="1"/>
      <c r="I12835" s="1"/>
    </row>
    <row r="12836" spans="8:9" x14ac:dyDescent="0.2">
      <c r="H12836" s="1"/>
      <c r="I12836" s="1"/>
    </row>
    <row r="12837" spans="8:9" x14ac:dyDescent="0.2">
      <c r="H12837" s="1"/>
      <c r="I12837" s="1"/>
    </row>
    <row r="12838" spans="8:9" x14ac:dyDescent="0.2">
      <c r="H12838" s="1"/>
      <c r="I12838" s="1"/>
    </row>
    <row r="12839" spans="8:9" x14ac:dyDescent="0.2">
      <c r="H12839" s="1"/>
      <c r="I12839" s="1"/>
    </row>
    <row r="12840" spans="8:9" x14ac:dyDescent="0.2">
      <c r="H12840" s="1"/>
      <c r="I12840" s="1"/>
    </row>
    <row r="12841" spans="8:9" x14ac:dyDescent="0.2">
      <c r="H12841" s="1"/>
      <c r="I12841" s="1"/>
    </row>
    <row r="12842" spans="8:9" x14ac:dyDescent="0.2">
      <c r="H12842" s="1"/>
      <c r="I12842" s="1"/>
    </row>
    <row r="12843" spans="8:9" x14ac:dyDescent="0.2">
      <c r="H12843" s="1"/>
      <c r="I12843" s="1"/>
    </row>
    <row r="12844" spans="8:9" x14ac:dyDescent="0.2">
      <c r="H12844" s="1"/>
      <c r="I12844" s="1"/>
    </row>
    <row r="12845" spans="8:9" x14ac:dyDescent="0.2">
      <c r="H12845" s="1"/>
      <c r="I12845" s="1"/>
    </row>
    <row r="12846" spans="8:9" x14ac:dyDescent="0.2">
      <c r="H12846" s="1"/>
      <c r="I12846" s="1"/>
    </row>
    <row r="12847" spans="8:9" x14ac:dyDescent="0.2">
      <c r="H12847" s="1"/>
      <c r="I12847" s="1"/>
    </row>
    <row r="12848" spans="8:9" x14ac:dyDescent="0.2">
      <c r="H12848" s="1"/>
      <c r="I12848" s="1"/>
    </row>
    <row r="12849" spans="8:9" x14ac:dyDescent="0.2">
      <c r="H12849" s="1"/>
      <c r="I12849" s="1"/>
    </row>
    <row r="12850" spans="8:9" x14ac:dyDescent="0.2">
      <c r="H12850" s="1"/>
      <c r="I12850" s="1"/>
    </row>
    <row r="12851" spans="8:9" x14ac:dyDescent="0.2">
      <c r="H12851" s="1"/>
      <c r="I12851" s="1"/>
    </row>
    <row r="12852" spans="8:9" x14ac:dyDescent="0.2">
      <c r="H12852" s="1"/>
      <c r="I12852" s="1"/>
    </row>
    <row r="12853" spans="8:9" x14ac:dyDescent="0.2">
      <c r="H12853" s="1"/>
      <c r="I12853" s="1"/>
    </row>
    <row r="12854" spans="8:9" x14ac:dyDescent="0.2">
      <c r="H12854" s="1"/>
      <c r="I12854" s="1"/>
    </row>
    <row r="12855" spans="8:9" x14ac:dyDescent="0.2">
      <c r="H12855" s="1"/>
      <c r="I12855" s="1"/>
    </row>
    <row r="12856" spans="8:9" x14ac:dyDescent="0.2">
      <c r="H12856" s="1"/>
      <c r="I12856" s="1"/>
    </row>
    <row r="12857" spans="8:9" x14ac:dyDescent="0.2">
      <c r="H12857" s="1"/>
      <c r="I12857" s="1"/>
    </row>
    <row r="12858" spans="8:9" x14ac:dyDescent="0.2">
      <c r="H12858" s="1"/>
      <c r="I12858" s="1"/>
    </row>
    <row r="12859" spans="8:9" x14ac:dyDescent="0.2">
      <c r="H12859" s="1"/>
      <c r="I12859" s="1"/>
    </row>
    <row r="12860" spans="8:9" x14ac:dyDescent="0.2">
      <c r="H12860" s="1"/>
      <c r="I12860" s="1"/>
    </row>
    <row r="12861" spans="8:9" x14ac:dyDescent="0.2">
      <c r="H12861" s="1"/>
      <c r="I12861" s="1"/>
    </row>
    <row r="12862" spans="8:9" x14ac:dyDescent="0.2">
      <c r="H12862" s="1"/>
      <c r="I12862" s="1"/>
    </row>
    <row r="12863" spans="8:9" x14ac:dyDescent="0.2">
      <c r="H12863" s="1"/>
      <c r="I12863" s="1"/>
    </row>
    <row r="12864" spans="8:9" x14ac:dyDescent="0.2">
      <c r="H12864" s="1"/>
      <c r="I12864" s="1"/>
    </row>
    <row r="12865" spans="8:9" x14ac:dyDescent="0.2">
      <c r="H12865" s="1"/>
      <c r="I12865" s="1"/>
    </row>
    <row r="12866" spans="8:9" x14ac:dyDescent="0.2">
      <c r="H12866" s="1"/>
      <c r="I12866" s="1"/>
    </row>
    <row r="12867" spans="8:9" x14ac:dyDescent="0.2">
      <c r="H12867" s="1"/>
      <c r="I12867" s="1"/>
    </row>
    <row r="12868" spans="8:9" x14ac:dyDescent="0.2">
      <c r="H12868" s="1"/>
      <c r="I12868" s="1"/>
    </row>
    <row r="12869" spans="8:9" x14ac:dyDescent="0.2">
      <c r="H12869" s="1"/>
      <c r="I12869" s="1"/>
    </row>
    <row r="12870" spans="8:9" x14ac:dyDescent="0.2">
      <c r="H12870" s="1"/>
      <c r="I12870" s="1"/>
    </row>
    <row r="12871" spans="8:9" x14ac:dyDescent="0.2">
      <c r="H12871" s="1"/>
      <c r="I12871" s="1"/>
    </row>
    <row r="12872" spans="8:9" x14ac:dyDescent="0.2">
      <c r="H12872" s="1"/>
      <c r="I12872" s="1"/>
    </row>
    <row r="12873" spans="8:9" x14ac:dyDescent="0.2">
      <c r="H12873" s="1"/>
      <c r="I12873" s="1"/>
    </row>
    <row r="12874" spans="8:9" x14ac:dyDescent="0.2">
      <c r="H12874" s="1"/>
      <c r="I12874" s="1"/>
    </row>
    <row r="12875" spans="8:9" x14ac:dyDescent="0.2">
      <c r="H12875" s="1"/>
      <c r="I12875" s="1"/>
    </row>
    <row r="12876" spans="8:9" x14ac:dyDescent="0.2">
      <c r="H12876" s="1"/>
      <c r="I12876" s="1"/>
    </row>
    <row r="12877" spans="8:9" x14ac:dyDescent="0.2">
      <c r="H12877" s="1"/>
      <c r="I12877" s="1"/>
    </row>
    <row r="12878" spans="8:9" x14ac:dyDescent="0.2">
      <c r="H12878" s="1"/>
      <c r="I12878" s="1"/>
    </row>
    <row r="12879" spans="8:9" x14ac:dyDescent="0.2">
      <c r="H12879" s="1"/>
      <c r="I12879" s="1"/>
    </row>
    <row r="12880" spans="8:9" x14ac:dyDescent="0.2">
      <c r="H12880" s="1"/>
      <c r="I12880" s="1"/>
    </row>
    <row r="12881" spans="8:9" x14ac:dyDescent="0.2">
      <c r="H12881" s="1"/>
      <c r="I12881" s="1"/>
    </row>
    <row r="12882" spans="8:9" x14ac:dyDescent="0.2">
      <c r="H12882" s="1"/>
      <c r="I12882" s="1"/>
    </row>
    <row r="12883" spans="8:9" x14ac:dyDescent="0.2">
      <c r="H12883" s="1"/>
      <c r="I12883" s="1"/>
    </row>
    <row r="12884" spans="8:9" x14ac:dyDescent="0.2">
      <c r="H12884" s="1"/>
      <c r="I12884" s="1"/>
    </row>
    <row r="12885" spans="8:9" x14ac:dyDescent="0.2">
      <c r="H12885" s="1"/>
      <c r="I12885" s="1"/>
    </row>
    <row r="12886" spans="8:9" x14ac:dyDescent="0.2">
      <c r="H12886" s="1"/>
      <c r="I12886" s="1"/>
    </row>
    <row r="12887" spans="8:9" x14ac:dyDescent="0.2">
      <c r="H12887" s="1"/>
      <c r="I12887" s="1"/>
    </row>
    <row r="12888" spans="8:9" x14ac:dyDescent="0.2">
      <c r="H12888" s="1"/>
      <c r="I12888" s="1"/>
    </row>
    <row r="12889" spans="8:9" x14ac:dyDescent="0.2">
      <c r="H12889" s="1"/>
      <c r="I12889" s="1"/>
    </row>
    <row r="12890" spans="8:9" x14ac:dyDescent="0.2">
      <c r="H12890" s="1"/>
      <c r="I12890" s="1"/>
    </row>
    <row r="12891" spans="8:9" x14ac:dyDescent="0.2">
      <c r="H12891" s="1"/>
      <c r="I12891" s="1"/>
    </row>
    <row r="12892" spans="8:9" x14ac:dyDescent="0.2">
      <c r="H12892" s="1"/>
      <c r="I12892" s="1"/>
    </row>
    <row r="12893" spans="8:9" x14ac:dyDescent="0.2">
      <c r="H12893" s="1"/>
      <c r="I12893" s="1"/>
    </row>
    <row r="12894" spans="8:9" x14ac:dyDescent="0.2">
      <c r="H12894" s="1"/>
      <c r="I12894" s="1"/>
    </row>
    <row r="12895" spans="8:9" x14ac:dyDescent="0.2">
      <c r="H12895" s="1"/>
      <c r="I12895" s="1"/>
    </row>
    <row r="12896" spans="8:9" x14ac:dyDescent="0.2">
      <c r="H12896" s="1"/>
      <c r="I12896" s="1"/>
    </row>
    <row r="12897" spans="8:9" x14ac:dyDescent="0.2">
      <c r="H12897" s="1"/>
      <c r="I12897" s="1"/>
    </row>
    <row r="12898" spans="8:9" x14ac:dyDescent="0.2">
      <c r="H12898" s="1"/>
      <c r="I12898" s="1"/>
    </row>
    <row r="12899" spans="8:9" x14ac:dyDescent="0.2">
      <c r="H12899" s="1"/>
      <c r="I12899" s="1"/>
    </row>
    <row r="12900" spans="8:9" x14ac:dyDescent="0.2">
      <c r="H12900" s="1"/>
      <c r="I12900" s="1"/>
    </row>
    <row r="12901" spans="8:9" x14ac:dyDescent="0.2">
      <c r="H12901" s="1"/>
      <c r="I12901" s="1"/>
    </row>
    <row r="12902" spans="8:9" x14ac:dyDescent="0.2">
      <c r="H12902" s="1"/>
      <c r="I12902" s="1"/>
    </row>
    <row r="12903" spans="8:9" x14ac:dyDescent="0.2">
      <c r="H12903" s="1"/>
      <c r="I12903" s="1"/>
    </row>
    <row r="12904" spans="8:9" x14ac:dyDescent="0.2">
      <c r="H12904" s="1"/>
      <c r="I12904" s="1"/>
    </row>
    <row r="12905" spans="8:9" x14ac:dyDescent="0.2">
      <c r="H12905" s="1"/>
      <c r="I12905" s="1"/>
    </row>
    <row r="12906" spans="8:9" x14ac:dyDescent="0.2">
      <c r="H12906" s="1"/>
      <c r="I12906" s="1"/>
    </row>
    <row r="12907" spans="8:9" x14ac:dyDescent="0.2">
      <c r="H12907" s="1"/>
      <c r="I12907" s="1"/>
    </row>
    <row r="12908" spans="8:9" x14ac:dyDescent="0.2">
      <c r="H12908" s="1"/>
      <c r="I12908" s="1"/>
    </row>
    <row r="12909" spans="8:9" x14ac:dyDescent="0.2">
      <c r="H12909" s="1"/>
      <c r="I12909" s="1"/>
    </row>
    <row r="12910" spans="8:9" x14ac:dyDescent="0.2">
      <c r="H12910" s="1"/>
      <c r="I12910" s="1"/>
    </row>
    <row r="12911" spans="8:9" x14ac:dyDescent="0.2">
      <c r="H12911" s="1"/>
      <c r="I12911" s="1"/>
    </row>
    <row r="12912" spans="8:9" x14ac:dyDescent="0.2">
      <c r="H12912" s="1"/>
      <c r="I12912" s="1"/>
    </row>
    <row r="12913" spans="8:9" x14ac:dyDescent="0.2">
      <c r="H12913" s="1"/>
      <c r="I12913" s="1"/>
    </row>
    <row r="12914" spans="8:9" x14ac:dyDescent="0.2">
      <c r="H12914" s="1"/>
      <c r="I12914" s="1"/>
    </row>
    <row r="12915" spans="8:9" x14ac:dyDescent="0.2">
      <c r="H12915" s="1"/>
      <c r="I12915" s="1"/>
    </row>
    <row r="12916" spans="8:9" x14ac:dyDescent="0.2">
      <c r="H12916" s="1"/>
      <c r="I12916" s="1"/>
    </row>
    <row r="12917" spans="8:9" x14ac:dyDescent="0.2">
      <c r="H12917" s="1"/>
      <c r="I12917" s="1"/>
    </row>
    <row r="12918" spans="8:9" x14ac:dyDescent="0.2">
      <c r="H12918" s="1"/>
      <c r="I12918" s="1"/>
    </row>
    <row r="12919" spans="8:9" x14ac:dyDescent="0.2">
      <c r="H12919" s="1"/>
      <c r="I12919" s="1"/>
    </row>
    <row r="12920" spans="8:9" x14ac:dyDescent="0.2">
      <c r="H12920" s="1"/>
      <c r="I12920" s="1"/>
    </row>
    <row r="12921" spans="8:9" x14ac:dyDescent="0.2">
      <c r="H12921" s="1"/>
      <c r="I12921" s="1"/>
    </row>
    <row r="12922" spans="8:9" x14ac:dyDescent="0.2">
      <c r="H12922" s="1"/>
      <c r="I12922" s="1"/>
    </row>
    <row r="12923" spans="8:9" x14ac:dyDescent="0.2">
      <c r="H12923" s="1"/>
      <c r="I12923" s="1"/>
    </row>
    <row r="12924" spans="8:9" x14ac:dyDescent="0.2">
      <c r="H12924" s="1"/>
      <c r="I12924" s="1"/>
    </row>
    <row r="12925" spans="8:9" x14ac:dyDescent="0.2">
      <c r="H12925" s="1"/>
      <c r="I12925" s="1"/>
    </row>
    <row r="12926" spans="8:9" x14ac:dyDescent="0.2">
      <c r="H12926" s="1"/>
      <c r="I12926" s="1"/>
    </row>
    <row r="12927" spans="8:9" x14ac:dyDescent="0.2">
      <c r="H12927" s="1"/>
      <c r="I12927" s="1"/>
    </row>
    <row r="12928" spans="8:9" x14ac:dyDescent="0.2">
      <c r="H12928" s="1"/>
      <c r="I12928" s="1"/>
    </row>
    <row r="12929" spans="8:9" x14ac:dyDescent="0.2">
      <c r="H12929" s="1"/>
      <c r="I12929" s="1"/>
    </row>
    <row r="12930" spans="8:9" x14ac:dyDescent="0.2">
      <c r="H12930" s="1"/>
      <c r="I12930" s="1"/>
    </row>
    <row r="12931" spans="8:9" x14ac:dyDescent="0.2">
      <c r="H12931" s="1"/>
      <c r="I12931" s="1"/>
    </row>
    <row r="12932" spans="8:9" x14ac:dyDescent="0.2">
      <c r="H12932" s="1"/>
      <c r="I12932" s="1"/>
    </row>
    <row r="12933" spans="8:9" x14ac:dyDescent="0.2">
      <c r="H12933" s="1"/>
      <c r="I12933" s="1"/>
    </row>
    <row r="12934" spans="8:9" x14ac:dyDescent="0.2">
      <c r="H12934" s="1"/>
      <c r="I12934" s="1"/>
    </row>
    <row r="12935" spans="8:9" x14ac:dyDescent="0.2">
      <c r="H12935" s="1"/>
      <c r="I12935" s="1"/>
    </row>
    <row r="12936" spans="8:9" x14ac:dyDescent="0.2">
      <c r="H12936" s="1"/>
      <c r="I12936" s="1"/>
    </row>
    <row r="12937" spans="8:9" x14ac:dyDescent="0.2">
      <c r="H12937" s="1"/>
      <c r="I12937" s="1"/>
    </row>
    <row r="12938" spans="8:9" x14ac:dyDescent="0.2">
      <c r="H12938" s="1"/>
      <c r="I12938" s="1"/>
    </row>
    <row r="12939" spans="8:9" x14ac:dyDescent="0.2">
      <c r="H12939" s="1"/>
      <c r="I12939" s="1"/>
    </row>
    <row r="12940" spans="8:9" x14ac:dyDescent="0.2">
      <c r="H12940" s="1"/>
      <c r="I12940" s="1"/>
    </row>
    <row r="12941" spans="8:9" x14ac:dyDescent="0.2">
      <c r="H12941" s="1"/>
      <c r="I12941" s="1"/>
    </row>
    <row r="12942" spans="8:9" x14ac:dyDescent="0.2">
      <c r="H12942" s="1"/>
      <c r="I12942" s="1"/>
    </row>
    <row r="12943" spans="8:9" x14ac:dyDescent="0.2">
      <c r="H12943" s="1"/>
      <c r="I12943" s="1"/>
    </row>
    <row r="12944" spans="8:9" x14ac:dyDescent="0.2">
      <c r="H12944" s="1"/>
      <c r="I12944" s="1"/>
    </row>
    <row r="12945" spans="8:9" x14ac:dyDescent="0.2">
      <c r="H12945" s="1"/>
      <c r="I12945" s="1"/>
    </row>
    <row r="12946" spans="8:9" x14ac:dyDescent="0.2">
      <c r="H12946" s="1"/>
      <c r="I12946" s="1"/>
    </row>
    <row r="12947" spans="8:9" x14ac:dyDescent="0.2">
      <c r="H12947" s="1"/>
      <c r="I12947" s="1"/>
    </row>
    <row r="12948" spans="8:9" x14ac:dyDescent="0.2">
      <c r="H12948" s="1"/>
      <c r="I12948" s="1"/>
    </row>
    <row r="12949" spans="8:9" x14ac:dyDescent="0.2">
      <c r="H12949" s="1"/>
      <c r="I12949" s="1"/>
    </row>
    <row r="12950" spans="8:9" x14ac:dyDescent="0.2">
      <c r="H12950" s="1"/>
      <c r="I12950" s="1"/>
    </row>
    <row r="12951" spans="8:9" x14ac:dyDescent="0.2">
      <c r="H12951" s="1"/>
      <c r="I12951" s="1"/>
    </row>
    <row r="12952" spans="8:9" x14ac:dyDescent="0.2">
      <c r="H12952" s="1"/>
      <c r="I12952" s="1"/>
    </row>
    <row r="12953" spans="8:9" x14ac:dyDescent="0.2">
      <c r="H12953" s="1"/>
      <c r="I12953" s="1"/>
    </row>
    <row r="12954" spans="8:9" x14ac:dyDescent="0.2">
      <c r="H12954" s="1"/>
      <c r="I12954" s="1"/>
    </row>
    <row r="12955" spans="8:9" x14ac:dyDescent="0.2">
      <c r="H12955" s="1"/>
      <c r="I12955" s="1"/>
    </row>
    <row r="12956" spans="8:9" x14ac:dyDescent="0.2">
      <c r="H12956" s="1"/>
      <c r="I12956" s="1"/>
    </row>
    <row r="12957" spans="8:9" x14ac:dyDescent="0.2">
      <c r="H12957" s="1"/>
      <c r="I12957" s="1"/>
    </row>
    <row r="12958" spans="8:9" x14ac:dyDescent="0.2">
      <c r="H12958" s="1"/>
      <c r="I12958" s="1"/>
    </row>
    <row r="12959" spans="8:9" x14ac:dyDescent="0.2">
      <c r="H12959" s="1"/>
      <c r="I12959" s="1"/>
    </row>
    <row r="12960" spans="8:9" x14ac:dyDescent="0.2">
      <c r="H12960" s="1"/>
      <c r="I12960" s="1"/>
    </row>
    <row r="12961" spans="8:9" x14ac:dyDescent="0.2">
      <c r="H12961" s="1"/>
      <c r="I12961" s="1"/>
    </row>
    <row r="12962" spans="8:9" x14ac:dyDescent="0.2">
      <c r="H12962" s="1"/>
      <c r="I12962" s="1"/>
    </row>
    <row r="12963" spans="8:9" x14ac:dyDescent="0.2">
      <c r="H12963" s="1"/>
      <c r="I12963" s="1"/>
    </row>
    <row r="12964" spans="8:9" x14ac:dyDescent="0.2">
      <c r="H12964" s="1"/>
      <c r="I12964" s="1"/>
    </row>
    <row r="12965" spans="8:9" x14ac:dyDescent="0.2">
      <c r="H12965" s="1"/>
      <c r="I12965" s="1"/>
    </row>
    <row r="12966" spans="8:9" x14ac:dyDescent="0.2">
      <c r="H12966" s="1"/>
      <c r="I12966" s="1"/>
    </row>
    <row r="12967" spans="8:9" x14ac:dyDescent="0.2">
      <c r="H12967" s="1"/>
      <c r="I12967" s="1"/>
    </row>
    <row r="12968" spans="8:9" x14ac:dyDescent="0.2">
      <c r="H12968" s="1"/>
      <c r="I12968" s="1"/>
    </row>
    <row r="12969" spans="8:9" x14ac:dyDescent="0.2">
      <c r="H12969" s="1"/>
      <c r="I12969" s="1"/>
    </row>
    <row r="12970" spans="8:9" x14ac:dyDescent="0.2">
      <c r="H12970" s="1"/>
      <c r="I12970" s="1"/>
    </row>
    <row r="12971" spans="8:9" x14ac:dyDescent="0.2">
      <c r="H12971" s="1"/>
      <c r="I12971" s="1"/>
    </row>
    <row r="12972" spans="8:9" x14ac:dyDescent="0.2">
      <c r="H12972" s="1"/>
      <c r="I12972" s="1"/>
    </row>
    <row r="12973" spans="8:9" x14ac:dyDescent="0.2">
      <c r="H12973" s="1"/>
      <c r="I12973" s="1"/>
    </row>
    <row r="12974" spans="8:9" x14ac:dyDescent="0.2">
      <c r="H12974" s="1"/>
      <c r="I12974" s="1"/>
    </row>
    <row r="12975" spans="8:9" x14ac:dyDescent="0.2">
      <c r="H12975" s="1"/>
      <c r="I12975" s="1"/>
    </row>
    <row r="12976" spans="8:9" x14ac:dyDescent="0.2">
      <c r="H12976" s="1"/>
      <c r="I12976" s="1"/>
    </row>
    <row r="12977" spans="8:9" x14ac:dyDescent="0.2">
      <c r="H12977" s="1"/>
      <c r="I12977" s="1"/>
    </row>
    <row r="12978" spans="8:9" x14ac:dyDescent="0.2">
      <c r="H12978" s="1"/>
      <c r="I12978" s="1"/>
    </row>
    <row r="12979" spans="8:9" x14ac:dyDescent="0.2">
      <c r="H12979" s="1"/>
      <c r="I12979" s="1"/>
    </row>
    <row r="12980" spans="8:9" x14ac:dyDescent="0.2">
      <c r="H12980" s="1"/>
      <c r="I12980" s="1"/>
    </row>
    <row r="12981" spans="8:9" x14ac:dyDescent="0.2">
      <c r="H12981" s="1"/>
      <c r="I12981" s="1"/>
    </row>
    <row r="12982" spans="8:9" x14ac:dyDescent="0.2">
      <c r="H12982" s="1"/>
      <c r="I12982" s="1"/>
    </row>
    <row r="12983" spans="8:9" x14ac:dyDescent="0.2">
      <c r="H12983" s="1"/>
      <c r="I12983" s="1"/>
    </row>
    <row r="12984" spans="8:9" x14ac:dyDescent="0.2">
      <c r="H12984" s="1"/>
      <c r="I12984" s="1"/>
    </row>
    <row r="12985" spans="8:9" x14ac:dyDescent="0.2">
      <c r="H12985" s="1"/>
      <c r="I12985" s="1"/>
    </row>
    <row r="12986" spans="8:9" x14ac:dyDescent="0.2">
      <c r="H12986" s="1"/>
      <c r="I12986" s="1"/>
    </row>
    <row r="12987" spans="8:9" x14ac:dyDescent="0.2">
      <c r="H12987" s="1"/>
      <c r="I12987" s="1"/>
    </row>
    <row r="12988" spans="8:9" x14ac:dyDescent="0.2">
      <c r="H12988" s="1"/>
      <c r="I12988" s="1"/>
    </row>
    <row r="12989" spans="8:9" x14ac:dyDescent="0.2">
      <c r="H12989" s="1"/>
      <c r="I12989" s="1"/>
    </row>
    <row r="12990" spans="8:9" x14ac:dyDescent="0.2">
      <c r="H12990" s="1"/>
      <c r="I12990" s="1"/>
    </row>
    <row r="12991" spans="8:9" x14ac:dyDescent="0.2">
      <c r="H12991" s="1"/>
      <c r="I12991" s="1"/>
    </row>
    <row r="12992" spans="8:9" x14ac:dyDescent="0.2">
      <c r="H12992" s="1"/>
      <c r="I12992" s="1"/>
    </row>
    <row r="12993" spans="8:9" x14ac:dyDescent="0.2">
      <c r="H12993" s="1"/>
      <c r="I12993" s="1"/>
    </row>
    <row r="12994" spans="8:9" x14ac:dyDescent="0.2">
      <c r="H12994" s="1"/>
      <c r="I12994" s="1"/>
    </row>
    <row r="12995" spans="8:9" x14ac:dyDescent="0.2">
      <c r="H12995" s="1"/>
      <c r="I12995" s="1"/>
    </row>
    <row r="12996" spans="8:9" x14ac:dyDescent="0.2">
      <c r="H12996" s="1"/>
      <c r="I12996" s="1"/>
    </row>
    <row r="12997" spans="8:9" x14ac:dyDescent="0.2">
      <c r="H12997" s="1"/>
      <c r="I12997" s="1"/>
    </row>
    <row r="12998" spans="8:9" x14ac:dyDescent="0.2">
      <c r="H12998" s="1"/>
      <c r="I12998" s="1"/>
    </row>
    <row r="12999" spans="8:9" x14ac:dyDescent="0.2">
      <c r="H12999" s="1"/>
      <c r="I12999" s="1"/>
    </row>
    <row r="13000" spans="8:9" x14ac:dyDescent="0.2">
      <c r="H13000" s="1"/>
      <c r="I13000" s="1"/>
    </row>
    <row r="13001" spans="8:9" x14ac:dyDescent="0.2">
      <c r="H13001" s="1"/>
      <c r="I13001" s="1"/>
    </row>
    <row r="13002" spans="8:9" x14ac:dyDescent="0.2">
      <c r="H13002" s="1"/>
      <c r="I13002" s="1"/>
    </row>
    <row r="13003" spans="8:9" x14ac:dyDescent="0.2">
      <c r="H13003" s="1"/>
      <c r="I13003" s="1"/>
    </row>
    <row r="13004" spans="8:9" x14ac:dyDescent="0.2">
      <c r="H13004" s="1"/>
      <c r="I13004" s="1"/>
    </row>
    <row r="13005" spans="8:9" x14ac:dyDescent="0.2">
      <c r="H13005" s="1"/>
      <c r="I13005" s="1"/>
    </row>
    <row r="13006" spans="8:9" x14ac:dyDescent="0.2">
      <c r="H13006" s="1"/>
      <c r="I13006" s="1"/>
    </row>
    <row r="13007" spans="8:9" x14ac:dyDescent="0.2">
      <c r="H13007" s="1"/>
      <c r="I13007" s="1"/>
    </row>
    <row r="13008" spans="8:9" x14ac:dyDescent="0.2">
      <c r="H13008" s="1"/>
      <c r="I13008" s="1"/>
    </row>
    <row r="13009" spans="8:9" x14ac:dyDescent="0.2">
      <c r="H13009" s="1"/>
      <c r="I13009" s="1"/>
    </row>
    <row r="13010" spans="8:9" x14ac:dyDescent="0.2">
      <c r="H13010" s="1"/>
      <c r="I13010" s="1"/>
    </row>
    <row r="13011" spans="8:9" x14ac:dyDescent="0.2">
      <c r="H13011" s="1"/>
      <c r="I13011" s="1"/>
    </row>
    <row r="13012" spans="8:9" x14ac:dyDescent="0.2">
      <c r="H13012" s="1"/>
      <c r="I13012" s="1"/>
    </row>
    <row r="13013" spans="8:9" x14ac:dyDescent="0.2">
      <c r="H13013" s="1"/>
      <c r="I13013" s="1"/>
    </row>
    <row r="13014" spans="8:9" x14ac:dyDescent="0.2">
      <c r="H13014" s="1"/>
      <c r="I13014" s="1"/>
    </row>
    <row r="13015" spans="8:9" x14ac:dyDescent="0.2">
      <c r="H13015" s="1"/>
      <c r="I13015" s="1"/>
    </row>
    <row r="13016" spans="8:9" x14ac:dyDescent="0.2">
      <c r="H13016" s="1"/>
      <c r="I13016" s="1"/>
    </row>
    <row r="13017" spans="8:9" x14ac:dyDescent="0.2">
      <c r="H13017" s="1"/>
      <c r="I13017" s="1"/>
    </row>
    <row r="13018" spans="8:9" x14ac:dyDescent="0.2">
      <c r="H13018" s="1"/>
      <c r="I13018" s="1"/>
    </row>
    <row r="13019" spans="8:9" x14ac:dyDescent="0.2">
      <c r="H13019" s="1"/>
      <c r="I13019" s="1"/>
    </row>
    <row r="13020" spans="8:9" x14ac:dyDescent="0.2">
      <c r="H13020" s="1"/>
      <c r="I13020" s="1"/>
    </row>
    <row r="13021" spans="8:9" x14ac:dyDescent="0.2">
      <c r="H13021" s="1"/>
      <c r="I13021" s="1"/>
    </row>
    <row r="13022" spans="8:9" x14ac:dyDescent="0.2">
      <c r="H13022" s="1"/>
      <c r="I13022" s="1"/>
    </row>
    <row r="13023" spans="8:9" x14ac:dyDescent="0.2">
      <c r="H13023" s="1"/>
      <c r="I13023" s="1"/>
    </row>
    <row r="13024" spans="8:9" x14ac:dyDescent="0.2">
      <c r="H13024" s="1"/>
      <c r="I13024" s="1"/>
    </row>
    <row r="13025" spans="8:9" x14ac:dyDescent="0.2">
      <c r="H13025" s="1"/>
      <c r="I13025" s="1"/>
    </row>
    <row r="13026" spans="8:9" x14ac:dyDescent="0.2">
      <c r="H13026" s="1"/>
      <c r="I13026" s="1"/>
    </row>
    <row r="13027" spans="8:9" x14ac:dyDescent="0.2">
      <c r="H13027" s="1"/>
      <c r="I13027" s="1"/>
    </row>
    <row r="13028" spans="8:9" x14ac:dyDescent="0.2">
      <c r="H13028" s="1"/>
      <c r="I13028" s="1"/>
    </row>
    <row r="13029" spans="8:9" x14ac:dyDescent="0.2">
      <c r="H13029" s="1"/>
      <c r="I13029" s="1"/>
    </row>
    <row r="13030" spans="8:9" x14ac:dyDescent="0.2">
      <c r="H13030" s="1"/>
      <c r="I13030" s="1"/>
    </row>
    <row r="13031" spans="8:9" x14ac:dyDescent="0.2">
      <c r="H13031" s="1"/>
      <c r="I13031" s="1"/>
    </row>
    <row r="13032" spans="8:9" x14ac:dyDescent="0.2">
      <c r="H13032" s="1"/>
      <c r="I13032" s="1"/>
    </row>
    <row r="13033" spans="8:9" x14ac:dyDescent="0.2">
      <c r="H13033" s="1"/>
      <c r="I13033" s="1"/>
    </row>
    <row r="13034" spans="8:9" x14ac:dyDescent="0.2">
      <c r="H13034" s="1"/>
      <c r="I13034" s="1"/>
    </row>
    <row r="13035" spans="8:9" x14ac:dyDescent="0.2">
      <c r="H13035" s="1"/>
      <c r="I13035" s="1"/>
    </row>
    <row r="13036" spans="8:9" x14ac:dyDescent="0.2">
      <c r="H13036" s="1"/>
      <c r="I13036" s="1"/>
    </row>
    <row r="13037" spans="8:9" x14ac:dyDescent="0.2">
      <c r="H13037" s="1"/>
      <c r="I13037" s="1"/>
    </row>
    <row r="13038" spans="8:9" x14ac:dyDescent="0.2">
      <c r="H13038" s="1"/>
      <c r="I13038" s="1"/>
    </row>
    <row r="13039" spans="8:9" x14ac:dyDescent="0.2">
      <c r="H13039" s="1"/>
      <c r="I13039" s="1"/>
    </row>
    <row r="13040" spans="8:9" x14ac:dyDescent="0.2">
      <c r="H13040" s="1"/>
      <c r="I13040" s="1"/>
    </row>
    <row r="13041" spans="8:9" x14ac:dyDescent="0.2">
      <c r="H13041" s="1"/>
      <c r="I13041" s="1"/>
    </row>
    <row r="13042" spans="8:9" x14ac:dyDescent="0.2">
      <c r="H13042" s="1"/>
      <c r="I13042" s="1"/>
    </row>
    <row r="13043" spans="8:9" x14ac:dyDescent="0.2">
      <c r="H13043" s="1"/>
      <c r="I13043" s="1"/>
    </row>
    <row r="13044" spans="8:9" x14ac:dyDescent="0.2">
      <c r="H13044" s="1"/>
      <c r="I13044" s="1"/>
    </row>
    <row r="13045" spans="8:9" x14ac:dyDescent="0.2">
      <c r="H13045" s="1"/>
      <c r="I13045" s="1"/>
    </row>
    <row r="13046" spans="8:9" x14ac:dyDescent="0.2">
      <c r="H13046" s="1"/>
      <c r="I13046" s="1"/>
    </row>
    <row r="13047" spans="8:9" x14ac:dyDescent="0.2">
      <c r="H13047" s="1"/>
      <c r="I13047" s="1"/>
    </row>
    <row r="13048" spans="8:9" x14ac:dyDescent="0.2">
      <c r="H13048" s="1"/>
      <c r="I13048" s="1"/>
    </row>
    <row r="13049" spans="8:9" x14ac:dyDescent="0.2">
      <c r="H13049" s="1"/>
      <c r="I13049" s="1"/>
    </row>
    <row r="13050" spans="8:9" x14ac:dyDescent="0.2">
      <c r="H13050" s="1"/>
      <c r="I13050" s="1"/>
    </row>
    <row r="13051" spans="8:9" x14ac:dyDescent="0.2">
      <c r="H13051" s="1"/>
      <c r="I13051" s="1"/>
    </row>
    <row r="13052" spans="8:9" x14ac:dyDescent="0.2">
      <c r="H13052" s="1"/>
      <c r="I13052" s="1"/>
    </row>
    <row r="13053" spans="8:9" x14ac:dyDescent="0.2">
      <c r="H13053" s="1"/>
      <c r="I13053" s="1"/>
    </row>
    <row r="13054" spans="8:9" x14ac:dyDescent="0.2">
      <c r="H13054" s="1"/>
      <c r="I13054" s="1"/>
    </row>
    <row r="13055" spans="8:9" x14ac:dyDescent="0.2">
      <c r="H13055" s="1"/>
      <c r="I13055" s="1"/>
    </row>
    <row r="13056" spans="8:9" x14ac:dyDescent="0.2">
      <c r="H13056" s="1"/>
      <c r="I13056" s="1"/>
    </row>
    <row r="13057" spans="8:9" x14ac:dyDescent="0.2">
      <c r="H13057" s="1"/>
      <c r="I13057" s="1"/>
    </row>
    <row r="13058" spans="8:9" x14ac:dyDescent="0.2">
      <c r="H13058" s="1"/>
      <c r="I13058" s="1"/>
    </row>
    <row r="13059" spans="8:9" x14ac:dyDescent="0.2">
      <c r="H13059" s="1"/>
      <c r="I13059" s="1"/>
    </row>
    <row r="13060" spans="8:9" x14ac:dyDescent="0.2">
      <c r="H13060" s="1"/>
      <c r="I13060" s="1"/>
    </row>
    <row r="13061" spans="8:9" x14ac:dyDescent="0.2">
      <c r="H13061" s="1"/>
      <c r="I13061" s="1"/>
    </row>
    <row r="13062" spans="8:9" x14ac:dyDescent="0.2">
      <c r="H13062" s="1"/>
      <c r="I13062" s="1"/>
    </row>
    <row r="13063" spans="8:9" x14ac:dyDescent="0.2">
      <c r="H13063" s="1"/>
      <c r="I13063" s="1"/>
    </row>
    <row r="13064" spans="8:9" x14ac:dyDescent="0.2">
      <c r="H13064" s="1"/>
      <c r="I13064" s="1"/>
    </row>
    <row r="13065" spans="8:9" x14ac:dyDescent="0.2">
      <c r="H13065" s="1"/>
      <c r="I13065" s="1"/>
    </row>
    <row r="13066" spans="8:9" x14ac:dyDescent="0.2">
      <c r="H13066" s="1"/>
      <c r="I13066" s="1"/>
    </row>
    <row r="13067" spans="8:9" x14ac:dyDescent="0.2">
      <c r="H13067" s="1"/>
      <c r="I13067" s="1"/>
    </row>
    <row r="13068" spans="8:9" x14ac:dyDescent="0.2">
      <c r="H13068" s="1"/>
      <c r="I13068" s="1"/>
    </row>
    <row r="13069" spans="8:9" x14ac:dyDescent="0.2">
      <c r="H13069" s="1"/>
      <c r="I13069" s="1"/>
    </row>
    <row r="13070" spans="8:9" x14ac:dyDescent="0.2">
      <c r="H13070" s="1"/>
      <c r="I13070" s="1"/>
    </row>
    <row r="13071" spans="8:9" x14ac:dyDescent="0.2">
      <c r="H13071" s="1"/>
      <c r="I13071" s="1"/>
    </row>
    <row r="13072" spans="8:9" x14ac:dyDescent="0.2">
      <c r="H13072" s="1"/>
      <c r="I13072" s="1"/>
    </row>
    <row r="13073" spans="8:9" x14ac:dyDescent="0.2">
      <c r="H13073" s="1"/>
      <c r="I13073" s="1"/>
    </row>
    <row r="13074" spans="8:9" x14ac:dyDescent="0.2">
      <c r="H13074" s="1"/>
      <c r="I13074" s="1"/>
    </row>
    <row r="13075" spans="8:9" x14ac:dyDescent="0.2">
      <c r="H13075" s="1"/>
      <c r="I13075" s="1"/>
    </row>
    <row r="13076" spans="8:9" x14ac:dyDescent="0.2">
      <c r="H13076" s="1"/>
      <c r="I13076" s="1"/>
    </row>
    <row r="13077" spans="8:9" x14ac:dyDescent="0.2">
      <c r="H13077" s="1"/>
      <c r="I13077" s="1"/>
    </row>
    <row r="13078" spans="8:9" x14ac:dyDescent="0.2">
      <c r="H13078" s="1"/>
      <c r="I13078" s="1"/>
    </row>
    <row r="13079" spans="8:9" x14ac:dyDescent="0.2">
      <c r="H13079" s="1"/>
      <c r="I13079" s="1"/>
    </row>
    <row r="13080" spans="8:9" x14ac:dyDescent="0.2">
      <c r="H13080" s="1"/>
      <c r="I13080" s="1"/>
    </row>
    <row r="13081" spans="8:9" x14ac:dyDescent="0.2">
      <c r="H13081" s="1"/>
      <c r="I13081" s="1"/>
    </row>
    <row r="13082" spans="8:9" x14ac:dyDescent="0.2">
      <c r="H13082" s="1"/>
      <c r="I13082" s="1"/>
    </row>
    <row r="13083" spans="8:9" x14ac:dyDescent="0.2">
      <c r="H13083" s="1"/>
      <c r="I13083" s="1"/>
    </row>
    <row r="13084" spans="8:9" x14ac:dyDescent="0.2">
      <c r="H13084" s="1"/>
      <c r="I13084" s="1"/>
    </row>
    <row r="13085" spans="8:9" x14ac:dyDescent="0.2">
      <c r="H13085" s="1"/>
      <c r="I13085" s="1"/>
    </row>
    <row r="13086" spans="8:9" x14ac:dyDescent="0.2">
      <c r="H13086" s="1"/>
      <c r="I13086" s="1"/>
    </row>
    <row r="13087" spans="8:9" x14ac:dyDescent="0.2">
      <c r="H13087" s="1"/>
      <c r="I13087" s="1"/>
    </row>
    <row r="13088" spans="8:9" x14ac:dyDescent="0.2">
      <c r="H13088" s="1"/>
      <c r="I13088" s="1"/>
    </row>
    <row r="13089" spans="8:9" x14ac:dyDescent="0.2">
      <c r="H13089" s="1"/>
      <c r="I13089" s="1"/>
    </row>
    <row r="13090" spans="8:9" x14ac:dyDescent="0.2">
      <c r="H13090" s="1"/>
      <c r="I13090" s="1"/>
    </row>
    <row r="13091" spans="8:9" x14ac:dyDescent="0.2">
      <c r="H13091" s="1"/>
      <c r="I13091" s="1"/>
    </row>
    <row r="13092" spans="8:9" x14ac:dyDescent="0.2">
      <c r="H13092" s="1"/>
      <c r="I13092" s="1"/>
    </row>
    <row r="13093" spans="8:9" x14ac:dyDescent="0.2">
      <c r="H13093" s="1"/>
      <c r="I13093" s="1"/>
    </row>
    <row r="13094" spans="8:9" x14ac:dyDescent="0.2">
      <c r="H13094" s="1"/>
      <c r="I13094" s="1"/>
    </row>
    <row r="13095" spans="8:9" x14ac:dyDescent="0.2">
      <c r="H13095" s="1"/>
      <c r="I13095" s="1"/>
    </row>
    <row r="13096" spans="8:9" x14ac:dyDescent="0.2">
      <c r="H13096" s="1"/>
      <c r="I13096" s="1"/>
    </row>
    <row r="13097" spans="8:9" x14ac:dyDescent="0.2">
      <c r="H13097" s="1"/>
      <c r="I13097" s="1"/>
    </row>
    <row r="13098" spans="8:9" x14ac:dyDescent="0.2">
      <c r="H13098" s="1"/>
      <c r="I13098" s="1"/>
    </row>
    <row r="13099" spans="8:9" x14ac:dyDescent="0.2">
      <c r="H13099" s="1"/>
      <c r="I13099" s="1"/>
    </row>
    <row r="13100" spans="8:9" x14ac:dyDescent="0.2">
      <c r="H13100" s="1"/>
      <c r="I13100" s="1"/>
    </row>
    <row r="13101" spans="8:9" x14ac:dyDescent="0.2">
      <c r="H13101" s="1"/>
      <c r="I13101" s="1"/>
    </row>
    <row r="13102" spans="8:9" x14ac:dyDescent="0.2">
      <c r="H13102" s="1"/>
      <c r="I13102" s="1"/>
    </row>
    <row r="13103" spans="8:9" x14ac:dyDescent="0.2">
      <c r="H13103" s="1"/>
      <c r="I13103" s="1"/>
    </row>
    <row r="13104" spans="8:9" x14ac:dyDescent="0.2">
      <c r="H13104" s="1"/>
      <c r="I13104" s="1"/>
    </row>
    <row r="13105" spans="8:9" x14ac:dyDescent="0.2">
      <c r="H13105" s="1"/>
      <c r="I13105" s="1"/>
    </row>
    <row r="13106" spans="8:9" x14ac:dyDescent="0.2">
      <c r="H13106" s="1"/>
      <c r="I13106" s="1"/>
    </row>
    <row r="13107" spans="8:9" x14ac:dyDescent="0.2">
      <c r="H13107" s="1"/>
      <c r="I13107" s="1"/>
    </row>
    <row r="13108" spans="8:9" x14ac:dyDescent="0.2">
      <c r="H13108" s="1"/>
      <c r="I13108" s="1"/>
    </row>
    <row r="13109" spans="8:9" x14ac:dyDescent="0.2">
      <c r="H13109" s="1"/>
      <c r="I13109" s="1"/>
    </row>
    <row r="13110" spans="8:9" x14ac:dyDescent="0.2">
      <c r="H13110" s="1"/>
      <c r="I13110" s="1"/>
    </row>
    <row r="13111" spans="8:9" x14ac:dyDescent="0.2">
      <c r="H13111" s="1"/>
      <c r="I13111" s="1"/>
    </row>
    <row r="13112" spans="8:9" x14ac:dyDescent="0.2">
      <c r="H13112" s="1"/>
      <c r="I13112" s="1"/>
    </row>
    <row r="13113" spans="8:9" x14ac:dyDescent="0.2">
      <c r="H13113" s="1"/>
      <c r="I13113" s="1"/>
    </row>
    <row r="13114" spans="8:9" x14ac:dyDescent="0.2">
      <c r="H13114" s="1"/>
      <c r="I13114" s="1"/>
    </row>
    <row r="13115" spans="8:9" x14ac:dyDescent="0.2">
      <c r="H13115" s="1"/>
      <c r="I13115" s="1"/>
    </row>
    <row r="13116" spans="8:9" x14ac:dyDescent="0.2">
      <c r="H13116" s="1"/>
      <c r="I13116" s="1"/>
    </row>
    <row r="13117" spans="8:9" x14ac:dyDescent="0.2">
      <c r="H13117" s="1"/>
      <c r="I13117" s="1"/>
    </row>
    <row r="13118" spans="8:9" x14ac:dyDescent="0.2">
      <c r="H13118" s="1"/>
      <c r="I13118" s="1"/>
    </row>
    <row r="13119" spans="8:9" x14ac:dyDescent="0.2">
      <c r="H13119" s="1"/>
      <c r="I13119" s="1"/>
    </row>
    <row r="13120" spans="8:9" x14ac:dyDescent="0.2">
      <c r="H13120" s="1"/>
      <c r="I13120" s="1"/>
    </row>
    <row r="13121" spans="8:9" x14ac:dyDescent="0.2">
      <c r="H13121" s="1"/>
      <c r="I13121" s="1"/>
    </row>
    <row r="13122" spans="8:9" x14ac:dyDescent="0.2">
      <c r="H13122" s="1"/>
      <c r="I13122" s="1"/>
    </row>
    <row r="13123" spans="8:9" x14ac:dyDescent="0.2">
      <c r="H13123" s="1"/>
      <c r="I13123" s="1"/>
    </row>
    <row r="13124" spans="8:9" x14ac:dyDescent="0.2">
      <c r="H13124" s="1"/>
      <c r="I13124" s="1"/>
    </row>
    <row r="13125" spans="8:9" x14ac:dyDescent="0.2">
      <c r="H13125" s="1"/>
      <c r="I13125" s="1"/>
    </row>
    <row r="13126" spans="8:9" x14ac:dyDescent="0.2">
      <c r="H13126" s="1"/>
      <c r="I13126" s="1"/>
    </row>
    <row r="13127" spans="8:9" x14ac:dyDescent="0.2">
      <c r="H13127" s="1"/>
      <c r="I13127" s="1"/>
    </row>
    <row r="13128" spans="8:9" x14ac:dyDescent="0.2">
      <c r="H13128" s="1"/>
      <c r="I13128" s="1"/>
    </row>
    <row r="13129" spans="8:9" x14ac:dyDescent="0.2">
      <c r="H13129" s="1"/>
      <c r="I13129" s="1"/>
    </row>
    <row r="13130" spans="8:9" x14ac:dyDescent="0.2">
      <c r="H13130" s="1"/>
      <c r="I13130" s="1"/>
    </row>
    <row r="13131" spans="8:9" x14ac:dyDescent="0.2">
      <c r="H13131" s="1"/>
      <c r="I13131" s="1"/>
    </row>
    <row r="13132" spans="8:9" x14ac:dyDescent="0.2">
      <c r="H13132" s="1"/>
      <c r="I13132" s="1"/>
    </row>
    <row r="13133" spans="8:9" x14ac:dyDescent="0.2">
      <c r="H13133" s="1"/>
      <c r="I13133" s="1"/>
    </row>
    <row r="13134" spans="8:9" x14ac:dyDescent="0.2">
      <c r="H13134" s="1"/>
      <c r="I13134" s="1"/>
    </row>
    <row r="13135" spans="8:9" x14ac:dyDescent="0.2">
      <c r="H13135" s="1"/>
      <c r="I13135" s="1"/>
    </row>
    <row r="13136" spans="8:9" x14ac:dyDescent="0.2">
      <c r="H13136" s="1"/>
      <c r="I13136" s="1"/>
    </row>
    <row r="13137" spans="8:9" x14ac:dyDescent="0.2">
      <c r="H13137" s="1"/>
      <c r="I13137" s="1"/>
    </row>
    <row r="13138" spans="8:9" x14ac:dyDescent="0.2">
      <c r="H13138" s="1"/>
      <c r="I13138" s="1"/>
    </row>
    <row r="13139" spans="8:9" x14ac:dyDescent="0.2">
      <c r="H13139" s="1"/>
      <c r="I13139" s="1"/>
    </row>
    <row r="13140" spans="8:9" x14ac:dyDescent="0.2">
      <c r="H13140" s="1"/>
      <c r="I13140" s="1"/>
    </row>
    <row r="13141" spans="8:9" x14ac:dyDescent="0.2">
      <c r="H13141" s="1"/>
      <c r="I13141" s="1"/>
    </row>
    <row r="13142" spans="8:9" x14ac:dyDescent="0.2">
      <c r="H13142" s="1"/>
      <c r="I13142" s="1"/>
    </row>
    <row r="13143" spans="8:9" x14ac:dyDescent="0.2">
      <c r="H13143" s="1"/>
      <c r="I13143" s="1"/>
    </row>
    <row r="13144" spans="8:9" x14ac:dyDescent="0.2">
      <c r="H13144" s="1"/>
      <c r="I13144" s="1"/>
    </row>
    <row r="13145" spans="8:9" x14ac:dyDescent="0.2">
      <c r="H13145" s="1"/>
      <c r="I13145" s="1"/>
    </row>
    <row r="13146" spans="8:9" x14ac:dyDescent="0.2">
      <c r="H13146" s="1"/>
      <c r="I13146" s="1"/>
    </row>
    <row r="13147" spans="8:9" x14ac:dyDescent="0.2">
      <c r="H13147" s="1"/>
      <c r="I13147" s="1"/>
    </row>
    <row r="13148" spans="8:9" x14ac:dyDescent="0.2">
      <c r="H13148" s="1"/>
      <c r="I13148" s="1"/>
    </row>
    <row r="13149" spans="8:9" x14ac:dyDescent="0.2">
      <c r="H13149" s="1"/>
      <c r="I13149" s="1"/>
    </row>
    <row r="13150" spans="8:9" x14ac:dyDescent="0.2">
      <c r="H13150" s="1"/>
      <c r="I13150" s="1"/>
    </row>
    <row r="13151" spans="8:9" x14ac:dyDescent="0.2">
      <c r="H13151" s="1"/>
      <c r="I13151" s="1"/>
    </row>
    <row r="13152" spans="8:9" x14ac:dyDescent="0.2">
      <c r="H13152" s="1"/>
      <c r="I13152" s="1"/>
    </row>
    <row r="13153" spans="8:9" x14ac:dyDescent="0.2">
      <c r="H13153" s="1"/>
      <c r="I13153" s="1"/>
    </row>
    <row r="13154" spans="8:9" x14ac:dyDescent="0.2">
      <c r="H13154" s="1"/>
      <c r="I13154" s="1"/>
    </row>
    <row r="13155" spans="8:9" x14ac:dyDescent="0.2">
      <c r="H13155" s="1"/>
      <c r="I13155" s="1"/>
    </row>
    <row r="13156" spans="8:9" x14ac:dyDescent="0.2">
      <c r="H13156" s="1"/>
      <c r="I13156" s="1"/>
    </row>
    <row r="13157" spans="8:9" x14ac:dyDescent="0.2">
      <c r="H13157" s="1"/>
      <c r="I13157" s="1"/>
    </row>
    <row r="13158" spans="8:9" x14ac:dyDescent="0.2">
      <c r="H13158" s="1"/>
      <c r="I13158" s="1"/>
    </row>
    <row r="13159" spans="8:9" x14ac:dyDescent="0.2">
      <c r="H13159" s="1"/>
      <c r="I13159" s="1"/>
    </row>
    <row r="13160" spans="8:9" x14ac:dyDescent="0.2">
      <c r="H13160" s="1"/>
      <c r="I13160" s="1"/>
    </row>
    <row r="13161" spans="8:9" x14ac:dyDescent="0.2">
      <c r="H13161" s="1"/>
      <c r="I13161" s="1"/>
    </row>
    <row r="13162" spans="8:9" x14ac:dyDescent="0.2">
      <c r="H13162" s="1"/>
      <c r="I13162" s="1"/>
    </row>
    <row r="13163" spans="8:9" x14ac:dyDescent="0.2">
      <c r="H13163" s="1"/>
      <c r="I13163" s="1"/>
    </row>
    <row r="13164" spans="8:9" x14ac:dyDescent="0.2">
      <c r="H13164" s="1"/>
      <c r="I13164" s="1"/>
    </row>
    <row r="13165" spans="8:9" x14ac:dyDescent="0.2">
      <c r="H13165" s="1"/>
      <c r="I13165" s="1"/>
    </row>
    <row r="13166" spans="8:9" x14ac:dyDescent="0.2">
      <c r="H13166" s="1"/>
      <c r="I13166" s="1"/>
    </row>
    <row r="13167" spans="8:9" x14ac:dyDescent="0.2">
      <c r="H13167" s="1"/>
      <c r="I13167" s="1"/>
    </row>
    <row r="13168" spans="8:9" x14ac:dyDescent="0.2">
      <c r="H13168" s="1"/>
      <c r="I13168" s="1"/>
    </row>
    <row r="13169" spans="8:9" x14ac:dyDescent="0.2">
      <c r="H13169" s="1"/>
      <c r="I13169" s="1"/>
    </row>
    <row r="13170" spans="8:9" x14ac:dyDescent="0.2">
      <c r="H13170" s="1"/>
      <c r="I13170" s="1"/>
    </row>
    <row r="13171" spans="8:9" x14ac:dyDescent="0.2">
      <c r="H13171" s="1"/>
      <c r="I13171" s="1"/>
    </row>
    <row r="13172" spans="8:9" x14ac:dyDescent="0.2">
      <c r="H13172" s="1"/>
      <c r="I13172" s="1"/>
    </row>
    <row r="13173" spans="8:9" x14ac:dyDescent="0.2">
      <c r="H13173" s="1"/>
      <c r="I13173" s="1"/>
    </row>
    <row r="13174" spans="8:9" x14ac:dyDescent="0.2">
      <c r="H13174" s="1"/>
      <c r="I13174" s="1"/>
    </row>
    <row r="13175" spans="8:9" x14ac:dyDescent="0.2">
      <c r="H13175" s="1"/>
      <c r="I13175" s="1"/>
    </row>
    <row r="13176" spans="8:9" x14ac:dyDescent="0.2">
      <c r="H13176" s="1"/>
      <c r="I13176" s="1"/>
    </row>
    <row r="13177" spans="8:9" x14ac:dyDescent="0.2">
      <c r="H13177" s="1"/>
      <c r="I13177" s="1"/>
    </row>
    <row r="13178" spans="8:9" x14ac:dyDescent="0.2">
      <c r="H13178" s="1"/>
      <c r="I13178" s="1"/>
    </row>
    <row r="13179" spans="8:9" x14ac:dyDescent="0.2">
      <c r="H13179" s="1"/>
      <c r="I13179" s="1"/>
    </row>
    <row r="13180" spans="8:9" x14ac:dyDescent="0.2">
      <c r="H13180" s="1"/>
      <c r="I13180" s="1"/>
    </row>
    <row r="13181" spans="8:9" x14ac:dyDescent="0.2">
      <c r="H13181" s="1"/>
      <c r="I13181" s="1"/>
    </row>
    <row r="13182" spans="8:9" x14ac:dyDescent="0.2">
      <c r="H13182" s="1"/>
      <c r="I13182" s="1"/>
    </row>
    <row r="13183" spans="8:9" x14ac:dyDescent="0.2">
      <c r="H13183" s="1"/>
      <c r="I13183" s="1"/>
    </row>
    <row r="13184" spans="8:9" x14ac:dyDescent="0.2">
      <c r="H13184" s="1"/>
      <c r="I13184" s="1"/>
    </row>
    <row r="13185" spans="8:9" x14ac:dyDescent="0.2">
      <c r="H13185" s="1"/>
      <c r="I13185" s="1"/>
    </row>
    <row r="13186" spans="8:9" x14ac:dyDescent="0.2">
      <c r="H13186" s="1"/>
      <c r="I13186" s="1"/>
    </row>
    <row r="13187" spans="8:9" x14ac:dyDescent="0.2">
      <c r="H13187" s="1"/>
      <c r="I13187" s="1"/>
    </row>
    <row r="13188" spans="8:9" x14ac:dyDescent="0.2">
      <c r="H13188" s="1"/>
      <c r="I13188" s="1"/>
    </row>
    <row r="13189" spans="8:9" x14ac:dyDescent="0.2">
      <c r="H13189" s="1"/>
      <c r="I13189" s="1"/>
    </row>
    <row r="13190" spans="8:9" x14ac:dyDescent="0.2">
      <c r="H13190" s="1"/>
      <c r="I13190" s="1"/>
    </row>
    <row r="13191" spans="8:9" x14ac:dyDescent="0.2">
      <c r="H13191" s="1"/>
      <c r="I13191" s="1"/>
    </row>
    <row r="13192" spans="8:9" x14ac:dyDescent="0.2">
      <c r="H13192" s="1"/>
      <c r="I13192" s="1"/>
    </row>
    <row r="13193" spans="8:9" x14ac:dyDescent="0.2">
      <c r="H13193" s="1"/>
      <c r="I13193" s="1"/>
    </row>
    <row r="13194" spans="8:9" x14ac:dyDescent="0.2">
      <c r="H13194" s="1"/>
      <c r="I13194" s="1"/>
    </row>
    <row r="13195" spans="8:9" x14ac:dyDescent="0.2">
      <c r="H13195" s="1"/>
      <c r="I13195" s="1"/>
    </row>
    <row r="13196" spans="8:9" x14ac:dyDescent="0.2">
      <c r="H13196" s="1"/>
      <c r="I13196" s="1"/>
    </row>
    <row r="13197" spans="8:9" x14ac:dyDescent="0.2">
      <c r="H13197" s="1"/>
      <c r="I13197" s="1"/>
    </row>
    <row r="13198" spans="8:9" x14ac:dyDescent="0.2">
      <c r="H13198" s="1"/>
      <c r="I13198" s="1"/>
    </row>
    <row r="13199" spans="8:9" x14ac:dyDescent="0.2">
      <c r="H13199" s="1"/>
      <c r="I13199" s="1"/>
    </row>
    <row r="13200" spans="8:9" x14ac:dyDescent="0.2">
      <c r="H13200" s="1"/>
      <c r="I13200" s="1"/>
    </row>
    <row r="13201" spans="8:9" x14ac:dyDescent="0.2">
      <c r="H13201" s="1"/>
      <c r="I13201" s="1"/>
    </row>
    <row r="13202" spans="8:9" x14ac:dyDescent="0.2">
      <c r="H13202" s="1"/>
      <c r="I13202" s="1"/>
    </row>
    <row r="13203" spans="8:9" x14ac:dyDescent="0.2">
      <c r="H13203" s="1"/>
      <c r="I13203" s="1"/>
    </row>
    <row r="13204" spans="8:9" x14ac:dyDescent="0.2">
      <c r="H13204" s="1"/>
      <c r="I13204" s="1"/>
    </row>
    <row r="13205" spans="8:9" x14ac:dyDescent="0.2">
      <c r="H13205" s="1"/>
      <c r="I13205" s="1"/>
    </row>
    <row r="13206" spans="8:9" x14ac:dyDescent="0.2">
      <c r="H13206" s="1"/>
      <c r="I13206" s="1"/>
    </row>
    <row r="13207" spans="8:9" x14ac:dyDescent="0.2">
      <c r="H13207" s="1"/>
      <c r="I13207" s="1"/>
    </row>
    <row r="13208" spans="8:9" x14ac:dyDescent="0.2">
      <c r="H13208" s="1"/>
      <c r="I13208" s="1"/>
    </row>
    <row r="13209" spans="8:9" x14ac:dyDescent="0.2">
      <c r="H13209" s="1"/>
      <c r="I13209" s="1"/>
    </row>
    <row r="13210" spans="8:9" x14ac:dyDescent="0.2">
      <c r="H13210" s="1"/>
      <c r="I13210" s="1"/>
    </row>
    <row r="13211" spans="8:9" x14ac:dyDescent="0.2">
      <c r="H13211" s="1"/>
      <c r="I13211" s="1"/>
    </row>
    <row r="13212" spans="8:9" x14ac:dyDescent="0.2">
      <c r="H13212" s="1"/>
      <c r="I13212" s="1"/>
    </row>
    <row r="13213" spans="8:9" x14ac:dyDescent="0.2">
      <c r="H13213" s="1"/>
      <c r="I13213" s="1"/>
    </row>
    <row r="13214" spans="8:9" x14ac:dyDescent="0.2">
      <c r="H13214" s="1"/>
      <c r="I13214" s="1"/>
    </row>
    <row r="13215" spans="8:9" x14ac:dyDescent="0.2">
      <c r="H13215" s="1"/>
      <c r="I13215" s="1"/>
    </row>
    <row r="13216" spans="8:9" x14ac:dyDescent="0.2">
      <c r="H13216" s="1"/>
      <c r="I13216" s="1"/>
    </row>
    <row r="13217" spans="8:9" x14ac:dyDescent="0.2">
      <c r="H13217" s="1"/>
      <c r="I13217" s="1"/>
    </row>
    <row r="13218" spans="8:9" x14ac:dyDescent="0.2">
      <c r="H13218" s="1"/>
      <c r="I13218" s="1"/>
    </row>
    <row r="13219" spans="8:9" x14ac:dyDescent="0.2">
      <c r="H13219" s="1"/>
      <c r="I13219" s="1"/>
    </row>
    <row r="13220" spans="8:9" x14ac:dyDescent="0.2">
      <c r="H13220" s="1"/>
      <c r="I13220" s="1"/>
    </row>
    <row r="13221" spans="8:9" x14ac:dyDescent="0.2">
      <c r="H13221" s="1"/>
      <c r="I13221" s="1"/>
    </row>
    <row r="13222" spans="8:9" x14ac:dyDescent="0.2">
      <c r="H13222" s="1"/>
      <c r="I13222" s="1"/>
    </row>
    <row r="13223" spans="8:9" x14ac:dyDescent="0.2">
      <c r="H13223" s="1"/>
      <c r="I13223" s="1"/>
    </row>
    <row r="13224" spans="8:9" x14ac:dyDescent="0.2">
      <c r="H13224" s="1"/>
      <c r="I13224" s="1"/>
    </row>
    <row r="13225" spans="8:9" x14ac:dyDescent="0.2">
      <c r="H13225" s="1"/>
      <c r="I13225" s="1"/>
    </row>
    <row r="13226" spans="8:9" x14ac:dyDescent="0.2">
      <c r="H13226" s="1"/>
      <c r="I13226" s="1"/>
    </row>
    <row r="13227" spans="8:9" x14ac:dyDescent="0.2">
      <c r="H13227" s="1"/>
      <c r="I13227" s="1"/>
    </row>
    <row r="13228" spans="8:9" x14ac:dyDescent="0.2">
      <c r="H13228" s="1"/>
      <c r="I13228" s="1"/>
    </row>
    <row r="13229" spans="8:9" x14ac:dyDescent="0.2">
      <c r="H13229" s="1"/>
      <c r="I13229" s="1"/>
    </row>
    <row r="13230" spans="8:9" x14ac:dyDescent="0.2">
      <c r="H13230" s="1"/>
      <c r="I13230" s="1"/>
    </row>
    <row r="13231" spans="8:9" x14ac:dyDescent="0.2">
      <c r="H13231" s="1"/>
      <c r="I13231" s="1"/>
    </row>
    <row r="13232" spans="8:9" x14ac:dyDescent="0.2">
      <c r="H13232" s="1"/>
      <c r="I13232" s="1"/>
    </row>
    <row r="13233" spans="8:9" x14ac:dyDescent="0.2">
      <c r="H13233" s="1"/>
      <c r="I13233" s="1"/>
    </row>
    <row r="13234" spans="8:9" x14ac:dyDescent="0.2">
      <c r="H13234" s="1"/>
      <c r="I13234" s="1"/>
    </row>
    <row r="13235" spans="8:9" x14ac:dyDescent="0.2">
      <c r="H13235" s="1"/>
      <c r="I13235" s="1"/>
    </row>
    <row r="13236" spans="8:9" x14ac:dyDescent="0.2">
      <c r="H13236" s="1"/>
      <c r="I13236" s="1"/>
    </row>
    <row r="13237" spans="8:9" x14ac:dyDescent="0.2">
      <c r="H13237" s="1"/>
      <c r="I13237" s="1"/>
    </row>
    <row r="13238" spans="8:9" x14ac:dyDescent="0.2">
      <c r="H13238" s="1"/>
      <c r="I13238" s="1"/>
    </row>
    <row r="13239" spans="8:9" x14ac:dyDescent="0.2">
      <c r="H13239" s="1"/>
      <c r="I13239" s="1"/>
    </row>
    <row r="13240" spans="8:9" x14ac:dyDescent="0.2">
      <c r="H13240" s="1"/>
      <c r="I13240" s="1"/>
    </row>
    <row r="13241" spans="8:9" x14ac:dyDescent="0.2">
      <c r="H13241" s="1"/>
      <c r="I13241" s="1"/>
    </row>
    <row r="13242" spans="8:9" x14ac:dyDescent="0.2">
      <c r="H13242" s="1"/>
      <c r="I13242" s="1"/>
    </row>
    <row r="13243" spans="8:9" x14ac:dyDescent="0.2">
      <c r="H13243" s="1"/>
      <c r="I13243" s="1"/>
    </row>
    <row r="13244" spans="8:9" x14ac:dyDescent="0.2">
      <c r="H13244" s="1"/>
      <c r="I13244" s="1"/>
    </row>
    <row r="13245" spans="8:9" x14ac:dyDescent="0.2">
      <c r="H13245" s="1"/>
      <c r="I13245" s="1"/>
    </row>
    <row r="13246" spans="8:9" x14ac:dyDescent="0.2">
      <c r="H13246" s="1"/>
      <c r="I13246" s="1"/>
    </row>
    <row r="13247" spans="8:9" x14ac:dyDescent="0.2">
      <c r="H13247" s="1"/>
      <c r="I13247" s="1"/>
    </row>
    <row r="13248" spans="8:9" x14ac:dyDescent="0.2">
      <c r="H13248" s="1"/>
      <c r="I13248" s="1"/>
    </row>
    <row r="13249" spans="8:9" x14ac:dyDescent="0.2">
      <c r="H13249" s="1"/>
      <c r="I13249" s="1"/>
    </row>
    <row r="13250" spans="8:9" x14ac:dyDescent="0.2">
      <c r="H13250" s="1"/>
      <c r="I13250" s="1"/>
    </row>
    <row r="13251" spans="8:9" x14ac:dyDescent="0.2">
      <c r="H13251" s="1"/>
      <c r="I13251" s="1"/>
    </row>
    <row r="13252" spans="8:9" x14ac:dyDescent="0.2">
      <c r="H13252" s="1"/>
      <c r="I13252" s="1"/>
    </row>
    <row r="13253" spans="8:9" x14ac:dyDescent="0.2">
      <c r="H13253" s="1"/>
      <c r="I13253" s="1"/>
    </row>
    <row r="13254" spans="8:9" x14ac:dyDescent="0.2">
      <c r="H13254" s="1"/>
      <c r="I13254" s="1"/>
    </row>
    <row r="13255" spans="8:9" x14ac:dyDescent="0.2">
      <c r="H13255" s="1"/>
      <c r="I13255" s="1"/>
    </row>
    <row r="13256" spans="8:9" x14ac:dyDescent="0.2">
      <c r="H13256" s="1"/>
      <c r="I13256" s="1"/>
    </row>
    <row r="13257" spans="8:9" x14ac:dyDescent="0.2">
      <c r="H13257" s="1"/>
      <c r="I13257" s="1"/>
    </row>
    <row r="13258" spans="8:9" x14ac:dyDescent="0.2">
      <c r="H13258" s="1"/>
      <c r="I13258" s="1"/>
    </row>
    <row r="13259" spans="8:9" x14ac:dyDescent="0.2">
      <c r="H13259" s="1"/>
      <c r="I13259" s="1"/>
    </row>
    <row r="13260" spans="8:9" x14ac:dyDescent="0.2">
      <c r="H13260" s="1"/>
      <c r="I13260" s="1"/>
    </row>
    <row r="13261" spans="8:9" x14ac:dyDescent="0.2">
      <c r="H13261" s="1"/>
      <c r="I13261" s="1"/>
    </row>
    <row r="13262" spans="8:9" x14ac:dyDescent="0.2">
      <c r="H13262" s="1"/>
      <c r="I13262" s="1"/>
    </row>
    <row r="13263" spans="8:9" x14ac:dyDescent="0.2">
      <c r="H13263" s="1"/>
      <c r="I13263" s="1"/>
    </row>
    <row r="13264" spans="8:9" x14ac:dyDescent="0.2">
      <c r="H13264" s="1"/>
      <c r="I13264" s="1"/>
    </row>
    <row r="13265" spans="8:9" x14ac:dyDescent="0.2">
      <c r="H13265" s="1"/>
      <c r="I13265" s="1"/>
    </row>
    <row r="13266" spans="8:9" x14ac:dyDescent="0.2">
      <c r="H13266" s="1"/>
      <c r="I13266" s="1"/>
    </row>
    <row r="13267" spans="8:9" x14ac:dyDescent="0.2">
      <c r="H13267" s="1"/>
      <c r="I13267" s="1"/>
    </row>
    <row r="13268" spans="8:9" x14ac:dyDescent="0.2">
      <c r="H13268" s="1"/>
      <c r="I13268" s="1"/>
    </row>
    <row r="13269" spans="8:9" x14ac:dyDescent="0.2">
      <c r="H13269" s="1"/>
      <c r="I13269" s="1"/>
    </row>
    <row r="13270" spans="8:9" x14ac:dyDescent="0.2">
      <c r="H13270" s="1"/>
      <c r="I13270" s="1"/>
    </row>
    <row r="13271" spans="8:9" x14ac:dyDescent="0.2">
      <c r="H13271" s="1"/>
      <c r="I13271" s="1"/>
    </row>
    <row r="13272" spans="8:9" x14ac:dyDescent="0.2">
      <c r="H13272" s="1"/>
      <c r="I13272" s="1"/>
    </row>
    <row r="13273" spans="8:9" x14ac:dyDescent="0.2">
      <c r="H13273" s="1"/>
      <c r="I13273" s="1"/>
    </row>
    <row r="13274" spans="8:9" x14ac:dyDescent="0.2">
      <c r="H13274" s="1"/>
      <c r="I13274" s="1"/>
    </row>
    <row r="13275" spans="8:9" x14ac:dyDescent="0.2">
      <c r="H13275" s="1"/>
      <c r="I13275" s="1"/>
    </row>
    <row r="13276" spans="8:9" x14ac:dyDescent="0.2">
      <c r="H13276" s="1"/>
      <c r="I13276" s="1"/>
    </row>
    <row r="13277" spans="8:9" x14ac:dyDescent="0.2">
      <c r="H13277" s="1"/>
      <c r="I13277" s="1"/>
    </row>
    <row r="13278" spans="8:9" x14ac:dyDescent="0.2">
      <c r="H13278" s="1"/>
      <c r="I13278" s="1"/>
    </row>
    <row r="13279" spans="8:9" x14ac:dyDescent="0.2">
      <c r="H13279" s="1"/>
      <c r="I13279" s="1"/>
    </row>
    <row r="13280" spans="8:9" x14ac:dyDescent="0.2">
      <c r="H13280" s="1"/>
      <c r="I13280" s="1"/>
    </row>
    <row r="13281" spans="8:9" x14ac:dyDescent="0.2">
      <c r="H13281" s="1"/>
      <c r="I13281" s="1"/>
    </row>
    <row r="13282" spans="8:9" x14ac:dyDescent="0.2">
      <c r="H13282" s="1"/>
      <c r="I13282" s="1"/>
    </row>
    <row r="13283" spans="8:9" x14ac:dyDescent="0.2">
      <c r="H13283" s="1"/>
      <c r="I13283" s="1"/>
    </row>
    <row r="13284" spans="8:9" x14ac:dyDescent="0.2">
      <c r="H13284" s="1"/>
      <c r="I13284" s="1"/>
    </row>
    <row r="13285" spans="8:9" x14ac:dyDescent="0.2">
      <c r="H13285" s="1"/>
      <c r="I13285" s="1"/>
    </row>
    <row r="13286" spans="8:9" x14ac:dyDescent="0.2">
      <c r="H13286" s="1"/>
      <c r="I13286" s="1"/>
    </row>
    <row r="13287" spans="8:9" x14ac:dyDescent="0.2">
      <c r="H13287" s="1"/>
      <c r="I13287" s="1"/>
    </row>
    <row r="13288" spans="8:9" x14ac:dyDescent="0.2">
      <c r="H13288" s="1"/>
      <c r="I13288" s="1"/>
    </row>
    <row r="13289" spans="8:9" x14ac:dyDescent="0.2">
      <c r="H13289" s="1"/>
      <c r="I13289" s="1"/>
    </row>
    <row r="13290" spans="8:9" x14ac:dyDescent="0.2">
      <c r="H13290" s="1"/>
      <c r="I13290" s="1"/>
    </row>
    <row r="13291" spans="8:9" x14ac:dyDescent="0.2">
      <c r="H13291" s="1"/>
      <c r="I13291" s="1"/>
    </row>
    <row r="13292" spans="8:9" x14ac:dyDescent="0.2">
      <c r="H13292" s="1"/>
      <c r="I13292" s="1"/>
    </row>
    <row r="13293" spans="8:9" x14ac:dyDescent="0.2">
      <c r="H13293" s="1"/>
      <c r="I13293" s="1"/>
    </row>
    <row r="13294" spans="8:9" x14ac:dyDescent="0.2">
      <c r="H13294" s="1"/>
      <c r="I13294" s="1"/>
    </row>
    <row r="13295" spans="8:9" x14ac:dyDescent="0.2">
      <c r="H13295" s="1"/>
      <c r="I13295" s="1"/>
    </row>
    <row r="13296" spans="8:9" x14ac:dyDescent="0.2">
      <c r="H13296" s="1"/>
      <c r="I13296" s="1"/>
    </row>
    <row r="13297" spans="8:9" x14ac:dyDescent="0.2">
      <c r="H13297" s="1"/>
      <c r="I13297" s="1"/>
    </row>
    <row r="13298" spans="8:9" x14ac:dyDescent="0.2">
      <c r="H13298" s="1"/>
      <c r="I13298" s="1"/>
    </row>
    <row r="13299" spans="8:9" x14ac:dyDescent="0.2">
      <c r="H13299" s="1"/>
      <c r="I13299" s="1"/>
    </row>
    <row r="13300" spans="8:9" x14ac:dyDescent="0.2">
      <c r="H13300" s="1"/>
      <c r="I13300" s="1"/>
    </row>
    <row r="13301" spans="8:9" x14ac:dyDescent="0.2">
      <c r="H13301" s="1"/>
      <c r="I13301" s="1"/>
    </row>
    <row r="13302" spans="8:9" x14ac:dyDescent="0.2">
      <c r="H13302" s="1"/>
      <c r="I13302" s="1"/>
    </row>
    <row r="13303" spans="8:9" x14ac:dyDescent="0.2">
      <c r="H13303" s="1"/>
      <c r="I13303" s="1"/>
    </row>
    <row r="13304" spans="8:9" x14ac:dyDescent="0.2">
      <c r="H13304" s="1"/>
      <c r="I13304" s="1"/>
    </row>
    <row r="13305" spans="8:9" x14ac:dyDescent="0.2">
      <c r="H13305" s="1"/>
      <c r="I13305" s="1"/>
    </row>
    <row r="13306" spans="8:9" x14ac:dyDescent="0.2">
      <c r="H13306" s="1"/>
      <c r="I13306" s="1"/>
    </row>
    <row r="13307" spans="8:9" x14ac:dyDescent="0.2">
      <c r="H13307" s="1"/>
      <c r="I13307" s="1"/>
    </row>
    <row r="13308" spans="8:9" x14ac:dyDescent="0.2">
      <c r="H13308" s="1"/>
      <c r="I13308" s="1"/>
    </row>
    <row r="13309" spans="8:9" x14ac:dyDescent="0.2">
      <c r="H13309" s="1"/>
      <c r="I13309" s="1"/>
    </row>
    <row r="13310" spans="8:9" x14ac:dyDescent="0.2">
      <c r="H13310" s="1"/>
      <c r="I13310" s="1"/>
    </row>
    <row r="13311" spans="8:9" x14ac:dyDescent="0.2">
      <c r="H13311" s="1"/>
      <c r="I13311" s="1"/>
    </row>
    <row r="13312" spans="8:9" x14ac:dyDescent="0.2">
      <c r="H13312" s="1"/>
      <c r="I13312" s="1"/>
    </row>
    <row r="13313" spans="8:9" x14ac:dyDescent="0.2">
      <c r="H13313" s="1"/>
      <c r="I13313" s="1"/>
    </row>
    <row r="13314" spans="8:9" x14ac:dyDescent="0.2">
      <c r="H13314" s="1"/>
      <c r="I13314" s="1"/>
    </row>
    <row r="13315" spans="8:9" x14ac:dyDescent="0.2">
      <c r="H13315" s="1"/>
      <c r="I13315" s="1"/>
    </row>
    <row r="13316" spans="8:9" x14ac:dyDescent="0.2">
      <c r="H13316" s="1"/>
      <c r="I13316" s="1"/>
    </row>
    <row r="13317" spans="8:9" x14ac:dyDescent="0.2">
      <c r="H13317" s="1"/>
      <c r="I13317" s="1"/>
    </row>
    <row r="13318" spans="8:9" x14ac:dyDescent="0.2">
      <c r="H13318" s="1"/>
      <c r="I13318" s="1"/>
    </row>
    <row r="13319" spans="8:9" x14ac:dyDescent="0.2">
      <c r="H13319" s="1"/>
      <c r="I13319" s="1"/>
    </row>
    <row r="13320" spans="8:9" x14ac:dyDescent="0.2">
      <c r="H13320" s="1"/>
      <c r="I13320" s="1"/>
    </row>
    <row r="13321" spans="8:9" x14ac:dyDescent="0.2">
      <c r="H13321" s="1"/>
      <c r="I13321" s="1"/>
    </row>
    <row r="13322" spans="8:9" x14ac:dyDescent="0.2">
      <c r="H13322" s="1"/>
      <c r="I13322" s="1"/>
    </row>
    <row r="13323" spans="8:9" x14ac:dyDescent="0.2">
      <c r="H13323" s="1"/>
      <c r="I13323" s="1"/>
    </row>
    <row r="13324" spans="8:9" x14ac:dyDescent="0.2">
      <c r="H13324" s="1"/>
      <c r="I13324" s="1"/>
    </row>
    <row r="13325" spans="8:9" x14ac:dyDescent="0.2">
      <c r="H13325" s="1"/>
      <c r="I13325" s="1"/>
    </row>
    <row r="13326" spans="8:9" x14ac:dyDescent="0.2">
      <c r="H13326" s="1"/>
      <c r="I13326" s="1"/>
    </row>
    <row r="13327" spans="8:9" x14ac:dyDescent="0.2">
      <c r="H13327" s="1"/>
      <c r="I13327" s="1"/>
    </row>
    <row r="13328" spans="8:9" x14ac:dyDescent="0.2">
      <c r="H13328" s="1"/>
      <c r="I13328" s="1"/>
    </row>
    <row r="13329" spans="8:9" x14ac:dyDescent="0.2">
      <c r="H13329" s="1"/>
      <c r="I13329" s="1"/>
    </row>
    <row r="13330" spans="8:9" x14ac:dyDescent="0.2">
      <c r="H13330" s="1"/>
      <c r="I13330" s="1"/>
    </row>
    <row r="13331" spans="8:9" x14ac:dyDescent="0.2">
      <c r="H13331" s="1"/>
      <c r="I13331" s="1"/>
    </row>
    <row r="13332" spans="8:9" x14ac:dyDescent="0.2">
      <c r="H13332" s="1"/>
      <c r="I13332" s="1"/>
    </row>
    <row r="13333" spans="8:9" x14ac:dyDescent="0.2">
      <c r="H13333" s="1"/>
      <c r="I13333" s="1"/>
    </row>
    <row r="13334" spans="8:9" x14ac:dyDescent="0.2">
      <c r="H13334" s="1"/>
      <c r="I13334" s="1"/>
    </row>
    <row r="13335" spans="8:9" x14ac:dyDescent="0.2">
      <c r="H13335" s="1"/>
      <c r="I13335" s="1"/>
    </row>
    <row r="13336" spans="8:9" x14ac:dyDescent="0.2">
      <c r="H13336" s="1"/>
      <c r="I13336" s="1"/>
    </row>
    <row r="13337" spans="8:9" x14ac:dyDescent="0.2">
      <c r="H13337" s="1"/>
      <c r="I13337" s="1"/>
    </row>
    <row r="13338" spans="8:9" x14ac:dyDescent="0.2">
      <c r="H13338" s="1"/>
      <c r="I13338" s="1"/>
    </row>
    <row r="13339" spans="8:9" x14ac:dyDescent="0.2">
      <c r="H13339" s="1"/>
      <c r="I13339" s="1"/>
    </row>
    <row r="13340" spans="8:9" x14ac:dyDescent="0.2">
      <c r="H13340" s="1"/>
      <c r="I13340" s="1"/>
    </row>
    <row r="13341" spans="8:9" x14ac:dyDescent="0.2">
      <c r="H13341" s="1"/>
      <c r="I13341" s="1"/>
    </row>
    <row r="13342" spans="8:9" x14ac:dyDescent="0.2">
      <c r="H13342" s="1"/>
      <c r="I13342" s="1"/>
    </row>
    <row r="13343" spans="8:9" x14ac:dyDescent="0.2">
      <c r="H13343" s="1"/>
      <c r="I13343" s="1"/>
    </row>
    <row r="13344" spans="8:9" x14ac:dyDescent="0.2">
      <c r="H13344" s="1"/>
      <c r="I13344" s="1"/>
    </row>
    <row r="13345" spans="8:9" x14ac:dyDescent="0.2">
      <c r="H13345" s="1"/>
      <c r="I13345" s="1"/>
    </row>
    <row r="13346" spans="8:9" x14ac:dyDescent="0.2">
      <c r="H13346" s="1"/>
      <c r="I13346" s="1"/>
    </row>
    <row r="13347" spans="8:9" x14ac:dyDescent="0.2">
      <c r="H13347" s="1"/>
      <c r="I13347" s="1"/>
    </row>
    <row r="13348" spans="8:9" x14ac:dyDescent="0.2">
      <c r="H13348" s="1"/>
      <c r="I13348" s="1"/>
    </row>
    <row r="13349" spans="8:9" x14ac:dyDescent="0.2">
      <c r="H13349" s="1"/>
      <c r="I13349" s="1"/>
    </row>
    <row r="13350" spans="8:9" x14ac:dyDescent="0.2">
      <c r="H13350" s="1"/>
      <c r="I13350" s="1"/>
    </row>
    <row r="13351" spans="8:9" x14ac:dyDescent="0.2">
      <c r="H13351" s="1"/>
      <c r="I13351" s="1"/>
    </row>
    <row r="13352" spans="8:9" x14ac:dyDescent="0.2">
      <c r="H13352" s="1"/>
      <c r="I13352" s="1"/>
    </row>
    <row r="13353" spans="8:9" x14ac:dyDescent="0.2">
      <c r="H13353" s="1"/>
      <c r="I13353" s="1"/>
    </row>
    <row r="13354" spans="8:9" x14ac:dyDescent="0.2">
      <c r="H13354" s="1"/>
      <c r="I13354" s="1"/>
    </row>
    <row r="13355" spans="8:9" x14ac:dyDescent="0.2">
      <c r="H13355" s="1"/>
      <c r="I13355" s="1"/>
    </row>
    <row r="13356" spans="8:9" x14ac:dyDescent="0.2">
      <c r="H13356" s="1"/>
      <c r="I13356" s="1"/>
    </row>
    <row r="13357" spans="8:9" x14ac:dyDescent="0.2">
      <c r="H13357" s="1"/>
      <c r="I13357" s="1"/>
    </row>
    <row r="13358" spans="8:9" x14ac:dyDescent="0.2">
      <c r="H13358" s="1"/>
      <c r="I13358" s="1"/>
    </row>
    <row r="13359" spans="8:9" x14ac:dyDescent="0.2">
      <c r="H13359" s="1"/>
      <c r="I13359" s="1"/>
    </row>
    <row r="13360" spans="8:9" x14ac:dyDescent="0.2">
      <c r="H13360" s="1"/>
      <c r="I13360" s="1"/>
    </row>
    <row r="13361" spans="8:9" x14ac:dyDescent="0.2">
      <c r="H13361" s="1"/>
      <c r="I13361" s="1"/>
    </row>
    <row r="13362" spans="8:9" x14ac:dyDescent="0.2">
      <c r="H13362" s="1"/>
      <c r="I13362" s="1"/>
    </row>
    <row r="13363" spans="8:9" x14ac:dyDescent="0.2">
      <c r="H13363" s="1"/>
      <c r="I13363" s="1"/>
    </row>
    <row r="13364" spans="8:9" x14ac:dyDescent="0.2">
      <c r="H13364" s="1"/>
      <c r="I13364" s="1"/>
    </row>
    <row r="13365" spans="8:9" x14ac:dyDescent="0.2">
      <c r="H13365" s="1"/>
      <c r="I13365" s="1"/>
    </row>
    <row r="13366" spans="8:9" x14ac:dyDescent="0.2">
      <c r="H13366" s="1"/>
      <c r="I13366" s="1"/>
    </row>
    <row r="13367" spans="8:9" x14ac:dyDescent="0.2">
      <c r="H13367" s="1"/>
      <c r="I13367" s="1"/>
    </row>
    <row r="13368" spans="8:9" x14ac:dyDescent="0.2">
      <c r="H13368" s="1"/>
      <c r="I13368" s="1"/>
    </row>
    <row r="13369" spans="8:9" x14ac:dyDescent="0.2">
      <c r="H13369" s="1"/>
      <c r="I13369" s="1"/>
    </row>
    <row r="13370" spans="8:9" x14ac:dyDescent="0.2">
      <c r="H13370" s="1"/>
      <c r="I13370" s="1"/>
    </row>
    <row r="13371" spans="8:9" x14ac:dyDescent="0.2">
      <c r="H13371" s="1"/>
      <c r="I13371" s="1"/>
    </row>
    <row r="13372" spans="8:9" x14ac:dyDescent="0.2">
      <c r="H13372" s="1"/>
      <c r="I13372" s="1"/>
    </row>
    <row r="13373" spans="8:9" x14ac:dyDescent="0.2">
      <c r="H13373" s="1"/>
      <c r="I13373" s="1"/>
    </row>
    <row r="13374" spans="8:9" x14ac:dyDescent="0.2">
      <c r="H13374" s="1"/>
      <c r="I13374" s="1"/>
    </row>
    <row r="13375" spans="8:9" x14ac:dyDescent="0.2">
      <c r="H13375" s="1"/>
      <c r="I13375" s="1"/>
    </row>
    <row r="13376" spans="8:9" x14ac:dyDescent="0.2">
      <c r="H13376" s="1"/>
      <c r="I13376" s="1"/>
    </row>
    <row r="13377" spans="8:9" x14ac:dyDescent="0.2">
      <c r="H13377" s="1"/>
      <c r="I13377" s="1"/>
    </row>
    <row r="13378" spans="8:9" x14ac:dyDescent="0.2">
      <c r="H13378" s="1"/>
      <c r="I13378" s="1"/>
    </row>
    <row r="13379" spans="8:9" x14ac:dyDescent="0.2">
      <c r="H13379" s="1"/>
      <c r="I13379" s="1"/>
    </row>
    <row r="13380" spans="8:9" x14ac:dyDescent="0.2">
      <c r="H13380" s="1"/>
      <c r="I13380" s="1"/>
    </row>
    <row r="13381" spans="8:9" x14ac:dyDescent="0.2">
      <c r="H13381" s="1"/>
      <c r="I13381" s="1"/>
    </row>
    <row r="13382" spans="8:9" x14ac:dyDescent="0.2">
      <c r="H13382" s="1"/>
      <c r="I13382" s="1"/>
    </row>
    <row r="13383" spans="8:9" x14ac:dyDescent="0.2">
      <c r="H13383" s="1"/>
      <c r="I13383" s="1"/>
    </row>
    <row r="13384" spans="8:9" x14ac:dyDescent="0.2">
      <c r="H13384" s="1"/>
      <c r="I13384" s="1"/>
    </row>
    <row r="13385" spans="8:9" x14ac:dyDescent="0.2">
      <c r="H13385" s="1"/>
      <c r="I13385" s="1"/>
    </row>
    <row r="13386" spans="8:9" x14ac:dyDescent="0.2">
      <c r="H13386" s="1"/>
      <c r="I13386" s="1"/>
    </row>
    <row r="13387" spans="8:9" x14ac:dyDescent="0.2">
      <c r="H13387" s="1"/>
      <c r="I13387" s="1"/>
    </row>
    <row r="13388" spans="8:9" x14ac:dyDescent="0.2">
      <c r="H13388" s="1"/>
      <c r="I13388" s="1"/>
    </row>
    <row r="13389" spans="8:9" x14ac:dyDescent="0.2">
      <c r="H13389" s="1"/>
      <c r="I13389" s="1"/>
    </row>
    <row r="13390" spans="8:9" x14ac:dyDescent="0.2">
      <c r="H13390" s="1"/>
      <c r="I13390" s="1"/>
    </row>
    <row r="13391" spans="8:9" x14ac:dyDescent="0.2">
      <c r="H13391" s="1"/>
      <c r="I13391" s="1"/>
    </row>
    <row r="13392" spans="8:9" x14ac:dyDescent="0.2">
      <c r="H13392" s="1"/>
      <c r="I13392" s="1"/>
    </row>
    <row r="13393" spans="8:9" x14ac:dyDescent="0.2">
      <c r="H13393" s="1"/>
      <c r="I13393" s="1"/>
    </row>
    <row r="13394" spans="8:9" x14ac:dyDescent="0.2">
      <c r="H13394" s="1"/>
      <c r="I13394" s="1"/>
    </row>
    <row r="13395" spans="8:9" x14ac:dyDescent="0.2">
      <c r="H13395" s="1"/>
      <c r="I13395" s="1"/>
    </row>
    <row r="13396" spans="8:9" x14ac:dyDescent="0.2">
      <c r="H13396" s="1"/>
      <c r="I13396" s="1"/>
    </row>
    <row r="13397" spans="8:9" x14ac:dyDescent="0.2">
      <c r="H13397" s="1"/>
      <c r="I13397" s="1"/>
    </row>
    <row r="13398" spans="8:9" x14ac:dyDescent="0.2">
      <c r="H13398" s="1"/>
      <c r="I13398" s="1"/>
    </row>
    <row r="13399" spans="8:9" x14ac:dyDescent="0.2">
      <c r="H13399" s="1"/>
      <c r="I13399" s="1"/>
    </row>
    <row r="13400" spans="8:9" x14ac:dyDescent="0.2">
      <c r="H13400" s="1"/>
      <c r="I13400" s="1"/>
    </row>
    <row r="13401" spans="8:9" x14ac:dyDescent="0.2">
      <c r="H13401" s="1"/>
      <c r="I13401" s="1"/>
    </row>
    <row r="13402" spans="8:9" x14ac:dyDescent="0.2">
      <c r="H13402" s="1"/>
      <c r="I13402" s="1"/>
    </row>
    <row r="13403" spans="8:9" x14ac:dyDescent="0.2">
      <c r="H13403" s="1"/>
      <c r="I13403" s="1"/>
    </row>
    <row r="13404" spans="8:9" x14ac:dyDescent="0.2">
      <c r="H13404" s="1"/>
      <c r="I13404" s="1"/>
    </row>
    <row r="13405" spans="8:9" x14ac:dyDescent="0.2">
      <c r="H13405" s="1"/>
      <c r="I13405" s="1"/>
    </row>
    <row r="13406" spans="8:9" x14ac:dyDescent="0.2">
      <c r="H13406" s="1"/>
      <c r="I13406" s="1"/>
    </row>
    <row r="13407" spans="8:9" x14ac:dyDescent="0.2">
      <c r="H13407" s="1"/>
      <c r="I13407" s="1"/>
    </row>
    <row r="13408" spans="8:9" x14ac:dyDescent="0.2">
      <c r="H13408" s="1"/>
      <c r="I13408" s="1"/>
    </row>
    <row r="13409" spans="8:9" x14ac:dyDescent="0.2">
      <c r="H13409" s="1"/>
      <c r="I13409" s="1"/>
    </row>
    <row r="13410" spans="8:9" x14ac:dyDescent="0.2">
      <c r="H13410" s="1"/>
      <c r="I13410" s="1"/>
    </row>
    <row r="13411" spans="8:9" x14ac:dyDescent="0.2">
      <c r="H13411" s="1"/>
      <c r="I13411" s="1"/>
    </row>
    <row r="13412" spans="8:9" x14ac:dyDescent="0.2">
      <c r="H13412" s="1"/>
      <c r="I13412" s="1"/>
    </row>
    <row r="13413" spans="8:9" x14ac:dyDescent="0.2">
      <c r="H13413" s="1"/>
      <c r="I13413" s="1"/>
    </row>
    <row r="13414" spans="8:9" x14ac:dyDescent="0.2">
      <c r="H13414" s="1"/>
      <c r="I13414" s="1"/>
    </row>
    <row r="13415" spans="8:9" x14ac:dyDescent="0.2">
      <c r="H13415" s="1"/>
      <c r="I13415" s="1"/>
    </row>
    <row r="13416" spans="8:9" x14ac:dyDescent="0.2">
      <c r="H13416" s="1"/>
      <c r="I13416" s="1"/>
    </row>
    <row r="13417" spans="8:9" x14ac:dyDescent="0.2">
      <c r="H13417" s="1"/>
      <c r="I13417" s="1"/>
    </row>
    <row r="13418" spans="8:9" x14ac:dyDescent="0.2">
      <c r="H13418" s="1"/>
      <c r="I13418" s="1"/>
    </row>
    <row r="13419" spans="8:9" x14ac:dyDescent="0.2">
      <c r="H13419" s="1"/>
      <c r="I13419" s="1"/>
    </row>
    <row r="13420" spans="8:9" x14ac:dyDescent="0.2">
      <c r="H13420" s="1"/>
      <c r="I13420" s="1"/>
    </row>
    <row r="13421" spans="8:9" x14ac:dyDescent="0.2">
      <c r="H13421" s="1"/>
      <c r="I13421" s="1"/>
    </row>
    <row r="13422" spans="8:9" x14ac:dyDescent="0.2">
      <c r="H13422" s="1"/>
      <c r="I13422" s="1"/>
    </row>
    <row r="13423" spans="8:9" x14ac:dyDescent="0.2">
      <c r="H13423" s="1"/>
      <c r="I13423" s="1"/>
    </row>
    <row r="13424" spans="8:9" x14ac:dyDescent="0.2">
      <c r="H13424" s="1"/>
      <c r="I13424" s="1"/>
    </row>
    <row r="13425" spans="8:9" x14ac:dyDescent="0.2">
      <c r="H13425" s="1"/>
      <c r="I13425" s="1"/>
    </row>
    <row r="13426" spans="8:9" x14ac:dyDescent="0.2">
      <c r="H13426" s="1"/>
      <c r="I13426" s="1"/>
    </row>
    <row r="13427" spans="8:9" x14ac:dyDescent="0.2">
      <c r="H13427" s="1"/>
      <c r="I13427" s="1"/>
    </row>
    <row r="13428" spans="8:9" x14ac:dyDescent="0.2">
      <c r="H13428" s="1"/>
      <c r="I13428" s="1"/>
    </row>
    <row r="13429" spans="8:9" x14ac:dyDescent="0.2">
      <c r="H13429" s="1"/>
      <c r="I13429" s="1"/>
    </row>
    <row r="13430" spans="8:9" x14ac:dyDescent="0.2">
      <c r="H13430" s="1"/>
      <c r="I13430" s="1"/>
    </row>
    <row r="13431" spans="8:9" x14ac:dyDescent="0.2">
      <c r="H13431" s="1"/>
      <c r="I13431" s="1"/>
    </row>
    <row r="13432" spans="8:9" x14ac:dyDescent="0.2">
      <c r="H13432" s="1"/>
      <c r="I13432" s="1"/>
    </row>
    <row r="13433" spans="8:9" x14ac:dyDescent="0.2">
      <c r="H13433" s="1"/>
      <c r="I13433" s="1"/>
    </row>
    <row r="13434" spans="8:9" x14ac:dyDescent="0.2">
      <c r="H13434" s="1"/>
      <c r="I13434" s="1"/>
    </row>
    <row r="13435" spans="8:9" x14ac:dyDescent="0.2">
      <c r="H13435" s="1"/>
      <c r="I13435" s="1"/>
    </row>
    <row r="13436" spans="8:9" x14ac:dyDescent="0.2">
      <c r="H13436" s="1"/>
      <c r="I13436" s="1"/>
    </row>
    <row r="13437" spans="8:9" x14ac:dyDescent="0.2">
      <c r="H13437" s="1"/>
      <c r="I13437" s="1"/>
    </row>
    <row r="13438" spans="8:9" x14ac:dyDescent="0.2">
      <c r="H13438" s="1"/>
      <c r="I13438" s="1"/>
    </row>
    <row r="13439" spans="8:9" x14ac:dyDescent="0.2">
      <c r="H13439" s="1"/>
      <c r="I13439" s="1"/>
    </row>
    <row r="13440" spans="8:9" x14ac:dyDescent="0.2">
      <c r="H13440" s="1"/>
      <c r="I13440" s="1"/>
    </row>
    <row r="13441" spans="8:9" x14ac:dyDescent="0.2">
      <c r="H13441" s="1"/>
      <c r="I13441" s="1"/>
    </row>
    <row r="13442" spans="8:9" x14ac:dyDescent="0.2">
      <c r="H13442" s="1"/>
      <c r="I13442" s="1"/>
    </row>
    <row r="13443" spans="8:9" x14ac:dyDescent="0.2">
      <c r="H13443" s="1"/>
      <c r="I13443" s="1"/>
    </row>
    <row r="13444" spans="8:9" x14ac:dyDescent="0.2">
      <c r="H13444" s="1"/>
      <c r="I13444" s="1"/>
    </row>
    <row r="13445" spans="8:9" x14ac:dyDescent="0.2">
      <c r="H13445" s="1"/>
      <c r="I13445" s="1"/>
    </row>
    <row r="13446" spans="8:9" x14ac:dyDescent="0.2">
      <c r="H13446" s="1"/>
      <c r="I13446" s="1"/>
    </row>
    <row r="13447" spans="8:9" x14ac:dyDescent="0.2">
      <c r="H13447" s="1"/>
      <c r="I13447" s="1"/>
    </row>
    <row r="13448" spans="8:9" x14ac:dyDescent="0.2">
      <c r="H13448" s="1"/>
      <c r="I13448" s="1"/>
    </row>
    <row r="13449" spans="8:9" x14ac:dyDescent="0.2">
      <c r="H13449" s="1"/>
      <c r="I13449" s="1"/>
    </row>
    <row r="13450" spans="8:9" x14ac:dyDescent="0.2">
      <c r="H13450" s="1"/>
      <c r="I13450" s="1"/>
    </row>
    <row r="13451" spans="8:9" x14ac:dyDescent="0.2">
      <c r="H13451" s="1"/>
      <c r="I13451" s="1"/>
    </row>
    <row r="13452" spans="8:9" x14ac:dyDescent="0.2">
      <c r="H13452" s="1"/>
      <c r="I13452" s="1"/>
    </row>
    <row r="13453" spans="8:9" x14ac:dyDescent="0.2">
      <c r="H13453" s="1"/>
      <c r="I13453" s="1"/>
    </row>
    <row r="13454" spans="8:9" x14ac:dyDescent="0.2">
      <c r="H13454" s="1"/>
      <c r="I13454" s="1"/>
    </row>
    <row r="13455" spans="8:9" x14ac:dyDescent="0.2">
      <c r="H13455" s="1"/>
      <c r="I13455" s="1"/>
    </row>
    <row r="13456" spans="8:9" x14ac:dyDescent="0.2">
      <c r="H13456" s="1"/>
      <c r="I13456" s="1"/>
    </row>
    <row r="13457" spans="8:9" x14ac:dyDescent="0.2">
      <c r="H13457" s="1"/>
      <c r="I13457" s="1"/>
    </row>
    <row r="13458" spans="8:9" x14ac:dyDescent="0.2">
      <c r="H13458" s="1"/>
      <c r="I13458" s="1"/>
    </row>
    <row r="13459" spans="8:9" x14ac:dyDescent="0.2">
      <c r="H13459" s="1"/>
      <c r="I13459" s="1"/>
    </row>
    <row r="13460" spans="8:9" x14ac:dyDescent="0.2">
      <c r="H13460" s="1"/>
      <c r="I13460" s="1"/>
    </row>
    <row r="13461" spans="8:9" x14ac:dyDescent="0.2">
      <c r="H13461" s="1"/>
      <c r="I13461" s="1"/>
    </row>
    <row r="13462" spans="8:9" x14ac:dyDescent="0.2">
      <c r="H13462" s="1"/>
      <c r="I13462" s="1"/>
    </row>
    <row r="13463" spans="8:9" x14ac:dyDescent="0.2">
      <c r="H13463" s="1"/>
      <c r="I13463" s="1"/>
    </row>
    <row r="13464" spans="8:9" x14ac:dyDescent="0.2">
      <c r="H13464" s="1"/>
      <c r="I13464" s="1"/>
    </row>
    <row r="13465" spans="8:9" x14ac:dyDescent="0.2">
      <c r="H13465" s="1"/>
      <c r="I13465" s="1"/>
    </row>
    <row r="13466" spans="8:9" x14ac:dyDescent="0.2">
      <c r="H13466" s="1"/>
      <c r="I13466" s="1"/>
    </row>
    <row r="13467" spans="8:9" x14ac:dyDescent="0.2">
      <c r="H13467" s="1"/>
      <c r="I13467" s="1"/>
    </row>
    <row r="13468" spans="8:9" x14ac:dyDescent="0.2">
      <c r="H13468" s="1"/>
      <c r="I13468" s="1"/>
    </row>
    <row r="13469" spans="8:9" x14ac:dyDescent="0.2">
      <c r="H13469" s="1"/>
      <c r="I13469" s="1"/>
    </row>
    <row r="13470" spans="8:9" x14ac:dyDescent="0.2">
      <c r="H13470" s="1"/>
      <c r="I13470" s="1"/>
    </row>
    <row r="13471" spans="8:9" x14ac:dyDescent="0.2">
      <c r="H13471" s="1"/>
      <c r="I13471" s="1"/>
    </row>
    <row r="13472" spans="8:9" x14ac:dyDescent="0.2">
      <c r="H13472" s="1"/>
      <c r="I13472" s="1"/>
    </row>
    <row r="13473" spans="8:9" x14ac:dyDescent="0.2">
      <c r="H13473" s="1"/>
      <c r="I13473" s="1"/>
    </row>
    <row r="13474" spans="8:9" x14ac:dyDescent="0.2">
      <c r="H13474" s="1"/>
      <c r="I13474" s="1"/>
    </row>
    <row r="13475" spans="8:9" x14ac:dyDescent="0.2">
      <c r="H13475" s="1"/>
      <c r="I13475" s="1"/>
    </row>
    <row r="13476" spans="8:9" x14ac:dyDescent="0.2">
      <c r="H13476" s="1"/>
      <c r="I13476" s="1"/>
    </row>
    <row r="13477" spans="8:9" x14ac:dyDescent="0.2">
      <c r="H13477" s="1"/>
      <c r="I13477" s="1"/>
    </row>
    <row r="13478" spans="8:9" x14ac:dyDescent="0.2">
      <c r="H13478" s="1"/>
      <c r="I13478" s="1"/>
    </row>
    <row r="13479" spans="8:9" x14ac:dyDescent="0.2">
      <c r="H13479" s="1"/>
      <c r="I13479" s="1"/>
    </row>
    <row r="13480" spans="8:9" x14ac:dyDescent="0.2">
      <c r="H13480" s="1"/>
      <c r="I13480" s="1"/>
    </row>
    <row r="13481" spans="8:9" x14ac:dyDescent="0.2">
      <c r="H13481" s="1"/>
      <c r="I13481" s="1"/>
    </row>
    <row r="13482" spans="8:9" x14ac:dyDescent="0.2">
      <c r="H13482" s="1"/>
      <c r="I13482" s="1"/>
    </row>
    <row r="13483" spans="8:9" x14ac:dyDescent="0.2">
      <c r="H13483" s="1"/>
      <c r="I13483" s="1"/>
    </row>
    <row r="13484" spans="8:9" x14ac:dyDescent="0.2">
      <c r="H13484" s="1"/>
      <c r="I13484" s="1"/>
    </row>
    <row r="13485" spans="8:9" x14ac:dyDescent="0.2">
      <c r="H13485" s="1"/>
      <c r="I13485" s="1"/>
    </row>
    <row r="13486" spans="8:9" x14ac:dyDescent="0.2">
      <c r="H13486" s="1"/>
      <c r="I13486" s="1"/>
    </row>
    <row r="13487" spans="8:9" x14ac:dyDescent="0.2">
      <c r="H13487" s="1"/>
      <c r="I13487" s="1"/>
    </row>
    <row r="13488" spans="8:9" x14ac:dyDescent="0.2">
      <c r="H13488" s="1"/>
      <c r="I13488" s="1"/>
    </row>
    <row r="13489" spans="8:9" x14ac:dyDescent="0.2">
      <c r="H13489" s="1"/>
      <c r="I13489" s="1"/>
    </row>
    <row r="13490" spans="8:9" x14ac:dyDescent="0.2">
      <c r="H13490" s="1"/>
      <c r="I13490" s="1"/>
    </row>
    <row r="13491" spans="8:9" x14ac:dyDescent="0.2">
      <c r="H13491" s="1"/>
      <c r="I13491" s="1"/>
    </row>
    <row r="13492" spans="8:9" x14ac:dyDescent="0.2">
      <c r="H13492" s="1"/>
      <c r="I13492" s="1"/>
    </row>
    <row r="13493" spans="8:9" x14ac:dyDescent="0.2">
      <c r="H13493" s="1"/>
      <c r="I13493" s="1"/>
    </row>
    <row r="13494" spans="8:9" x14ac:dyDescent="0.2">
      <c r="H13494" s="1"/>
      <c r="I13494" s="1"/>
    </row>
    <row r="13495" spans="8:9" x14ac:dyDescent="0.2">
      <c r="H13495" s="1"/>
      <c r="I13495" s="1"/>
    </row>
    <row r="13496" spans="8:9" x14ac:dyDescent="0.2">
      <c r="H13496" s="1"/>
      <c r="I13496" s="1"/>
    </row>
    <row r="13497" spans="8:9" x14ac:dyDescent="0.2">
      <c r="H13497" s="1"/>
      <c r="I13497" s="1"/>
    </row>
    <row r="13498" spans="8:9" x14ac:dyDescent="0.2">
      <c r="H13498" s="1"/>
      <c r="I13498" s="1"/>
    </row>
    <row r="13499" spans="8:9" x14ac:dyDescent="0.2">
      <c r="H13499" s="1"/>
      <c r="I13499" s="1"/>
    </row>
    <row r="13500" spans="8:9" x14ac:dyDescent="0.2">
      <c r="H13500" s="1"/>
      <c r="I13500" s="1"/>
    </row>
    <row r="13501" spans="8:9" x14ac:dyDescent="0.2">
      <c r="H13501" s="1"/>
      <c r="I13501" s="1"/>
    </row>
    <row r="13502" spans="8:9" x14ac:dyDescent="0.2">
      <c r="H13502" s="1"/>
      <c r="I13502" s="1"/>
    </row>
    <row r="13503" spans="8:9" x14ac:dyDescent="0.2">
      <c r="H13503" s="1"/>
      <c r="I13503" s="1"/>
    </row>
    <row r="13504" spans="8:9" x14ac:dyDescent="0.2">
      <c r="H13504" s="1"/>
      <c r="I13504" s="1"/>
    </row>
    <row r="13505" spans="8:9" x14ac:dyDescent="0.2">
      <c r="H13505" s="1"/>
      <c r="I13505" s="1"/>
    </row>
    <row r="13506" spans="8:9" x14ac:dyDescent="0.2">
      <c r="H13506" s="1"/>
      <c r="I13506" s="1"/>
    </row>
    <row r="13507" spans="8:9" x14ac:dyDescent="0.2">
      <c r="H13507" s="1"/>
      <c r="I13507" s="1"/>
    </row>
    <row r="13508" spans="8:9" x14ac:dyDescent="0.2">
      <c r="H13508" s="1"/>
      <c r="I13508" s="1"/>
    </row>
    <row r="13509" spans="8:9" x14ac:dyDescent="0.2">
      <c r="H13509" s="1"/>
      <c r="I13509" s="1"/>
    </row>
    <row r="13510" spans="8:9" x14ac:dyDescent="0.2">
      <c r="H13510" s="1"/>
      <c r="I13510" s="1"/>
    </row>
    <row r="13511" spans="8:9" x14ac:dyDescent="0.2">
      <c r="H13511" s="1"/>
      <c r="I13511" s="1"/>
    </row>
    <row r="13512" spans="8:9" x14ac:dyDescent="0.2">
      <c r="H13512" s="1"/>
      <c r="I13512" s="1"/>
    </row>
    <row r="13513" spans="8:9" x14ac:dyDescent="0.2">
      <c r="H13513" s="1"/>
      <c r="I13513" s="1"/>
    </row>
    <row r="13514" spans="8:9" x14ac:dyDescent="0.2">
      <c r="H13514" s="1"/>
      <c r="I13514" s="1"/>
    </row>
    <row r="13515" spans="8:9" x14ac:dyDescent="0.2">
      <c r="H13515" s="1"/>
      <c r="I13515" s="1"/>
    </row>
    <row r="13516" spans="8:9" x14ac:dyDescent="0.2">
      <c r="H13516" s="1"/>
      <c r="I13516" s="1"/>
    </row>
    <row r="13517" spans="8:9" x14ac:dyDescent="0.2">
      <c r="H13517" s="1"/>
      <c r="I13517" s="1"/>
    </row>
    <row r="13518" spans="8:9" x14ac:dyDescent="0.2">
      <c r="H13518" s="1"/>
      <c r="I13518" s="1"/>
    </row>
    <row r="13519" spans="8:9" x14ac:dyDescent="0.2">
      <c r="H13519" s="1"/>
      <c r="I13519" s="1"/>
    </row>
    <row r="13520" spans="8:9" x14ac:dyDescent="0.2">
      <c r="H13520" s="1"/>
      <c r="I13520" s="1"/>
    </row>
    <row r="13521" spans="8:9" x14ac:dyDescent="0.2">
      <c r="H13521" s="1"/>
      <c r="I13521" s="1"/>
    </row>
    <row r="13522" spans="8:9" x14ac:dyDescent="0.2">
      <c r="H13522" s="1"/>
      <c r="I13522" s="1"/>
    </row>
    <row r="13523" spans="8:9" x14ac:dyDescent="0.2">
      <c r="H13523" s="1"/>
      <c r="I13523" s="1"/>
    </row>
    <row r="13524" spans="8:9" x14ac:dyDescent="0.2">
      <c r="H13524" s="1"/>
      <c r="I13524" s="1"/>
    </row>
    <row r="13525" spans="8:9" x14ac:dyDescent="0.2">
      <c r="H13525" s="1"/>
      <c r="I13525" s="1"/>
    </row>
    <row r="13526" spans="8:9" x14ac:dyDescent="0.2">
      <c r="H13526" s="1"/>
      <c r="I13526" s="1"/>
    </row>
    <row r="13527" spans="8:9" x14ac:dyDescent="0.2">
      <c r="H13527" s="1"/>
      <c r="I13527" s="1"/>
    </row>
    <row r="13528" spans="8:9" x14ac:dyDescent="0.2">
      <c r="H13528" s="1"/>
      <c r="I13528" s="1"/>
    </row>
    <row r="13529" spans="8:9" x14ac:dyDescent="0.2">
      <c r="H13529" s="1"/>
      <c r="I13529" s="1"/>
    </row>
    <row r="13530" spans="8:9" x14ac:dyDescent="0.2">
      <c r="H13530" s="1"/>
      <c r="I13530" s="1"/>
    </row>
    <row r="13531" spans="8:9" x14ac:dyDescent="0.2">
      <c r="H13531" s="1"/>
      <c r="I13531" s="1"/>
    </row>
    <row r="13532" spans="8:9" x14ac:dyDescent="0.2">
      <c r="H13532" s="1"/>
      <c r="I13532" s="1"/>
    </row>
    <row r="13533" spans="8:9" x14ac:dyDescent="0.2">
      <c r="H13533" s="1"/>
      <c r="I13533" s="1"/>
    </row>
    <row r="13534" spans="8:9" x14ac:dyDescent="0.2">
      <c r="H13534" s="1"/>
      <c r="I13534" s="1"/>
    </row>
    <row r="13535" spans="8:9" x14ac:dyDescent="0.2">
      <c r="H13535" s="1"/>
      <c r="I13535" s="1"/>
    </row>
    <row r="13536" spans="8:9" x14ac:dyDescent="0.2">
      <c r="H13536" s="1"/>
      <c r="I13536" s="1"/>
    </row>
    <row r="13537" spans="8:9" x14ac:dyDescent="0.2">
      <c r="H13537" s="1"/>
      <c r="I13537" s="1"/>
    </row>
    <row r="13538" spans="8:9" x14ac:dyDescent="0.2">
      <c r="H13538" s="1"/>
      <c r="I13538" s="1"/>
    </row>
    <row r="13539" spans="8:9" x14ac:dyDescent="0.2">
      <c r="H13539" s="1"/>
      <c r="I13539" s="1"/>
    </row>
    <row r="13540" spans="8:9" x14ac:dyDescent="0.2">
      <c r="H13540" s="1"/>
      <c r="I13540" s="1"/>
    </row>
    <row r="13541" spans="8:9" x14ac:dyDescent="0.2">
      <c r="H13541" s="1"/>
      <c r="I13541" s="1"/>
    </row>
    <row r="13542" spans="8:9" x14ac:dyDescent="0.2">
      <c r="H13542" s="1"/>
      <c r="I13542" s="1"/>
    </row>
    <row r="13543" spans="8:9" x14ac:dyDescent="0.2">
      <c r="H13543" s="1"/>
      <c r="I13543" s="1"/>
    </row>
    <row r="13544" spans="8:9" x14ac:dyDescent="0.2">
      <c r="H13544" s="1"/>
      <c r="I13544" s="1"/>
    </row>
    <row r="13545" spans="8:9" x14ac:dyDescent="0.2">
      <c r="H13545" s="1"/>
      <c r="I13545" s="1"/>
    </row>
    <row r="13546" spans="8:9" x14ac:dyDescent="0.2">
      <c r="H13546" s="1"/>
      <c r="I13546" s="1"/>
    </row>
    <row r="13547" spans="8:9" x14ac:dyDescent="0.2">
      <c r="H13547" s="1"/>
      <c r="I13547" s="1"/>
    </row>
    <row r="13548" spans="8:9" x14ac:dyDescent="0.2">
      <c r="H13548" s="1"/>
      <c r="I13548" s="1"/>
    </row>
    <row r="13549" spans="8:9" x14ac:dyDescent="0.2">
      <c r="H13549" s="1"/>
      <c r="I13549" s="1"/>
    </row>
    <row r="13550" spans="8:9" x14ac:dyDescent="0.2">
      <c r="H13550" s="1"/>
      <c r="I13550" s="1"/>
    </row>
    <row r="13551" spans="8:9" x14ac:dyDescent="0.2">
      <c r="H13551" s="1"/>
      <c r="I13551" s="1"/>
    </row>
    <row r="13552" spans="8:9" x14ac:dyDescent="0.2">
      <c r="H13552" s="1"/>
      <c r="I13552" s="1"/>
    </row>
    <row r="13553" spans="8:9" x14ac:dyDescent="0.2">
      <c r="H13553" s="1"/>
      <c r="I13553" s="1"/>
    </row>
    <row r="13554" spans="8:9" x14ac:dyDescent="0.2">
      <c r="H13554" s="1"/>
      <c r="I13554" s="1"/>
    </row>
    <row r="13555" spans="8:9" x14ac:dyDescent="0.2">
      <c r="H13555" s="1"/>
      <c r="I13555" s="1"/>
    </row>
    <row r="13556" spans="8:9" x14ac:dyDescent="0.2">
      <c r="H13556" s="1"/>
      <c r="I13556" s="1"/>
    </row>
    <row r="13557" spans="8:9" x14ac:dyDescent="0.2">
      <c r="H13557" s="1"/>
      <c r="I13557" s="1"/>
    </row>
    <row r="13558" spans="8:9" x14ac:dyDescent="0.2">
      <c r="H13558" s="1"/>
      <c r="I13558" s="1"/>
    </row>
    <row r="13559" spans="8:9" x14ac:dyDescent="0.2">
      <c r="H13559" s="1"/>
      <c r="I13559" s="1"/>
    </row>
    <row r="13560" spans="8:9" x14ac:dyDescent="0.2">
      <c r="H13560" s="1"/>
      <c r="I13560" s="1"/>
    </row>
    <row r="13561" spans="8:9" x14ac:dyDescent="0.2">
      <c r="H13561" s="1"/>
      <c r="I13561" s="1"/>
    </row>
    <row r="13562" spans="8:9" x14ac:dyDescent="0.2">
      <c r="H13562" s="1"/>
      <c r="I13562" s="1"/>
    </row>
    <row r="13563" spans="8:9" x14ac:dyDescent="0.2">
      <c r="H13563" s="1"/>
      <c r="I13563" s="1"/>
    </row>
    <row r="13564" spans="8:9" x14ac:dyDescent="0.2">
      <c r="H13564" s="1"/>
      <c r="I13564" s="1"/>
    </row>
    <row r="13565" spans="8:9" x14ac:dyDescent="0.2">
      <c r="H13565" s="1"/>
      <c r="I13565" s="1"/>
    </row>
    <row r="13566" spans="8:9" x14ac:dyDescent="0.2">
      <c r="H13566" s="1"/>
      <c r="I13566" s="1"/>
    </row>
    <row r="13567" spans="8:9" x14ac:dyDescent="0.2">
      <c r="H13567" s="1"/>
      <c r="I13567" s="1"/>
    </row>
    <row r="13568" spans="8:9" x14ac:dyDescent="0.2">
      <c r="H13568" s="1"/>
      <c r="I13568" s="1"/>
    </row>
    <row r="13569" spans="8:9" x14ac:dyDescent="0.2">
      <c r="H13569" s="1"/>
      <c r="I13569" s="1"/>
    </row>
    <row r="13570" spans="8:9" x14ac:dyDescent="0.2">
      <c r="H13570" s="1"/>
      <c r="I13570" s="1"/>
    </row>
    <row r="13571" spans="8:9" x14ac:dyDescent="0.2">
      <c r="H13571" s="1"/>
      <c r="I13571" s="1"/>
    </row>
    <row r="13572" spans="8:9" x14ac:dyDescent="0.2">
      <c r="H13572" s="1"/>
      <c r="I13572" s="1"/>
    </row>
    <row r="13573" spans="8:9" x14ac:dyDescent="0.2">
      <c r="H13573" s="1"/>
      <c r="I13573" s="1"/>
    </row>
    <row r="13574" spans="8:9" x14ac:dyDescent="0.2">
      <c r="H13574" s="1"/>
      <c r="I13574" s="1"/>
    </row>
    <row r="13575" spans="8:9" x14ac:dyDescent="0.2">
      <c r="H13575" s="1"/>
      <c r="I13575" s="1"/>
    </row>
    <row r="13576" spans="8:9" x14ac:dyDescent="0.2">
      <c r="H13576" s="1"/>
      <c r="I13576" s="1"/>
    </row>
    <row r="13577" spans="8:9" x14ac:dyDescent="0.2">
      <c r="H13577" s="1"/>
      <c r="I13577" s="1"/>
    </row>
    <row r="13578" spans="8:9" x14ac:dyDescent="0.2">
      <c r="H13578" s="1"/>
      <c r="I13578" s="1"/>
    </row>
    <row r="13579" spans="8:9" x14ac:dyDescent="0.2">
      <c r="H13579" s="1"/>
      <c r="I13579" s="1"/>
    </row>
    <row r="13580" spans="8:9" x14ac:dyDescent="0.2">
      <c r="H13580" s="1"/>
      <c r="I13580" s="1"/>
    </row>
    <row r="13581" spans="8:9" x14ac:dyDescent="0.2">
      <c r="H13581" s="1"/>
      <c r="I13581" s="1"/>
    </row>
    <row r="13582" spans="8:9" x14ac:dyDescent="0.2">
      <c r="H13582" s="1"/>
      <c r="I13582" s="1"/>
    </row>
    <row r="13583" spans="8:9" x14ac:dyDescent="0.2">
      <c r="H13583" s="1"/>
      <c r="I13583" s="1"/>
    </row>
    <row r="13584" spans="8:9" x14ac:dyDescent="0.2">
      <c r="H13584" s="1"/>
      <c r="I13584" s="1"/>
    </row>
    <row r="13585" spans="8:9" x14ac:dyDescent="0.2">
      <c r="H13585" s="1"/>
      <c r="I13585" s="1"/>
    </row>
    <row r="13586" spans="8:9" x14ac:dyDescent="0.2">
      <c r="H13586" s="1"/>
      <c r="I13586" s="1"/>
    </row>
    <row r="13587" spans="8:9" x14ac:dyDescent="0.2">
      <c r="H13587" s="1"/>
      <c r="I13587" s="1"/>
    </row>
    <row r="13588" spans="8:9" x14ac:dyDescent="0.2">
      <c r="H13588" s="1"/>
      <c r="I13588" s="1"/>
    </row>
    <row r="13589" spans="8:9" x14ac:dyDescent="0.2">
      <c r="H13589" s="1"/>
      <c r="I13589" s="1"/>
    </row>
    <row r="13590" spans="8:9" x14ac:dyDescent="0.2">
      <c r="H13590" s="1"/>
      <c r="I13590" s="1"/>
    </row>
    <row r="13591" spans="8:9" x14ac:dyDescent="0.2">
      <c r="H13591" s="1"/>
      <c r="I13591" s="1"/>
    </row>
    <row r="13592" spans="8:9" x14ac:dyDescent="0.2">
      <c r="H13592" s="1"/>
      <c r="I13592" s="1"/>
    </row>
    <row r="13593" spans="8:9" x14ac:dyDescent="0.2">
      <c r="H13593" s="1"/>
      <c r="I13593" s="1"/>
    </row>
    <row r="13594" spans="8:9" x14ac:dyDescent="0.2">
      <c r="H13594" s="1"/>
      <c r="I13594" s="1"/>
    </row>
    <row r="13595" spans="8:9" x14ac:dyDescent="0.2">
      <c r="H13595" s="1"/>
      <c r="I13595" s="1"/>
    </row>
    <row r="13596" spans="8:9" x14ac:dyDescent="0.2">
      <c r="H13596" s="1"/>
      <c r="I13596" s="1"/>
    </row>
    <row r="13597" spans="8:9" x14ac:dyDescent="0.2">
      <c r="H13597" s="1"/>
      <c r="I13597" s="1"/>
    </row>
    <row r="13598" spans="8:9" x14ac:dyDescent="0.2">
      <c r="H13598" s="1"/>
      <c r="I13598" s="1"/>
    </row>
    <row r="13599" spans="8:9" x14ac:dyDescent="0.2">
      <c r="H13599" s="1"/>
      <c r="I13599" s="1"/>
    </row>
    <row r="13600" spans="8:9" x14ac:dyDescent="0.2">
      <c r="H13600" s="1"/>
      <c r="I13600" s="1"/>
    </row>
    <row r="13601" spans="8:9" x14ac:dyDescent="0.2">
      <c r="H13601" s="1"/>
      <c r="I13601" s="1"/>
    </row>
    <row r="13602" spans="8:9" x14ac:dyDescent="0.2">
      <c r="H13602" s="1"/>
      <c r="I13602" s="1"/>
    </row>
    <row r="13603" spans="8:9" x14ac:dyDescent="0.2">
      <c r="H13603" s="1"/>
      <c r="I13603" s="1"/>
    </row>
    <row r="13604" spans="8:9" x14ac:dyDescent="0.2">
      <c r="H13604" s="1"/>
      <c r="I13604" s="1"/>
    </row>
    <row r="13605" spans="8:9" x14ac:dyDescent="0.2">
      <c r="H13605" s="1"/>
      <c r="I13605" s="1"/>
    </row>
    <row r="13606" spans="8:9" x14ac:dyDescent="0.2">
      <c r="H13606" s="1"/>
      <c r="I13606" s="1"/>
    </row>
    <row r="13607" spans="8:9" x14ac:dyDescent="0.2">
      <c r="H13607" s="1"/>
      <c r="I13607" s="1"/>
    </row>
    <row r="13608" spans="8:9" x14ac:dyDescent="0.2">
      <c r="H13608" s="1"/>
      <c r="I13608" s="1"/>
    </row>
    <row r="13609" spans="8:9" x14ac:dyDescent="0.2">
      <c r="H13609" s="1"/>
      <c r="I13609" s="1"/>
    </row>
    <row r="13610" spans="8:9" x14ac:dyDescent="0.2">
      <c r="H13610" s="1"/>
      <c r="I13610" s="1"/>
    </row>
    <row r="13611" spans="8:9" x14ac:dyDescent="0.2">
      <c r="H13611" s="1"/>
      <c r="I13611" s="1"/>
    </row>
    <row r="13612" spans="8:9" x14ac:dyDescent="0.2">
      <c r="H13612" s="1"/>
      <c r="I13612" s="1"/>
    </row>
    <row r="13613" spans="8:9" x14ac:dyDescent="0.2">
      <c r="H13613" s="1"/>
      <c r="I13613" s="1"/>
    </row>
    <row r="13614" spans="8:9" x14ac:dyDescent="0.2">
      <c r="H13614" s="1"/>
      <c r="I13614" s="1"/>
    </row>
    <row r="13615" spans="8:9" x14ac:dyDescent="0.2">
      <c r="H13615" s="1"/>
      <c r="I13615" s="1"/>
    </row>
    <row r="13616" spans="8:9" x14ac:dyDescent="0.2">
      <c r="H13616" s="1"/>
      <c r="I13616" s="1"/>
    </row>
    <row r="13617" spans="8:9" x14ac:dyDescent="0.2">
      <c r="H13617" s="1"/>
      <c r="I13617" s="1"/>
    </row>
    <row r="13618" spans="8:9" x14ac:dyDescent="0.2">
      <c r="H13618" s="1"/>
      <c r="I13618" s="1"/>
    </row>
    <row r="13619" spans="8:9" x14ac:dyDescent="0.2">
      <c r="H13619" s="1"/>
      <c r="I13619" s="1"/>
    </row>
    <row r="13620" spans="8:9" x14ac:dyDescent="0.2">
      <c r="H13620" s="1"/>
      <c r="I13620" s="1"/>
    </row>
    <row r="13621" spans="8:9" x14ac:dyDescent="0.2">
      <c r="H13621" s="1"/>
      <c r="I13621" s="1"/>
    </row>
    <row r="13622" spans="8:9" x14ac:dyDescent="0.2">
      <c r="H13622" s="1"/>
      <c r="I13622" s="1"/>
    </row>
    <row r="13623" spans="8:9" x14ac:dyDescent="0.2">
      <c r="H13623" s="1"/>
      <c r="I13623" s="1"/>
    </row>
    <row r="13624" spans="8:9" x14ac:dyDescent="0.2">
      <c r="H13624" s="1"/>
      <c r="I13624" s="1"/>
    </row>
    <row r="13625" spans="8:9" x14ac:dyDescent="0.2">
      <c r="H13625" s="1"/>
      <c r="I13625" s="1"/>
    </row>
    <row r="13626" spans="8:9" x14ac:dyDescent="0.2">
      <c r="H13626" s="1"/>
      <c r="I13626" s="1"/>
    </row>
    <row r="13627" spans="8:9" x14ac:dyDescent="0.2">
      <c r="H13627" s="1"/>
      <c r="I13627" s="1"/>
    </row>
    <row r="13628" spans="8:9" x14ac:dyDescent="0.2">
      <c r="H13628" s="1"/>
      <c r="I13628" s="1"/>
    </row>
    <row r="13629" spans="8:9" x14ac:dyDescent="0.2">
      <c r="H13629" s="1"/>
      <c r="I13629" s="1"/>
    </row>
    <row r="13630" spans="8:9" x14ac:dyDescent="0.2">
      <c r="H13630" s="1"/>
      <c r="I13630" s="1"/>
    </row>
    <row r="13631" spans="8:9" x14ac:dyDescent="0.2">
      <c r="H13631" s="1"/>
      <c r="I13631" s="1"/>
    </row>
    <row r="13632" spans="8:9" x14ac:dyDescent="0.2">
      <c r="H13632" s="1"/>
      <c r="I13632" s="1"/>
    </row>
    <row r="13633" spans="8:9" x14ac:dyDescent="0.2">
      <c r="H13633" s="1"/>
      <c r="I13633" s="1"/>
    </row>
    <row r="13634" spans="8:9" x14ac:dyDescent="0.2">
      <c r="H13634" s="1"/>
      <c r="I13634" s="1"/>
    </row>
    <row r="13635" spans="8:9" x14ac:dyDescent="0.2">
      <c r="H13635" s="1"/>
      <c r="I13635" s="1"/>
    </row>
    <row r="13636" spans="8:9" x14ac:dyDescent="0.2">
      <c r="H13636" s="1"/>
      <c r="I13636" s="1"/>
    </row>
    <row r="13637" spans="8:9" x14ac:dyDescent="0.2">
      <c r="H13637" s="1"/>
      <c r="I13637" s="1"/>
    </row>
    <row r="13638" spans="8:9" x14ac:dyDescent="0.2">
      <c r="H13638" s="1"/>
      <c r="I13638" s="1"/>
    </row>
    <row r="13639" spans="8:9" x14ac:dyDescent="0.2">
      <c r="H13639" s="1"/>
      <c r="I13639" s="1"/>
    </row>
    <row r="13640" spans="8:9" x14ac:dyDescent="0.2">
      <c r="H13640" s="1"/>
      <c r="I13640" s="1"/>
    </row>
    <row r="13641" spans="8:9" x14ac:dyDescent="0.2">
      <c r="H13641" s="1"/>
      <c r="I13641" s="1"/>
    </row>
    <row r="13642" spans="8:9" x14ac:dyDescent="0.2">
      <c r="H13642" s="1"/>
      <c r="I13642" s="1"/>
    </row>
    <row r="13643" spans="8:9" x14ac:dyDescent="0.2">
      <c r="H13643" s="1"/>
      <c r="I13643" s="1"/>
    </row>
    <row r="13644" spans="8:9" x14ac:dyDescent="0.2">
      <c r="H13644" s="1"/>
      <c r="I13644" s="1"/>
    </row>
    <row r="13645" spans="8:9" x14ac:dyDescent="0.2">
      <c r="H13645" s="1"/>
      <c r="I13645" s="1"/>
    </row>
    <row r="13646" spans="8:9" x14ac:dyDescent="0.2">
      <c r="H13646" s="1"/>
      <c r="I13646" s="1"/>
    </row>
    <row r="13647" spans="8:9" x14ac:dyDescent="0.2">
      <c r="H13647" s="1"/>
      <c r="I13647" s="1"/>
    </row>
    <row r="13648" spans="8:9" x14ac:dyDescent="0.2">
      <c r="H13648" s="1"/>
      <c r="I13648" s="1"/>
    </row>
    <row r="13649" spans="8:9" x14ac:dyDescent="0.2">
      <c r="H13649" s="1"/>
      <c r="I13649" s="1"/>
    </row>
    <row r="13650" spans="8:9" x14ac:dyDescent="0.2">
      <c r="H13650" s="1"/>
      <c r="I13650" s="1"/>
    </row>
    <row r="13651" spans="8:9" x14ac:dyDescent="0.2">
      <c r="H13651" s="1"/>
      <c r="I13651" s="1"/>
    </row>
    <row r="13652" spans="8:9" x14ac:dyDescent="0.2">
      <c r="H13652" s="1"/>
      <c r="I13652" s="1"/>
    </row>
    <row r="13653" spans="8:9" x14ac:dyDescent="0.2">
      <c r="H13653" s="1"/>
      <c r="I13653" s="1"/>
    </row>
    <row r="13654" spans="8:9" x14ac:dyDescent="0.2">
      <c r="H13654" s="1"/>
      <c r="I13654" s="1"/>
    </row>
    <row r="13655" spans="8:9" x14ac:dyDescent="0.2">
      <c r="H13655" s="1"/>
      <c r="I13655" s="1"/>
    </row>
    <row r="13656" spans="8:9" x14ac:dyDescent="0.2">
      <c r="H13656" s="1"/>
      <c r="I13656" s="1"/>
    </row>
    <row r="13657" spans="8:9" x14ac:dyDescent="0.2">
      <c r="H13657" s="1"/>
      <c r="I13657" s="1"/>
    </row>
    <row r="13658" spans="8:9" x14ac:dyDescent="0.2">
      <c r="H13658" s="1"/>
      <c r="I13658" s="1"/>
    </row>
    <row r="13659" spans="8:9" x14ac:dyDescent="0.2">
      <c r="H13659" s="1"/>
      <c r="I13659" s="1"/>
    </row>
    <row r="13660" spans="8:9" x14ac:dyDescent="0.2">
      <c r="H13660" s="1"/>
      <c r="I13660" s="1"/>
    </row>
    <row r="13661" spans="8:9" x14ac:dyDescent="0.2">
      <c r="H13661" s="1"/>
      <c r="I13661" s="1"/>
    </row>
    <row r="13662" spans="8:9" x14ac:dyDescent="0.2">
      <c r="H13662" s="1"/>
      <c r="I13662" s="1"/>
    </row>
    <row r="13663" spans="8:9" x14ac:dyDescent="0.2">
      <c r="H13663" s="1"/>
      <c r="I13663" s="1"/>
    </row>
    <row r="13664" spans="8:9" x14ac:dyDescent="0.2">
      <c r="H13664" s="1"/>
      <c r="I13664" s="1"/>
    </row>
    <row r="13665" spans="8:9" x14ac:dyDescent="0.2">
      <c r="H13665" s="1"/>
      <c r="I13665" s="1"/>
    </row>
    <row r="13666" spans="8:9" x14ac:dyDescent="0.2">
      <c r="H13666" s="1"/>
      <c r="I13666" s="1"/>
    </row>
    <row r="13667" spans="8:9" x14ac:dyDescent="0.2">
      <c r="H13667" s="1"/>
      <c r="I13667" s="1"/>
    </row>
    <row r="13668" spans="8:9" x14ac:dyDescent="0.2">
      <c r="H13668" s="1"/>
      <c r="I13668" s="1"/>
    </row>
    <row r="13669" spans="8:9" x14ac:dyDescent="0.2">
      <c r="H13669" s="1"/>
      <c r="I13669" s="1"/>
    </row>
    <row r="13670" spans="8:9" x14ac:dyDescent="0.2">
      <c r="H13670" s="1"/>
      <c r="I13670" s="1"/>
    </row>
    <row r="13671" spans="8:9" x14ac:dyDescent="0.2">
      <c r="H13671" s="1"/>
      <c r="I13671" s="1"/>
    </row>
    <row r="13672" spans="8:9" x14ac:dyDescent="0.2">
      <c r="H13672" s="1"/>
      <c r="I13672" s="1"/>
    </row>
    <row r="13673" spans="8:9" x14ac:dyDescent="0.2">
      <c r="H13673" s="1"/>
      <c r="I13673" s="1"/>
    </row>
    <row r="13674" spans="8:9" x14ac:dyDescent="0.2">
      <c r="H13674" s="1"/>
      <c r="I13674" s="1"/>
    </row>
    <row r="13675" spans="8:9" x14ac:dyDescent="0.2">
      <c r="H13675" s="1"/>
      <c r="I13675" s="1"/>
    </row>
    <row r="13676" spans="8:9" x14ac:dyDescent="0.2">
      <c r="H13676" s="1"/>
      <c r="I13676" s="1"/>
    </row>
    <row r="13677" spans="8:9" x14ac:dyDescent="0.2">
      <c r="H13677" s="1"/>
      <c r="I13677" s="1"/>
    </row>
    <row r="13678" spans="8:9" x14ac:dyDescent="0.2">
      <c r="H13678" s="1"/>
      <c r="I13678" s="1"/>
    </row>
    <row r="13679" spans="8:9" x14ac:dyDescent="0.2">
      <c r="H13679" s="1"/>
      <c r="I13679" s="1"/>
    </row>
    <row r="13680" spans="8:9" x14ac:dyDescent="0.2">
      <c r="H13680" s="1"/>
      <c r="I13680" s="1"/>
    </row>
    <row r="13681" spans="8:9" x14ac:dyDescent="0.2">
      <c r="H13681" s="1"/>
      <c r="I13681" s="1"/>
    </row>
    <row r="13682" spans="8:9" x14ac:dyDescent="0.2">
      <c r="H13682" s="1"/>
      <c r="I13682" s="1"/>
    </row>
    <row r="13683" spans="8:9" x14ac:dyDescent="0.2">
      <c r="H13683" s="1"/>
      <c r="I13683" s="1"/>
    </row>
    <row r="13684" spans="8:9" x14ac:dyDescent="0.2">
      <c r="H13684" s="1"/>
      <c r="I13684" s="1"/>
    </row>
    <row r="13685" spans="8:9" x14ac:dyDescent="0.2">
      <c r="H13685" s="1"/>
      <c r="I13685" s="1"/>
    </row>
    <row r="13686" spans="8:9" x14ac:dyDescent="0.2">
      <c r="H13686" s="1"/>
      <c r="I13686" s="1"/>
    </row>
    <row r="13687" spans="8:9" x14ac:dyDescent="0.2">
      <c r="H13687" s="1"/>
      <c r="I13687" s="1"/>
    </row>
    <row r="13688" spans="8:9" x14ac:dyDescent="0.2">
      <c r="H13688" s="1"/>
      <c r="I13688" s="1"/>
    </row>
    <row r="13689" spans="8:9" x14ac:dyDescent="0.2">
      <c r="H13689" s="1"/>
      <c r="I13689" s="1"/>
    </row>
    <row r="13690" spans="8:9" x14ac:dyDescent="0.2">
      <c r="H13690" s="1"/>
      <c r="I13690" s="1"/>
    </row>
    <row r="13691" spans="8:9" x14ac:dyDescent="0.2">
      <c r="H13691" s="1"/>
      <c r="I13691" s="1"/>
    </row>
    <row r="13692" spans="8:9" x14ac:dyDescent="0.2">
      <c r="H13692" s="1"/>
      <c r="I13692" s="1"/>
    </row>
    <row r="13693" spans="8:9" x14ac:dyDescent="0.2">
      <c r="H13693" s="1"/>
      <c r="I13693" s="1"/>
    </row>
    <row r="13694" spans="8:9" x14ac:dyDescent="0.2">
      <c r="H13694" s="1"/>
      <c r="I13694" s="1"/>
    </row>
    <row r="13695" spans="8:9" x14ac:dyDescent="0.2">
      <c r="H13695" s="1"/>
      <c r="I13695" s="1"/>
    </row>
    <row r="13696" spans="8:9" x14ac:dyDescent="0.2">
      <c r="H13696" s="1"/>
      <c r="I13696" s="1"/>
    </row>
    <row r="13697" spans="8:9" x14ac:dyDescent="0.2">
      <c r="H13697" s="1"/>
      <c r="I13697" s="1"/>
    </row>
    <row r="13698" spans="8:9" x14ac:dyDescent="0.2">
      <c r="H13698" s="1"/>
      <c r="I13698" s="1"/>
    </row>
    <row r="13699" spans="8:9" x14ac:dyDescent="0.2">
      <c r="H13699" s="1"/>
      <c r="I13699" s="1"/>
    </row>
    <row r="13700" spans="8:9" x14ac:dyDescent="0.2">
      <c r="H13700" s="1"/>
      <c r="I13700" s="1"/>
    </row>
    <row r="13701" spans="8:9" x14ac:dyDescent="0.2">
      <c r="H13701" s="1"/>
      <c r="I13701" s="1"/>
    </row>
    <row r="13702" spans="8:9" x14ac:dyDescent="0.2">
      <c r="H13702" s="1"/>
      <c r="I13702" s="1"/>
    </row>
    <row r="13703" spans="8:9" x14ac:dyDescent="0.2">
      <c r="H13703" s="1"/>
      <c r="I13703" s="1"/>
    </row>
    <row r="13704" spans="8:9" x14ac:dyDescent="0.2">
      <c r="H13704" s="1"/>
      <c r="I13704" s="1"/>
    </row>
    <row r="13705" spans="8:9" x14ac:dyDescent="0.2">
      <c r="H13705" s="1"/>
      <c r="I13705" s="1"/>
    </row>
    <row r="13706" spans="8:9" x14ac:dyDescent="0.2">
      <c r="H13706" s="1"/>
      <c r="I13706" s="1"/>
    </row>
    <row r="13707" spans="8:9" x14ac:dyDescent="0.2">
      <c r="H13707" s="1"/>
      <c r="I13707" s="1"/>
    </row>
    <row r="13708" spans="8:9" x14ac:dyDescent="0.2">
      <c r="H13708" s="1"/>
      <c r="I13708" s="1"/>
    </row>
    <row r="13709" spans="8:9" x14ac:dyDescent="0.2">
      <c r="H13709" s="1"/>
      <c r="I13709" s="1"/>
    </row>
    <row r="13710" spans="8:9" x14ac:dyDescent="0.2">
      <c r="H13710" s="1"/>
      <c r="I13710" s="1"/>
    </row>
    <row r="13711" spans="8:9" x14ac:dyDescent="0.2">
      <c r="H13711" s="1"/>
      <c r="I13711" s="1"/>
    </row>
    <row r="13712" spans="8:9" x14ac:dyDescent="0.2">
      <c r="H13712" s="1"/>
      <c r="I13712" s="1"/>
    </row>
    <row r="13713" spans="8:9" x14ac:dyDescent="0.2">
      <c r="H13713" s="1"/>
      <c r="I13713" s="1"/>
    </row>
    <row r="13714" spans="8:9" x14ac:dyDescent="0.2">
      <c r="H13714" s="1"/>
      <c r="I13714" s="1"/>
    </row>
    <row r="13715" spans="8:9" x14ac:dyDescent="0.2">
      <c r="H13715" s="1"/>
      <c r="I13715" s="1"/>
    </row>
    <row r="13716" spans="8:9" x14ac:dyDescent="0.2">
      <c r="H13716" s="1"/>
      <c r="I13716" s="1"/>
    </row>
    <row r="13717" spans="8:9" x14ac:dyDescent="0.2">
      <c r="H13717" s="1"/>
      <c r="I13717" s="1"/>
    </row>
    <row r="13718" spans="8:9" x14ac:dyDescent="0.2">
      <c r="H13718" s="1"/>
      <c r="I13718" s="1"/>
    </row>
    <row r="13719" spans="8:9" x14ac:dyDescent="0.2">
      <c r="H13719" s="1"/>
      <c r="I13719" s="1"/>
    </row>
    <row r="13720" spans="8:9" x14ac:dyDescent="0.2">
      <c r="H13720" s="1"/>
      <c r="I13720" s="1"/>
    </row>
    <row r="13721" spans="8:9" x14ac:dyDescent="0.2">
      <c r="H13721" s="1"/>
      <c r="I13721" s="1"/>
    </row>
    <row r="13722" spans="8:9" x14ac:dyDescent="0.2">
      <c r="H13722" s="1"/>
      <c r="I13722" s="1"/>
    </row>
    <row r="13723" spans="8:9" x14ac:dyDescent="0.2">
      <c r="H13723" s="1"/>
      <c r="I13723" s="1"/>
    </row>
    <row r="13724" spans="8:9" x14ac:dyDescent="0.2">
      <c r="H13724" s="1"/>
      <c r="I13724" s="1"/>
    </row>
    <row r="13725" spans="8:9" x14ac:dyDescent="0.2">
      <c r="H13725" s="1"/>
      <c r="I13725" s="1"/>
    </row>
    <row r="13726" spans="8:9" x14ac:dyDescent="0.2">
      <c r="H13726" s="1"/>
      <c r="I13726" s="1"/>
    </row>
    <row r="13727" spans="8:9" x14ac:dyDescent="0.2">
      <c r="H13727" s="1"/>
      <c r="I13727" s="1"/>
    </row>
    <row r="13728" spans="8:9" x14ac:dyDescent="0.2">
      <c r="H13728" s="1"/>
      <c r="I13728" s="1"/>
    </row>
    <row r="13729" spans="8:9" x14ac:dyDescent="0.2">
      <c r="H13729" s="1"/>
      <c r="I13729" s="1"/>
    </row>
    <row r="13730" spans="8:9" x14ac:dyDescent="0.2">
      <c r="H13730" s="1"/>
      <c r="I13730" s="1"/>
    </row>
    <row r="13731" spans="8:9" x14ac:dyDescent="0.2">
      <c r="H13731" s="1"/>
      <c r="I13731" s="1"/>
    </row>
    <row r="13732" spans="8:9" x14ac:dyDescent="0.2">
      <c r="H13732" s="1"/>
      <c r="I13732" s="1"/>
    </row>
    <row r="13733" spans="8:9" x14ac:dyDescent="0.2">
      <c r="H13733" s="1"/>
      <c r="I13733" s="1"/>
    </row>
    <row r="13734" spans="8:9" x14ac:dyDescent="0.2">
      <c r="H13734" s="1"/>
      <c r="I13734" s="1"/>
    </row>
    <row r="13735" spans="8:9" x14ac:dyDescent="0.2">
      <c r="H13735" s="1"/>
      <c r="I13735" s="1"/>
    </row>
    <row r="13736" spans="8:9" x14ac:dyDescent="0.2">
      <c r="H13736" s="1"/>
      <c r="I13736" s="1"/>
    </row>
    <row r="13737" spans="8:9" x14ac:dyDescent="0.2">
      <c r="H13737" s="1"/>
      <c r="I13737" s="1"/>
    </row>
    <row r="13738" spans="8:9" x14ac:dyDescent="0.2">
      <c r="H13738" s="1"/>
      <c r="I13738" s="1"/>
    </row>
    <row r="13739" spans="8:9" x14ac:dyDescent="0.2">
      <c r="H13739" s="1"/>
      <c r="I13739" s="1"/>
    </row>
    <row r="13740" spans="8:9" x14ac:dyDescent="0.2">
      <c r="H13740" s="1"/>
      <c r="I13740" s="1"/>
    </row>
    <row r="13741" spans="8:9" x14ac:dyDescent="0.2">
      <c r="H13741" s="1"/>
      <c r="I13741" s="1"/>
    </row>
    <row r="13742" spans="8:9" x14ac:dyDescent="0.2">
      <c r="H13742" s="1"/>
      <c r="I13742" s="1"/>
    </row>
    <row r="13743" spans="8:9" x14ac:dyDescent="0.2">
      <c r="H13743" s="1"/>
      <c r="I13743" s="1"/>
    </row>
    <row r="13744" spans="8:9" x14ac:dyDescent="0.2">
      <c r="H13744" s="1"/>
      <c r="I13744" s="1"/>
    </row>
    <row r="13745" spans="8:9" x14ac:dyDescent="0.2">
      <c r="H13745" s="1"/>
      <c r="I13745" s="1"/>
    </row>
    <row r="13746" spans="8:9" x14ac:dyDescent="0.2">
      <c r="H13746" s="1"/>
      <c r="I13746" s="1"/>
    </row>
    <row r="13747" spans="8:9" x14ac:dyDescent="0.2">
      <c r="H13747" s="1"/>
      <c r="I13747" s="1"/>
    </row>
    <row r="13748" spans="8:9" x14ac:dyDescent="0.2">
      <c r="H13748" s="1"/>
      <c r="I13748" s="1"/>
    </row>
    <row r="13749" spans="8:9" x14ac:dyDescent="0.2">
      <c r="H13749" s="1"/>
      <c r="I13749" s="1"/>
    </row>
    <row r="13750" spans="8:9" x14ac:dyDescent="0.2">
      <c r="H13750" s="1"/>
      <c r="I13750" s="1"/>
    </row>
    <row r="13751" spans="8:9" x14ac:dyDescent="0.2">
      <c r="H13751" s="1"/>
      <c r="I13751" s="1"/>
    </row>
    <row r="13752" spans="8:9" x14ac:dyDescent="0.2">
      <c r="H13752" s="1"/>
      <c r="I13752" s="1"/>
    </row>
    <row r="13753" spans="8:9" x14ac:dyDescent="0.2">
      <c r="H13753" s="1"/>
      <c r="I13753" s="1"/>
    </row>
    <row r="13754" spans="8:9" x14ac:dyDescent="0.2">
      <c r="H13754" s="1"/>
      <c r="I13754" s="1"/>
    </row>
    <row r="13755" spans="8:9" x14ac:dyDescent="0.2">
      <c r="H13755" s="1"/>
      <c r="I13755" s="1"/>
    </row>
    <row r="13756" spans="8:9" x14ac:dyDescent="0.2">
      <c r="H13756" s="1"/>
      <c r="I13756" s="1"/>
    </row>
    <row r="13757" spans="8:9" x14ac:dyDescent="0.2">
      <c r="H13757" s="1"/>
      <c r="I13757" s="1"/>
    </row>
    <row r="13758" spans="8:9" x14ac:dyDescent="0.2">
      <c r="H13758" s="1"/>
      <c r="I13758" s="1"/>
    </row>
    <row r="13759" spans="8:9" x14ac:dyDescent="0.2">
      <c r="H13759" s="1"/>
      <c r="I13759" s="1"/>
    </row>
    <row r="13760" spans="8:9" x14ac:dyDescent="0.2">
      <c r="H13760" s="1"/>
      <c r="I13760" s="1"/>
    </row>
    <row r="13761" spans="8:9" x14ac:dyDescent="0.2">
      <c r="H13761" s="1"/>
      <c r="I13761" s="1"/>
    </row>
    <row r="13762" spans="8:9" x14ac:dyDescent="0.2">
      <c r="H13762" s="1"/>
      <c r="I13762" s="1"/>
    </row>
    <row r="13763" spans="8:9" x14ac:dyDescent="0.2">
      <c r="H13763" s="1"/>
      <c r="I13763" s="1"/>
    </row>
    <row r="13764" spans="8:9" x14ac:dyDescent="0.2">
      <c r="H13764" s="1"/>
      <c r="I13764" s="1"/>
    </row>
    <row r="13765" spans="8:9" x14ac:dyDescent="0.2">
      <c r="H13765" s="1"/>
      <c r="I13765" s="1"/>
    </row>
    <row r="13766" spans="8:9" x14ac:dyDescent="0.2">
      <c r="H13766" s="1"/>
      <c r="I13766" s="1"/>
    </row>
    <row r="13767" spans="8:9" x14ac:dyDescent="0.2">
      <c r="H13767" s="1"/>
      <c r="I13767" s="1"/>
    </row>
    <row r="13768" spans="8:9" x14ac:dyDescent="0.2">
      <c r="H13768" s="1"/>
      <c r="I13768" s="1"/>
    </row>
    <row r="13769" spans="8:9" x14ac:dyDescent="0.2">
      <c r="H13769" s="1"/>
      <c r="I13769" s="1"/>
    </row>
    <row r="13770" spans="8:9" x14ac:dyDescent="0.2">
      <c r="H13770" s="1"/>
      <c r="I13770" s="1"/>
    </row>
    <row r="13771" spans="8:9" x14ac:dyDescent="0.2">
      <c r="H13771" s="1"/>
      <c r="I13771" s="1"/>
    </row>
    <row r="13772" spans="8:9" x14ac:dyDescent="0.2">
      <c r="H13772" s="1"/>
      <c r="I13772" s="1"/>
    </row>
    <row r="13773" spans="8:9" x14ac:dyDescent="0.2">
      <c r="H13773" s="1"/>
      <c r="I13773" s="1"/>
    </row>
    <row r="13774" spans="8:9" x14ac:dyDescent="0.2">
      <c r="H13774" s="1"/>
      <c r="I13774" s="1"/>
    </row>
    <row r="13775" spans="8:9" x14ac:dyDescent="0.2">
      <c r="H13775" s="1"/>
      <c r="I13775" s="1"/>
    </row>
    <row r="13776" spans="8:9" x14ac:dyDescent="0.2">
      <c r="H13776" s="1"/>
      <c r="I13776" s="1"/>
    </row>
    <row r="13777" spans="8:9" x14ac:dyDescent="0.2">
      <c r="H13777" s="1"/>
      <c r="I13777" s="1"/>
    </row>
    <row r="13778" spans="8:9" x14ac:dyDescent="0.2">
      <c r="H13778" s="1"/>
      <c r="I13778" s="1"/>
    </row>
    <row r="13779" spans="8:9" x14ac:dyDescent="0.2">
      <c r="H13779" s="1"/>
      <c r="I13779" s="1"/>
    </row>
    <row r="13780" spans="8:9" x14ac:dyDescent="0.2">
      <c r="H13780" s="1"/>
      <c r="I13780" s="1"/>
    </row>
    <row r="13781" spans="8:9" x14ac:dyDescent="0.2">
      <c r="H13781" s="1"/>
      <c r="I13781" s="1"/>
    </row>
    <row r="13782" spans="8:9" x14ac:dyDescent="0.2">
      <c r="H13782" s="1"/>
      <c r="I13782" s="1"/>
    </row>
    <row r="13783" spans="8:9" x14ac:dyDescent="0.2">
      <c r="H13783" s="1"/>
      <c r="I13783" s="1"/>
    </row>
    <row r="13784" spans="8:9" x14ac:dyDescent="0.2">
      <c r="H13784" s="1"/>
      <c r="I13784" s="1"/>
    </row>
    <row r="13785" spans="8:9" x14ac:dyDescent="0.2">
      <c r="H13785" s="1"/>
      <c r="I13785" s="1"/>
    </row>
    <row r="13786" spans="8:9" x14ac:dyDescent="0.2">
      <c r="H13786" s="1"/>
      <c r="I13786" s="1"/>
    </row>
    <row r="13787" spans="8:9" x14ac:dyDescent="0.2">
      <c r="H13787" s="1"/>
      <c r="I13787" s="1"/>
    </row>
    <row r="13788" spans="8:9" x14ac:dyDescent="0.2">
      <c r="H13788" s="1"/>
      <c r="I13788" s="1"/>
    </row>
    <row r="13789" spans="8:9" x14ac:dyDescent="0.2">
      <c r="H13789" s="1"/>
      <c r="I13789" s="1"/>
    </row>
    <row r="13790" spans="8:9" x14ac:dyDescent="0.2">
      <c r="H13790" s="1"/>
      <c r="I13790" s="1"/>
    </row>
    <row r="13791" spans="8:9" x14ac:dyDescent="0.2">
      <c r="H13791" s="1"/>
      <c r="I13791" s="1"/>
    </row>
    <row r="13792" spans="8:9" x14ac:dyDescent="0.2">
      <c r="H13792" s="1"/>
      <c r="I13792" s="1"/>
    </row>
    <row r="13793" spans="8:9" x14ac:dyDescent="0.2">
      <c r="H13793" s="1"/>
      <c r="I13793" s="1"/>
    </row>
    <row r="13794" spans="8:9" x14ac:dyDescent="0.2">
      <c r="H13794" s="1"/>
      <c r="I13794" s="1"/>
    </row>
    <row r="13795" spans="8:9" x14ac:dyDescent="0.2">
      <c r="H13795" s="1"/>
      <c r="I13795" s="1"/>
    </row>
    <row r="13796" spans="8:9" x14ac:dyDescent="0.2">
      <c r="H13796" s="1"/>
      <c r="I13796" s="1"/>
    </row>
    <row r="13797" spans="8:9" x14ac:dyDescent="0.2">
      <c r="H13797" s="1"/>
      <c r="I13797" s="1"/>
    </row>
    <row r="13798" spans="8:9" x14ac:dyDescent="0.2">
      <c r="H13798" s="1"/>
      <c r="I13798" s="1"/>
    </row>
    <row r="13799" spans="8:9" x14ac:dyDescent="0.2">
      <c r="H13799" s="1"/>
      <c r="I13799" s="1"/>
    </row>
    <row r="13800" spans="8:9" x14ac:dyDescent="0.2">
      <c r="H13800" s="1"/>
      <c r="I13800" s="1"/>
    </row>
    <row r="13801" spans="8:9" x14ac:dyDescent="0.2">
      <c r="H13801" s="1"/>
      <c r="I13801" s="1"/>
    </row>
    <row r="13802" spans="8:9" x14ac:dyDescent="0.2">
      <c r="H13802" s="1"/>
      <c r="I13802" s="1"/>
    </row>
    <row r="13803" spans="8:9" x14ac:dyDescent="0.2">
      <c r="H13803" s="1"/>
      <c r="I13803" s="1"/>
    </row>
    <row r="13804" spans="8:9" x14ac:dyDescent="0.2">
      <c r="H13804" s="1"/>
      <c r="I13804" s="1"/>
    </row>
    <row r="13805" spans="8:9" x14ac:dyDescent="0.2">
      <c r="H13805" s="1"/>
      <c r="I13805" s="1"/>
    </row>
    <row r="13806" spans="8:9" x14ac:dyDescent="0.2">
      <c r="H13806" s="1"/>
      <c r="I13806" s="1"/>
    </row>
    <row r="13807" spans="8:9" x14ac:dyDescent="0.2">
      <c r="H13807" s="1"/>
      <c r="I13807" s="1"/>
    </row>
    <row r="13808" spans="8:9" x14ac:dyDescent="0.2">
      <c r="H13808" s="1"/>
      <c r="I13808" s="1"/>
    </row>
    <row r="13809" spans="8:9" x14ac:dyDescent="0.2">
      <c r="H13809" s="1"/>
      <c r="I13809" s="1"/>
    </row>
    <row r="13810" spans="8:9" x14ac:dyDescent="0.2">
      <c r="H13810" s="1"/>
      <c r="I13810" s="1"/>
    </row>
    <row r="13811" spans="8:9" x14ac:dyDescent="0.2">
      <c r="H13811" s="1"/>
      <c r="I13811" s="1"/>
    </row>
    <row r="13812" spans="8:9" x14ac:dyDescent="0.2">
      <c r="H13812" s="1"/>
      <c r="I13812" s="1"/>
    </row>
    <row r="13813" spans="8:9" x14ac:dyDescent="0.2">
      <c r="H13813" s="1"/>
      <c r="I13813" s="1"/>
    </row>
    <row r="13814" spans="8:9" x14ac:dyDescent="0.2">
      <c r="H13814" s="1"/>
      <c r="I13814" s="1"/>
    </row>
    <row r="13815" spans="8:9" x14ac:dyDescent="0.2">
      <c r="H13815" s="1"/>
      <c r="I13815" s="1"/>
    </row>
    <row r="13816" spans="8:9" x14ac:dyDescent="0.2">
      <c r="H13816" s="1"/>
      <c r="I13816" s="1"/>
    </row>
    <row r="13817" spans="8:9" x14ac:dyDescent="0.2">
      <c r="H13817" s="1"/>
      <c r="I13817" s="1"/>
    </row>
    <row r="13818" spans="8:9" x14ac:dyDescent="0.2">
      <c r="H13818" s="1"/>
      <c r="I13818" s="1"/>
    </row>
    <row r="13819" spans="8:9" x14ac:dyDescent="0.2">
      <c r="H13819" s="1"/>
      <c r="I13819" s="1"/>
    </row>
    <row r="13820" spans="8:9" x14ac:dyDescent="0.2">
      <c r="H13820" s="1"/>
      <c r="I13820" s="1"/>
    </row>
    <row r="13821" spans="8:9" x14ac:dyDescent="0.2">
      <c r="H13821" s="1"/>
      <c r="I13821" s="1"/>
    </row>
    <row r="13822" spans="8:9" x14ac:dyDescent="0.2">
      <c r="H13822" s="1"/>
      <c r="I13822" s="1"/>
    </row>
    <row r="13823" spans="8:9" x14ac:dyDescent="0.2">
      <c r="H13823" s="1"/>
      <c r="I13823" s="1"/>
    </row>
    <row r="13824" spans="8:9" x14ac:dyDescent="0.2">
      <c r="H13824" s="1"/>
      <c r="I13824" s="1"/>
    </row>
    <row r="13825" spans="8:9" x14ac:dyDescent="0.2">
      <c r="H13825" s="1"/>
      <c r="I13825" s="1"/>
    </row>
    <row r="13826" spans="8:9" x14ac:dyDescent="0.2">
      <c r="H13826" s="1"/>
      <c r="I13826" s="1"/>
    </row>
    <row r="13827" spans="8:9" x14ac:dyDescent="0.2">
      <c r="H13827" s="1"/>
      <c r="I13827" s="1"/>
    </row>
    <row r="13828" spans="8:9" x14ac:dyDescent="0.2">
      <c r="H13828" s="1"/>
      <c r="I13828" s="1"/>
    </row>
    <row r="13829" spans="8:9" x14ac:dyDescent="0.2">
      <c r="H13829" s="1"/>
      <c r="I13829" s="1"/>
    </row>
    <row r="13830" spans="8:9" x14ac:dyDescent="0.2">
      <c r="H13830" s="1"/>
      <c r="I13830" s="1"/>
    </row>
    <row r="13831" spans="8:9" x14ac:dyDescent="0.2">
      <c r="H13831" s="1"/>
      <c r="I13831" s="1"/>
    </row>
    <row r="13832" spans="8:9" x14ac:dyDescent="0.2">
      <c r="H13832" s="1"/>
      <c r="I13832" s="1"/>
    </row>
    <row r="13833" spans="8:9" x14ac:dyDescent="0.2">
      <c r="H13833" s="1"/>
      <c r="I13833" s="1"/>
    </row>
    <row r="13834" spans="8:9" x14ac:dyDescent="0.2">
      <c r="H13834" s="1"/>
      <c r="I13834" s="1"/>
    </row>
    <row r="13835" spans="8:9" x14ac:dyDescent="0.2">
      <c r="H13835" s="1"/>
      <c r="I13835" s="1"/>
    </row>
    <row r="13836" spans="8:9" x14ac:dyDescent="0.2">
      <c r="H13836" s="1"/>
      <c r="I13836" s="1"/>
    </row>
    <row r="13837" spans="8:9" x14ac:dyDescent="0.2">
      <c r="H13837" s="1"/>
      <c r="I13837" s="1"/>
    </row>
    <row r="13838" spans="8:9" x14ac:dyDescent="0.2">
      <c r="H13838" s="1"/>
      <c r="I13838" s="1"/>
    </row>
    <row r="13839" spans="8:9" x14ac:dyDescent="0.2">
      <c r="H13839" s="1"/>
      <c r="I13839" s="1"/>
    </row>
    <row r="13840" spans="8:9" x14ac:dyDescent="0.2">
      <c r="H13840" s="1"/>
      <c r="I13840" s="1"/>
    </row>
    <row r="13841" spans="8:9" x14ac:dyDescent="0.2">
      <c r="H13841" s="1"/>
      <c r="I13841" s="1"/>
    </row>
    <row r="13842" spans="8:9" x14ac:dyDescent="0.2">
      <c r="H13842" s="1"/>
      <c r="I13842" s="1"/>
    </row>
    <row r="13843" spans="8:9" x14ac:dyDescent="0.2">
      <c r="H13843" s="1"/>
      <c r="I13843" s="1"/>
    </row>
    <row r="13844" spans="8:9" x14ac:dyDescent="0.2">
      <c r="H13844" s="1"/>
      <c r="I13844" s="1"/>
    </row>
    <row r="13845" spans="8:9" x14ac:dyDescent="0.2">
      <c r="H13845" s="1"/>
      <c r="I13845" s="1"/>
    </row>
    <row r="13846" spans="8:9" x14ac:dyDescent="0.2">
      <c r="H13846" s="1"/>
      <c r="I13846" s="1"/>
    </row>
    <row r="13847" spans="8:9" x14ac:dyDescent="0.2">
      <c r="H13847" s="1"/>
      <c r="I13847" s="1"/>
    </row>
    <row r="13848" spans="8:9" x14ac:dyDescent="0.2">
      <c r="H13848" s="1"/>
      <c r="I13848" s="1"/>
    </row>
    <row r="13849" spans="8:9" x14ac:dyDescent="0.2">
      <c r="H13849" s="1"/>
      <c r="I13849" s="1"/>
    </row>
    <row r="13850" spans="8:9" x14ac:dyDescent="0.2">
      <c r="H13850" s="1"/>
      <c r="I13850" s="1"/>
    </row>
    <row r="13851" spans="8:9" x14ac:dyDescent="0.2">
      <c r="H13851" s="1"/>
      <c r="I13851" s="1"/>
    </row>
    <row r="13852" spans="8:9" x14ac:dyDescent="0.2">
      <c r="H13852" s="1"/>
      <c r="I13852" s="1"/>
    </row>
    <row r="13853" spans="8:9" x14ac:dyDescent="0.2">
      <c r="H13853" s="1"/>
      <c r="I13853" s="1"/>
    </row>
    <row r="13854" spans="8:9" x14ac:dyDescent="0.2">
      <c r="H13854" s="1"/>
      <c r="I13854" s="1"/>
    </row>
    <row r="13855" spans="8:9" x14ac:dyDescent="0.2">
      <c r="H13855" s="1"/>
      <c r="I13855" s="1"/>
    </row>
    <row r="13856" spans="8:9" x14ac:dyDescent="0.2">
      <c r="H13856" s="1"/>
      <c r="I13856" s="1"/>
    </row>
    <row r="13857" spans="8:9" x14ac:dyDescent="0.2">
      <c r="H13857" s="1"/>
      <c r="I13857" s="1"/>
    </row>
    <row r="13858" spans="8:9" x14ac:dyDescent="0.2">
      <c r="H13858" s="1"/>
      <c r="I13858" s="1"/>
    </row>
    <row r="13859" spans="8:9" x14ac:dyDescent="0.2">
      <c r="H13859" s="1"/>
      <c r="I13859" s="1"/>
    </row>
    <row r="13860" spans="8:9" x14ac:dyDescent="0.2">
      <c r="H13860" s="1"/>
      <c r="I13860" s="1"/>
    </row>
    <row r="13861" spans="8:9" x14ac:dyDescent="0.2">
      <c r="H13861" s="1"/>
      <c r="I13861" s="1"/>
    </row>
    <row r="13862" spans="8:9" x14ac:dyDescent="0.2">
      <c r="H13862" s="1"/>
      <c r="I13862" s="1"/>
    </row>
    <row r="13863" spans="8:9" x14ac:dyDescent="0.2">
      <c r="H13863" s="1"/>
      <c r="I13863" s="1"/>
    </row>
    <row r="13864" spans="8:9" x14ac:dyDescent="0.2">
      <c r="H13864" s="1"/>
      <c r="I13864" s="1"/>
    </row>
    <row r="13865" spans="8:9" x14ac:dyDescent="0.2">
      <c r="H13865" s="1"/>
      <c r="I13865" s="1"/>
    </row>
    <row r="13866" spans="8:9" x14ac:dyDescent="0.2">
      <c r="H13866" s="1"/>
      <c r="I13866" s="1"/>
    </row>
    <row r="13867" spans="8:9" x14ac:dyDescent="0.2">
      <c r="H13867" s="1"/>
      <c r="I13867" s="1"/>
    </row>
    <row r="13868" spans="8:9" x14ac:dyDescent="0.2">
      <c r="H13868" s="1"/>
      <c r="I13868" s="1"/>
    </row>
    <row r="13869" spans="8:9" x14ac:dyDescent="0.2">
      <c r="H13869" s="1"/>
      <c r="I13869" s="1"/>
    </row>
    <row r="13870" spans="8:9" x14ac:dyDescent="0.2">
      <c r="H13870" s="1"/>
      <c r="I13870" s="1"/>
    </row>
    <row r="13871" spans="8:9" x14ac:dyDescent="0.2">
      <c r="H13871" s="1"/>
      <c r="I13871" s="1"/>
    </row>
    <row r="13872" spans="8:9" x14ac:dyDescent="0.2">
      <c r="H13872" s="1"/>
      <c r="I13872" s="1"/>
    </row>
    <row r="13873" spans="8:9" x14ac:dyDescent="0.2">
      <c r="H13873" s="1"/>
      <c r="I13873" s="1"/>
    </row>
    <row r="13874" spans="8:9" x14ac:dyDescent="0.2">
      <c r="H13874" s="1"/>
      <c r="I13874" s="1"/>
    </row>
    <row r="13875" spans="8:9" x14ac:dyDescent="0.2">
      <c r="H13875" s="1"/>
      <c r="I13875" s="1"/>
    </row>
    <row r="13876" spans="8:9" x14ac:dyDescent="0.2">
      <c r="H13876" s="1"/>
      <c r="I13876" s="1"/>
    </row>
    <row r="13877" spans="8:9" x14ac:dyDescent="0.2">
      <c r="H13877" s="1"/>
      <c r="I13877" s="1"/>
    </row>
    <row r="13878" spans="8:9" x14ac:dyDescent="0.2">
      <c r="H13878" s="1"/>
      <c r="I13878" s="1"/>
    </row>
    <row r="13879" spans="8:9" x14ac:dyDescent="0.2">
      <c r="H13879" s="1"/>
      <c r="I13879" s="1"/>
    </row>
    <row r="13880" spans="8:9" x14ac:dyDescent="0.2">
      <c r="H13880" s="1"/>
      <c r="I13880" s="1"/>
    </row>
    <row r="13881" spans="8:9" x14ac:dyDescent="0.2">
      <c r="H13881" s="1"/>
      <c r="I13881" s="1"/>
    </row>
    <row r="13882" spans="8:9" x14ac:dyDescent="0.2">
      <c r="H13882" s="1"/>
      <c r="I13882" s="1"/>
    </row>
    <row r="13883" spans="8:9" x14ac:dyDescent="0.2">
      <c r="H13883" s="1"/>
      <c r="I13883" s="1"/>
    </row>
    <row r="13884" spans="8:9" x14ac:dyDescent="0.2">
      <c r="H13884" s="1"/>
      <c r="I13884" s="1"/>
    </row>
    <row r="13885" spans="8:9" x14ac:dyDescent="0.2">
      <c r="H13885" s="1"/>
      <c r="I13885" s="1"/>
    </row>
    <row r="13886" spans="8:9" x14ac:dyDescent="0.2">
      <c r="H13886" s="1"/>
      <c r="I13886" s="1"/>
    </row>
    <row r="13887" spans="8:9" x14ac:dyDescent="0.2">
      <c r="H13887" s="1"/>
      <c r="I13887" s="1"/>
    </row>
    <row r="13888" spans="8:9" x14ac:dyDescent="0.2">
      <c r="H13888" s="1"/>
      <c r="I13888" s="1"/>
    </row>
    <row r="13889" spans="8:9" x14ac:dyDescent="0.2">
      <c r="H13889" s="1"/>
      <c r="I13889" s="1"/>
    </row>
    <row r="13890" spans="8:9" x14ac:dyDescent="0.2">
      <c r="H13890" s="1"/>
      <c r="I13890" s="1"/>
    </row>
    <row r="13891" spans="8:9" x14ac:dyDescent="0.2">
      <c r="H13891" s="1"/>
      <c r="I13891" s="1"/>
    </row>
    <row r="13892" spans="8:9" x14ac:dyDescent="0.2">
      <c r="H13892" s="1"/>
      <c r="I13892" s="1"/>
    </row>
    <row r="13893" spans="8:9" x14ac:dyDescent="0.2">
      <c r="H13893" s="1"/>
      <c r="I13893" s="1"/>
    </row>
    <row r="13894" spans="8:9" x14ac:dyDescent="0.2">
      <c r="H13894" s="1"/>
      <c r="I13894" s="1"/>
    </row>
    <row r="13895" spans="8:9" x14ac:dyDescent="0.2">
      <c r="H13895" s="1"/>
      <c r="I13895" s="1"/>
    </row>
    <row r="13896" spans="8:9" x14ac:dyDescent="0.2">
      <c r="H13896" s="1"/>
      <c r="I13896" s="1"/>
    </row>
    <row r="13897" spans="8:9" x14ac:dyDescent="0.2">
      <c r="H13897" s="1"/>
      <c r="I13897" s="1"/>
    </row>
    <row r="13898" spans="8:9" x14ac:dyDescent="0.2">
      <c r="H13898" s="1"/>
      <c r="I13898" s="1"/>
    </row>
    <row r="13899" spans="8:9" x14ac:dyDescent="0.2">
      <c r="H13899" s="1"/>
      <c r="I13899" s="1"/>
    </row>
    <row r="13900" spans="8:9" x14ac:dyDescent="0.2">
      <c r="H13900" s="1"/>
      <c r="I13900" s="1"/>
    </row>
    <row r="13901" spans="8:9" x14ac:dyDescent="0.2">
      <c r="H13901" s="1"/>
      <c r="I13901" s="1"/>
    </row>
    <row r="13902" spans="8:9" x14ac:dyDescent="0.2">
      <c r="H13902" s="1"/>
      <c r="I13902" s="1"/>
    </row>
    <row r="13903" spans="8:9" x14ac:dyDescent="0.2">
      <c r="H13903" s="1"/>
      <c r="I13903" s="1"/>
    </row>
    <row r="13904" spans="8:9" x14ac:dyDescent="0.2">
      <c r="H13904" s="1"/>
      <c r="I13904" s="1"/>
    </row>
    <row r="13905" spans="8:9" x14ac:dyDescent="0.2">
      <c r="H13905" s="1"/>
      <c r="I13905" s="1"/>
    </row>
    <row r="13906" spans="8:9" x14ac:dyDescent="0.2">
      <c r="H13906" s="1"/>
      <c r="I13906" s="1"/>
    </row>
    <row r="13907" spans="8:9" x14ac:dyDescent="0.2">
      <c r="H13907" s="1"/>
      <c r="I13907" s="1"/>
    </row>
    <row r="13908" spans="8:9" x14ac:dyDescent="0.2">
      <c r="H13908" s="1"/>
      <c r="I13908" s="1"/>
    </row>
    <row r="13909" spans="8:9" x14ac:dyDescent="0.2">
      <c r="H13909" s="1"/>
      <c r="I13909" s="1"/>
    </row>
    <row r="13910" spans="8:9" x14ac:dyDescent="0.2">
      <c r="H13910" s="1"/>
      <c r="I13910" s="1"/>
    </row>
    <row r="13911" spans="8:9" x14ac:dyDescent="0.2">
      <c r="H13911" s="1"/>
      <c r="I13911" s="1"/>
    </row>
    <row r="13912" spans="8:9" x14ac:dyDescent="0.2">
      <c r="H13912" s="1"/>
      <c r="I13912" s="1"/>
    </row>
    <row r="13913" spans="8:9" x14ac:dyDescent="0.2">
      <c r="H13913" s="1"/>
      <c r="I13913" s="1"/>
    </row>
    <row r="13914" spans="8:9" x14ac:dyDescent="0.2">
      <c r="H13914" s="1"/>
      <c r="I13914" s="1"/>
    </row>
    <row r="13915" spans="8:9" x14ac:dyDescent="0.2">
      <c r="H13915" s="1"/>
      <c r="I13915" s="1"/>
    </row>
    <row r="13916" spans="8:9" x14ac:dyDescent="0.2">
      <c r="H13916" s="1"/>
      <c r="I13916" s="1"/>
    </row>
    <row r="13917" spans="8:9" x14ac:dyDescent="0.2">
      <c r="H13917" s="1"/>
      <c r="I13917" s="1"/>
    </row>
    <row r="13918" spans="8:9" x14ac:dyDescent="0.2">
      <c r="H13918" s="1"/>
      <c r="I13918" s="1"/>
    </row>
    <row r="13919" spans="8:9" x14ac:dyDescent="0.2">
      <c r="H13919" s="1"/>
      <c r="I13919" s="1"/>
    </row>
    <row r="13920" spans="8:9" x14ac:dyDescent="0.2">
      <c r="H13920" s="1"/>
      <c r="I13920" s="1"/>
    </row>
    <row r="13921" spans="8:9" x14ac:dyDescent="0.2">
      <c r="H13921" s="1"/>
      <c r="I13921" s="1"/>
    </row>
    <row r="13922" spans="8:9" x14ac:dyDescent="0.2">
      <c r="H13922" s="1"/>
      <c r="I13922" s="1"/>
    </row>
    <row r="13923" spans="8:9" x14ac:dyDescent="0.2">
      <c r="H13923" s="1"/>
      <c r="I13923" s="1"/>
    </row>
    <row r="13924" spans="8:9" x14ac:dyDescent="0.2">
      <c r="H13924" s="1"/>
      <c r="I13924" s="1"/>
    </row>
    <row r="13925" spans="8:9" x14ac:dyDescent="0.2">
      <c r="H13925" s="1"/>
      <c r="I13925" s="1"/>
    </row>
    <row r="13926" spans="8:9" x14ac:dyDescent="0.2">
      <c r="H13926" s="1"/>
      <c r="I13926" s="1"/>
    </row>
    <row r="13927" spans="8:9" x14ac:dyDescent="0.2">
      <c r="H13927" s="1"/>
      <c r="I13927" s="1"/>
    </row>
    <row r="13928" spans="8:9" x14ac:dyDescent="0.2">
      <c r="H13928" s="1"/>
      <c r="I13928" s="1"/>
    </row>
    <row r="13929" spans="8:9" x14ac:dyDescent="0.2">
      <c r="H13929" s="1"/>
      <c r="I13929" s="1"/>
    </row>
    <row r="13930" spans="8:9" x14ac:dyDescent="0.2">
      <c r="H13930" s="1"/>
      <c r="I13930" s="1"/>
    </row>
    <row r="13931" spans="8:9" x14ac:dyDescent="0.2">
      <c r="H13931" s="1"/>
      <c r="I13931" s="1"/>
    </row>
    <row r="13932" spans="8:9" x14ac:dyDescent="0.2">
      <c r="H13932" s="1"/>
      <c r="I13932" s="1"/>
    </row>
    <row r="13933" spans="8:9" x14ac:dyDescent="0.2">
      <c r="H13933" s="1"/>
      <c r="I13933" s="1"/>
    </row>
    <row r="13934" spans="8:9" x14ac:dyDescent="0.2">
      <c r="H13934" s="1"/>
      <c r="I13934" s="1"/>
    </row>
    <row r="13935" spans="8:9" x14ac:dyDescent="0.2">
      <c r="H13935" s="1"/>
      <c r="I13935" s="1"/>
    </row>
    <row r="13936" spans="8:9" x14ac:dyDescent="0.2">
      <c r="H13936" s="1"/>
      <c r="I13936" s="1"/>
    </row>
    <row r="13937" spans="8:9" x14ac:dyDescent="0.2">
      <c r="H13937" s="1"/>
      <c r="I13937" s="1"/>
    </row>
    <row r="13938" spans="8:9" x14ac:dyDescent="0.2">
      <c r="H13938" s="1"/>
      <c r="I13938" s="1"/>
    </row>
    <row r="13939" spans="8:9" x14ac:dyDescent="0.2">
      <c r="H13939" s="1"/>
      <c r="I13939" s="1"/>
    </row>
    <row r="13940" spans="8:9" x14ac:dyDescent="0.2">
      <c r="H13940" s="1"/>
      <c r="I13940" s="1"/>
    </row>
    <row r="13941" spans="8:9" x14ac:dyDescent="0.2">
      <c r="H13941" s="1"/>
      <c r="I13941" s="1"/>
    </row>
    <row r="13942" spans="8:9" x14ac:dyDescent="0.2">
      <c r="H13942" s="1"/>
      <c r="I13942" s="1"/>
    </row>
    <row r="13943" spans="8:9" x14ac:dyDescent="0.2">
      <c r="H13943" s="1"/>
      <c r="I13943" s="1"/>
    </row>
    <row r="13944" spans="8:9" x14ac:dyDescent="0.2">
      <c r="H13944" s="1"/>
      <c r="I13944" s="1"/>
    </row>
    <row r="13945" spans="8:9" x14ac:dyDescent="0.2">
      <c r="H13945" s="1"/>
      <c r="I13945" s="1"/>
    </row>
    <row r="13946" spans="8:9" x14ac:dyDescent="0.2">
      <c r="H13946" s="1"/>
      <c r="I13946" s="1"/>
    </row>
    <row r="13947" spans="8:9" x14ac:dyDescent="0.2">
      <c r="H13947" s="1"/>
      <c r="I13947" s="1"/>
    </row>
    <row r="13948" spans="8:9" x14ac:dyDescent="0.2">
      <c r="H13948" s="1"/>
      <c r="I13948" s="1"/>
    </row>
    <row r="13949" spans="8:9" x14ac:dyDescent="0.2">
      <c r="H13949" s="1"/>
      <c r="I13949" s="1"/>
    </row>
    <row r="13950" spans="8:9" x14ac:dyDescent="0.2">
      <c r="H13950" s="1"/>
      <c r="I13950" s="1"/>
    </row>
    <row r="13951" spans="8:9" x14ac:dyDescent="0.2">
      <c r="H13951" s="1"/>
      <c r="I13951" s="1"/>
    </row>
    <row r="13952" spans="8:9" x14ac:dyDescent="0.2">
      <c r="H13952" s="1"/>
      <c r="I13952" s="1"/>
    </row>
    <row r="13953" spans="8:9" x14ac:dyDescent="0.2">
      <c r="H13953" s="1"/>
      <c r="I13953" s="1"/>
    </row>
    <row r="13954" spans="8:9" x14ac:dyDescent="0.2">
      <c r="H13954" s="1"/>
      <c r="I13954" s="1"/>
    </row>
    <row r="13955" spans="8:9" x14ac:dyDescent="0.2">
      <c r="H13955" s="1"/>
      <c r="I13955" s="1"/>
    </row>
    <row r="13956" spans="8:9" x14ac:dyDescent="0.2">
      <c r="H13956" s="1"/>
      <c r="I13956" s="1"/>
    </row>
    <row r="13957" spans="8:9" x14ac:dyDescent="0.2">
      <c r="H13957" s="1"/>
      <c r="I13957" s="1"/>
    </row>
    <row r="13958" spans="8:9" x14ac:dyDescent="0.2">
      <c r="H13958" s="1"/>
      <c r="I13958" s="1"/>
    </row>
    <row r="13959" spans="8:9" x14ac:dyDescent="0.2">
      <c r="H13959" s="1"/>
      <c r="I13959" s="1"/>
    </row>
    <row r="13960" spans="8:9" x14ac:dyDescent="0.2">
      <c r="H13960" s="1"/>
      <c r="I13960" s="1"/>
    </row>
    <row r="13961" spans="8:9" x14ac:dyDescent="0.2">
      <c r="H13961" s="1"/>
      <c r="I13961" s="1"/>
    </row>
    <row r="13962" spans="8:9" x14ac:dyDescent="0.2">
      <c r="H13962" s="1"/>
      <c r="I13962" s="1"/>
    </row>
    <row r="13963" spans="8:9" x14ac:dyDescent="0.2">
      <c r="H13963" s="1"/>
      <c r="I13963" s="1"/>
    </row>
    <row r="13964" spans="8:9" x14ac:dyDescent="0.2">
      <c r="H13964" s="1"/>
      <c r="I13964" s="1"/>
    </row>
    <row r="13965" spans="8:9" x14ac:dyDescent="0.2">
      <c r="H13965" s="1"/>
      <c r="I13965" s="1"/>
    </row>
    <row r="13966" spans="8:9" x14ac:dyDescent="0.2">
      <c r="H13966" s="1"/>
      <c r="I13966" s="1"/>
    </row>
    <row r="13967" spans="8:9" x14ac:dyDescent="0.2">
      <c r="H13967" s="1"/>
      <c r="I13967" s="1"/>
    </row>
    <row r="13968" spans="8:9" x14ac:dyDescent="0.2">
      <c r="H13968" s="1"/>
      <c r="I13968" s="1"/>
    </row>
    <row r="13969" spans="8:9" x14ac:dyDescent="0.2">
      <c r="H13969" s="1"/>
      <c r="I13969" s="1"/>
    </row>
    <row r="13970" spans="8:9" x14ac:dyDescent="0.2">
      <c r="H13970" s="1"/>
      <c r="I13970" s="1"/>
    </row>
    <row r="13971" spans="8:9" x14ac:dyDescent="0.2">
      <c r="H13971" s="1"/>
      <c r="I13971" s="1"/>
    </row>
    <row r="13972" spans="8:9" x14ac:dyDescent="0.2">
      <c r="H13972" s="1"/>
      <c r="I13972" s="1"/>
    </row>
    <row r="13973" spans="8:9" x14ac:dyDescent="0.2">
      <c r="H13973" s="1"/>
      <c r="I13973" s="1"/>
    </row>
    <row r="13974" spans="8:9" x14ac:dyDescent="0.2">
      <c r="H13974" s="1"/>
      <c r="I13974" s="1"/>
    </row>
    <row r="13975" spans="8:9" x14ac:dyDescent="0.2">
      <c r="H13975" s="1"/>
      <c r="I13975" s="1"/>
    </row>
    <row r="13976" spans="8:9" x14ac:dyDescent="0.2">
      <c r="H13976" s="1"/>
      <c r="I13976" s="1"/>
    </row>
    <row r="13977" spans="8:9" x14ac:dyDescent="0.2">
      <c r="H13977" s="1"/>
      <c r="I13977" s="1"/>
    </row>
    <row r="13978" spans="8:9" x14ac:dyDescent="0.2">
      <c r="H13978" s="1"/>
      <c r="I13978" s="1"/>
    </row>
    <row r="13979" spans="8:9" x14ac:dyDescent="0.2">
      <c r="H13979" s="1"/>
      <c r="I13979" s="1"/>
    </row>
    <row r="13980" spans="8:9" x14ac:dyDescent="0.2">
      <c r="H13980" s="1"/>
      <c r="I13980" s="1"/>
    </row>
    <row r="13981" spans="8:9" x14ac:dyDescent="0.2">
      <c r="H13981" s="1"/>
      <c r="I13981" s="1"/>
    </row>
    <row r="13982" spans="8:9" x14ac:dyDescent="0.2">
      <c r="H13982" s="1"/>
      <c r="I13982" s="1"/>
    </row>
    <row r="13983" spans="8:9" x14ac:dyDescent="0.2">
      <c r="H13983" s="1"/>
      <c r="I13983" s="1"/>
    </row>
    <row r="13984" spans="8:9" x14ac:dyDescent="0.2">
      <c r="H13984" s="1"/>
      <c r="I13984" s="1"/>
    </row>
    <row r="13985" spans="8:9" x14ac:dyDescent="0.2">
      <c r="H13985" s="1"/>
      <c r="I13985" s="1"/>
    </row>
    <row r="13986" spans="8:9" x14ac:dyDescent="0.2">
      <c r="H13986" s="1"/>
      <c r="I13986" s="1"/>
    </row>
    <row r="13987" spans="8:9" x14ac:dyDescent="0.2">
      <c r="H13987" s="1"/>
      <c r="I13987" s="1"/>
    </row>
    <row r="13988" spans="8:9" x14ac:dyDescent="0.2">
      <c r="H13988" s="1"/>
      <c r="I13988" s="1"/>
    </row>
    <row r="13989" spans="8:9" x14ac:dyDescent="0.2">
      <c r="H13989" s="1"/>
      <c r="I13989" s="1"/>
    </row>
    <row r="13990" spans="8:9" x14ac:dyDescent="0.2">
      <c r="H13990" s="1"/>
      <c r="I13990" s="1"/>
    </row>
    <row r="13991" spans="8:9" x14ac:dyDescent="0.2">
      <c r="H13991" s="1"/>
      <c r="I13991" s="1"/>
    </row>
    <row r="13992" spans="8:9" x14ac:dyDescent="0.2">
      <c r="H13992" s="1"/>
      <c r="I13992" s="1"/>
    </row>
    <row r="13993" spans="8:9" x14ac:dyDescent="0.2">
      <c r="H13993" s="1"/>
      <c r="I13993" s="1"/>
    </row>
    <row r="13994" spans="8:9" x14ac:dyDescent="0.2">
      <c r="H13994" s="1"/>
      <c r="I13994" s="1"/>
    </row>
    <row r="13995" spans="8:9" x14ac:dyDescent="0.2">
      <c r="H13995" s="1"/>
      <c r="I13995" s="1"/>
    </row>
    <row r="13996" spans="8:9" x14ac:dyDescent="0.2">
      <c r="H13996" s="1"/>
      <c r="I13996" s="1"/>
    </row>
    <row r="13997" spans="8:9" x14ac:dyDescent="0.2">
      <c r="H13997" s="1"/>
      <c r="I13997" s="1"/>
    </row>
    <row r="13998" spans="8:9" x14ac:dyDescent="0.2">
      <c r="H13998" s="1"/>
      <c r="I13998" s="1"/>
    </row>
    <row r="13999" spans="8:9" x14ac:dyDescent="0.2">
      <c r="H13999" s="1"/>
      <c r="I13999" s="1"/>
    </row>
    <row r="14000" spans="8:9" x14ac:dyDescent="0.2">
      <c r="H14000" s="1"/>
      <c r="I14000" s="1"/>
    </row>
    <row r="14001" spans="8:9" x14ac:dyDescent="0.2">
      <c r="H14001" s="1"/>
      <c r="I14001" s="1"/>
    </row>
    <row r="14002" spans="8:9" x14ac:dyDescent="0.2">
      <c r="H14002" s="1"/>
      <c r="I14002" s="1"/>
    </row>
    <row r="14003" spans="8:9" x14ac:dyDescent="0.2">
      <c r="H14003" s="1"/>
      <c r="I14003" s="1"/>
    </row>
    <row r="14004" spans="8:9" x14ac:dyDescent="0.2">
      <c r="H14004" s="1"/>
      <c r="I14004" s="1"/>
    </row>
    <row r="14005" spans="8:9" x14ac:dyDescent="0.2">
      <c r="H14005" s="1"/>
      <c r="I14005" s="1"/>
    </row>
    <row r="14006" spans="8:9" x14ac:dyDescent="0.2">
      <c r="H14006" s="1"/>
      <c r="I14006" s="1"/>
    </row>
    <row r="14007" spans="8:9" x14ac:dyDescent="0.2">
      <c r="H14007" s="1"/>
      <c r="I14007" s="1"/>
    </row>
    <row r="14008" spans="8:9" x14ac:dyDescent="0.2">
      <c r="H14008" s="1"/>
      <c r="I14008" s="1"/>
    </row>
    <row r="14009" spans="8:9" x14ac:dyDescent="0.2">
      <c r="H14009" s="1"/>
      <c r="I14009" s="1"/>
    </row>
    <row r="14010" spans="8:9" x14ac:dyDescent="0.2">
      <c r="H14010" s="1"/>
      <c r="I14010" s="1"/>
    </row>
    <row r="14011" spans="8:9" x14ac:dyDescent="0.2">
      <c r="H14011" s="1"/>
      <c r="I14011" s="1"/>
    </row>
    <row r="14012" spans="8:9" x14ac:dyDescent="0.2">
      <c r="H14012" s="1"/>
      <c r="I14012" s="1"/>
    </row>
    <row r="14013" spans="8:9" x14ac:dyDescent="0.2">
      <c r="H14013" s="1"/>
      <c r="I14013" s="1"/>
    </row>
    <row r="14014" spans="8:9" x14ac:dyDescent="0.2">
      <c r="H14014" s="1"/>
      <c r="I14014" s="1"/>
    </row>
    <row r="14015" spans="8:9" x14ac:dyDescent="0.2">
      <c r="H14015" s="1"/>
      <c r="I14015" s="1"/>
    </row>
    <row r="14016" spans="8:9" x14ac:dyDescent="0.2">
      <c r="H14016" s="1"/>
      <c r="I14016" s="1"/>
    </row>
    <row r="14017" spans="8:9" x14ac:dyDescent="0.2">
      <c r="H14017" s="1"/>
      <c r="I14017" s="1"/>
    </row>
    <row r="14018" spans="8:9" x14ac:dyDescent="0.2">
      <c r="H14018" s="1"/>
      <c r="I14018" s="1"/>
    </row>
    <row r="14019" spans="8:9" x14ac:dyDescent="0.2">
      <c r="H14019" s="1"/>
      <c r="I14019" s="1"/>
    </row>
    <row r="14020" spans="8:9" x14ac:dyDescent="0.2">
      <c r="H14020" s="1"/>
      <c r="I14020" s="1"/>
    </row>
    <row r="14021" spans="8:9" x14ac:dyDescent="0.2">
      <c r="H14021" s="1"/>
      <c r="I14021" s="1"/>
    </row>
    <row r="14022" spans="8:9" x14ac:dyDescent="0.2">
      <c r="H14022" s="1"/>
      <c r="I14022" s="1"/>
    </row>
    <row r="14023" spans="8:9" x14ac:dyDescent="0.2">
      <c r="H14023" s="1"/>
      <c r="I14023" s="1"/>
    </row>
    <row r="14024" spans="8:9" x14ac:dyDescent="0.2">
      <c r="H14024" s="1"/>
      <c r="I14024" s="1"/>
    </row>
    <row r="14025" spans="8:9" x14ac:dyDescent="0.2">
      <c r="H14025" s="1"/>
      <c r="I14025" s="1"/>
    </row>
    <row r="14026" spans="8:9" x14ac:dyDescent="0.2">
      <c r="H14026" s="1"/>
      <c r="I14026" s="1"/>
    </row>
    <row r="14027" spans="8:9" x14ac:dyDescent="0.2">
      <c r="H14027" s="1"/>
      <c r="I14027" s="1"/>
    </row>
    <row r="14028" spans="8:9" x14ac:dyDescent="0.2">
      <c r="H14028" s="1"/>
      <c r="I14028" s="1"/>
    </row>
    <row r="14029" spans="8:9" x14ac:dyDescent="0.2">
      <c r="H14029" s="1"/>
      <c r="I14029" s="1"/>
    </row>
    <row r="14030" spans="8:9" x14ac:dyDescent="0.2">
      <c r="H14030" s="1"/>
      <c r="I14030" s="1"/>
    </row>
    <row r="14031" spans="8:9" x14ac:dyDescent="0.2">
      <c r="H14031" s="1"/>
      <c r="I14031" s="1"/>
    </row>
    <row r="14032" spans="8:9" x14ac:dyDescent="0.2">
      <c r="H14032" s="1"/>
      <c r="I14032" s="1"/>
    </row>
    <row r="14033" spans="8:9" x14ac:dyDescent="0.2">
      <c r="H14033" s="1"/>
      <c r="I14033" s="1"/>
    </row>
    <row r="14034" spans="8:9" x14ac:dyDescent="0.2">
      <c r="H14034" s="1"/>
      <c r="I14034" s="1"/>
    </row>
    <row r="14035" spans="8:9" x14ac:dyDescent="0.2">
      <c r="H14035" s="1"/>
      <c r="I14035" s="1"/>
    </row>
    <row r="14036" spans="8:9" x14ac:dyDescent="0.2">
      <c r="H14036" s="1"/>
      <c r="I14036" s="1"/>
    </row>
    <row r="14037" spans="8:9" x14ac:dyDescent="0.2">
      <c r="H14037" s="1"/>
      <c r="I14037" s="1"/>
    </row>
    <row r="14038" spans="8:9" x14ac:dyDescent="0.2">
      <c r="H14038" s="1"/>
      <c r="I14038" s="1"/>
    </row>
    <row r="14039" spans="8:9" x14ac:dyDescent="0.2">
      <c r="H14039" s="1"/>
      <c r="I14039" s="1"/>
    </row>
    <row r="14040" spans="8:9" x14ac:dyDescent="0.2">
      <c r="H14040" s="1"/>
      <c r="I14040" s="1"/>
    </row>
    <row r="14041" spans="8:9" x14ac:dyDescent="0.2">
      <c r="H14041" s="1"/>
      <c r="I14041" s="1"/>
    </row>
    <row r="14042" spans="8:9" x14ac:dyDescent="0.2">
      <c r="H14042" s="1"/>
      <c r="I14042" s="1"/>
    </row>
    <row r="14043" spans="8:9" x14ac:dyDescent="0.2">
      <c r="H14043" s="1"/>
      <c r="I14043" s="1"/>
    </row>
    <row r="14044" spans="8:9" x14ac:dyDescent="0.2">
      <c r="H14044" s="1"/>
      <c r="I14044" s="1"/>
    </row>
    <row r="14045" spans="8:9" x14ac:dyDescent="0.2">
      <c r="H14045" s="1"/>
      <c r="I14045" s="1"/>
    </row>
    <row r="14046" spans="8:9" x14ac:dyDescent="0.2">
      <c r="H14046" s="1"/>
      <c r="I14046" s="1"/>
    </row>
    <row r="14047" spans="8:9" x14ac:dyDescent="0.2">
      <c r="H14047" s="1"/>
      <c r="I14047" s="1"/>
    </row>
    <row r="14048" spans="8:9" x14ac:dyDescent="0.2">
      <c r="H14048" s="1"/>
      <c r="I14048" s="1"/>
    </row>
    <row r="14049" spans="8:9" x14ac:dyDescent="0.2">
      <c r="H14049" s="1"/>
      <c r="I14049" s="1"/>
    </row>
    <row r="14050" spans="8:9" x14ac:dyDescent="0.2">
      <c r="H14050" s="1"/>
      <c r="I14050" s="1"/>
    </row>
    <row r="14051" spans="8:9" x14ac:dyDescent="0.2">
      <c r="H14051" s="1"/>
      <c r="I14051" s="1"/>
    </row>
    <row r="14052" spans="8:9" x14ac:dyDescent="0.2">
      <c r="H14052" s="1"/>
      <c r="I14052" s="1"/>
    </row>
    <row r="14053" spans="8:9" x14ac:dyDescent="0.2">
      <c r="H14053" s="1"/>
      <c r="I14053" s="1"/>
    </row>
    <row r="14054" spans="8:9" x14ac:dyDescent="0.2">
      <c r="H14054" s="1"/>
      <c r="I14054" s="1"/>
    </row>
    <row r="14055" spans="8:9" x14ac:dyDescent="0.2">
      <c r="H14055" s="1"/>
      <c r="I14055" s="1"/>
    </row>
    <row r="14056" spans="8:9" x14ac:dyDescent="0.2">
      <c r="H14056" s="1"/>
      <c r="I14056" s="1"/>
    </row>
    <row r="14057" spans="8:9" x14ac:dyDescent="0.2">
      <c r="H14057" s="1"/>
      <c r="I14057" s="1"/>
    </row>
    <row r="14058" spans="8:9" x14ac:dyDescent="0.2">
      <c r="H14058" s="1"/>
      <c r="I14058" s="1"/>
    </row>
    <row r="14059" spans="8:9" x14ac:dyDescent="0.2">
      <c r="H14059" s="1"/>
      <c r="I14059" s="1"/>
    </row>
    <row r="14060" spans="8:9" x14ac:dyDescent="0.2">
      <c r="H14060" s="1"/>
      <c r="I14060" s="1"/>
    </row>
    <row r="14061" spans="8:9" x14ac:dyDescent="0.2">
      <c r="H14061" s="1"/>
      <c r="I14061" s="1"/>
    </row>
    <row r="14062" spans="8:9" x14ac:dyDescent="0.2">
      <c r="H14062" s="1"/>
      <c r="I14062" s="1"/>
    </row>
    <row r="14063" spans="8:9" x14ac:dyDescent="0.2">
      <c r="H14063" s="1"/>
      <c r="I14063" s="1"/>
    </row>
    <row r="14064" spans="8:9" x14ac:dyDescent="0.2">
      <c r="H14064" s="1"/>
      <c r="I14064" s="1"/>
    </row>
    <row r="14065" spans="8:9" x14ac:dyDescent="0.2">
      <c r="H14065" s="1"/>
      <c r="I14065" s="1"/>
    </row>
    <row r="14066" spans="8:9" x14ac:dyDescent="0.2">
      <c r="H14066" s="1"/>
      <c r="I14066" s="1"/>
    </row>
    <row r="14067" spans="8:9" x14ac:dyDescent="0.2">
      <c r="H14067" s="1"/>
      <c r="I14067" s="1"/>
    </row>
    <row r="14068" spans="8:9" x14ac:dyDescent="0.2">
      <c r="H14068" s="1"/>
      <c r="I14068" s="1"/>
    </row>
    <row r="14069" spans="8:9" x14ac:dyDescent="0.2">
      <c r="H14069" s="1"/>
      <c r="I14069" s="1"/>
    </row>
    <row r="14070" spans="8:9" x14ac:dyDescent="0.2">
      <c r="H14070" s="1"/>
      <c r="I14070" s="1"/>
    </row>
    <row r="14071" spans="8:9" x14ac:dyDescent="0.2">
      <c r="H14071" s="1"/>
      <c r="I14071" s="1"/>
    </row>
    <row r="14072" spans="8:9" x14ac:dyDescent="0.2">
      <c r="H14072" s="1"/>
      <c r="I14072" s="1"/>
    </row>
    <row r="14073" spans="8:9" x14ac:dyDescent="0.2">
      <c r="H14073" s="1"/>
      <c r="I14073" s="1"/>
    </row>
    <row r="14074" spans="8:9" x14ac:dyDescent="0.2">
      <c r="H14074" s="1"/>
      <c r="I14074" s="1"/>
    </row>
    <row r="14075" spans="8:9" x14ac:dyDescent="0.2">
      <c r="H14075" s="1"/>
      <c r="I14075" s="1"/>
    </row>
    <row r="14076" spans="8:9" x14ac:dyDescent="0.2">
      <c r="H14076" s="1"/>
      <c r="I14076" s="1"/>
    </row>
    <row r="14077" spans="8:9" x14ac:dyDescent="0.2">
      <c r="H14077" s="1"/>
      <c r="I14077" s="1"/>
    </row>
    <row r="14078" spans="8:9" x14ac:dyDescent="0.2">
      <c r="H14078" s="1"/>
      <c r="I14078" s="1"/>
    </row>
    <row r="14079" spans="8:9" x14ac:dyDescent="0.2">
      <c r="H14079" s="1"/>
      <c r="I14079" s="1"/>
    </row>
    <row r="14080" spans="8:9" x14ac:dyDescent="0.2">
      <c r="H14080" s="1"/>
      <c r="I14080" s="1"/>
    </row>
    <row r="14081" spans="8:9" x14ac:dyDescent="0.2">
      <c r="H14081" s="1"/>
      <c r="I14081" s="1"/>
    </row>
    <row r="14082" spans="8:9" x14ac:dyDescent="0.2">
      <c r="H14082" s="1"/>
      <c r="I14082" s="1"/>
    </row>
    <row r="14083" spans="8:9" x14ac:dyDescent="0.2">
      <c r="H14083" s="1"/>
      <c r="I14083" s="1"/>
    </row>
    <row r="14084" spans="8:9" x14ac:dyDescent="0.2">
      <c r="H14084" s="1"/>
      <c r="I14084" s="1"/>
    </row>
    <row r="14085" spans="8:9" x14ac:dyDescent="0.2">
      <c r="H14085" s="1"/>
      <c r="I14085" s="1"/>
    </row>
    <row r="14086" spans="8:9" x14ac:dyDescent="0.2">
      <c r="H14086" s="1"/>
      <c r="I14086" s="1"/>
    </row>
    <row r="14087" spans="8:9" x14ac:dyDescent="0.2">
      <c r="H14087" s="1"/>
      <c r="I14087" s="1"/>
    </row>
    <row r="14088" spans="8:9" x14ac:dyDescent="0.2">
      <c r="H14088" s="1"/>
      <c r="I14088" s="1"/>
    </row>
    <row r="14089" spans="8:9" x14ac:dyDescent="0.2">
      <c r="H14089" s="1"/>
      <c r="I14089" s="1"/>
    </row>
    <row r="14090" spans="8:9" x14ac:dyDescent="0.2">
      <c r="H14090" s="1"/>
      <c r="I14090" s="1"/>
    </row>
    <row r="14091" spans="8:9" x14ac:dyDescent="0.2">
      <c r="H14091" s="1"/>
      <c r="I14091" s="1"/>
    </row>
    <row r="14092" spans="8:9" x14ac:dyDescent="0.2">
      <c r="H14092" s="1"/>
      <c r="I14092" s="1"/>
    </row>
    <row r="14093" spans="8:9" x14ac:dyDescent="0.2">
      <c r="H14093" s="1"/>
      <c r="I14093" s="1"/>
    </row>
    <row r="14094" spans="8:9" x14ac:dyDescent="0.2">
      <c r="H14094" s="1"/>
      <c r="I14094" s="1"/>
    </row>
    <row r="14095" spans="8:9" x14ac:dyDescent="0.2">
      <c r="H14095" s="1"/>
      <c r="I14095" s="1"/>
    </row>
    <row r="14096" spans="8:9" x14ac:dyDescent="0.2">
      <c r="H14096" s="1"/>
      <c r="I14096" s="1"/>
    </row>
    <row r="14097" spans="8:9" x14ac:dyDescent="0.2">
      <c r="H14097" s="1"/>
      <c r="I14097" s="1"/>
    </row>
    <row r="14098" spans="8:9" x14ac:dyDescent="0.2">
      <c r="H14098" s="1"/>
      <c r="I14098" s="1"/>
    </row>
    <row r="14099" spans="8:9" x14ac:dyDescent="0.2">
      <c r="H14099" s="1"/>
      <c r="I14099" s="1"/>
    </row>
    <row r="14100" spans="8:9" x14ac:dyDescent="0.2">
      <c r="H14100" s="1"/>
      <c r="I14100" s="1"/>
    </row>
    <row r="14101" spans="8:9" x14ac:dyDescent="0.2">
      <c r="H14101" s="1"/>
      <c r="I14101" s="1"/>
    </row>
    <row r="14102" spans="8:9" x14ac:dyDescent="0.2">
      <c r="H14102" s="1"/>
      <c r="I14102" s="1"/>
    </row>
    <row r="14103" spans="8:9" x14ac:dyDescent="0.2">
      <c r="H14103" s="1"/>
      <c r="I14103" s="1"/>
    </row>
    <row r="14104" spans="8:9" x14ac:dyDescent="0.2">
      <c r="H14104" s="1"/>
      <c r="I14104" s="1"/>
    </row>
    <row r="14105" spans="8:9" x14ac:dyDescent="0.2">
      <c r="H14105" s="1"/>
      <c r="I14105" s="1"/>
    </row>
    <row r="14106" spans="8:9" x14ac:dyDescent="0.2">
      <c r="H14106" s="1"/>
      <c r="I14106" s="1"/>
    </row>
    <row r="14107" spans="8:9" x14ac:dyDescent="0.2">
      <c r="H14107" s="1"/>
      <c r="I14107" s="1"/>
    </row>
    <row r="14108" spans="8:9" x14ac:dyDescent="0.2">
      <c r="H14108" s="1"/>
      <c r="I14108" s="1"/>
    </row>
    <row r="14109" spans="8:9" x14ac:dyDescent="0.2">
      <c r="H14109" s="1"/>
      <c r="I14109" s="1"/>
    </row>
    <row r="14110" spans="8:9" x14ac:dyDescent="0.2">
      <c r="H14110" s="1"/>
      <c r="I14110" s="1"/>
    </row>
    <row r="14111" spans="8:9" x14ac:dyDescent="0.2">
      <c r="H14111" s="1"/>
      <c r="I14111" s="1"/>
    </row>
    <row r="14112" spans="8:9" x14ac:dyDescent="0.2">
      <c r="H14112" s="1"/>
      <c r="I14112" s="1"/>
    </row>
    <row r="14113" spans="8:9" x14ac:dyDescent="0.2">
      <c r="H14113" s="1"/>
      <c r="I14113" s="1"/>
    </row>
    <row r="14114" spans="8:9" x14ac:dyDescent="0.2">
      <c r="H14114" s="1"/>
      <c r="I14114" s="1"/>
    </row>
    <row r="14115" spans="8:9" x14ac:dyDescent="0.2">
      <c r="H14115" s="1"/>
      <c r="I14115" s="1"/>
    </row>
    <row r="14116" spans="8:9" x14ac:dyDescent="0.2">
      <c r="H14116" s="1"/>
      <c r="I14116" s="1"/>
    </row>
    <row r="14117" spans="8:9" x14ac:dyDescent="0.2">
      <c r="H14117" s="1"/>
      <c r="I14117" s="1"/>
    </row>
    <row r="14118" spans="8:9" x14ac:dyDescent="0.2">
      <c r="H14118" s="1"/>
      <c r="I14118" s="1"/>
    </row>
    <row r="14119" spans="8:9" x14ac:dyDescent="0.2">
      <c r="H14119" s="1"/>
      <c r="I14119" s="1"/>
    </row>
    <row r="14120" spans="8:9" x14ac:dyDescent="0.2">
      <c r="H14120" s="1"/>
      <c r="I14120" s="1"/>
    </row>
    <row r="14121" spans="8:9" x14ac:dyDescent="0.2">
      <c r="H14121" s="1"/>
      <c r="I14121" s="1"/>
    </row>
    <row r="14122" spans="8:9" x14ac:dyDescent="0.2">
      <c r="H14122" s="1"/>
      <c r="I14122" s="1"/>
    </row>
    <row r="14123" spans="8:9" x14ac:dyDescent="0.2">
      <c r="H14123" s="1"/>
      <c r="I14123" s="1"/>
    </row>
    <row r="14124" spans="8:9" x14ac:dyDescent="0.2">
      <c r="H14124" s="1"/>
      <c r="I14124" s="1"/>
    </row>
    <row r="14125" spans="8:9" x14ac:dyDescent="0.2">
      <c r="H14125" s="1"/>
      <c r="I14125" s="1"/>
    </row>
    <row r="14126" spans="8:9" x14ac:dyDescent="0.2">
      <c r="H14126" s="1"/>
      <c r="I14126" s="1"/>
    </row>
    <row r="14127" spans="8:9" x14ac:dyDescent="0.2">
      <c r="H14127" s="1"/>
      <c r="I14127" s="1"/>
    </row>
    <row r="14128" spans="8:9" x14ac:dyDescent="0.2">
      <c r="H14128" s="1"/>
      <c r="I14128" s="1"/>
    </row>
    <row r="14129" spans="8:9" x14ac:dyDescent="0.2">
      <c r="H14129" s="1"/>
      <c r="I14129" s="1"/>
    </row>
    <row r="14130" spans="8:9" x14ac:dyDescent="0.2">
      <c r="H14130" s="1"/>
      <c r="I14130" s="1"/>
    </row>
    <row r="14131" spans="8:9" x14ac:dyDescent="0.2">
      <c r="H14131" s="1"/>
      <c r="I14131" s="1"/>
    </row>
    <row r="14132" spans="8:9" x14ac:dyDescent="0.2">
      <c r="H14132" s="1"/>
      <c r="I14132" s="1"/>
    </row>
    <row r="14133" spans="8:9" x14ac:dyDescent="0.2">
      <c r="H14133" s="1"/>
      <c r="I14133" s="1"/>
    </row>
    <row r="14134" spans="8:9" x14ac:dyDescent="0.2">
      <c r="H14134" s="1"/>
      <c r="I14134" s="1"/>
    </row>
    <row r="14135" spans="8:9" x14ac:dyDescent="0.2">
      <c r="H14135" s="1"/>
      <c r="I14135" s="1"/>
    </row>
    <row r="14136" spans="8:9" x14ac:dyDescent="0.2">
      <c r="H14136" s="1"/>
      <c r="I14136" s="1"/>
    </row>
    <row r="14137" spans="8:9" x14ac:dyDescent="0.2">
      <c r="H14137" s="1"/>
      <c r="I14137" s="1"/>
    </row>
    <row r="14138" spans="8:9" x14ac:dyDescent="0.2">
      <c r="H14138" s="1"/>
      <c r="I14138" s="1"/>
    </row>
    <row r="14139" spans="8:9" x14ac:dyDescent="0.2">
      <c r="H14139" s="1"/>
      <c r="I14139" s="1"/>
    </row>
    <row r="14140" spans="8:9" x14ac:dyDescent="0.2">
      <c r="H14140" s="1"/>
      <c r="I14140" s="1"/>
    </row>
    <row r="14141" spans="8:9" x14ac:dyDescent="0.2">
      <c r="H14141" s="1"/>
      <c r="I14141" s="1"/>
    </row>
    <row r="14142" spans="8:9" x14ac:dyDescent="0.2">
      <c r="H14142" s="1"/>
      <c r="I14142" s="1"/>
    </row>
    <row r="14143" spans="8:9" x14ac:dyDescent="0.2">
      <c r="H14143" s="1"/>
      <c r="I14143" s="1"/>
    </row>
    <row r="14144" spans="8:9" x14ac:dyDescent="0.2">
      <c r="H14144" s="1"/>
      <c r="I14144" s="1"/>
    </row>
    <row r="14145" spans="8:9" x14ac:dyDescent="0.2">
      <c r="H14145" s="1"/>
      <c r="I14145" s="1"/>
    </row>
    <row r="14146" spans="8:9" x14ac:dyDescent="0.2">
      <c r="H14146" s="1"/>
      <c r="I14146" s="1"/>
    </row>
    <row r="14147" spans="8:9" x14ac:dyDescent="0.2">
      <c r="H14147" s="1"/>
      <c r="I14147" s="1"/>
    </row>
    <row r="14148" spans="8:9" x14ac:dyDescent="0.2">
      <c r="H14148" s="1"/>
      <c r="I14148" s="1"/>
    </row>
    <row r="14149" spans="8:9" x14ac:dyDescent="0.2">
      <c r="H14149" s="1"/>
      <c r="I14149" s="1"/>
    </row>
    <row r="14150" spans="8:9" x14ac:dyDescent="0.2">
      <c r="H14150" s="1"/>
      <c r="I14150" s="1"/>
    </row>
    <row r="14151" spans="8:9" x14ac:dyDescent="0.2">
      <c r="H14151" s="1"/>
      <c r="I14151" s="1"/>
    </row>
    <row r="14152" spans="8:9" x14ac:dyDescent="0.2">
      <c r="H14152" s="1"/>
      <c r="I14152" s="1"/>
    </row>
    <row r="14153" spans="8:9" x14ac:dyDescent="0.2">
      <c r="H14153" s="1"/>
      <c r="I14153" s="1"/>
    </row>
    <row r="14154" spans="8:9" x14ac:dyDescent="0.2">
      <c r="H14154" s="1"/>
      <c r="I14154" s="1"/>
    </row>
    <row r="14155" spans="8:9" x14ac:dyDescent="0.2">
      <c r="H14155" s="1"/>
      <c r="I14155" s="1"/>
    </row>
    <row r="14156" spans="8:9" x14ac:dyDescent="0.2">
      <c r="H14156" s="1"/>
      <c r="I14156" s="1"/>
    </row>
    <row r="14157" spans="8:9" x14ac:dyDescent="0.2">
      <c r="H14157" s="1"/>
      <c r="I14157" s="1"/>
    </row>
    <row r="14158" spans="8:9" x14ac:dyDescent="0.2">
      <c r="H14158" s="1"/>
      <c r="I14158" s="1"/>
    </row>
    <row r="14159" spans="8:9" x14ac:dyDescent="0.2">
      <c r="H14159" s="1"/>
      <c r="I14159" s="1"/>
    </row>
    <row r="14160" spans="8:9" x14ac:dyDescent="0.2">
      <c r="H14160" s="1"/>
      <c r="I14160" s="1"/>
    </row>
    <row r="14161" spans="8:9" x14ac:dyDescent="0.2">
      <c r="H14161" s="1"/>
      <c r="I14161" s="1"/>
    </row>
    <row r="14162" spans="8:9" x14ac:dyDescent="0.2">
      <c r="H14162" s="1"/>
      <c r="I14162" s="1"/>
    </row>
    <row r="14163" spans="8:9" x14ac:dyDescent="0.2">
      <c r="H14163" s="1"/>
      <c r="I14163" s="1"/>
    </row>
    <row r="14164" spans="8:9" x14ac:dyDescent="0.2">
      <c r="H14164" s="1"/>
      <c r="I14164" s="1"/>
    </row>
    <row r="14165" spans="8:9" x14ac:dyDescent="0.2">
      <c r="H14165" s="1"/>
      <c r="I14165" s="1"/>
    </row>
    <row r="14166" spans="8:9" x14ac:dyDescent="0.2">
      <c r="H14166" s="1"/>
      <c r="I14166" s="1"/>
    </row>
    <row r="14167" spans="8:9" x14ac:dyDescent="0.2">
      <c r="H14167" s="1"/>
      <c r="I14167" s="1"/>
    </row>
    <row r="14168" spans="8:9" x14ac:dyDescent="0.2">
      <c r="H14168" s="1"/>
      <c r="I14168" s="1"/>
    </row>
    <row r="14169" spans="8:9" x14ac:dyDescent="0.2">
      <c r="H14169" s="1"/>
      <c r="I14169" s="1"/>
    </row>
    <row r="14170" spans="8:9" x14ac:dyDescent="0.2">
      <c r="H14170" s="1"/>
      <c r="I14170" s="1"/>
    </row>
    <row r="14171" spans="8:9" x14ac:dyDescent="0.2">
      <c r="H14171" s="1"/>
      <c r="I14171" s="1"/>
    </row>
    <row r="14172" spans="8:9" x14ac:dyDescent="0.2">
      <c r="H14172" s="1"/>
      <c r="I14172" s="1"/>
    </row>
    <row r="14173" spans="8:9" x14ac:dyDescent="0.2">
      <c r="H14173" s="1"/>
      <c r="I14173" s="1"/>
    </row>
    <row r="14174" spans="8:9" x14ac:dyDescent="0.2">
      <c r="H14174" s="1"/>
      <c r="I14174" s="1"/>
    </row>
    <row r="14175" spans="8:9" x14ac:dyDescent="0.2">
      <c r="H14175" s="1"/>
      <c r="I14175" s="1"/>
    </row>
    <row r="14176" spans="8:9" x14ac:dyDescent="0.2">
      <c r="H14176" s="1"/>
      <c r="I14176" s="1"/>
    </row>
    <row r="14177" spans="8:9" x14ac:dyDescent="0.2">
      <c r="H14177" s="1"/>
      <c r="I14177" s="1"/>
    </row>
    <row r="14178" spans="8:9" x14ac:dyDescent="0.2">
      <c r="H14178" s="1"/>
      <c r="I14178" s="1"/>
    </row>
    <row r="14179" spans="8:9" x14ac:dyDescent="0.2">
      <c r="H14179" s="1"/>
      <c r="I14179" s="1"/>
    </row>
    <row r="14180" spans="8:9" x14ac:dyDescent="0.2">
      <c r="H14180" s="1"/>
      <c r="I14180" s="1"/>
    </row>
    <row r="14181" spans="8:9" x14ac:dyDescent="0.2">
      <c r="H14181" s="1"/>
      <c r="I14181" s="1"/>
    </row>
    <row r="14182" spans="8:9" x14ac:dyDescent="0.2">
      <c r="H14182" s="1"/>
      <c r="I14182" s="1"/>
    </row>
    <row r="14183" spans="8:9" x14ac:dyDescent="0.2">
      <c r="H14183" s="1"/>
      <c r="I14183" s="1"/>
    </row>
    <row r="14184" spans="8:9" x14ac:dyDescent="0.2">
      <c r="H14184" s="1"/>
      <c r="I14184" s="1"/>
    </row>
    <row r="14185" spans="8:9" x14ac:dyDescent="0.2">
      <c r="H14185" s="1"/>
      <c r="I14185" s="1"/>
    </row>
    <row r="14186" spans="8:9" x14ac:dyDescent="0.2">
      <c r="H14186" s="1"/>
      <c r="I14186" s="1"/>
    </row>
    <row r="14187" spans="8:9" x14ac:dyDescent="0.2">
      <c r="H14187" s="1"/>
      <c r="I14187" s="1"/>
    </row>
    <row r="14188" spans="8:9" x14ac:dyDescent="0.2">
      <c r="H14188" s="1"/>
      <c r="I14188" s="1"/>
    </row>
    <row r="14189" spans="8:9" x14ac:dyDescent="0.2">
      <c r="H14189" s="1"/>
      <c r="I14189" s="1"/>
    </row>
    <row r="14190" spans="8:9" x14ac:dyDescent="0.2">
      <c r="H14190" s="1"/>
      <c r="I14190" s="1"/>
    </row>
    <row r="14191" spans="8:9" x14ac:dyDescent="0.2">
      <c r="H14191" s="1"/>
      <c r="I14191" s="1"/>
    </row>
    <row r="14192" spans="8:9" x14ac:dyDescent="0.2">
      <c r="H14192" s="1"/>
      <c r="I14192" s="1"/>
    </row>
    <row r="14193" spans="8:9" x14ac:dyDescent="0.2">
      <c r="H14193" s="1"/>
      <c r="I14193" s="1"/>
    </row>
    <row r="14194" spans="8:9" x14ac:dyDescent="0.2">
      <c r="H14194" s="1"/>
      <c r="I14194" s="1"/>
    </row>
    <row r="14195" spans="8:9" x14ac:dyDescent="0.2">
      <c r="H14195" s="1"/>
      <c r="I14195" s="1"/>
    </row>
    <row r="14196" spans="8:9" x14ac:dyDescent="0.2">
      <c r="H14196" s="1"/>
      <c r="I14196" s="1"/>
    </row>
    <row r="14197" spans="8:9" x14ac:dyDescent="0.2">
      <c r="H14197" s="1"/>
      <c r="I14197" s="1"/>
    </row>
    <row r="14198" spans="8:9" x14ac:dyDescent="0.2">
      <c r="H14198" s="1"/>
      <c r="I14198" s="1"/>
    </row>
    <row r="14199" spans="8:9" x14ac:dyDescent="0.2">
      <c r="H14199" s="1"/>
      <c r="I14199" s="1"/>
    </row>
    <row r="14200" spans="8:9" x14ac:dyDescent="0.2">
      <c r="H14200" s="1"/>
      <c r="I14200" s="1"/>
    </row>
    <row r="14201" spans="8:9" x14ac:dyDescent="0.2">
      <c r="H14201" s="1"/>
      <c r="I14201" s="1"/>
    </row>
    <row r="14202" spans="8:9" x14ac:dyDescent="0.2">
      <c r="H14202" s="1"/>
      <c r="I14202" s="1"/>
    </row>
    <row r="14203" spans="8:9" x14ac:dyDescent="0.2">
      <c r="H14203" s="1"/>
      <c r="I14203" s="1"/>
    </row>
    <row r="14204" spans="8:9" x14ac:dyDescent="0.2">
      <c r="H14204" s="1"/>
      <c r="I14204" s="1"/>
    </row>
    <row r="14205" spans="8:9" x14ac:dyDescent="0.2">
      <c r="H14205" s="1"/>
      <c r="I14205" s="1"/>
    </row>
    <row r="14206" spans="8:9" x14ac:dyDescent="0.2">
      <c r="H14206" s="1"/>
      <c r="I14206" s="1"/>
    </row>
    <row r="14207" spans="8:9" x14ac:dyDescent="0.2">
      <c r="H14207" s="1"/>
      <c r="I14207" s="1"/>
    </row>
    <row r="14208" spans="8:9" x14ac:dyDescent="0.2">
      <c r="H14208" s="1"/>
      <c r="I14208" s="1"/>
    </row>
    <row r="14209" spans="8:9" x14ac:dyDescent="0.2">
      <c r="H14209" s="1"/>
      <c r="I14209" s="1"/>
    </row>
    <row r="14210" spans="8:9" x14ac:dyDescent="0.2">
      <c r="H14210" s="1"/>
      <c r="I14210" s="1"/>
    </row>
    <row r="14211" spans="8:9" x14ac:dyDescent="0.2">
      <c r="H14211" s="1"/>
      <c r="I14211" s="1"/>
    </row>
    <row r="14212" spans="8:9" x14ac:dyDescent="0.2">
      <c r="H14212" s="1"/>
      <c r="I14212" s="1"/>
    </row>
    <row r="14213" spans="8:9" x14ac:dyDescent="0.2">
      <c r="H14213" s="1"/>
      <c r="I14213" s="1"/>
    </row>
    <row r="14214" spans="8:9" x14ac:dyDescent="0.2">
      <c r="H14214" s="1"/>
      <c r="I14214" s="1"/>
    </row>
    <row r="14215" spans="8:9" x14ac:dyDescent="0.2">
      <c r="H14215" s="1"/>
      <c r="I14215" s="1"/>
    </row>
    <row r="14216" spans="8:9" x14ac:dyDescent="0.2">
      <c r="H14216" s="1"/>
      <c r="I14216" s="1"/>
    </row>
    <row r="14217" spans="8:9" x14ac:dyDescent="0.2">
      <c r="H14217" s="1"/>
      <c r="I14217" s="1"/>
    </row>
    <row r="14218" spans="8:9" x14ac:dyDescent="0.2">
      <c r="H14218" s="1"/>
      <c r="I14218" s="1"/>
    </row>
    <row r="14219" spans="8:9" x14ac:dyDescent="0.2">
      <c r="H14219" s="1"/>
      <c r="I14219" s="1"/>
    </row>
    <row r="14220" spans="8:9" x14ac:dyDescent="0.2">
      <c r="H14220" s="1"/>
      <c r="I14220" s="1"/>
    </row>
    <row r="14221" spans="8:9" x14ac:dyDescent="0.2">
      <c r="H14221" s="1"/>
      <c r="I14221" s="1"/>
    </row>
    <row r="14222" spans="8:9" x14ac:dyDescent="0.2">
      <c r="H14222" s="1"/>
      <c r="I14222" s="1"/>
    </row>
    <row r="14223" spans="8:9" x14ac:dyDescent="0.2">
      <c r="H14223" s="1"/>
      <c r="I14223" s="1"/>
    </row>
    <row r="14224" spans="8:9" x14ac:dyDescent="0.2">
      <c r="H14224" s="1"/>
      <c r="I14224" s="1"/>
    </row>
    <row r="14225" spans="8:9" x14ac:dyDescent="0.2">
      <c r="H14225" s="1"/>
      <c r="I14225" s="1"/>
    </row>
    <row r="14226" spans="8:9" x14ac:dyDescent="0.2">
      <c r="H14226" s="1"/>
      <c r="I14226" s="1"/>
    </row>
    <row r="14227" spans="8:9" x14ac:dyDescent="0.2">
      <c r="H14227" s="1"/>
      <c r="I14227" s="1"/>
    </row>
    <row r="14228" spans="8:9" x14ac:dyDescent="0.2">
      <c r="H14228" s="1"/>
      <c r="I14228" s="1"/>
    </row>
    <row r="14229" spans="8:9" x14ac:dyDescent="0.2">
      <c r="H14229" s="1"/>
      <c r="I14229" s="1"/>
    </row>
    <row r="14230" spans="8:9" x14ac:dyDescent="0.2">
      <c r="H14230" s="1"/>
      <c r="I14230" s="1"/>
    </row>
    <row r="14231" spans="8:9" x14ac:dyDescent="0.2">
      <c r="H14231" s="1"/>
      <c r="I14231" s="1"/>
    </row>
    <row r="14232" spans="8:9" x14ac:dyDescent="0.2">
      <c r="H14232" s="1"/>
      <c r="I14232" s="1"/>
    </row>
    <row r="14233" spans="8:9" x14ac:dyDescent="0.2">
      <c r="H14233" s="1"/>
      <c r="I14233" s="1"/>
    </row>
    <row r="14234" spans="8:9" x14ac:dyDescent="0.2">
      <c r="H14234" s="1"/>
      <c r="I14234" s="1"/>
    </row>
    <row r="14235" spans="8:9" x14ac:dyDescent="0.2">
      <c r="H14235" s="1"/>
      <c r="I14235" s="1"/>
    </row>
    <row r="14236" spans="8:9" x14ac:dyDescent="0.2">
      <c r="H14236" s="1"/>
      <c r="I14236" s="1"/>
    </row>
    <row r="14237" spans="8:9" x14ac:dyDescent="0.2">
      <c r="H14237" s="1"/>
      <c r="I14237" s="1"/>
    </row>
    <row r="14238" spans="8:9" x14ac:dyDescent="0.2">
      <c r="H14238" s="1"/>
      <c r="I14238" s="1"/>
    </row>
    <row r="14239" spans="8:9" x14ac:dyDescent="0.2">
      <c r="H14239" s="1"/>
      <c r="I14239" s="1"/>
    </row>
    <row r="14240" spans="8:9" x14ac:dyDescent="0.2">
      <c r="H14240" s="1"/>
      <c r="I14240" s="1"/>
    </row>
    <row r="14241" spans="8:9" x14ac:dyDescent="0.2">
      <c r="H14241" s="1"/>
      <c r="I14241" s="1"/>
    </row>
    <row r="14242" spans="8:9" x14ac:dyDescent="0.2">
      <c r="H14242" s="1"/>
      <c r="I14242" s="1"/>
    </row>
    <row r="14243" spans="8:9" x14ac:dyDescent="0.2">
      <c r="H14243" s="1"/>
      <c r="I14243" s="1"/>
    </row>
    <row r="14244" spans="8:9" x14ac:dyDescent="0.2">
      <c r="H14244" s="1"/>
      <c r="I14244" s="1"/>
    </row>
    <row r="14245" spans="8:9" x14ac:dyDescent="0.2">
      <c r="H14245" s="1"/>
      <c r="I14245" s="1"/>
    </row>
    <row r="14246" spans="8:9" x14ac:dyDescent="0.2">
      <c r="H14246" s="1"/>
      <c r="I14246" s="1"/>
    </row>
    <row r="14247" spans="8:9" x14ac:dyDescent="0.2">
      <c r="H14247" s="1"/>
      <c r="I14247" s="1"/>
    </row>
    <row r="14248" spans="8:9" x14ac:dyDescent="0.2">
      <c r="H14248" s="1"/>
      <c r="I14248" s="1"/>
    </row>
    <row r="14249" spans="8:9" x14ac:dyDescent="0.2">
      <c r="H14249" s="1"/>
      <c r="I14249" s="1"/>
    </row>
    <row r="14250" spans="8:9" x14ac:dyDescent="0.2">
      <c r="H14250" s="1"/>
      <c r="I14250" s="1"/>
    </row>
    <row r="14251" spans="8:9" x14ac:dyDescent="0.2">
      <c r="H14251" s="1"/>
      <c r="I14251" s="1"/>
    </row>
    <row r="14252" spans="8:9" x14ac:dyDescent="0.2">
      <c r="H14252" s="1"/>
      <c r="I14252" s="1"/>
    </row>
    <row r="14253" spans="8:9" x14ac:dyDescent="0.2">
      <c r="H14253" s="1"/>
      <c r="I14253" s="1"/>
    </row>
    <row r="14254" spans="8:9" x14ac:dyDescent="0.2">
      <c r="H14254" s="1"/>
      <c r="I14254" s="1"/>
    </row>
    <row r="14255" spans="8:9" x14ac:dyDescent="0.2">
      <c r="H14255" s="1"/>
      <c r="I14255" s="1"/>
    </row>
    <row r="14256" spans="8:9" x14ac:dyDescent="0.2">
      <c r="H14256" s="1"/>
      <c r="I14256" s="1"/>
    </row>
    <row r="14257" spans="8:9" x14ac:dyDescent="0.2">
      <c r="H14257" s="1"/>
      <c r="I14257" s="1"/>
    </row>
    <row r="14258" spans="8:9" x14ac:dyDescent="0.2">
      <c r="H14258" s="1"/>
      <c r="I14258" s="1"/>
    </row>
    <row r="14259" spans="8:9" x14ac:dyDescent="0.2">
      <c r="H14259" s="1"/>
      <c r="I14259" s="1"/>
    </row>
    <row r="14260" spans="8:9" x14ac:dyDescent="0.2">
      <c r="H14260" s="1"/>
      <c r="I14260" s="1"/>
    </row>
    <row r="14261" spans="8:9" x14ac:dyDescent="0.2">
      <c r="H14261" s="1"/>
      <c r="I14261" s="1"/>
    </row>
    <row r="14262" spans="8:9" x14ac:dyDescent="0.2">
      <c r="H14262" s="1"/>
      <c r="I14262" s="1"/>
    </row>
    <row r="14263" spans="8:9" x14ac:dyDescent="0.2">
      <c r="H14263" s="1"/>
      <c r="I14263" s="1"/>
    </row>
    <row r="14264" spans="8:9" x14ac:dyDescent="0.2">
      <c r="H14264" s="1"/>
      <c r="I14264" s="1"/>
    </row>
    <row r="14265" spans="8:9" x14ac:dyDescent="0.2">
      <c r="H14265" s="1"/>
      <c r="I14265" s="1"/>
    </row>
    <row r="14266" spans="8:9" x14ac:dyDescent="0.2">
      <c r="H14266" s="1"/>
      <c r="I14266" s="1"/>
    </row>
    <row r="14267" spans="8:9" x14ac:dyDescent="0.2">
      <c r="H14267" s="1"/>
      <c r="I14267" s="1"/>
    </row>
    <row r="14268" spans="8:9" x14ac:dyDescent="0.2">
      <c r="H14268" s="1"/>
      <c r="I14268" s="1"/>
    </row>
    <row r="14269" spans="8:9" x14ac:dyDescent="0.2">
      <c r="H14269" s="1"/>
      <c r="I14269" s="1"/>
    </row>
    <row r="14270" spans="8:9" x14ac:dyDescent="0.2">
      <c r="H14270" s="1"/>
      <c r="I14270" s="1"/>
    </row>
    <row r="14271" spans="8:9" x14ac:dyDescent="0.2">
      <c r="H14271" s="1"/>
      <c r="I14271" s="1"/>
    </row>
    <row r="14272" spans="8:9" x14ac:dyDescent="0.2">
      <c r="H14272" s="1"/>
      <c r="I14272" s="1"/>
    </row>
    <row r="14273" spans="8:9" x14ac:dyDescent="0.2">
      <c r="H14273" s="1"/>
      <c r="I14273" s="1"/>
    </row>
    <row r="14274" spans="8:9" x14ac:dyDescent="0.2">
      <c r="H14274" s="1"/>
      <c r="I14274" s="1"/>
    </row>
    <row r="14275" spans="8:9" x14ac:dyDescent="0.2">
      <c r="H14275" s="1"/>
      <c r="I14275" s="1"/>
    </row>
    <row r="14276" spans="8:9" x14ac:dyDescent="0.2">
      <c r="H14276" s="1"/>
      <c r="I14276" s="1"/>
    </row>
    <row r="14277" spans="8:9" x14ac:dyDescent="0.2">
      <c r="H14277" s="1"/>
      <c r="I14277" s="1"/>
    </row>
    <row r="14278" spans="8:9" x14ac:dyDescent="0.2">
      <c r="H14278" s="1"/>
      <c r="I14278" s="1"/>
    </row>
    <row r="14279" spans="8:9" x14ac:dyDescent="0.2">
      <c r="H14279" s="1"/>
      <c r="I14279" s="1"/>
    </row>
    <row r="14280" spans="8:9" x14ac:dyDescent="0.2">
      <c r="H14280" s="1"/>
      <c r="I14280" s="1"/>
    </row>
    <row r="14281" spans="8:9" x14ac:dyDescent="0.2">
      <c r="H14281" s="1"/>
      <c r="I14281" s="1"/>
    </row>
    <row r="14282" spans="8:9" x14ac:dyDescent="0.2">
      <c r="H14282" s="1"/>
      <c r="I14282" s="1"/>
    </row>
    <row r="14283" spans="8:9" x14ac:dyDescent="0.2">
      <c r="H14283" s="1"/>
      <c r="I14283" s="1"/>
    </row>
    <row r="14284" spans="8:9" x14ac:dyDescent="0.2">
      <c r="H14284" s="1"/>
      <c r="I14284" s="1"/>
    </row>
    <row r="14285" spans="8:9" x14ac:dyDescent="0.2">
      <c r="H14285" s="1"/>
      <c r="I14285" s="1"/>
    </row>
    <row r="14286" spans="8:9" x14ac:dyDescent="0.2">
      <c r="H14286" s="1"/>
      <c r="I14286" s="1"/>
    </row>
    <row r="14287" spans="8:9" x14ac:dyDescent="0.2">
      <c r="H14287" s="1"/>
      <c r="I14287" s="1"/>
    </row>
    <row r="14288" spans="8:9" x14ac:dyDescent="0.2">
      <c r="H14288" s="1"/>
      <c r="I14288" s="1"/>
    </row>
    <row r="14289" spans="8:9" x14ac:dyDescent="0.2">
      <c r="H14289" s="1"/>
      <c r="I14289" s="1"/>
    </row>
    <row r="14290" spans="8:9" x14ac:dyDescent="0.2">
      <c r="H14290" s="1"/>
      <c r="I14290" s="1"/>
    </row>
    <row r="14291" spans="8:9" x14ac:dyDescent="0.2">
      <c r="H14291" s="1"/>
      <c r="I14291" s="1"/>
    </row>
    <row r="14292" spans="8:9" x14ac:dyDescent="0.2">
      <c r="H14292" s="1"/>
      <c r="I14292" s="1"/>
    </row>
    <row r="14293" spans="8:9" x14ac:dyDescent="0.2">
      <c r="H14293" s="1"/>
      <c r="I14293" s="1"/>
    </row>
    <row r="14294" spans="8:9" x14ac:dyDescent="0.2">
      <c r="H14294" s="1"/>
      <c r="I14294" s="1"/>
    </row>
    <row r="14295" spans="8:9" x14ac:dyDescent="0.2">
      <c r="H14295" s="1"/>
      <c r="I14295" s="1"/>
    </row>
    <row r="14296" spans="8:9" x14ac:dyDescent="0.2">
      <c r="H14296" s="1"/>
      <c r="I14296" s="1"/>
    </row>
    <row r="14297" spans="8:9" x14ac:dyDescent="0.2">
      <c r="H14297" s="1"/>
      <c r="I14297" s="1"/>
    </row>
    <row r="14298" spans="8:9" x14ac:dyDescent="0.2">
      <c r="H14298" s="1"/>
      <c r="I14298" s="1"/>
    </row>
    <row r="14299" spans="8:9" x14ac:dyDescent="0.2">
      <c r="H14299" s="1"/>
      <c r="I14299" s="1"/>
    </row>
    <row r="14300" spans="8:9" x14ac:dyDescent="0.2">
      <c r="H14300" s="1"/>
      <c r="I14300" s="1"/>
    </row>
    <row r="14301" spans="8:9" x14ac:dyDescent="0.2">
      <c r="H14301" s="1"/>
      <c r="I14301" s="1"/>
    </row>
    <row r="14302" spans="8:9" x14ac:dyDescent="0.2">
      <c r="H14302" s="1"/>
      <c r="I14302" s="1"/>
    </row>
    <row r="14303" spans="8:9" x14ac:dyDescent="0.2">
      <c r="H14303" s="1"/>
      <c r="I14303" s="1"/>
    </row>
    <row r="14304" spans="8:9" x14ac:dyDescent="0.2">
      <c r="H14304" s="1"/>
      <c r="I14304" s="1"/>
    </row>
    <row r="14305" spans="8:9" x14ac:dyDescent="0.2">
      <c r="H14305" s="1"/>
      <c r="I14305" s="1"/>
    </row>
    <row r="14306" spans="8:9" x14ac:dyDescent="0.2">
      <c r="H14306" s="1"/>
      <c r="I14306" s="1"/>
    </row>
    <row r="14307" spans="8:9" x14ac:dyDescent="0.2">
      <c r="H14307" s="1"/>
      <c r="I14307" s="1"/>
    </row>
    <row r="14308" spans="8:9" x14ac:dyDescent="0.2">
      <c r="H14308" s="1"/>
      <c r="I14308" s="1"/>
    </row>
    <row r="14309" spans="8:9" x14ac:dyDescent="0.2">
      <c r="H14309" s="1"/>
      <c r="I14309" s="1"/>
    </row>
    <row r="14310" spans="8:9" x14ac:dyDescent="0.2">
      <c r="H14310" s="1"/>
      <c r="I14310" s="1"/>
    </row>
    <row r="14311" spans="8:9" x14ac:dyDescent="0.2">
      <c r="H14311" s="1"/>
      <c r="I14311" s="1"/>
    </row>
    <row r="14312" spans="8:9" x14ac:dyDescent="0.2">
      <c r="H14312" s="1"/>
      <c r="I14312" s="1"/>
    </row>
    <row r="14313" spans="8:9" x14ac:dyDescent="0.2">
      <c r="H14313" s="1"/>
      <c r="I14313" s="1"/>
    </row>
    <row r="14314" spans="8:9" x14ac:dyDescent="0.2">
      <c r="H14314" s="1"/>
      <c r="I14314" s="1"/>
    </row>
    <row r="14315" spans="8:9" x14ac:dyDescent="0.2">
      <c r="H14315" s="1"/>
      <c r="I14315" s="1"/>
    </row>
    <row r="14316" spans="8:9" x14ac:dyDescent="0.2">
      <c r="H14316" s="1"/>
      <c r="I14316" s="1"/>
    </row>
    <row r="14317" spans="8:9" x14ac:dyDescent="0.2">
      <c r="H14317" s="1"/>
      <c r="I14317" s="1"/>
    </row>
    <row r="14318" spans="8:9" x14ac:dyDescent="0.2">
      <c r="H14318" s="1"/>
      <c r="I14318" s="1"/>
    </row>
    <row r="14319" spans="8:9" x14ac:dyDescent="0.2">
      <c r="H14319" s="1"/>
      <c r="I14319" s="1"/>
    </row>
    <row r="14320" spans="8:9" x14ac:dyDescent="0.2">
      <c r="H14320" s="1"/>
      <c r="I14320" s="1"/>
    </row>
    <row r="14321" spans="8:9" x14ac:dyDescent="0.2">
      <c r="H14321" s="1"/>
      <c r="I14321" s="1"/>
    </row>
    <row r="14322" spans="8:9" x14ac:dyDescent="0.2">
      <c r="H14322" s="1"/>
      <c r="I14322" s="1"/>
    </row>
    <row r="14323" spans="8:9" x14ac:dyDescent="0.2">
      <c r="H14323" s="1"/>
      <c r="I14323" s="1"/>
    </row>
    <row r="14324" spans="8:9" x14ac:dyDescent="0.2">
      <c r="H14324" s="1"/>
      <c r="I14324" s="1"/>
    </row>
    <row r="14325" spans="8:9" x14ac:dyDescent="0.2">
      <c r="H14325" s="1"/>
      <c r="I14325" s="1"/>
    </row>
    <row r="14326" spans="8:9" x14ac:dyDescent="0.2">
      <c r="H14326" s="1"/>
      <c r="I14326" s="1"/>
    </row>
    <row r="14327" spans="8:9" x14ac:dyDescent="0.2">
      <c r="H14327" s="1"/>
      <c r="I14327" s="1"/>
    </row>
    <row r="14328" spans="8:9" x14ac:dyDescent="0.2">
      <c r="H14328" s="1"/>
      <c r="I14328" s="1"/>
    </row>
    <row r="14329" spans="8:9" x14ac:dyDescent="0.2">
      <c r="H14329" s="1"/>
      <c r="I14329" s="1"/>
    </row>
    <row r="14330" spans="8:9" x14ac:dyDescent="0.2">
      <c r="H14330" s="1"/>
      <c r="I14330" s="1"/>
    </row>
    <row r="14331" spans="8:9" x14ac:dyDescent="0.2">
      <c r="H14331" s="1"/>
      <c r="I14331" s="1"/>
    </row>
    <row r="14332" spans="8:9" x14ac:dyDescent="0.2">
      <c r="H14332" s="1"/>
      <c r="I14332" s="1"/>
    </row>
    <row r="14333" spans="8:9" x14ac:dyDescent="0.2">
      <c r="H14333" s="1"/>
      <c r="I14333" s="1"/>
    </row>
    <row r="14334" spans="8:9" x14ac:dyDescent="0.2">
      <c r="H14334" s="1"/>
      <c r="I14334" s="1"/>
    </row>
    <row r="14335" spans="8:9" x14ac:dyDescent="0.2">
      <c r="H14335" s="1"/>
      <c r="I14335" s="1"/>
    </row>
    <row r="14336" spans="8:9" x14ac:dyDescent="0.2">
      <c r="H14336" s="1"/>
      <c r="I14336" s="1"/>
    </row>
    <row r="14337" spans="8:9" x14ac:dyDescent="0.2">
      <c r="H14337" s="1"/>
      <c r="I14337" s="1"/>
    </row>
    <row r="14338" spans="8:9" x14ac:dyDescent="0.2">
      <c r="H14338" s="1"/>
      <c r="I14338" s="1"/>
    </row>
    <row r="14339" spans="8:9" x14ac:dyDescent="0.2">
      <c r="H14339" s="1"/>
      <c r="I14339" s="1"/>
    </row>
    <row r="14340" spans="8:9" x14ac:dyDescent="0.2">
      <c r="H14340" s="1"/>
      <c r="I14340" s="1"/>
    </row>
    <row r="14341" spans="8:9" x14ac:dyDescent="0.2">
      <c r="H14341" s="1"/>
      <c r="I14341" s="1"/>
    </row>
    <row r="14342" spans="8:9" x14ac:dyDescent="0.2">
      <c r="H14342" s="1"/>
      <c r="I14342" s="1"/>
    </row>
    <row r="14343" spans="8:9" x14ac:dyDescent="0.2">
      <c r="H14343" s="1"/>
      <c r="I14343" s="1"/>
    </row>
    <row r="14344" spans="8:9" x14ac:dyDescent="0.2">
      <c r="H14344" s="1"/>
      <c r="I14344" s="1"/>
    </row>
    <row r="14345" spans="8:9" x14ac:dyDescent="0.2">
      <c r="H14345" s="1"/>
      <c r="I14345" s="1"/>
    </row>
    <row r="14346" spans="8:9" x14ac:dyDescent="0.2">
      <c r="H14346" s="1"/>
      <c r="I14346" s="1"/>
    </row>
    <row r="14347" spans="8:9" x14ac:dyDescent="0.2">
      <c r="H14347" s="1"/>
      <c r="I14347" s="1"/>
    </row>
    <row r="14348" spans="8:9" x14ac:dyDescent="0.2">
      <c r="H14348" s="1"/>
      <c r="I14348" s="1"/>
    </row>
    <row r="14349" spans="8:9" x14ac:dyDescent="0.2">
      <c r="H14349" s="1"/>
      <c r="I14349" s="1"/>
    </row>
    <row r="14350" spans="8:9" x14ac:dyDescent="0.2">
      <c r="H14350" s="1"/>
      <c r="I14350" s="1"/>
    </row>
    <row r="14351" spans="8:9" x14ac:dyDescent="0.2">
      <c r="H14351" s="1"/>
      <c r="I14351" s="1"/>
    </row>
    <row r="14352" spans="8:9" x14ac:dyDescent="0.2">
      <c r="H14352" s="1"/>
      <c r="I14352" s="1"/>
    </row>
    <row r="14353" spans="8:9" x14ac:dyDescent="0.2">
      <c r="H14353" s="1"/>
      <c r="I14353" s="1"/>
    </row>
    <row r="14354" spans="8:9" x14ac:dyDescent="0.2">
      <c r="H14354" s="1"/>
      <c r="I14354" s="1"/>
    </row>
    <row r="14355" spans="8:9" x14ac:dyDescent="0.2">
      <c r="H14355" s="1"/>
      <c r="I14355" s="1"/>
    </row>
    <row r="14356" spans="8:9" x14ac:dyDescent="0.2">
      <c r="H14356" s="1"/>
      <c r="I14356" s="1"/>
    </row>
    <row r="14357" spans="8:9" x14ac:dyDescent="0.2">
      <c r="H14357" s="1"/>
      <c r="I14357" s="1"/>
    </row>
    <row r="14358" spans="8:9" x14ac:dyDescent="0.2">
      <c r="H14358" s="1"/>
      <c r="I14358" s="1"/>
    </row>
    <row r="14359" spans="8:9" x14ac:dyDescent="0.2">
      <c r="H14359" s="1"/>
      <c r="I14359" s="1"/>
    </row>
    <row r="14360" spans="8:9" x14ac:dyDescent="0.2">
      <c r="H14360" s="1"/>
      <c r="I14360" s="1"/>
    </row>
    <row r="14361" spans="8:9" x14ac:dyDescent="0.2">
      <c r="H14361" s="1"/>
      <c r="I14361" s="1"/>
    </row>
    <row r="14362" spans="8:9" x14ac:dyDescent="0.2">
      <c r="H14362" s="1"/>
      <c r="I14362" s="1"/>
    </row>
    <row r="14363" spans="8:9" x14ac:dyDescent="0.2">
      <c r="H14363" s="1"/>
      <c r="I14363" s="1"/>
    </row>
    <row r="14364" spans="8:9" x14ac:dyDescent="0.2">
      <c r="H14364" s="1"/>
      <c r="I14364" s="1"/>
    </row>
    <row r="14365" spans="8:9" x14ac:dyDescent="0.2">
      <c r="H14365" s="1"/>
      <c r="I14365" s="1"/>
    </row>
    <row r="14366" spans="8:9" x14ac:dyDescent="0.2">
      <c r="H14366" s="1"/>
      <c r="I14366" s="1"/>
    </row>
    <row r="14367" spans="8:9" x14ac:dyDescent="0.2">
      <c r="H14367" s="1"/>
      <c r="I14367" s="1"/>
    </row>
    <row r="14368" spans="8:9" x14ac:dyDescent="0.2">
      <c r="H14368" s="1"/>
      <c r="I14368" s="1"/>
    </row>
    <row r="14369" spans="8:9" x14ac:dyDescent="0.2">
      <c r="H14369" s="1"/>
      <c r="I14369" s="1"/>
    </row>
    <row r="14370" spans="8:9" x14ac:dyDescent="0.2">
      <c r="H14370" s="1"/>
      <c r="I14370" s="1"/>
    </row>
    <row r="14371" spans="8:9" x14ac:dyDescent="0.2">
      <c r="H14371" s="1"/>
      <c r="I14371" s="1"/>
    </row>
    <row r="14372" spans="8:9" x14ac:dyDescent="0.2">
      <c r="H14372" s="1"/>
      <c r="I14372" s="1"/>
    </row>
    <row r="14373" spans="8:9" x14ac:dyDescent="0.2">
      <c r="H14373" s="1"/>
      <c r="I14373" s="1"/>
    </row>
    <row r="14374" spans="8:9" x14ac:dyDescent="0.2">
      <c r="H14374" s="1"/>
      <c r="I14374" s="1"/>
    </row>
    <row r="14375" spans="8:9" x14ac:dyDescent="0.2">
      <c r="H14375" s="1"/>
      <c r="I14375" s="1"/>
    </row>
    <row r="14376" spans="8:9" x14ac:dyDescent="0.2">
      <c r="H14376" s="1"/>
      <c r="I14376" s="1"/>
    </row>
    <row r="14377" spans="8:9" x14ac:dyDescent="0.2">
      <c r="H14377" s="1"/>
      <c r="I14377" s="1"/>
    </row>
    <row r="14378" spans="8:9" x14ac:dyDescent="0.2">
      <c r="H14378" s="1"/>
      <c r="I14378" s="1"/>
    </row>
    <row r="14379" spans="8:9" x14ac:dyDescent="0.2">
      <c r="H14379" s="1"/>
      <c r="I14379" s="1"/>
    </row>
    <row r="14380" spans="8:9" x14ac:dyDescent="0.2">
      <c r="H14380" s="1"/>
      <c r="I14380" s="1"/>
    </row>
    <row r="14381" spans="8:9" x14ac:dyDescent="0.2">
      <c r="H14381" s="1"/>
      <c r="I14381" s="1"/>
    </row>
    <row r="14382" spans="8:9" x14ac:dyDescent="0.2">
      <c r="H14382" s="1"/>
      <c r="I14382" s="1"/>
    </row>
    <row r="14383" spans="8:9" x14ac:dyDescent="0.2">
      <c r="H14383" s="1"/>
      <c r="I14383" s="1"/>
    </row>
    <row r="14384" spans="8:9" x14ac:dyDescent="0.2">
      <c r="H14384" s="1"/>
      <c r="I14384" s="1"/>
    </row>
    <row r="14385" spans="8:9" x14ac:dyDescent="0.2">
      <c r="H14385" s="1"/>
      <c r="I14385" s="1"/>
    </row>
    <row r="14386" spans="8:9" x14ac:dyDescent="0.2">
      <c r="H14386" s="1"/>
      <c r="I14386" s="1"/>
    </row>
    <row r="14387" spans="8:9" x14ac:dyDescent="0.2">
      <c r="H14387" s="1"/>
      <c r="I14387" s="1"/>
    </row>
    <row r="14388" spans="8:9" x14ac:dyDescent="0.2">
      <c r="H14388" s="1"/>
      <c r="I14388" s="1"/>
    </row>
    <row r="14389" spans="8:9" x14ac:dyDescent="0.2">
      <c r="H14389" s="1"/>
      <c r="I14389" s="1"/>
    </row>
    <row r="14390" spans="8:9" x14ac:dyDescent="0.2">
      <c r="H14390" s="1"/>
      <c r="I14390" s="1"/>
    </row>
    <row r="14391" spans="8:9" x14ac:dyDescent="0.2">
      <c r="H14391" s="1"/>
      <c r="I14391" s="1"/>
    </row>
    <row r="14392" spans="8:9" x14ac:dyDescent="0.2">
      <c r="H14392" s="1"/>
      <c r="I14392" s="1"/>
    </row>
    <row r="14393" spans="8:9" x14ac:dyDescent="0.2">
      <c r="H14393" s="1"/>
      <c r="I14393" s="1"/>
    </row>
    <row r="14394" spans="8:9" x14ac:dyDescent="0.2">
      <c r="H14394" s="1"/>
      <c r="I14394" s="1"/>
    </row>
    <row r="14395" spans="8:9" x14ac:dyDescent="0.2">
      <c r="H14395" s="1"/>
      <c r="I14395" s="1"/>
    </row>
    <row r="14396" spans="8:9" x14ac:dyDescent="0.2">
      <c r="H14396" s="1"/>
      <c r="I14396" s="1"/>
    </row>
    <row r="14397" spans="8:9" x14ac:dyDescent="0.2">
      <c r="H14397" s="1"/>
      <c r="I14397" s="1"/>
    </row>
    <row r="14398" spans="8:9" x14ac:dyDescent="0.2">
      <c r="H14398" s="1"/>
      <c r="I14398" s="1"/>
    </row>
    <row r="14399" spans="8:9" x14ac:dyDescent="0.2">
      <c r="H14399" s="1"/>
      <c r="I14399" s="1"/>
    </row>
    <row r="14400" spans="8:9" x14ac:dyDescent="0.2">
      <c r="H14400" s="1"/>
      <c r="I14400" s="1"/>
    </row>
    <row r="14401" spans="8:9" x14ac:dyDescent="0.2">
      <c r="H14401" s="1"/>
      <c r="I14401" s="1"/>
    </row>
    <row r="14402" spans="8:9" x14ac:dyDescent="0.2">
      <c r="H14402" s="1"/>
      <c r="I14402" s="1"/>
    </row>
    <row r="14403" spans="8:9" x14ac:dyDescent="0.2">
      <c r="H14403" s="1"/>
      <c r="I14403" s="1"/>
    </row>
    <row r="14404" spans="8:9" x14ac:dyDescent="0.2">
      <c r="H14404" s="1"/>
      <c r="I14404" s="1"/>
    </row>
    <row r="14405" spans="8:9" x14ac:dyDescent="0.2">
      <c r="H14405" s="1"/>
      <c r="I14405" s="1"/>
    </row>
    <row r="14406" spans="8:9" x14ac:dyDescent="0.2">
      <c r="H14406" s="1"/>
      <c r="I14406" s="1"/>
    </row>
    <row r="14407" spans="8:9" x14ac:dyDescent="0.2">
      <c r="H14407" s="1"/>
      <c r="I14407" s="1"/>
    </row>
    <row r="14408" spans="8:9" x14ac:dyDescent="0.2">
      <c r="H14408" s="1"/>
      <c r="I14408" s="1"/>
    </row>
    <row r="14409" spans="8:9" x14ac:dyDescent="0.2">
      <c r="H14409" s="1"/>
      <c r="I14409" s="1"/>
    </row>
    <row r="14410" spans="8:9" x14ac:dyDescent="0.2">
      <c r="H14410" s="1"/>
      <c r="I14410" s="1"/>
    </row>
    <row r="14411" spans="8:9" x14ac:dyDescent="0.2">
      <c r="H14411" s="1"/>
      <c r="I14411" s="1"/>
    </row>
    <row r="14412" spans="8:9" x14ac:dyDescent="0.2">
      <c r="H14412" s="1"/>
      <c r="I14412" s="1"/>
    </row>
    <row r="14413" spans="8:9" x14ac:dyDescent="0.2">
      <c r="H14413" s="1"/>
      <c r="I14413" s="1"/>
    </row>
    <row r="14414" spans="8:9" x14ac:dyDescent="0.2">
      <c r="H14414" s="1"/>
      <c r="I14414" s="1"/>
    </row>
    <row r="14415" spans="8:9" x14ac:dyDescent="0.2">
      <c r="H14415" s="1"/>
      <c r="I14415" s="1"/>
    </row>
    <row r="14416" spans="8:9" x14ac:dyDescent="0.2">
      <c r="H14416" s="1"/>
      <c r="I14416" s="1"/>
    </row>
    <row r="14417" spans="8:9" x14ac:dyDescent="0.2">
      <c r="H14417" s="1"/>
      <c r="I14417" s="1"/>
    </row>
    <row r="14418" spans="8:9" x14ac:dyDescent="0.2">
      <c r="H14418" s="1"/>
      <c r="I14418" s="1"/>
    </row>
    <row r="14419" spans="8:9" x14ac:dyDescent="0.2">
      <c r="H14419" s="1"/>
      <c r="I14419" s="1"/>
    </row>
    <row r="14420" spans="8:9" x14ac:dyDescent="0.2">
      <c r="H14420" s="1"/>
      <c r="I14420" s="1"/>
    </row>
    <row r="14421" spans="8:9" x14ac:dyDescent="0.2">
      <c r="H14421" s="1"/>
      <c r="I14421" s="1"/>
    </row>
    <row r="14422" spans="8:9" x14ac:dyDescent="0.2">
      <c r="H14422" s="1"/>
      <c r="I14422" s="1"/>
    </row>
    <row r="14423" spans="8:9" x14ac:dyDescent="0.2">
      <c r="H14423" s="1"/>
      <c r="I14423" s="1"/>
    </row>
    <row r="14424" spans="8:9" x14ac:dyDescent="0.2">
      <c r="H14424" s="1"/>
      <c r="I14424" s="1"/>
    </row>
    <row r="14425" spans="8:9" x14ac:dyDescent="0.2">
      <c r="H14425" s="1"/>
      <c r="I14425" s="1"/>
    </row>
    <row r="14426" spans="8:9" x14ac:dyDescent="0.2">
      <c r="H14426" s="1"/>
      <c r="I14426" s="1"/>
    </row>
    <row r="14427" spans="8:9" x14ac:dyDescent="0.2">
      <c r="H14427" s="1"/>
      <c r="I14427" s="1"/>
    </row>
    <row r="14428" spans="8:9" x14ac:dyDescent="0.2">
      <c r="H14428" s="1"/>
      <c r="I14428" s="1"/>
    </row>
    <row r="14429" spans="8:9" x14ac:dyDescent="0.2">
      <c r="H14429" s="1"/>
      <c r="I14429" s="1"/>
    </row>
    <row r="14430" spans="8:9" x14ac:dyDescent="0.2">
      <c r="H14430" s="1"/>
      <c r="I14430" s="1"/>
    </row>
    <row r="14431" spans="8:9" x14ac:dyDescent="0.2">
      <c r="H14431" s="1"/>
      <c r="I14431" s="1"/>
    </row>
    <row r="14432" spans="8:9" x14ac:dyDescent="0.2">
      <c r="H14432" s="1"/>
      <c r="I14432" s="1"/>
    </row>
    <row r="14433" spans="8:9" x14ac:dyDescent="0.2">
      <c r="H14433" s="1"/>
      <c r="I14433" s="1"/>
    </row>
    <row r="14434" spans="8:9" x14ac:dyDescent="0.2">
      <c r="H14434" s="1"/>
      <c r="I14434" s="1"/>
    </row>
    <row r="14435" spans="8:9" x14ac:dyDescent="0.2">
      <c r="H14435" s="1"/>
      <c r="I14435" s="1"/>
    </row>
    <row r="14436" spans="8:9" x14ac:dyDescent="0.2">
      <c r="H14436" s="1"/>
      <c r="I14436" s="1"/>
    </row>
    <row r="14437" spans="8:9" x14ac:dyDescent="0.2">
      <c r="H14437" s="1"/>
      <c r="I14437" s="1"/>
    </row>
    <row r="14438" spans="8:9" x14ac:dyDescent="0.2">
      <c r="H14438" s="1"/>
      <c r="I14438" s="1"/>
    </row>
    <row r="14439" spans="8:9" x14ac:dyDescent="0.2">
      <c r="H14439" s="1"/>
      <c r="I14439" s="1"/>
    </row>
    <row r="14440" spans="8:9" x14ac:dyDescent="0.2">
      <c r="H14440" s="1"/>
      <c r="I14440" s="1"/>
    </row>
    <row r="14441" spans="8:9" x14ac:dyDescent="0.2">
      <c r="H14441" s="1"/>
      <c r="I14441" s="1"/>
    </row>
    <row r="14442" spans="8:9" x14ac:dyDescent="0.2">
      <c r="H14442" s="1"/>
      <c r="I14442" s="1"/>
    </row>
    <row r="14443" spans="8:9" x14ac:dyDescent="0.2">
      <c r="H14443" s="1"/>
      <c r="I14443" s="1"/>
    </row>
    <row r="14444" spans="8:9" x14ac:dyDescent="0.2">
      <c r="H14444" s="1"/>
      <c r="I14444" s="1"/>
    </row>
    <row r="14445" spans="8:9" x14ac:dyDescent="0.2">
      <c r="H14445" s="1"/>
      <c r="I14445" s="1"/>
    </row>
    <row r="14446" spans="8:9" x14ac:dyDescent="0.2">
      <c r="H14446" s="1"/>
      <c r="I14446" s="1"/>
    </row>
    <row r="14447" spans="8:9" x14ac:dyDescent="0.2">
      <c r="H14447" s="1"/>
      <c r="I14447" s="1"/>
    </row>
    <row r="14448" spans="8:9" x14ac:dyDescent="0.2">
      <c r="H14448" s="1"/>
      <c r="I14448" s="1"/>
    </row>
    <row r="14449" spans="8:9" x14ac:dyDescent="0.2">
      <c r="H14449" s="1"/>
      <c r="I14449" s="1"/>
    </row>
    <row r="14450" spans="8:9" x14ac:dyDescent="0.2">
      <c r="H14450" s="1"/>
      <c r="I14450" s="1"/>
    </row>
    <row r="14451" spans="8:9" x14ac:dyDescent="0.2">
      <c r="H14451" s="1"/>
      <c r="I14451" s="1"/>
    </row>
    <row r="14452" spans="8:9" x14ac:dyDescent="0.2">
      <c r="H14452" s="1"/>
      <c r="I14452" s="1"/>
    </row>
    <row r="14453" spans="8:9" x14ac:dyDescent="0.2">
      <c r="H14453" s="1"/>
      <c r="I14453" s="1"/>
    </row>
    <row r="14454" spans="8:9" x14ac:dyDescent="0.2">
      <c r="H14454" s="1"/>
      <c r="I14454" s="1"/>
    </row>
    <row r="14455" spans="8:9" x14ac:dyDescent="0.2">
      <c r="H14455" s="1"/>
      <c r="I14455" s="1"/>
    </row>
    <row r="14456" spans="8:9" x14ac:dyDescent="0.2">
      <c r="H14456" s="1"/>
      <c r="I14456" s="1"/>
    </row>
    <row r="14457" spans="8:9" x14ac:dyDescent="0.2">
      <c r="H14457" s="1"/>
      <c r="I14457" s="1"/>
    </row>
    <row r="14458" spans="8:9" x14ac:dyDescent="0.2">
      <c r="H14458" s="1"/>
      <c r="I14458" s="1"/>
    </row>
    <row r="14459" spans="8:9" x14ac:dyDescent="0.2">
      <c r="H14459" s="1"/>
      <c r="I14459" s="1"/>
    </row>
    <row r="14460" spans="8:9" x14ac:dyDescent="0.2">
      <c r="H14460" s="1"/>
      <c r="I14460" s="1"/>
    </row>
    <row r="14461" spans="8:9" x14ac:dyDescent="0.2">
      <c r="H14461" s="1"/>
      <c r="I14461" s="1"/>
    </row>
    <row r="14462" spans="8:9" x14ac:dyDescent="0.2">
      <c r="H14462" s="1"/>
      <c r="I14462" s="1"/>
    </row>
    <row r="14463" spans="8:9" x14ac:dyDescent="0.2">
      <c r="H14463" s="1"/>
      <c r="I14463" s="1"/>
    </row>
    <row r="14464" spans="8:9" x14ac:dyDescent="0.2">
      <c r="H14464" s="1"/>
      <c r="I14464" s="1"/>
    </row>
    <row r="14465" spans="8:9" x14ac:dyDescent="0.2">
      <c r="H14465" s="1"/>
      <c r="I14465" s="1"/>
    </row>
    <row r="14466" spans="8:9" x14ac:dyDescent="0.2">
      <c r="H14466" s="1"/>
      <c r="I14466" s="1"/>
    </row>
    <row r="14467" spans="8:9" x14ac:dyDescent="0.2">
      <c r="H14467" s="1"/>
      <c r="I14467" s="1"/>
    </row>
    <row r="14468" spans="8:9" x14ac:dyDescent="0.2">
      <c r="H14468" s="1"/>
      <c r="I14468" s="1"/>
    </row>
    <row r="14469" spans="8:9" x14ac:dyDescent="0.2">
      <c r="H14469" s="1"/>
      <c r="I14469" s="1"/>
    </row>
    <row r="14470" spans="8:9" x14ac:dyDescent="0.2">
      <c r="H14470" s="1"/>
      <c r="I14470" s="1"/>
    </row>
    <row r="14471" spans="8:9" x14ac:dyDescent="0.2">
      <c r="H14471" s="1"/>
      <c r="I14471" s="1"/>
    </row>
    <row r="14472" spans="8:9" x14ac:dyDescent="0.2">
      <c r="H14472" s="1"/>
      <c r="I14472" s="1"/>
    </row>
    <row r="14473" spans="8:9" x14ac:dyDescent="0.2">
      <c r="H14473" s="1"/>
      <c r="I14473" s="1"/>
    </row>
    <row r="14474" spans="8:9" x14ac:dyDescent="0.2">
      <c r="H14474" s="1"/>
      <c r="I14474" s="1"/>
    </row>
    <row r="14475" spans="8:9" x14ac:dyDescent="0.2">
      <c r="H14475" s="1"/>
      <c r="I14475" s="1"/>
    </row>
    <row r="14476" spans="8:9" x14ac:dyDescent="0.2">
      <c r="H14476" s="1"/>
      <c r="I14476" s="1"/>
    </row>
    <row r="14477" spans="8:9" x14ac:dyDescent="0.2">
      <c r="H14477" s="1"/>
      <c r="I14477" s="1"/>
    </row>
    <row r="14478" spans="8:9" x14ac:dyDescent="0.2">
      <c r="H14478" s="1"/>
      <c r="I14478" s="1"/>
    </row>
    <row r="14479" spans="8:9" x14ac:dyDescent="0.2">
      <c r="H14479" s="1"/>
      <c r="I14479" s="1"/>
    </row>
    <row r="14480" spans="8:9" x14ac:dyDescent="0.2">
      <c r="H14480" s="1"/>
      <c r="I14480" s="1"/>
    </row>
    <row r="14481" spans="8:9" x14ac:dyDescent="0.2">
      <c r="H14481" s="1"/>
      <c r="I14481" s="1"/>
    </row>
    <row r="14482" spans="8:9" x14ac:dyDescent="0.2">
      <c r="H14482" s="1"/>
      <c r="I14482" s="1"/>
    </row>
    <row r="14483" spans="8:9" x14ac:dyDescent="0.2">
      <c r="H14483" s="1"/>
      <c r="I14483" s="1"/>
    </row>
    <row r="14484" spans="8:9" x14ac:dyDescent="0.2">
      <c r="H14484" s="1"/>
      <c r="I14484" s="1"/>
    </row>
    <row r="14485" spans="8:9" x14ac:dyDescent="0.2">
      <c r="H14485" s="1"/>
      <c r="I14485" s="1"/>
    </row>
    <row r="14486" spans="8:9" x14ac:dyDescent="0.2">
      <c r="H14486" s="1"/>
      <c r="I14486" s="1"/>
    </row>
    <row r="14487" spans="8:9" x14ac:dyDescent="0.2">
      <c r="H14487" s="1"/>
      <c r="I14487" s="1"/>
    </row>
    <row r="14488" spans="8:9" x14ac:dyDescent="0.2">
      <c r="H14488" s="1"/>
      <c r="I14488" s="1"/>
    </row>
    <row r="14489" spans="8:9" x14ac:dyDescent="0.2">
      <c r="H14489" s="1"/>
      <c r="I14489" s="1"/>
    </row>
    <row r="14490" spans="8:9" x14ac:dyDescent="0.2">
      <c r="H14490" s="1"/>
      <c r="I14490" s="1"/>
    </row>
    <row r="14491" spans="8:9" x14ac:dyDescent="0.2">
      <c r="H14491" s="1"/>
      <c r="I14491" s="1"/>
    </row>
    <row r="14492" spans="8:9" x14ac:dyDescent="0.2">
      <c r="H14492" s="1"/>
      <c r="I14492" s="1"/>
    </row>
    <row r="14493" spans="8:9" x14ac:dyDescent="0.2">
      <c r="H14493" s="1"/>
      <c r="I14493" s="1"/>
    </row>
    <row r="14494" spans="8:9" x14ac:dyDescent="0.2">
      <c r="H14494" s="1"/>
      <c r="I14494" s="1"/>
    </row>
    <row r="14495" spans="8:9" x14ac:dyDescent="0.2">
      <c r="H14495" s="1"/>
      <c r="I14495" s="1"/>
    </row>
    <row r="14496" spans="8:9" x14ac:dyDescent="0.2">
      <c r="H14496" s="1"/>
      <c r="I14496" s="1"/>
    </row>
    <row r="14497" spans="8:9" x14ac:dyDescent="0.2">
      <c r="H14497" s="1"/>
      <c r="I14497" s="1"/>
    </row>
    <row r="14498" spans="8:9" x14ac:dyDescent="0.2">
      <c r="H14498" s="1"/>
      <c r="I14498" s="1"/>
    </row>
    <row r="14499" spans="8:9" x14ac:dyDescent="0.2">
      <c r="H14499" s="1"/>
      <c r="I14499" s="1"/>
    </row>
    <row r="14500" spans="8:9" x14ac:dyDescent="0.2">
      <c r="H14500" s="1"/>
      <c r="I14500" s="1"/>
    </row>
    <row r="14501" spans="8:9" x14ac:dyDescent="0.2">
      <c r="H14501" s="1"/>
      <c r="I14501" s="1"/>
    </row>
    <row r="14502" spans="8:9" x14ac:dyDescent="0.2">
      <c r="H14502" s="1"/>
      <c r="I14502" s="1"/>
    </row>
    <row r="14503" spans="8:9" x14ac:dyDescent="0.2">
      <c r="H14503" s="1"/>
      <c r="I14503" s="1"/>
    </row>
    <row r="14504" spans="8:9" x14ac:dyDescent="0.2">
      <c r="H14504" s="1"/>
      <c r="I14504" s="1"/>
    </row>
    <row r="14505" spans="8:9" x14ac:dyDescent="0.2">
      <c r="H14505" s="1"/>
      <c r="I14505" s="1"/>
    </row>
    <row r="14506" spans="8:9" x14ac:dyDescent="0.2">
      <c r="H14506" s="1"/>
      <c r="I14506" s="1"/>
    </row>
    <row r="14507" spans="8:9" x14ac:dyDescent="0.2">
      <c r="H14507" s="1"/>
      <c r="I14507" s="1"/>
    </row>
    <row r="14508" spans="8:9" x14ac:dyDescent="0.2">
      <c r="H14508" s="1"/>
      <c r="I14508" s="1"/>
    </row>
    <row r="14509" spans="8:9" x14ac:dyDescent="0.2">
      <c r="H14509" s="1"/>
      <c r="I14509" s="1"/>
    </row>
    <row r="14510" spans="8:9" x14ac:dyDescent="0.2">
      <c r="H14510" s="1"/>
      <c r="I14510" s="1"/>
    </row>
    <row r="14511" spans="8:9" x14ac:dyDescent="0.2">
      <c r="H14511" s="1"/>
      <c r="I14511" s="1"/>
    </row>
    <row r="14512" spans="8:9" x14ac:dyDescent="0.2">
      <c r="H14512" s="1"/>
      <c r="I14512" s="1"/>
    </row>
    <row r="14513" spans="8:9" x14ac:dyDescent="0.2">
      <c r="H14513" s="1"/>
      <c r="I14513" s="1"/>
    </row>
    <row r="14514" spans="8:9" x14ac:dyDescent="0.2">
      <c r="H14514" s="1"/>
      <c r="I14514" s="1"/>
    </row>
    <row r="14515" spans="8:9" x14ac:dyDescent="0.2">
      <c r="H14515" s="1"/>
      <c r="I14515" s="1"/>
    </row>
    <row r="14516" spans="8:9" x14ac:dyDescent="0.2">
      <c r="H14516" s="1"/>
      <c r="I14516" s="1"/>
    </row>
    <row r="14517" spans="8:9" x14ac:dyDescent="0.2">
      <c r="H14517" s="1"/>
      <c r="I14517" s="1"/>
    </row>
    <row r="14518" spans="8:9" x14ac:dyDescent="0.2">
      <c r="H14518" s="1"/>
      <c r="I14518" s="1"/>
    </row>
    <row r="14519" spans="8:9" x14ac:dyDescent="0.2">
      <c r="H14519" s="1"/>
      <c r="I14519" s="1"/>
    </row>
    <row r="14520" spans="8:9" x14ac:dyDescent="0.2">
      <c r="H14520" s="1"/>
      <c r="I14520" s="1"/>
    </row>
    <row r="14521" spans="8:9" x14ac:dyDescent="0.2">
      <c r="H14521" s="1"/>
      <c r="I14521" s="1"/>
    </row>
    <row r="14522" spans="8:9" x14ac:dyDescent="0.2">
      <c r="H14522" s="1"/>
      <c r="I14522" s="1"/>
    </row>
    <row r="14523" spans="8:9" x14ac:dyDescent="0.2">
      <c r="H14523" s="1"/>
      <c r="I14523" s="1"/>
    </row>
    <row r="14524" spans="8:9" x14ac:dyDescent="0.2">
      <c r="H14524" s="1"/>
      <c r="I14524" s="1"/>
    </row>
    <row r="14525" spans="8:9" x14ac:dyDescent="0.2">
      <c r="H14525" s="1"/>
      <c r="I14525" s="1"/>
    </row>
    <row r="14526" spans="8:9" x14ac:dyDescent="0.2">
      <c r="H14526" s="1"/>
      <c r="I14526" s="1"/>
    </row>
    <row r="14527" spans="8:9" x14ac:dyDescent="0.2">
      <c r="H14527" s="1"/>
      <c r="I14527" s="1"/>
    </row>
    <row r="14528" spans="8:9" x14ac:dyDescent="0.2">
      <c r="H14528" s="1"/>
      <c r="I14528" s="1"/>
    </row>
    <row r="14529" spans="8:9" x14ac:dyDescent="0.2">
      <c r="H14529" s="1"/>
      <c r="I14529" s="1"/>
    </row>
    <row r="14530" spans="8:9" x14ac:dyDescent="0.2">
      <c r="H14530" s="1"/>
      <c r="I14530" s="1"/>
    </row>
    <row r="14531" spans="8:9" x14ac:dyDescent="0.2">
      <c r="H14531" s="1"/>
      <c r="I14531" s="1"/>
    </row>
    <row r="14532" spans="8:9" x14ac:dyDescent="0.2">
      <c r="H14532" s="1"/>
      <c r="I14532" s="1"/>
    </row>
    <row r="14533" spans="8:9" x14ac:dyDescent="0.2">
      <c r="H14533" s="1"/>
      <c r="I14533" s="1"/>
    </row>
    <row r="14534" spans="8:9" x14ac:dyDescent="0.2">
      <c r="H14534" s="1"/>
      <c r="I14534" s="1"/>
    </row>
    <row r="14535" spans="8:9" x14ac:dyDescent="0.2">
      <c r="H14535" s="1"/>
      <c r="I14535" s="1"/>
    </row>
    <row r="14536" spans="8:9" x14ac:dyDescent="0.2">
      <c r="H14536" s="1"/>
      <c r="I14536" s="1"/>
    </row>
    <row r="14537" spans="8:9" x14ac:dyDescent="0.2">
      <c r="H14537" s="1"/>
      <c r="I14537" s="1"/>
    </row>
    <row r="14538" spans="8:9" x14ac:dyDescent="0.2">
      <c r="H14538" s="1"/>
      <c r="I14538" s="1"/>
    </row>
    <row r="14539" spans="8:9" x14ac:dyDescent="0.2">
      <c r="H14539" s="1"/>
      <c r="I14539" s="1"/>
    </row>
    <row r="14540" spans="8:9" x14ac:dyDescent="0.2">
      <c r="H14540" s="1"/>
      <c r="I14540" s="1"/>
    </row>
    <row r="14541" spans="8:9" x14ac:dyDescent="0.2">
      <c r="H14541" s="1"/>
      <c r="I14541" s="1"/>
    </row>
    <row r="14542" spans="8:9" x14ac:dyDescent="0.2">
      <c r="H14542" s="1"/>
      <c r="I14542" s="1"/>
    </row>
    <row r="14543" spans="8:9" x14ac:dyDescent="0.2">
      <c r="H14543" s="1"/>
      <c r="I14543" s="1"/>
    </row>
    <row r="14544" spans="8:9" x14ac:dyDescent="0.2">
      <c r="H14544" s="1"/>
      <c r="I14544" s="1"/>
    </row>
    <row r="14545" spans="8:9" x14ac:dyDescent="0.2">
      <c r="H14545" s="1"/>
      <c r="I14545" s="1"/>
    </row>
    <row r="14546" spans="8:9" x14ac:dyDescent="0.2">
      <c r="H14546" s="1"/>
      <c r="I14546" s="1"/>
    </row>
    <row r="14547" spans="8:9" x14ac:dyDescent="0.2">
      <c r="H14547" s="1"/>
      <c r="I14547" s="1"/>
    </row>
    <row r="14548" spans="8:9" x14ac:dyDescent="0.2">
      <c r="H14548" s="1"/>
      <c r="I14548" s="1"/>
    </row>
    <row r="14549" spans="8:9" x14ac:dyDescent="0.2">
      <c r="H14549" s="1"/>
      <c r="I14549" s="1"/>
    </row>
    <row r="14550" spans="8:9" x14ac:dyDescent="0.2">
      <c r="H14550" s="1"/>
      <c r="I14550" s="1"/>
    </row>
    <row r="14551" spans="8:9" x14ac:dyDescent="0.2">
      <c r="H14551" s="1"/>
      <c r="I14551" s="1"/>
    </row>
    <row r="14552" spans="8:9" x14ac:dyDescent="0.2">
      <c r="H14552" s="1"/>
      <c r="I14552" s="1"/>
    </row>
    <row r="14553" spans="8:9" x14ac:dyDescent="0.2">
      <c r="H14553" s="1"/>
      <c r="I14553" s="1"/>
    </row>
    <row r="14554" spans="8:9" x14ac:dyDescent="0.2">
      <c r="H14554" s="1"/>
      <c r="I14554" s="1"/>
    </row>
    <row r="14555" spans="8:9" x14ac:dyDescent="0.2">
      <c r="H14555" s="1"/>
      <c r="I14555" s="1"/>
    </row>
    <row r="14556" spans="8:9" x14ac:dyDescent="0.2">
      <c r="H14556" s="1"/>
      <c r="I14556" s="1"/>
    </row>
    <row r="14557" spans="8:9" x14ac:dyDescent="0.2">
      <c r="H14557" s="1"/>
      <c r="I14557" s="1"/>
    </row>
    <row r="14558" spans="8:9" x14ac:dyDescent="0.2">
      <c r="H14558" s="1"/>
      <c r="I14558" s="1"/>
    </row>
    <row r="14559" spans="8:9" x14ac:dyDescent="0.2">
      <c r="H14559" s="1"/>
      <c r="I14559" s="1"/>
    </row>
    <row r="14560" spans="8:9" x14ac:dyDescent="0.2">
      <c r="H14560" s="1"/>
      <c r="I14560" s="1"/>
    </row>
    <row r="14561" spans="8:9" x14ac:dyDescent="0.2">
      <c r="H14561" s="1"/>
      <c r="I14561" s="1"/>
    </row>
    <row r="14562" spans="8:9" x14ac:dyDescent="0.2">
      <c r="H14562" s="1"/>
      <c r="I14562" s="1"/>
    </row>
    <row r="14563" spans="8:9" x14ac:dyDescent="0.2">
      <c r="H14563" s="1"/>
      <c r="I14563" s="1"/>
    </row>
    <row r="14564" spans="8:9" x14ac:dyDescent="0.2">
      <c r="H14564" s="1"/>
      <c r="I14564" s="1"/>
    </row>
    <row r="14565" spans="8:9" x14ac:dyDescent="0.2">
      <c r="H14565" s="1"/>
      <c r="I14565" s="1"/>
    </row>
    <row r="14566" spans="8:9" x14ac:dyDescent="0.2">
      <c r="H14566" s="1"/>
      <c r="I14566" s="1"/>
    </row>
    <row r="14567" spans="8:9" x14ac:dyDescent="0.2">
      <c r="H14567" s="1"/>
      <c r="I14567" s="1"/>
    </row>
    <row r="14568" spans="8:9" x14ac:dyDescent="0.2">
      <c r="H14568" s="1"/>
      <c r="I14568" s="1"/>
    </row>
    <row r="14569" spans="8:9" x14ac:dyDescent="0.2">
      <c r="H14569" s="1"/>
      <c r="I14569" s="1"/>
    </row>
    <row r="14570" spans="8:9" x14ac:dyDescent="0.2">
      <c r="H14570" s="1"/>
      <c r="I14570" s="1"/>
    </row>
    <row r="14571" spans="8:9" x14ac:dyDescent="0.2">
      <c r="H14571" s="1"/>
      <c r="I14571" s="1"/>
    </row>
    <row r="14572" spans="8:9" x14ac:dyDescent="0.2">
      <c r="H14572" s="1"/>
      <c r="I14572" s="1"/>
    </row>
    <row r="14573" spans="8:9" x14ac:dyDescent="0.2">
      <c r="H14573" s="1"/>
      <c r="I14573" s="1"/>
    </row>
    <row r="14574" spans="8:9" x14ac:dyDescent="0.2">
      <c r="H14574" s="1"/>
      <c r="I14574" s="1"/>
    </row>
    <row r="14575" spans="8:9" x14ac:dyDescent="0.2">
      <c r="H14575" s="1"/>
      <c r="I14575" s="1"/>
    </row>
    <row r="14576" spans="8:9" x14ac:dyDescent="0.2">
      <c r="H14576" s="1"/>
      <c r="I14576" s="1"/>
    </row>
    <row r="14577" spans="8:9" x14ac:dyDescent="0.2">
      <c r="H14577" s="1"/>
      <c r="I14577" s="1"/>
    </row>
    <row r="14578" spans="8:9" x14ac:dyDescent="0.2">
      <c r="H14578" s="1"/>
      <c r="I14578" s="1"/>
    </row>
    <row r="14579" spans="8:9" x14ac:dyDescent="0.2">
      <c r="H14579" s="1"/>
      <c r="I14579" s="1"/>
    </row>
    <row r="14580" spans="8:9" x14ac:dyDescent="0.2">
      <c r="H14580" s="1"/>
      <c r="I14580" s="1"/>
    </row>
    <row r="14581" spans="8:9" x14ac:dyDescent="0.2">
      <c r="H14581" s="1"/>
      <c r="I14581" s="1"/>
    </row>
    <row r="14582" spans="8:9" x14ac:dyDescent="0.2">
      <c r="H14582" s="1"/>
      <c r="I14582" s="1"/>
    </row>
    <row r="14583" spans="8:9" x14ac:dyDescent="0.2">
      <c r="H14583" s="1"/>
      <c r="I14583" s="1"/>
    </row>
    <row r="14584" spans="8:9" x14ac:dyDescent="0.2">
      <c r="H14584" s="1"/>
      <c r="I14584" s="1"/>
    </row>
    <row r="14585" spans="8:9" x14ac:dyDescent="0.2">
      <c r="H14585" s="1"/>
      <c r="I14585" s="1"/>
    </row>
    <row r="14586" spans="8:9" x14ac:dyDescent="0.2">
      <c r="H14586" s="1"/>
      <c r="I14586" s="1"/>
    </row>
    <row r="14587" spans="8:9" x14ac:dyDescent="0.2">
      <c r="H14587" s="1"/>
      <c r="I14587" s="1"/>
    </row>
    <row r="14588" spans="8:9" x14ac:dyDescent="0.2">
      <c r="H14588" s="1"/>
      <c r="I14588" s="1"/>
    </row>
    <row r="14589" spans="8:9" x14ac:dyDescent="0.2">
      <c r="H14589" s="1"/>
      <c r="I14589" s="1"/>
    </row>
    <row r="14590" spans="8:9" x14ac:dyDescent="0.2">
      <c r="H14590" s="1"/>
      <c r="I14590" s="1"/>
    </row>
    <row r="14591" spans="8:9" x14ac:dyDescent="0.2">
      <c r="H14591" s="1"/>
      <c r="I14591" s="1"/>
    </row>
    <row r="14592" spans="8:9" x14ac:dyDescent="0.2">
      <c r="H14592" s="1"/>
      <c r="I14592" s="1"/>
    </row>
    <row r="14593" spans="8:9" x14ac:dyDescent="0.2">
      <c r="H14593" s="1"/>
      <c r="I14593" s="1"/>
    </row>
    <row r="14594" spans="8:9" x14ac:dyDescent="0.2">
      <c r="H14594" s="1"/>
      <c r="I14594" s="1"/>
    </row>
    <row r="14595" spans="8:9" x14ac:dyDescent="0.2">
      <c r="H14595" s="1"/>
      <c r="I14595" s="1"/>
    </row>
    <row r="14596" spans="8:9" x14ac:dyDescent="0.2">
      <c r="H14596" s="1"/>
      <c r="I14596" s="1"/>
    </row>
    <row r="14597" spans="8:9" x14ac:dyDescent="0.2">
      <c r="H14597" s="1"/>
      <c r="I14597" s="1"/>
    </row>
    <row r="14598" spans="8:9" x14ac:dyDescent="0.2">
      <c r="H14598" s="1"/>
      <c r="I14598" s="1"/>
    </row>
    <row r="14599" spans="8:9" x14ac:dyDescent="0.2">
      <c r="H14599" s="1"/>
      <c r="I14599" s="1"/>
    </row>
    <row r="14600" spans="8:9" x14ac:dyDescent="0.2">
      <c r="H14600" s="1"/>
      <c r="I14600" s="1"/>
    </row>
    <row r="14601" spans="8:9" x14ac:dyDescent="0.2">
      <c r="H14601" s="1"/>
      <c r="I14601" s="1"/>
    </row>
    <row r="14602" spans="8:9" x14ac:dyDescent="0.2">
      <c r="H14602" s="1"/>
      <c r="I14602" s="1"/>
    </row>
    <row r="14603" spans="8:9" x14ac:dyDescent="0.2">
      <c r="H14603" s="1"/>
      <c r="I14603" s="1"/>
    </row>
    <row r="14604" spans="8:9" x14ac:dyDescent="0.2">
      <c r="H14604" s="1"/>
      <c r="I14604" s="1"/>
    </row>
    <row r="14605" spans="8:9" x14ac:dyDescent="0.2">
      <c r="H14605" s="1"/>
      <c r="I14605" s="1"/>
    </row>
    <row r="14606" spans="8:9" x14ac:dyDescent="0.2">
      <c r="H14606" s="1"/>
      <c r="I14606" s="1"/>
    </row>
    <row r="14607" spans="8:9" x14ac:dyDescent="0.2">
      <c r="H14607" s="1"/>
      <c r="I14607" s="1"/>
    </row>
    <row r="14608" spans="8:9" x14ac:dyDescent="0.2">
      <c r="H14608" s="1"/>
      <c r="I14608" s="1"/>
    </row>
    <row r="14609" spans="8:9" x14ac:dyDescent="0.2">
      <c r="H14609" s="1"/>
      <c r="I14609" s="1"/>
    </row>
    <row r="14610" spans="8:9" x14ac:dyDescent="0.2">
      <c r="H14610" s="1"/>
      <c r="I14610" s="1"/>
    </row>
    <row r="14611" spans="8:9" x14ac:dyDescent="0.2">
      <c r="H14611" s="1"/>
      <c r="I14611" s="1"/>
    </row>
    <row r="14612" spans="8:9" x14ac:dyDescent="0.2">
      <c r="H14612" s="1"/>
      <c r="I14612" s="1"/>
    </row>
    <row r="14613" spans="8:9" x14ac:dyDescent="0.2">
      <c r="H14613" s="1"/>
      <c r="I14613" s="1"/>
    </row>
    <row r="14614" spans="8:9" x14ac:dyDescent="0.2">
      <c r="H14614" s="1"/>
      <c r="I14614" s="1"/>
    </row>
    <row r="14615" spans="8:9" x14ac:dyDescent="0.2">
      <c r="H14615" s="1"/>
      <c r="I14615" s="1"/>
    </row>
    <row r="14616" spans="8:9" x14ac:dyDescent="0.2">
      <c r="H14616" s="1"/>
      <c r="I14616" s="1"/>
    </row>
    <row r="14617" spans="8:9" x14ac:dyDescent="0.2">
      <c r="H14617" s="1"/>
      <c r="I14617" s="1"/>
    </row>
    <row r="14618" spans="8:9" x14ac:dyDescent="0.2">
      <c r="H14618" s="1"/>
      <c r="I14618" s="1"/>
    </row>
    <row r="14619" spans="8:9" x14ac:dyDescent="0.2">
      <c r="H14619" s="1"/>
      <c r="I14619" s="1"/>
    </row>
    <row r="14620" spans="8:9" x14ac:dyDescent="0.2">
      <c r="H14620" s="1"/>
      <c r="I14620" s="1"/>
    </row>
    <row r="14621" spans="8:9" x14ac:dyDescent="0.2">
      <c r="H14621" s="1"/>
      <c r="I14621" s="1"/>
    </row>
    <row r="14622" spans="8:9" x14ac:dyDescent="0.2">
      <c r="H14622" s="1"/>
      <c r="I14622" s="1"/>
    </row>
    <row r="14623" spans="8:9" x14ac:dyDescent="0.2">
      <c r="H14623" s="1"/>
      <c r="I14623" s="1"/>
    </row>
    <row r="14624" spans="8:9" x14ac:dyDescent="0.2">
      <c r="H14624" s="1"/>
      <c r="I14624" s="1"/>
    </row>
    <row r="14625" spans="8:9" x14ac:dyDescent="0.2">
      <c r="H14625" s="1"/>
      <c r="I14625" s="1"/>
    </row>
    <row r="14626" spans="8:9" x14ac:dyDescent="0.2">
      <c r="H14626" s="1"/>
      <c r="I14626" s="1"/>
    </row>
    <row r="14627" spans="8:9" x14ac:dyDescent="0.2">
      <c r="H14627" s="1"/>
      <c r="I14627" s="1"/>
    </row>
    <row r="14628" spans="8:9" x14ac:dyDescent="0.2">
      <c r="H14628" s="1"/>
      <c r="I14628" s="1"/>
    </row>
    <row r="14629" spans="8:9" x14ac:dyDescent="0.2">
      <c r="H14629" s="1"/>
      <c r="I14629" s="1"/>
    </row>
    <row r="14630" spans="8:9" x14ac:dyDescent="0.2">
      <c r="H14630" s="1"/>
      <c r="I14630" s="1"/>
    </row>
    <row r="14631" spans="8:9" x14ac:dyDescent="0.2">
      <c r="H14631" s="1"/>
      <c r="I14631" s="1"/>
    </row>
    <row r="14632" spans="8:9" x14ac:dyDescent="0.2">
      <c r="H14632" s="1"/>
      <c r="I14632" s="1"/>
    </row>
    <row r="14633" spans="8:9" x14ac:dyDescent="0.2">
      <c r="H14633" s="1"/>
      <c r="I14633" s="1"/>
    </row>
    <row r="14634" spans="8:9" x14ac:dyDescent="0.2">
      <c r="H14634" s="1"/>
      <c r="I14634" s="1"/>
    </row>
    <row r="14635" spans="8:9" x14ac:dyDescent="0.2">
      <c r="H14635" s="1"/>
      <c r="I14635" s="1"/>
    </row>
    <row r="14636" spans="8:9" x14ac:dyDescent="0.2">
      <c r="H14636" s="1"/>
      <c r="I14636" s="1"/>
    </row>
    <row r="14637" spans="8:9" x14ac:dyDescent="0.2">
      <c r="H14637" s="1"/>
      <c r="I14637" s="1"/>
    </row>
    <row r="14638" spans="8:9" x14ac:dyDescent="0.2">
      <c r="H14638" s="1"/>
      <c r="I14638" s="1"/>
    </row>
    <row r="14639" spans="8:9" x14ac:dyDescent="0.2">
      <c r="H14639" s="1"/>
      <c r="I14639" s="1"/>
    </row>
    <row r="14640" spans="8:9" x14ac:dyDescent="0.2">
      <c r="H14640" s="1"/>
      <c r="I14640" s="1"/>
    </row>
    <row r="14641" spans="8:9" x14ac:dyDescent="0.2">
      <c r="H14641" s="1"/>
      <c r="I14641" s="1"/>
    </row>
    <row r="14642" spans="8:9" x14ac:dyDescent="0.2">
      <c r="H14642" s="1"/>
      <c r="I14642" s="1"/>
    </row>
    <row r="14643" spans="8:9" x14ac:dyDescent="0.2">
      <c r="H14643" s="1"/>
      <c r="I14643" s="1"/>
    </row>
    <row r="14644" spans="8:9" x14ac:dyDescent="0.2">
      <c r="H14644" s="1"/>
      <c r="I14644" s="1"/>
    </row>
    <row r="14645" spans="8:9" x14ac:dyDescent="0.2">
      <c r="H14645" s="1"/>
      <c r="I14645" s="1"/>
    </row>
    <row r="14646" spans="8:9" x14ac:dyDescent="0.2">
      <c r="H14646" s="1"/>
      <c r="I14646" s="1"/>
    </row>
    <row r="14647" spans="8:9" x14ac:dyDescent="0.2">
      <c r="H14647" s="1"/>
      <c r="I14647" s="1"/>
    </row>
    <row r="14648" spans="8:9" x14ac:dyDescent="0.2">
      <c r="H14648" s="1"/>
      <c r="I14648" s="1"/>
    </row>
    <row r="14649" spans="8:9" x14ac:dyDescent="0.2">
      <c r="H14649" s="1"/>
      <c r="I14649" s="1"/>
    </row>
    <row r="14650" spans="8:9" x14ac:dyDescent="0.2">
      <c r="H14650" s="1"/>
      <c r="I14650" s="1"/>
    </row>
    <row r="14651" spans="8:9" x14ac:dyDescent="0.2">
      <c r="H14651" s="1"/>
      <c r="I14651" s="1"/>
    </row>
    <row r="14652" spans="8:9" x14ac:dyDescent="0.2">
      <c r="H14652" s="1"/>
      <c r="I14652" s="1"/>
    </row>
    <row r="14653" spans="8:9" x14ac:dyDescent="0.2">
      <c r="H14653" s="1"/>
      <c r="I14653" s="1"/>
    </row>
    <row r="14654" spans="8:9" x14ac:dyDescent="0.2">
      <c r="H14654" s="1"/>
      <c r="I14654" s="1"/>
    </row>
    <row r="14655" spans="8:9" x14ac:dyDescent="0.2">
      <c r="H14655" s="1"/>
      <c r="I14655" s="1"/>
    </row>
    <row r="14656" spans="8:9" x14ac:dyDescent="0.2">
      <c r="H14656" s="1"/>
      <c r="I14656" s="1"/>
    </row>
    <row r="14657" spans="8:9" x14ac:dyDescent="0.2">
      <c r="H14657" s="1"/>
      <c r="I14657" s="1"/>
    </row>
    <row r="14658" spans="8:9" x14ac:dyDescent="0.2">
      <c r="H14658" s="1"/>
      <c r="I14658" s="1"/>
    </row>
    <row r="14659" spans="8:9" x14ac:dyDescent="0.2">
      <c r="H14659" s="1"/>
      <c r="I14659" s="1"/>
    </row>
    <row r="14660" spans="8:9" x14ac:dyDescent="0.2">
      <c r="H14660" s="1"/>
      <c r="I14660" s="1"/>
    </row>
    <row r="14661" spans="8:9" x14ac:dyDescent="0.2">
      <c r="H14661" s="1"/>
      <c r="I14661" s="1"/>
    </row>
    <row r="14662" spans="8:9" x14ac:dyDescent="0.2">
      <c r="H14662" s="1"/>
      <c r="I14662" s="1"/>
    </row>
    <row r="14663" spans="8:9" x14ac:dyDescent="0.2">
      <c r="H14663" s="1"/>
      <c r="I14663" s="1"/>
    </row>
    <row r="14664" spans="8:9" x14ac:dyDescent="0.2">
      <c r="H14664" s="1"/>
      <c r="I14664" s="1"/>
    </row>
    <row r="14665" spans="8:9" x14ac:dyDescent="0.2">
      <c r="H14665" s="1"/>
      <c r="I14665" s="1"/>
    </row>
    <row r="14666" spans="8:9" x14ac:dyDescent="0.2">
      <c r="H14666" s="1"/>
      <c r="I14666" s="1"/>
    </row>
    <row r="14667" spans="8:9" x14ac:dyDescent="0.2">
      <c r="H14667" s="1"/>
      <c r="I14667" s="1"/>
    </row>
    <row r="14668" spans="8:9" x14ac:dyDescent="0.2">
      <c r="H14668" s="1"/>
      <c r="I14668" s="1"/>
    </row>
    <row r="14669" spans="8:9" x14ac:dyDescent="0.2">
      <c r="H14669" s="1"/>
      <c r="I14669" s="1"/>
    </row>
    <row r="14670" spans="8:9" x14ac:dyDescent="0.2">
      <c r="H14670" s="1"/>
      <c r="I14670" s="1"/>
    </row>
    <row r="14671" spans="8:9" x14ac:dyDescent="0.2">
      <c r="H14671" s="1"/>
      <c r="I14671" s="1"/>
    </row>
    <row r="14672" spans="8:9" x14ac:dyDescent="0.2">
      <c r="H14672" s="1"/>
      <c r="I14672" s="1"/>
    </row>
    <row r="14673" spans="8:9" x14ac:dyDescent="0.2">
      <c r="H14673" s="1"/>
      <c r="I14673" s="1"/>
    </row>
    <row r="14674" spans="8:9" x14ac:dyDescent="0.2">
      <c r="H14674" s="1"/>
      <c r="I14674" s="1"/>
    </row>
    <row r="14675" spans="8:9" x14ac:dyDescent="0.2">
      <c r="H14675" s="1"/>
      <c r="I14675" s="1"/>
    </row>
    <row r="14676" spans="8:9" x14ac:dyDescent="0.2">
      <c r="H14676" s="1"/>
      <c r="I14676" s="1"/>
    </row>
    <row r="14677" spans="8:9" x14ac:dyDescent="0.2">
      <c r="H14677" s="1"/>
      <c r="I14677" s="1"/>
    </row>
    <row r="14678" spans="8:9" x14ac:dyDescent="0.2">
      <c r="H14678" s="1"/>
      <c r="I14678" s="1"/>
    </row>
    <row r="14679" spans="8:9" x14ac:dyDescent="0.2">
      <c r="H14679" s="1"/>
      <c r="I14679" s="1"/>
    </row>
    <row r="14680" spans="8:9" x14ac:dyDescent="0.2">
      <c r="H14680" s="1"/>
      <c r="I14680" s="1"/>
    </row>
    <row r="14681" spans="8:9" x14ac:dyDescent="0.2">
      <c r="H14681" s="1"/>
      <c r="I14681" s="1"/>
    </row>
    <row r="14682" spans="8:9" x14ac:dyDescent="0.2">
      <c r="H14682" s="1"/>
      <c r="I14682" s="1"/>
    </row>
    <row r="14683" spans="8:9" x14ac:dyDescent="0.2">
      <c r="H14683" s="1"/>
      <c r="I14683" s="1"/>
    </row>
    <row r="14684" spans="8:9" x14ac:dyDescent="0.2">
      <c r="H14684" s="1"/>
      <c r="I14684" s="1"/>
    </row>
    <row r="14685" spans="8:9" x14ac:dyDescent="0.2">
      <c r="H14685" s="1"/>
      <c r="I14685" s="1"/>
    </row>
    <row r="14686" spans="8:9" x14ac:dyDescent="0.2">
      <c r="H14686" s="1"/>
      <c r="I14686" s="1"/>
    </row>
    <row r="14687" spans="8:9" x14ac:dyDescent="0.2">
      <c r="H14687" s="1"/>
      <c r="I14687" s="1"/>
    </row>
    <row r="14688" spans="8:9" x14ac:dyDescent="0.2">
      <c r="H14688" s="1"/>
      <c r="I14688" s="1"/>
    </row>
    <row r="14689" spans="8:9" x14ac:dyDescent="0.2">
      <c r="H14689" s="1"/>
      <c r="I14689" s="1"/>
    </row>
    <row r="14690" spans="8:9" x14ac:dyDescent="0.2">
      <c r="H14690" s="1"/>
      <c r="I14690" s="1"/>
    </row>
    <row r="14691" spans="8:9" x14ac:dyDescent="0.2">
      <c r="H14691" s="1"/>
      <c r="I14691" s="1"/>
    </row>
    <row r="14692" spans="8:9" x14ac:dyDescent="0.2">
      <c r="H14692" s="1"/>
      <c r="I14692" s="1"/>
    </row>
    <row r="14693" spans="8:9" x14ac:dyDescent="0.2">
      <c r="H14693" s="1"/>
      <c r="I14693" s="1"/>
    </row>
    <row r="14694" spans="8:9" x14ac:dyDescent="0.2">
      <c r="H14694" s="1"/>
      <c r="I14694" s="1"/>
    </row>
    <row r="14695" spans="8:9" x14ac:dyDescent="0.2">
      <c r="H14695" s="1"/>
      <c r="I14695" s="1"/>
    </row>
    <row r="14696" spans="8:9" x14ac:dyDescent="0.2">
      <c r="H14696" s="1"/>
      <c r="I14696" s="1"/>
    </row>
    <row r="14697" spans="8:9" x14ac:dyDescent="0.2">
      <c r="H14697" s="1"/>
      <c r="I14697" s="1"/>
    </row>
    <row r="14698" spans="8:9" x14ac:dyDescent="0.2">
      <c r="H14698" s="1"/>
      <c r="I14698" s="1"/>
    </row>
    <row r="14699" spans="8:9" x14ac:dyDescent="0.2">
      <c r="H14699" s="1"/>
      <c r="I14699" s="1"/>
    </row>
    <row r="14700" spans="8:9" x14ac:dyDescent="0.2">
      <c r="H14700" s="1"/>
      <c r="I14700" s="1"/>
    </row>
    <row r="14701" spans="8:9" x14ac:dyDescent="0.2">
      <c r="H14701" s="1"/>
      <c r="I14701" s="1"/>
    </row>
    <row r="14702" spans="8:9" x14ac:dyDescent="0.2">
      <c r="H14702" s="1"/>
      <c r="I14702" s="1"/>
    </row>
    <row r="14703" spans="8:9" x14ac:dyDescent="0.2">
      <c r="H14703" s="1"/>
      <c r="I14703" s="1"/>
    </row>
    <row r="14704" spans="8:9" x14ac:dyDescent="0.2">
      <c r="H14704" s="1"/>
      <c r="I14704" s="1"/>
    </row>
    <row r="14705" spans="8:9" x14ac:dyDescent="0.2">
      <c r="H14705" s="1"/>
      <c r="I14705" s="1"/>
    </row>
    <row r="14706" spans="8:9" x14ac:dyDescent="0.2">
      <c r="H14706" s="1"/>
      <c r="I14706" s="1"/>
    </row>
    <row r="14707" spans="8:9" x14ac:dyDescent="0.2">
      <c r="H14707" s="1"/>
      <c r="I14707" s="1"/>
    </row>
    <row r="14708" spans="8:9" x14ac:dyDescent="0.2">
      <c r="H14708" s="1"/>
      <c r="I14708" s="1"/>
    </row>
    <row r="14709" spans="8:9" x14ac:dyDescent="0.2">
      <c r="H14709" s="1"/>
      <c r="I14709" s="1"/>
    </row>
    <row r="14710" spans="8:9" x14ac:dyDescent="0.2">
      <c r="H14710" s="1"/>
      <c r="I14710" s="1"/>
    </row>
    <row r="14711" spans="8:9" x14ac:dyDescent="0.2">
      <c r="H14711" s="1"/>
      <c r="I14711" s="1"/>
    </row>
    <row r="14712" spans="8:9" x14ac:dyDescent="0.2">
      <c r="H14712" s="1"/>
      <c r="I14712" s="1"/>
    </row>
    <row r="14713" spans="8:9" x14ac:dyDescent="0.2">
      <c r="H14713" s="1"/>
      <c r="I14713" s="1"/>
    </row>
    <row r="14714" spans="8:9" x14ac:dyDescent="0.2">
      <c r="H14714" s="1"/>
      <c r="I14714" s="1"/>
    </row>
    <row r="14715" spans="8:9" x14ac:dyDescent="0.2">
      <c r="H14715" s="1"/>
      <c r="I14715" s="1"/>
    </row>
    <row r="14716" spans="8:9" x14ac:dyDescent="0.2">
      <c r="H14716" s="1"/>
      <c r="I14716" s="1"/>
    </row>
    <row r="14717" spans="8:9" x14ac:dyDescent="0.2">
      <c r="H14717" s="1"/>
      <c r="I14717" s="1"/>
    </row>
    <row r="14718" spans="8:9" x14ac:dyDescent="0.2">
      <c r="H14718" s="1"/>
      <c r="I14718" s="1"/>
    </row>
    <row r="14719" spans="8:9" x14ac:dyDescent="0.2">
      <c r="H14719" s="1"/>
      <c r="I14719" s="1"/>
    </row>
    <row r="14720" spans="8:9" x14ac:dyDescent="0.2">
      <c r="H14720" s="1"/>
      <c r="I14720" s="1"/>
    </row>
    <row r="14721" spans="8:9" x14ac:dyDescent="0.2">
      <c r="H14721" s="1"/>
      <c r="I14721" s="1"/>
    </row>
    <row r="14722" spans="8:9" x14ac:dyDescent="0.2">
      <c r="H14722" s="1"/>
      <c r="I14722" s="1"/>
    </row>
    <row r="14723" spans="8:9" x14ac:dyDescent="0.2">
      <c r="H14723" s="1"/>
      <c r="I14723" s="1"/>
    </row>
    <row r="14724" spans="8:9" x14ac:dyDescent="0.2">
      <c r="H14724" s="1"/>
      <c r="I14724" s="1"/>
    </row>
    <row r="14725" spans="8:9" x14ac:dyDescent="0.2">
      <c r="H14725" s="1"/>
      <c r="I14725" s="1"/>
    </row>
    <row r="14726" spans="8:9" x14ac:dyDescent="0.2">
      <c r="H14726" s="1"/>
      <c r="I14726" s="1"/>
    </row>
    <row r="14727" spans="8:9" x14ac:dyDescent="0.2">
      <c r="H14727" s="1"/>
      <c r="I14727" s="1"/>
    </row>
    <row r="14728" spans="8:9" x14ac:dyDescent="0.2">
      <c r="H14728" s="1"/>
      <c r="I14728" s="1"/>
    </row>
    <row r="14729" spans="8:9" x14ac:dyDescent="0.2">
      <c r="H14729" s="1"/>
      <c r="I14729" s="1"/>
    </row>
    <row r="14730" spans="8:9" x14ac:dyDescent="0.2">
      <c r="H14730" s="1"/>
      <c r="I14730" s="1"/>
    </row>
    <row r="14731" spans="8:9" x14ac:dyDescent="0.2">
      <c r="H14731" s="1"/>
      <c r="I14731" s="1"/>
    </row>
    <row r="14732" spans="8:9" x14ac:dyDescent="0.2">
      <c r="H14732" s="1"/>
      <c r="I14732" s="1"/>
    </row>
    <row r="14733" spans="8:9" x14ac:dyDescent="0.2">
      <c r="H14733" s="1"/>
      <c r="I14733" s="1"/>
    </row>
    <row r="14734" spans="8:9" x14ac:dyDescent="0.2">
      <c r="H14734" s="1"/>
      <c r="I14734" s="1"/>
    </row>
    <row r="14735" spans="8:9" x14ac:dyDescent="0.2">
      <c r="H14735" s="1"/>
      <c r="I14735" s="1"/>
    </row>
    <row r="14736" spans="8:9" x14ac:dyDescent="0.2">
      <c r="H14736" s="1"/>
      <c r="I14736" s="1"/>
    </row>
    <row r="14737" spans="8:9" x14ac:dyDescent="0.2">
      <c r="H14737" s="1"/>
      <c r="I14737" s="1"/>
    </row>
    <row r="14738" spans="8:9" x14ac:dyDescent="0.2">
      <c r="H14738" s="1"/>
      <c r="I14738" s="1"/>
    </row>
    <row r="14739" spans="8:9" x14ac:dyDescent="0.2">
      <c r="H14739" s="1"/>
      <c r="I14739" s="1"/>
    </row>
    <row r="14740" spans="8:9" x14ac:dyDescent="0.2">
      <c r="H14740" s="1"/>
      <c r="I14740" s="1"/>
    </row>
    <row r="14741" spans="8:9" x14ac:dyDescent="0.2">
      <c r="H14741" s="1"/>
      <c r="I14741" s="1"/>
    </row>
    <row r="14742" spans="8:9" x14ac:dyDescent="0.2">
      <c r="H14742" s="1"/>
      <c r="I14742" s="1"/>
    </row>
    <row r="14743" spans="8:9" x14ac:dyDescent="0.2">
      <c r="H14743" s="1"/>
      <c r="I14743" s="1"/>
    </row>
    <row r="14744" spans="8:9" x14ac:dyDescent="0.2">
      <c r="H14744" s="1"/>
      <c r="I14744" s="1"/>
    </row>
    <row r="14745" spans="8:9" x14ac:dyDescent="0.2">
      <c r="H14745" s="1"/>
      <c r="I14745" s="1"/>
    </row>
    <row r="14746" spans="8:9" x14ac:dyDescent="0.2">
      <c r="H14746" s="1"/>
      <c r="I14746" s="1"/>
    </row>
    <row r="14747" spans="8:9" x14ac:dyDescent="0.2">
      <c r="H14747" s="1"/>
      <c r="I14747" s="1"/>
    </row>
    <row r="14748" spans="8:9" x14ac:dyDescent="0.2">
      <c r="H14748" s="1"/>
      <c r="I14748" s="1"/>
    </row>
    <row r="14749" spans="8:9" x14ac:dyDescent="0.2">
      <c r="H14749" s="1"/>
      <c r="I14749" s="1"/>
    </row>
    <row r="14750" spans="8:9" x14ac:dyDescent="0.2">
      <c r="H14750" s="1"/>
      <c r="I14750" s="1"/>
    </row>
    <row r="14751" spans="8:9" x14ac:dyDescent="0.2">
      <c r="H14751" s="1"/>
      <c r="I14751" s="1"/>
    </row>
    <row r="14752" spans="8:9" x14ac:dyDescent="0.2">
      <c r="H14752" s="1"/>
      <c r="I14752" s="1"/>
    </row>
    <row r="14753" spans="8:9" x14ac:dyDescent="0.2">
      <c r="H14753" s="1"/>
      <c r="I14753" s="1"/>
    </row>
    <row r="14754" spans="8:9" x14ac:dyDescent="0.2">
      <c r="H14754" s="1"/>
      <c r="I14754" s="1"/>
    </row>
    <row r="14755" spans="8:9" x14ac:dyDescent="0.2">
      <c r="H14755" s="1"/>
      <c r="I14755" s="1"/>
    </row>
    <row r="14756" spans="8:9" x14ac:dyDescent="0.2">
      <c r="H14756" s="1"/>
      <c r="I14756" s="1"/>
    </row>
    <row r="14757" spans="8:9" x14ac:dyDescent="0.2">
      <c r="H14757" s="1"/>
      <c r="I14757" s="1"/>
    </row>
    <row r="14758" spans="8:9" x14ac:dyDescent="0.2">
      <c r="H14758" s="1"/>
      <c r="I14758" s="1"/>
    </row>
    <row r="14759" spans="8:9" x14ac:dyDescent="0.2">
      <c r="H14759" s="1"/>
      <c r="I14759" s="1"/>
    </row>
    <row r="14760" spans="8:9" x14ac:dyDescent="0.2">
      <c r="H14760" s="1"/>
      <c r="I14760" s="1"/>
    </row>
    <row r="14761" spans="8:9" x14ac:dyDescent="0.2">
      <c r="H14761" s="1"/>
      <c r="I14761" s="1"/>
    </row>
    <row r="14762" spans="8:9" x14ac:dyDescent="0.2">
      <c r="H14762" s="1"/>
      <c r="I14762" s="1"/>
    </row>
    <row r="14763" spans="8:9" x14ac:dyDescent="0.2">
      <c r="H14763" s="1"/>
      <c r="I14763" s="1"/>
    </row>
    <row r="14764" spans="8:9" x14ac:dyDescent="0.2">
      <c r="H14764" s="1"/>
      <c r="I14764" s="1"/>
    </row>
    <row r="14765" spans="8:9" x14ac:dyDescent="0.2">
      <c r="H14765" s="1"/>
      <c r="I14765" s="1"/>
    </row>
    <row r="14766" spans="8:9" x14ac:dyDescent="0.2">
      <c r="H14766" s="1"/>
      <c r="I14766" s="1"/>
    </row>
    <row r="14767" spans="8:9" x14ac:dyDescent="0.2">
      <c r="H14767" s="1"/>
      <c r="I14767" s="1"/>
    </row>
    <row r="14768" spans="8:9" x14ac:dyDescent="0.2">
      <c r="H14768" s="1"/>
      <c r="I14768" s="1"/>
    </row>
    <row r="14769" spans="8:9" x14ac:dyDescent="0.2">
      <c r="H14769" s="1"/>
      <c r="I14769" s="1"/>
    </row>
    <row r="14770" spans="8:9" x14ac:dyDescent="0.2">
      <c r="H14770" s="1"/>
      <c r="I14770" s="1"/>
    </row>
    <row r="14771" spans="8:9" x14ac:dyDescent="0.2">
      <c r="H14771" s="1"/>
      <c r="I14771" s="1"/>
    </row>
    <row r="14772" spans="8:9" x14ac:dyDescent="0.2">
      <c r="H14772" s="1"/>
      <c r="I14772" s="1"/>
    </row>
    <row r="14773" spans="8:9" x14ac:dyDescent="0.2">
      <c r="H14773" s="1"/>
      <c r="I14773" s="1"/>
    </row>
    <row r="14774" spans="8:9" x14ac:dyDescent="0.2">
      <c r="H14774" s="1"/>
      <c r="I14774" s="1"/>
    </row>
    <row r="14775" spans="8:9" x14ac:dyDescent="0.2">
      <c r="H14775" s="1"/>
      <c r="I14775" s="1"/>
    </row>
    <row r="14776" spans="8:9" x14ac:dyDescent="0.2">
      <c r="H14776" s="1"/>
      <c r="I14776" s="1"/>
    </row>
    <row r="14777" spans="8:9" x14ac:dyDescent="0.2">
      <c r="H14777" s="1"/>
      <c r="I14777" s="1"/>
    </row>
    <row r="14778" spans="8:9" x14ac:dyDescent="0.2">
      <c r="H14778" s="1"/>
      <c r="I14778" s="1"/>
    </row>
    <row r="14779" spans="8:9" x14ac:dyDescent="0.2">
      <c r="H14779" s="1"/>
      <c r="I14779" s="1"/>
    </row>
    <row r="14780" spans="8:9" x14ac:dyDescent="0.2">
      <c r="H14780" s="1"/>
      <c r="I14780" s="1"/>
    </row>
    <row r="14781" spans="8:9" x14ac:dyDescent="0.2">
      <c r="H14781" s="1"/>
      <c r="I14781" s="1"/>
    </row>
    <row r="14782" spans="8:9" x14ac:dyDescent="0.2">
      <c r="H14782" s="1"/>
      <c r="I14782" s="1"/>
    </row>
    <row r="14783" spans="8:9" x14ac:dyDescent="0.2">
      <c r="H14783" s="1"/>
      <c r="I14783" s="1"/>
    </row>
    <row r="14784" spans="8:9" x14ac:dyDescent="0.2">
      <c r="H14784" s="1"/>
      <c r="I14784" s="1"/>
    </row>
    <row r="14785" spans="8:9" x14ac:dyDescent="0.2">
      <c r="H14785" s="1"/>
      <c r="I14785" s="1"/>
    </row>
    <row r="14786" spans="8:9" x14ac:dyDescent="0.2">
      <c r="H14786" s="1"/>
      <c r="I14786" s="1"/>
    </row>
    <row r="14787" spans="8:9" x14ac:dyDescent="0.2">
      <c r="H14787" s="1"/>
      <c r="I14787" s="1"/>
    </row>
    <row r="14788" spans="8:9" x14ac:dyDescent="0.2">
      <c r="H14788" s="1"/>
      <c r="I14788" s="1"/>
    </row>
    <row r="14789" spans="8:9" x14ac:dyDescent="0.2">
      <c r="H14789" s="1"/>
      <c r="I14789" s="1"/>
    </row>
    <row r="14790" spans="8:9" x14ac:dyDescent="0.2">
      <c r="H14790" s="1"/>
      <c r="I14790" s="1"/>
    </row>
    <row r="14791" spans="8:9" x14ac:dyDescent="0.2">
      <c r="H14791" s="1"/>
      <c r="I14791" s="1"/>
    </row>
    <row r="14792" spans="8:9" x14ac:dyDescent="0.2">
      <c r="H14792" s="1"/>
      <c r="I14792" s="1"/>
    </row>
    <row r="14793" spans="8:9" x14ac:dyDescent="0.2">
      <c r="H14793" s="1"/>
      <c r="I14793" s="1"/>
    </row>
    <row r="14794" spans="8:9" x14ac:dyDescent="0.2">
      <c r="H14794" s="1"/>
      <c r="I14794" s="1"/>
    </row>
    <row r="14795" spans="8:9" x14ac:dyDescent="0.2">
      <c r="H14795" s="1"/>
      <c r="I14795" s="1"/>
    </row>
    <row r="14796" spans="8:9" x14ac:dyDescent="0.2">
      <c r="H14796" s="1"/>
      <c r="I14796" s="1"/>
    </row>
    <row r="14797" spans="8:9" x14ac:dyDescent="0.2">
      <c r="H14797" s="1"/>
      <c r="I14797" s="1"/>
    </row>
    <row r="14798" spans="8:9" x14ac:dyDescent="0.2">
      <c r="H14798" s="1"/>
      <c r="I14798" s="1"/>
    </row>
    <row r="14799" spans="8:9" x14ac:dyDescent="0.2">
      <c r="H14799" s="1"/>
      <c r="I14799" s="1"/>
    </row>
    <row r="14800" spans="8:9" x14ac:dyDescent="0.2">
      <c r="H14800" s="1"/>
      <c r="I14800" s="1"/>
    </row>
    <row r="14801" spans="8:9" x14ac:dyDescent="0.2">
      <c r="H14801" s="1"/>
      <c r="I14801" s="1"/>
    </row>
    <row r="14802" spans="8:9" x14ac:dyDescent="0.2">
      <c r="H14802" s="1"/>
      <c r="I14802" s="1"/>
    </row>
    <row r="14803" spans="8:9" x14ac:dyDescent="0.2">
      <c r="H14803" s="1"/>
      <c r="I14803" s="1"/>
    </row>
    <row r="14804" spans="8:9" x14ac:dyDescent="0.2">
      <c r="H14804" s="1"/>
      <c r="I14804" s="1"/>
    </row>
    <row r="14805" spans="8:9" x14ac:dyDescent="0.2">
      <c r="H14805" s="1"/>
      <c r="I14805" s="1"/>
    </row>
    <row r="14806" spans="8:9" x14ac:dyDescent="0.2">
      <c r="H14806" s="1"/>
      <c r="I14806" s="1"/>
    </row>
    <row r="14807" spans="8:9" x14ac:dyDescent="0.2">
      <c r="H14807" s="1"/>
      <c r="I14807" s="1"/>
    </row>
    <row r="14808" spans="8:9" x14ac:dyDescent="0.2">
      <c r="H14808" s="1"/>
      <c r="I14808" s="1"/>
    </row>
    <row r="14809" spans="8:9" x14ac:dyDescent="0.2">
      <c r="H14809" s="1"/>
      <c r="I14809" s="1"/>
    </row>
    <row r="14810" spans="8:9" x14ac:dyDescent="0.2">
      <c r="H14810" s="1"/>
      <c r="I14810" s="1"/>
    </row>
    <row r="14811" spans="8:9" x14ac:dyDescent="0.2">
      <c r="H14811" s="1"/>
      <c r="I14811" s="1"/>
    </row>
    <row r="14812" spans="8:9" x14ac:dyDescent="0.2">
      <c r="H14812" s="1"/>
      <c r="I14812" s="1"/>
    </row>
    <row r="14813" spans="8:9" x14ac:dyDescent="0.2">
      <c r="H14813" s="1"/>
      <c r="I14813" s="1"/>
    </row>
    <row r="14814" spans="8:9" x14ac:dyDescent="0.2">
      <c r="H14814" s="1"/>
      <c r="I14814" s="1"/>
    </row>
    <row r="14815" spans="8:9" x14ac:dyDescent="0.2">
      <c r="H14815" s="1"/>
      <c r="I14815" s="1"/>
    </row>
    <row r="14816" spans="8:9" x14ac:dyDescent="0.2">
      <c r="H14816" s="1"/>
      <c r="I14816" s="1"/>
    </row>
    <row r="14817" spans="8:9" x14ac:dyDescent="0.2">
      <c r="H14817" s="1"/>
      <c r="I14817" s="1"/>
    </row>
    <row r="14818" spans="8:9" x14ac:dyDescent="0.2">
      <c r="H14818" s="1"/>
      <c r="I14818" s="1"/>
    </row>
    <row r="14819" spans="8:9" x14ac:dyDescent="0.2">
      <c r="H14819" s="1"/>
      <c r="I14819" s="1"/>
    </row>
    <row r="14820" spans="8:9" x14ac:dyDescent="0.2">
      <c r="H14820" s="1"/>
      <c r="I14820" s="1"/>
    </row>
    <row r="14821" spans="8:9" x14ac:dyDescent="0.2">
      <c r="H14821" s="1"/>
      <c r="I14821" s="1"/>
    </row>
    <row r="14822" spans="8:9" x14ac:dyDescent="0.2">
      <c r="H14822" s="1"/>
      <c r="I14822" s="1"/>
    </row>
    <row r="14823" spans="8:9" x14ac:dyDescent="0.2">
      <c r="H14823" s="1"/>
      <c r="I14823" s="1"/>
    </row>
    <row r="14824" spans="8:9" x14ac:dyDescent="0.2">
      <c r="H14824" s="1"/>
      <c r="I14824" s="1"/>
    </row>
    <row r="14825" spans="8:9" x14ac:dyDescent="0.2">
      <c r="H14825" s="1"/>
      <c r="I14825" s="1"/>
    </row>
    <row r="14826" spans="8:9" x14ac:dyDescent="0.2">
      <c r="H14826" s="1"/>
      <c r="I14826" s="1"/>
    </row>
    <row r="14827" spans="8:9" x14ac:dyDescent="0.2">
      <c r="H14827" s="1"/>
      <c r="I14827" s="1"/>
    </row>
    <row r="14828" spans="8:9" x14ac:dyDescent="0.2">
      <c r="H14828" s="1"/>
      <c r="I14828" s="1"/>
    </row>
    <row r="14829" spans="8:9" x14ac:dyDescent="0.2">
      <c r="H14829" s="1"/>
      <c r="I14829" s="1"/>
    </row>
    <row r="14830" spans="8:9" x14ac:dyDescent="0.2">
      <c r="H14830" s="1"/>
      <c r="I14830" s="1"/>
    </row>
    <row r="14831" spans="8:9" x14ac:dyDescent="0.2">
      <c r="H14831" s="1"/>
      <c r="I14831" s="1"/>
    </row>
    <row r="14832" spans="8:9" x14ac:dyDescent="0.2">
      <c r="H14832" s="1"/>
      <c r="I14832" s="1"/>
    </row>
    <row r="14833" spans="8:9" x14ac:dyDescent="0.2">
      <c r="H14833" s="1"/>
      <c r="I14833" s="1"/>
    </row>
    <row r="14834" spans="8:9" x14ac:dyDescent="0.2">
      <c r="H14834" s="1"/>
      <c r="I14834" s="1"/>
    </row>
    <row r="14835" spans="8:9" x14ac:dyDescent="0.2">
      <c r="H14835" s="1"/>
      <c r="I14835" s="1"/>
    </row>
    <row r="14836" spans="8:9" x14ac:dyDescent="0.2">
      <c r="H14836" s="1"/>
      <c r="I14836" s="1"/>
    </row>
    <row r="14837" spans="8:9" x14ac:dyDescent="0.2">
      <c r="H14837" s="1"/>
      <c r="I14837" s="1"/>
    </row>
    <row r="14838" spans="8:9" x14ac:dyDescent="0.2">
      <c r="H14838" s="1"/>
      <c r="I14838" s="1"/>
    </row>
    <row r="14839" spans="8:9" x14ac:dyDescent="0.2">
      <c r="H14839" s="1"/>
      <c r="I14839" s="1"/>
    </row>
    <row r="14840" spans="8:9" x14ac:dyDescent="0.2">
      <c r="H14840" s="1"/>
      <c r="I14840" s="1"/>
    </row>
    <row r="14841" spans="8:9" x14ac:dyDescent="0.2">
      <c r="H14841" s="1"/>
      <c r="I14841" s="1"/>
    </row>
    <row r="14842" spans="8:9" x14ac:dyDescent="0.2">
      <c r="H14842" s="1"/>
      <c r="I14842" s="1"/>
    </row>
    <row r="14843" spans="8:9" x14ac:dyDescent="0.2">
      <c r="H14843" s="1"/>
      <c r="I14843" s="1"/>
    </row>
    <row r="14844" spans="8:9" x14ac:dyDescent="0.2">
      <c r="H14844" s="1"/>
      <c r="I14844" s="1"/>
    </row>
    <row r="14845" spans="8:9" x14ac:dyDescent="0.2">
      <c r="H14845" s="1"/>
      <c r="I14845" s="1"/>
    </row>
    <row r="14846" spans="8:9" x14ac:dyDescent="0.2">
      <c r="H14846" s="1"/>
      <c r="I14846" s="1"/>
    </row>
    <row r="14847" spans="8:9" x14ac:dyDescent="0.2">
      <c r="H14847" s="1"/>
      <c r="I14847" s="1"/>
    </row>
    <row r="14848" spans="8:9" x14ac:dyDescent="0.2">
      <c r="H14848" s="1"/>
      <c r="I14848" s="1"/>
    </row>
    <row r="14849" spans="8:9" x14ac:dyDescent="0.2">
      <c r="H14849" s="1"/>
      <c r="I14849" s="1"/>
    </row>
    <row r="14850" spans="8:9" x14ac:dyDescent="0.2">
      <c r="H14850" s="1"/>
      <c r="I14850" s="1"/>
    </row>
    <row r="14851" spans="8:9" x14ac:dyDescent="0.2">
      <c r="H14851" s="1"/>
      <c r="I14851" s="1"/>
    </row>
    <row r="14852" spans="8:9" x14ac:dyDescent="0.2">
      <c r="H14852" s="1"/>
      <c r="I14852" s="1"/>
    </row>
    <row r="14853" spans="8:9" x14ac:dyDescent="0.2">
      <c r="H14853" s="1"/>
      <c r="I14853" s="1"/>
    </row>
    <row r="14854" spans="8:9" x14ac:dyDescent="0.2">
      <c r="H14854" s="1"/>
      <c r="I14854" s="1"/>
    </row>
    <row r="14855" spans="8:9" x14ac:dyDescent="0.2">
      <c r="H14855" s="1"/>
      <c r="I14855" s="1"/>
    </row>
    <row r="14856" spans="8:9" x14ac:dyDescent="0.2">
      <c r="H14856" s="1"/>
      <c r="I14856" s="1"/>
    </row>
    <row r="14857" spans="8:9" x14ac:dyDescent="0.2">
      <c r="H14857" s="1"/>
      <c r="I14857" s="1"/>
    </row>
    <row r="14858" spans="8:9" x14ac:dyDescent="0.2">
      <c r="H14858" s="1"/>
      <c r="I14858" s="1"/>
    </row>
    <row r="14859" spans="8:9" x14ac:dyDescent="0.2">
      <c r="H14859" s="1"/>
      <c r="I14859" s="1"/>
    </row>
    <row r="14860" spans="8:9" x14ac:dyDescent="0.2">
      <c r="H14860" s="1"/>
      <c r="I14860" s="1"/>
    </row>
    <row r="14861" spans="8:9" x14ac:dyDescent="0.2">
      <c r="H14861" s="1"/>
      <c r="I14861" s="1"/>
    </row>
    <row r="14862" spans="8:9" x14ac:dyDescent="0.2">
      <c r="H14862" s="1"/>
      <c r="I14862" s="1"/>
    </row>
    <row r="14863" spans="8:9" x14ac:dyDescent="0.2">
      <c r="H14863" s="1"/>
      <c r="I14863" s="1"/>
    </row>
    <row r="14864" spans="8:9" x14ac:dyDescent="0.2">
      <c r="H14864" s="1"/>
      <c r="I14864" s="1"/>
    </row>
    <row r="14865" spans="8:9" x14ac:dyDescent="0.2">
      <c r="H14865" s="1"/>
      <c r="I14865" s="1"/>
    </row>
    <row r="14866" spans="8:9" x14ac:dyDescent="0.2">
      <c r="H14866" s="1"/>
      <c r="I14866" s="1"/>
    </row>
    <row r="14867" spans="8:9" x14ac:dyDescent="0.2">
      <c r="H14867" s="1"/>
      <c r="I14867" s="1"/>
    </row>
    <row r="14868" spans="8:9" x14ac:dyDescent="0.2">
      <c r="H14868" s="1"/>
      <c r="I14868" s="1"/>
    </row>
    <row r="14869" spans="8:9" x14ac:dyDescent="0.2">
      <c r="H14869" s="1"/>
      <c r="I14869" s="1"/>
    </row>
    <row r="14870" spans="8:9" x14ac:dyDescent="0.2">
      <c r="H14870" s="1"/>
      <c r="I14870" s="1"/>
    </row>
    <row r="14871" spans="8:9" x14ac:dyDescent="0.2">
      <c r="H14871" s="1"/>
      <c r="I14871" s="1"/>
    </row>
    <row r="14872" spans="8:9" x14ac:dyDescent="0.2">
      <c r="H14872" s="1"/>
      <c r="I14872" s="1"/>
    </row>
    <row r="14873" spans="8:9" x14ac:dyDescent="0.2">
      <c r="H14873" s="1"/>
      <c r="I14873" s="1"/>
    </row>
    <row r="14874" spans="8:9" x14ac:dyDescent="0.2">
      <c r="H14874" s="1"/>
      <c r="I14874" s="1"/>
    </row>
    <row r="14875" spans="8:9" x14ac:dyDescent="0.2">
      <c r="H14875" s="1"/>
      <c r="I14875" s="1"/>
    </row>
    <row r="14876" spans="8:9" x14ac:dyDescent="0.2">
      <c r="H14876" s="1"/>
      <c r="I14876" s="1"/>
    </row>
    <row r="14877" spans="8:9" x14ac:dyDescent="0.2">
      <c r="H14877" s="1"/>
      <c r="I14877" s="1"/>
    </row>
    <row r="14878" spans="8:9" x14ac:dyDescent="0.2">
      <c r="H14878" s="1"/>
      <c r="I14878" s="1"/>
    </row>
    <row r="14879" spans="8:9" x14ac:dyDescent="0.2">
      <c r="H14879" s="1"/>
      <c r="I14879" s="1"/>
    </row>
    <row r="14880" spans="8:9" x14ac:dyDescent="0.2">
      <c r="H14880" s="1"/>
      <c r="I14880" s="1"/>
    </row>
    <row r="14881" spans="8:9" x14ac:dyDescent="0.2">
      <c r="H14881" s="1"/>
      <c r="I14881" s="1"/>
    </row>
    <row r="14882" spans="8:9" x14ac:dyDescent="0.2">
      <c r="H14882" s="1"/>
      <c r="I14882" s="1"/>
    </row>
    <row r="14883" spans="8:9" x14ac:dyDescent="0.2">
      <c r="H14883" s="1"/>
      <c r="I14883" s="1"/>
    </row>
    <row r="14884" spans="8:9" x14ac:dyDescent="0.2">
      <c r="H14884" s="1"/>
      <c r="I14884" s="1"/>
    </row>
    <row r="14885" spans="8:9" x14ac:dyDescent="0.2">
      <c r="H14885" s="1"/>
      <c r="I14885" s="1"/>
    </row>
    <row r="14886" spans="8:9" x14ac:dyDescent="0.2">
      <c r="H14886" s="1"/>
      <c r="I14886" s="1"/>
    </row>
    <row r="14887" spans="8:9" x14ac:dyDescent="0.2">
      <c r="H14887" s="1"/>
      <c r="I14887" s="1"/>
    </row>
    <row r="14888" spans="8:9" x14ac:dyDescent="0.2">
      <c r="H14888" s="1"/>
      <c r="I14888" s="1"/>
    </row>
    <row r="14889" spans="8:9" x14ac:dyDescent="0.2">
      <c r="H14889" s="1"/>
      <c r="I14889" s="1"/>
    </row>
    <row r="14890" spans="8:9" x14ac:dyDescent="0.2">
      <c r="H14890" s="1"/>
      <c r="I14890" s="1"/>
    </row>
    <row r="14891" spans="8:9" x14ac:dyDescent="0.2">
      <c r="H14891" s="1"/>
      <c r="I14891" s="1"/>
    </row>
    <row r="14892" spans="8:9" x14ac:dyDescent="0.2">
      <c r="H14892" s="1"/>
      <c r="I14892" s="1"/>
    </row>
    <row r="14893" spans="8:9" x14ac:dyDescent="0.2">
      <c r="H14893" s="1"/>
      <c r="I14893" s="1"/>
    </row>
    <row r="14894" spans="8:9" x14ac:dyDescent="0.2">
      <c r="H14894" s="1"/>
      <c r="I14894" s="1"/>
    </row>
    <row r="14895" spans="8:9" x14ac:dyDescent="0.2">
      <c r="H14895" s="1"/>
      <c r="I14895" s="1"/>
    </row>
    <row r="14896" spans="8:9" x14ac:dyDescent="0.2">
      <c r="H14896" s="1"/>
      <c r="I14896" s="1"/>
    </row>
    <row r="14897" spans="8:9" x14ac:dyDescent="0.2">
      <c r="H14897" s="1"/>
      <c r="I14897" s="1"/>
    </row>
    <row r="14898" spans="8:9" x14ac:dyDescent="0.2">
      <c r="H14898" s="1"/>
      <c r="I14898" s="1"/>
    </row>
    <row r="14899" spans="8:9" x14ac:dyDescent="0.2">
      <c r="H14899" s="1"/>
      <c r="I14899" s="1"/>
    </row>
    <row r="14900" spans="8:9" x14ac:dyDescent="0.2">
      <c r="H14900" s="1"/>
      <c r="I14900" s="1"/>
    </row>
    <row r="14901" spans="8:9" x14ac:dyDescent="0.2">
      <c r="H14901" s="1"/>
      <c r="I14901" s="1"/>
    </row>
    <row r="14902" spans="8:9" x14ac:dyDescent="0.2">
      <c r="H14902" s="1"/>
      <c r="I14902" s="1"/>
    </row>
    <row r="14903" spans="8:9" x14ac:dyDescent="0.2">
      <c r="H14903" s="1"/>
      <c r="I14903" s="1"/>
    </row>
    <row r="14904" spans="8:9" x14ac:dyDescent="0.2">
      <c r="H14904" s="1"/>
      <c r="I14904" s="1"/>
    </row>
    <row r="14905" spans="8:9" x14ac:dyDescent="0.2">
      <c r="H14905" s="1"/>
      <c r="I14905" s="1"/>
    </row>
    <row r="14906" spans="8:9" x14ac:dyDescent="0.2">
      <c r="H14906" s="1"/>
      <c r="I14906" s="1"/>
    </row>
    <row r="14907" spans="8:9" x14ac:dyDescent="0.2">
      <c r="H14907" s="1"/>
      <c r="I14907" s="1"/>
    </row>
    <row r="14908" spans="8:9" x14ac:dyDescent="0.2">
      <c r="H14908" s="1"/>
      <c r="I14908" s="1"/>
    </row>
    <row r="14909" spans="8:9" x14ac:dyDescent="0.2">
      <c r="H14909" s="1"/>
      <c r="I14909" s="1"/>
    </row>
    <row r="14910" spans="8:9" x14ac:dyDescent="0.2">
      <c r="H14910" s="1"/>
      <c r="I14910" s="1"/>
    </row>
    <row r="14911" spans="8:9" x14ac:dyDescent="0.2">
      <c r="H14911" s="1"/>
      <c r="I14911" s="1"/>
    </row>
    <row r="14912" spans="8:9" x14ac:dyDescent="0.2">
      <c r="H14912" s="1"/>
      <c r="I14912" s="1"/>
    </row>
    <row r="14913" spans="8:9" x14ac:dyDescent="0.2">
      <c r="H14913" s="1"/>
      <c r="I14913" s="1"/>
    </row>
    <row r="14914" spans="8:9" x14ac:dyDescent="0.2">
      <c r="H14914" s="1"/>
      <c r="I14914" s="1"/>
    </row>
    <row r="14915" spans="8:9" x14ac:dyDescent="0.2">
      <c r="H14915" s="1"/>
      <c r="I14915" s="1"/>
    </row>
    <row r="14916" spans="8:9" x14ac:dyDescent="0.2">
      <c r="H14916" s="1"/>
      <c r="I14916" s="1"/>
    </row>
    <row r="14917" spans="8:9" x14ac:dyDescent="0.2">
      <c r="H14917" s="1"/>
      <c r="I14917" s="1"/>
    </row>
    <row r="14918" spans="8:9" x14ac:dyDescent="0.2">
      <c r="H14918" s="1"/>
      <c r="I14918" s="1"/>
    </row>
    <row r="14919" spans="8:9" x14ac:dyDescent="0.2">
      <c r="H14919" s="1"/>
      <c r="I14919" s="1"/>
    </row>
    <row r="14920" spans="8:9" x14ac:dyDescent="0.2">
      <c r="H14920" s="1"/>
      <c r="I14920" s="1"/>
    </row>
    <row r="14921" spans="8:9" x14ac:dyDescent="0.2">
      <c r="H14921" s="1"/>
      <c r="I14921" s="1"/>
    </row>
    <row r="14922" spans="8:9" x14ac:dyDescent="0.2">
      <c r="H14922" s="1"/>
      <c r="I14922" s="1"/>
    </row>
    <row r="14923" spans="8:9" x14ac:dyDescent="0.2">
      <c r="H14923" s="1"/>
      <c r="I14923" s="1"/>
    </row>
    <row r="14924" spans="8:9" x14ac:dyDescent="0.2">
      <c r="H14924" s="1"/>
      <c r="I14924" s="1"/>
    </row>
    <row r="14925" spans="8:9" x14ac:dyDescent="0.2">
      <c r="H14925" s="1"/>
      <c r="I14925" s="1"/>
    </row>
    <row r="14926" spans="8:9" x14ac:dyDescent="0.2">
      <c r="H14926" s="1"/>
      <c r="I14926" s="1"/>
    </row>
    <row r="14927" spans="8:9" x14ac:dyDescent="0.2">
      <c r="H14927" s="1"/>
      <c r="I14927" s="1"/>
    </row>
    <row r="14928" spans="8:9" x14ac:dyDescent="0.2">
      <c r="H14928" s="1"/>
      <c r="I14928" s="1"/>
    </row>
    <row r="14929" spans="8:9" x14ac:dyDescent="0.2">
      <c r="H14929" s="1"/>
      <c r="I14929" s="1"/>
    </row>
    <row r="14930" spans="8:9" x14ac:dyDescent="0.2">
      <c r="H14930" s="1"/>
      <c r="I14930" s="1"/>
    </row>
    <row r="14931" spans="8:9" x14ac:dyDescent="0.2">
      <c r="H14931" s="1"/>
      <c r="I14931" s="1"/>
    </row>
    <row r="14932" spans="8:9" x14ac:dyDescent="0.2">
      <c r="H14932" s="1"/>
      <c r="I14932" s="1"/>
    </row>
    <row r="14933" spans="8:9" x14ac:dyDescent="0.2">
      <c r="H14933" s="1"/>
      <c r="I14933" s="1"/>
    </row>
    <row r="14934" spans="8:9" x14ac:dyDescent="0.2">
      <c r="H14934" s="1"/>
      <c r="I14934" s="1"/>
    </row>
    <row r="14935" spans="8:9" x14ac:dyDescent="0.2">
      <c r="H14935" s="1"/>
      <c r="I14935" s="1"/>
    </row>
    <row r="14936" spans="8:9" x14ac:dyDescent="0.2">
      <c r="H14936" s="1"/>
      <c r="I14936" s="1"/>
    </row>
    <row r="14937" spans="8:9" x14ac:dyDescent="0.2">
      <c r="H14937" s="1"/>
      <c r="I14937" s="1"/>
    </row>
    <row r="14938" spans="8:9" x14ac:dyDescent="0.2">
      <c r="H14938" s="1"/>
      <c r="I14938" s="1"/>
    </row>
    <row r="14939" spans="8:9" x14ac:dyDescent="0.2">
      <c r="H14939" s="1"/>
      <c r="I14939" s="1"/>
    </row>
    <row r="14940" spans="8:9" x14ac:dyDescent="0.2">
      <c r="H14940" s="1"/>
      <c r="I14940" s="1"/>
    </row>
    <row r="14941" spans="8:9" x14ac:dyDescent="0.2">
      <c r="H14941" s="1"/>
      <c r="I14941" s="1"/>
    </row>
    <row r="14942" spans="8:9" x14ac:dyDescent="0.2">
      <c r="H14942" s="1"/>
      <c r="I14942" s="1"/>
    </row>
    <row r="14943" spans="8:9" x14ac:dyDescent="0.2">
      <c r="H14943" s="1"/>
      <c r="I14943" s="1"/>
    </row>
    <row r="14944" spans="8:9" x14ac:dyDescent="0.2">
      <c r="H14944" s="1"/>
      <c r="I14944" s="1"/>
    </row>
    <row r="14945" spans="8:9" x14ac:dyDescent="0.2">
      <c r="H14945" s="1"/>
      <c r="I14945" s="1"/>
    </row>
    <row r="14946" spans="8:9" x14ac:dyDescent="0.2">
      <c r="H14946" s="1"/>
      <c r="I14946" s="1"/>
    </row>
    <row r="14947" spans="8:9" x14ac:dyDescent="0.2">
      <c r="H14947" s="1"/>
      <c r="I14947" s="1"/>
    </row>
    <row r="14948" spans="8:9" x14ac:dyDescent="0.2">
      <c r="H14948" s="1"/>
      <c r="I14948" s="1"/>
    </row>
    <row r="14949" spans="8:9" x14ac:dyDescent="0.2">
      <c r="H14949" s="1"/>
      <c r="I14949" s="1"/>
    </row>
    <row r="14950" spans="8:9" x14ac:dyDescent="0.2">
      <c r="H14950" s="1"/>
      <c r="I14950" s="1"/>
    </row>
    <row r="14951" spans="8:9" x14ac:dyDescent="0.2">
      <c r="H14951" s="1"/>
      <c r="I14951" s="1"/>
    </row>
    <row r="14952" spans="8:9" x14ac:dyDescent="0.2">
      <c r="H14952" s="1"/>
      <c r="I14952" s="1"/>
    </row>
    <row r="14953" spans="8:9" x14ac:dyDescent="0.2">
      <c r="H14953" s="1"/>
      <c r="I14953" s="1"/>
    </row>
    <row r="14954" spans="8:9" x14ac:dyDescent="0.2">
      <c r="H14954" s="1"/>
      <c r="I14954" s="1"/>
    </row>
    <row r="14955" spans="8:9" x14ac:dyDescent="0.2">
      <c r="H14955" s="1"/>
      <c r="I14955" s="1"/>
    </row>
    <row r="14956" spans="8:9" x14ac:dyDescent="0.2">
      <c r="H14956" s="1"/>
      <c r="I14956" s="1"/>
    </row>
    <row r="14957" spans="8:9" x14ac:dyDescent="0.2">
      <c r="H14957" s="1"/>
      <c r="I14957" s="1"/>
    </row>
    <row r="14958" spans="8:9" x14ac:dyDescent="0.2">
      <c r="H14958" s="1"/>
      <c r="I14958" s="1"/>
    </row>
    <row r="14959" spans="8:9" x14ac:dyDescent="0.2">
      <c r="H14959" s="1"/>
      <c r="I14959" s="1"/>
    </row>
    <row r="14960" spans="8:9" x14ac:dyDescent="0.2">
      <c r="H14960" s="1"/>
      <c r="I14960" s="1"/>
    </row>
    <row r="14961" spans="8:9" x14ac:dyDescent="0.2">
      <c r="H14961" s="1"/>
      <c r="I14961" s="1"/>
    </row>
    <row r="14962" spans="8:9" x14ac:dyDescent="0.2">
      <c r="H14962" s="1"/>
      <c r="I14962" s="1"/>
    </row>
    <row r="14963" spans="8:9" x14ac:dyDescent="0.2">
      <c r="H14963" s="1"/>
      <c r="I14963" s="1"/>
    </row>
    <row r="14964" spans="8:9" x14ac:dyDescent="0.2">
      <c r="H14964" s="1"/>
      <c r="I14964" s="1"/>
    </row>
    <row r="14965" spans="8:9" x14ac:dyDescent="0.2">
      <c r="H14965" s="1"/>
      <c r="I14965" s="1"/>
    </row>
    <row r="14966" spans="8:9" x14ac:dyDescent="0.2">
      <c r="H14966" s="1"/>
      <c r="I14966" s="1"/>
    </row>
    <row r="14967" spans="8:9" x14ac:dyDescent="0.2">
      <c r="H14967" s="1"/>
      <c r="I14967" s="1"/>
    </row>
    <row r="14968" spans="8:9" x14ac:dyDescent="0.2">
      <c r="H14968" s="1"/>
      <c r="I14968" s="1"/>
    </row>
    <row r="14969" spans="8:9" x14ac:dyDescent="0.2">
      <c r="H14969" s="1"/>
      <c r="I14969" s="1"/>
    </row>
    <row r="14970" spans="8:9" x14ac:dyDescent="0.2">
      <c r="H14970" s="1"/>
      <c r="I14970" s="1"/>
    </row>
    <row r="14971" spans="8:9" x14ac:dyDescent="0.2">
      <c r="H14971" s="1"/>
      <c r="I14971" s="1"/>
    </row>
    <row r="14972" spans="8:9" x14ac:dyDescent="0.2">
      <c r="H14972" s="1"/>
      <c r="I14972" s="1"/>
    </row>
    <row r="14973" spans="8:9" x14ac:dyDescent="0.2">
      <c r="H14973" s="1"/>
      <c r="I14973" s="1"/>
    </row>
    <row r="14974" spans="8:9" x14ac:dyDescent="0.2">
      <c r="H14974" s="1"/>
      <c r="I14974" s="1"/>
    </row>
    <row r="14975" spans="8:9" x14ac:dyDescent="0.2">
      <c r="H14975" s="1"/>
      <c r="I14975" s="1"/>
    </row>
    <row r="14976" spans="8:9" x14ac:dyDescent="0.2">
      <c r="H14976" s="1"/>
      <c r="I14976" s="1"/>
    </row>
    <row r="14977" spans="8:9" x14ac:dyDescent="0.2">
      <c r="H14977" s="1"/>
      <c r="I14977" s="1"/>
    </row>
    <row r="14978" spans="8:9" x14ac:dyDescent="0.2">
      <c r="H14978" s="1"/>
      <c r="I14978" s="1"/>
    </row>
    <row r="14979" spans="8:9" x14ac:dyDescent="0.2">
      <c r="H14979" s="1"/>
      <c r="I14979" s="1"/>
    </row>
    <row r="14980" spans="8:9" x14ac:dyDescent="0.2">
      <c r="H14980" s="1"/>
      <c r="I14980" s="1"/>
    </row>
    <row r="14981" spans="8:9" x14ac:dyDescent="0.2">
      <c r="H14981" s="1"/>
      <c r="I14981" s="1"/>
    </row>
    <row r="14982" spans="8:9" x14ac:dyDescent="0.2">
      <c r="H14982" s="1"/>
      <c r="I14982" s="1"/>
    </row>
    <row r="14983" spans="8:9" x14ac:dyDescent="0.2">
      <c r="H14983" s="1"/>
      <c r="I14983" s="1"/>
    </row>
    <row r="14984" spans="8:9" x14ac:dyDescent="0.2">
      <c r="H14984" s="1"/>
      <c r="I14984" s="1"/>
    </row>
    <row r="14985" spans="8:9" x14ac:dyDescent="0.2">
      <c r="H14985" s="1"/>
      <c r="I14985" s="1"/>
    </row>
    <row r="14986" spans="8:9" x14ac:dyDescent="0.2">
      <c r="H14986" s="1"/>
      <c r="I14986" s="1"/>
    </row>
    <row r="14987" spans="8:9" x14ac:dyDescent="0.2">
      <c r="H14987" s="1"/>
      <c r="I14987" s="1"/>
    </row>
    <row r="14988" spans="8:9" x14ac:dyDescent="0.2">
      <c r="H14988" s="1"/>
      <c r="I14988" s="1"/>
    </row>
    <row r="14989" spans="8:9" x14ac:dyDescent="0.2">
      <c r="H14989" s="1"/>
      <c r="I14989" s="1"/>
    </row>
    <row r="14990" spans="8:9" x14ac:dyDescent="0.2">
      <c r="H14990" s="1"/>
      <c r="I14990" s="1"/>
    </row>
    <row r="14991" spans="8:9" x14ac:dyDescent="0.2">
      <c r="H14991" s="1"/>
      <c r="I14991" s="1"/>
    </row>
    <row r="14992" spans="8:9" x14ac:dyDescent="0.2">
      <c r="H14992" s="1"/>
      <c r="I14992" s="1"/>
    </row>
    <row r="14993" spans="8:9" x14ac:dyDescent="0.2">
      <c r="H14993" s="1"/>
      <c r="I14993" s="1"/>
    </row>
    <row r="14994" spans="8:9" x14ac:dyDescent="0.2">
      <c r="H14994" s="1"/>
      <c r="I14994" s="1"/>
    </row>
    <row r="14995" spans="8:9" x14ac:dyDescent="0.2">
      <c r="H14995" s="1"/>
      <c r="I14995" s="1"/>
    </row>
    <row r="14996" spans="8:9" x14ac:dyDescent="0.2">
      <c r="H14996" s="1"/>
      <c r="I14996" s="1"/>
    </row>
    <row r="14997" spans="8:9" x14ac:dyDescent="0.2">
      <c r="H14997" s="1"/>
      <c r="I14997" s="1"/>
    </row>
    <row r="14998" spans="8:9" x14ac:dyDescent="0.2">
      <c r="H14998" s="1"/>
      <c r="I14998" s="1"/>
    </row>
    <row r="14999" spans="8:9" x14ac:dyDescent="0.2">
      <c r="H14999" s="1"/>
      <c r="I14999" s="1"/>
    </row>
    <row r="15000" spans="8:9" x14ac:dyDescent="0.2">
      <c r="H15000" s="1"/>
      <c r="I15000" s="1"/>
    </row>
    <row r="15001" spans="8:9" x14ac:dyDescent="0.2">
      <c r="H15001" s="1"/>
      <c r="I15001" s="1"/>
    </row>
    <row r="15002" spans="8:9" x14ac:dyDescent="0.2">
      <c r="H15002" s="1"/>
      <c r="I15002" s="1"/>
    </row>
    <row r="15003" spans="8:9" x14ac:dyDescent="0.2">
      <c r="H15003" s="1"/>
      <c r="I15003" s="1"/>
    </row>
    <row r="15004" spans="8:9" x14ac:dyDescent="0.2">
      <c r="H15004" s="1"/>
      <c r="I15004" s="1"/>
    </row>
    <row r="15005" spans="8:9" x14ac:dyDescent="0.2">
      <c r="H15005" s="1"/>
      <c r="I15005" s="1"/>
    </row>
    <row r="15006" spans="8:9" x14ac:dyDescent="0.2">
      <c r="H15006" s="1"/>
      <c r="I15006" s="1"/>
    </row>
    <row r="15007" spans="8:9" x14ac:dyDescent="0.2">
      <c r="H15007" s="1"/>
      <c r="I15007" s="1"/>
    </row>
    <row r="15008" spans="8:9" x14ac:dyDescent="0.2">
      <c r="H15008" s="1"/>
      <c r="I15008" s="1"/>
    </row>
    <row r="15009" spans="8:9" x14ac:dyDescent="0.2">
      <c r="H15009" s="1"/>
      <c r="I15009" s="1"/>
    </row>
    <row r="15010" spans="8:9" x14ac:dyDescent="0.2">
      <c r="H15010" s="1"/>
      <c r="I15010" s="1"/>
    </row>
    <row r="15011" spans="8:9" x14ac:dyDescent="0.2">
      <c r="H15011" s="1"/>
      <c r="I15011" s="1"/>
    </row>
    <row r="15012" spans="8:9" x14ac:dyDescent="0.2">
      <c r="H15012" s="1"/>
      <c r="I15012" s="1"/>
    </row>
    <row r="15013" spans="8:9" x14ac:dyDescent="0.2">
      <c r="H15013" s="1"/>
      <c r="I15013" s="1"/>
    </row>
    <row r="15014" spans="8:9" x14ac:dyDescent="0.2">
      <c r="H15014" s="1"/>
      <c r="I15014" s="1"/>
    </row>
    <row r="15015" spans="8:9" x14ac:dyDescent="0.2">
      <c r="H15015" s="1"/>
      <c r="I15015" s="1"/>
    </row>
    <row r="15016" spans="8:9" x14ac:dyDescent="0.2">
      <c r="H15016" s="1"/>
      <c r="I15016" s="1"/>
    </row>
    <row r="15017" spans="8:9" x14ac:dyDescent="0.2">
      <c r="H15017" s="1"/>
      <c r="I15017" s="1"/>
    </row>
    <row r="15018" spans="8:9" x14ac:dyDescent="0.2">
      <c r="H15018" s="1"/>
      <c r="I15018" s="1"/>
    </row>
    <row r="15019" spans="8:9" x14ac:dyDescent="0.2">
      <c r="H15019" s="1"/>
      <c r="I15019" s="1"/>
    </row>
    <row r="15020" spans="8:9" x14ac:dyDescent="0.2">
      <c r="H15020" s="1"/>
      <c r="I15020" s="1"/>
    </row>
    <row r="15021" spans="8:9" x14ac:dyDescent="0.2">
      <c r="H15021" s="1"/>
      <c r="I15021" s="1"/>
    </row>
    <row r="15022" spans="8:9" x14ac:dyDescent="0.2">
      <c r="H15022" s="1"/>
      <c r="I15022" s="1"/>
    </row>
    <row r="15023" spans="8:9" x14ac:dyDescent="0.2">
      <c r="H15023" s="1"/>
      <c r="I15023" s="1"/>
    </row>
    <row r="15024" spans="8:9" x14ac:dyDescent="0.2">
      <c r="H15024" s="1"/>
      <c r="I15024" s="1"/>
    </row>
    <row r="15025" spans="8:9" x14ac:dyDescent="0.2">
      <c r="H15025" s="1"/>
      <c r="I15025" s="1"/>
    </row>
    <row r="15026" spans="8:9" x14ac:dyDescent="0.2">
      <c r="H15026" s="1"/>
      <c r="I15026" s="1"/>
    </row>
    <row r="15027" spans="8:9" x14ac:dyDescent="0.2">
      <c r="H15027" s="1"/>
      <c r="I15027" s="1"/>
    </row>
    <row r="15028" spans="8:9" x14ac:dyDescent="0.2">
      <c r="H15028" s="1"/>
      <c r="I15028" s="1"/>
    </row>
    <row r="15029" spans="8:9" x14ac:dyDescent="0.2">
      <c r="H15029" s="1"/>
      <c r="I15029" s="1"/>
    </row>
    <row r="15030" spans="8:9" x14ac:dyDescent="0.2">
      <c r="H15030" s="1"/>
      <c r="I15030" s="1"/>
    </row>
    <row r="15031" spans="8:9" x14ac:dyDescent="0.2">
      <c r="H15031" s="1"/>
      <c r="I15031" s="1"/>
    </row>
    <row r="15032" spans="8:9" x14ac:dyDescent="0.2">
      <c r="H15032" s="1"/>
      <c r="I15032" s="1"/>
    </row>
    <row r="15033" spans="8:9" x14ac:dyDescent="0.2">
      <c r="H15033" s="1"/>
      <c r="I15033" s="1"/>
    </row>
    <row r="15034" spans="8:9" x14ac:dyDescent="0.2">
      <c r="H15034" s="1"/>
      <c r="I15034" s="1"/>
    </row>
    <row r="15035" spans="8:9" x14ac:dyDescent="0.2">
      <c r="H15035" s="1"/>
      <c r="I15035" s="1"/>
    </row>
    <row r="15036" spans="8:9" x14ac:dyDescent="0.2">
      <c r="H15036" s="1"/>
      <c r="I15036" s="1"/>
    </row>
    <row r="15037" spans="8:9" x14ac:dyDescent="0.2">
      <c r="H15037" s="1"/>
      <c r="I15037" s="1"/>
    </row>
    <row r="15038" spans="8:9" x14ac:dyDescent="0.2">
      <c r="H15038" s="1"/>
      <c r="I15038" s="1"/>
    </row>
    <row r="15039" spans="8:9" x14ac:dyDescent="0.2">
      <c r="H15039" s="1"/>
      <c r="I15039" s="1"/>
    </row>
    <row r="15040" spans="8:9" x14ac:dyDescent="0.2">
      <c r="H15040" s="1"/>
      <c r="I15040" s="1"/>
    </row>
    <row r="15041" spans="8:9" x14ac:dyDescent="0.2">
      <c r="H15041" s="1"/>
      <c r="I15041" s="1"/>
    </row>
    <row r="15042" spans="8:9" x14ac:dyDescent="0.2">
      <c r="H15042" s="1"/>
      <c r="I15042" s="1"/>
    </row>
    <row r="15043" spans="8:9" x14ac:dyDescent="0.2">
      <c r="H15043" s="1"/>
      <c r="I15043" s="1"/>
    </row>
    <row r="15044" spans="8:9" x14ac:dyDescent="0.2">
      <c r="H15044" s="1"/>
      <c r="I15044" s="1"/>
    </row>
    <row r="15045" spans="8:9" x14ac:dyDescent="0.2">
      <c r="H15045" s="1"/>
      <c r="I15045" s="1"/>
    </row>
    <row r="15046" spans="8:9" x14ac:dyDescent="0.2">
      <c r="H15046" s="1"/>
      <c r="I15046" s="1"/>
    </row>
    <row r="15047" spans="8:9" x14ac:dyDescent="0.2">
      <c r="H15047" s="1"/>
      <c r="I15047" s="1"/>
    </row>
    <row r="15048" spans="8:9" x14ac:dyDescent="0.2">
      <c r="H15048" s="1"/>
      <c r="I15048" s="1"/>
    </row>
    <row r="15049" spans="8:9" x14ac:dyDescent="0.2">
      <c r="H15049" s="1"/>
      <c r="I15049" s="1"/>
    </row>
    <row r="15050" spans="8:9" x14ac:dyDescent="0.2">
      <c r="H15050" s="1"/>
      <c r="I15050" s="1"/>
    </row>
    <row r="15051" spans="8:9" x14ac:dyDescent="0.2">
      <c r="H15051" s="1"/>
      <c r="I15051" s="1"/>
    </row>
    <row r="15052" spans="8:9" x14ac:dyDescent="0.2">
      <c r="H15052" s="1"/>
      <c r="I15052" s="1"/>
    </row>
    <row r="15053" spans="8:9" x14ac:dyDescent="0.2">
      <c r="H15053" s="1"/>
      <c r="I15053" s="1"/>
    </row>
    <row r="15054" spans="8:9" x14ac:dyDescent="0.2">
      <c r="H15054" s="1"/>
      <c r="I15054" s="1"/>
    </row>
    <row r="15055" spans="8:9" x14ac:dyDescent="0.2">
      <c r="H15055" s="1"/>
      <c r="I15055" s="1"/>
    </row>
    <row r="15056" spans="8:9" x14ac:dyDescent="0.2">
      <c r="H15056" s="1"/>
      <c r="I15056" s="1"/>
    </row>
    <row r="15057" spans="8:9" x14ac:dyDescent="0.2">
      <c r="H15057" s="1"/>
      <c r="I15057" s="1"/>
    </row>
    <row r="15058" spans="8:9" x14ac:dyDescent="0.2">
      <c r="H15058" s="1"/>
      <c r="I15058" s="1"/>
    </row>
    <row r="15059" spans="8:9" x14ac:dyDescent="0.2">
      <c r="H15059" s="1"/>
      <c r="I15059" s="1"/>
    </row>
    <row r="15060" spans="8:9" x14ac:dyDescent="0.2">
      <c r="H15060" s="1"/>
      <c r="I15060" s="1"/>
    </row>
    <row r="15061" spans="8:9" x14ac:dyDescent="0.2">
      <c r="H15061" s="1"/>
      <c r="I15061" s="1"/>
    </row>
    <row r="15062" spans="8:9" x14ac:dyDescent="0.2">
      <c r="H15062" s="1"/>
      <c r="I15062" s="1"/>
    </row>
    <row r="15063" spans="8:9" x14ac:dyDescent="0.2">
      <c r="H15063" s="1"/>
      <c r="I15063" s="1"/>
    </row>
    <row r="15064" spans="8:9" x14ac:dyDescent="0.2">
      <c r="H15064" s="1"/>
      <c r="I15064" s="1"/>
    </row>
    <row r="15065" spans="8:9" x14ac:dyDescent="0.2">
      <c r="H15065" s="1"/>
      <c r="I15065" s="1"/>
    </row>
    <row r="15066" spans="8:9" x14ac:dyDescent="0.2">
      <c r="H15066" s="1"/>
      <c r="I15066" s="1"/>
    </row>
    <row r="15067" spans="8:9" x14ac:dyDescent="0.2">
      <c r="H15067" s="1"/>
      <c r="I15067" s="1"/>
    </row>
    <row r="15068" spans="8:9" x14ac:dyDescent="0.2">
      <c r="H15068" s="1"/>
      <c r="I15068" s="1"/>
    </row>
    <row r="15069" spans="8:9" x14ac:dyDescent="0.2">
      <c r="H15069" s="1"/>
      <c r="I15069" s="1"/>
    </row>
    <row r="15070" spans="8:9" x14ac:dyDescent="0.2">
      <c r="H15070" s="1"/>
      <c r="I15070" s="1"/>
    </row>
    <row r="15071" spans="8:9" x14ac:dyDescent="0.2">
      <c r="H15071" s="1"/>
      <c r="I15071" s="1"/>
    </row>
    <row r="15072" spans="8:9" x14ac:dyDescent="0.2">
      <c r="H15072" s="1"/>
      <c r="I15072" s="1"/>
    </row>
    <row r="15073" spans="8:9" x14ac:dyDescent="0.2">
      <c r="H15073" s="1"/>
      <c r="I15073" s="1"/>
    </row>
    <row r="15074" spans="8:9" x14ac:dyDescent="0.2">
      <c r="H15074" s="1"/>
      <c r="I15074" s="1"/>
    </row>
    <row r="15075" spans="8:9" x14ac:dyDescent="0.2">
      <c r="H15075" s="1"/>
      <c r="I15075" s="1"/>
    </row>
    <row r="15076" spans="8:9" x14ac:dyDescent="0.2">
      <c r="H15076" s="1"/>
      <c r="I15076" s="1"/>
    </row>
    <row r="15077" spans="8:9" x14ac:dyDescent="0.2">
      <c r="H15077" s="1"/>
      <c r="I15077" s="1"/>
    </row>
    <row r="15078" spans="8:9" x14ac:dyDescent="0.2">
      <c r="H15078" s="1"/>
      <c r="I15078" s="1"/>
    </row>
    <row r="15079" spans="8:9" x14ac:dyDescent="0.2">
      <c r="H15079" s="1"/>
      <c r="I15079" s="1"/>
    </row>
    <row r="15080" spans="8:9" x14ac:dyDescent="0.2">
      <c r="H15080" s="1"/>
      <c r="I15080" s="1"/>
    </row>
    <row r="15081" spans="8:9" x14ac:dyDescent="0.2">
      <c r="H15081" s="1"/>
      <c r="I15081" s="1"/>
    </row>
    <row r="15082" spans="8:9" x14ac:dyDescent="0.2">
      <c r="H15082" s="1"/>
      <c r="I15082" s="1"/>
    </row>
    <row r="15083" spans="8:9" x14ac:dyDescent="0.2">
      <c r="H15083" s="1"/>
      <c r="I15083" s="1"/>
    </row>
    <row r="15084" spans="8:9" x14ac:dyDescent="0.2">
      <c r="H15084" s="1"/>
      <c r="I15084" s="1"/>
    </row>
    <row r="15085" spans="8:9" x14ac:dyDescent="0.2">
      <c r="H15085" s="1"/>
      <c r="I15085" s="1"/>
    </row>
    <row r="15086" spans="8:9" x14ac:dyDescent="0.2">
      <c r="H15086" s="1"/>
      <c r="I15086" s="1"/>
    </row>
    <row r="15087" spans="8:9" x14ac:dyDescent="0.2">
      <c r="H15087" s="1"/>
      <c r="I15087" s="1"/>
    </row>
    <row r="15088" spans="8:9" x14ac:dyDescent="0.2">
      <c r="H15088" s="1"/>
      <c r="I15088" s="1"/>
    </row>
    <row r="15089" spans="8:9" x14ac:dyDescent="0.2">
      <c r="H15089" s="1"/>
      <c r="I15089" s="1"/>
    </row>
    <row r="15090" spans="8:9" x14ac:dyDescent="0.2">
      <c r="H15090" s="1"/>
      <c r="I15090" s="1"/>
    </row>
    <row r="15091" spans="8:9" x14ac:dyDescent="0.2">
      <c r="H15091" s="1"/>
      <c r="I15091" s="1"/>
    </row>
    <row r="15092" spans="8:9" x14ac:dyDescent="0.2">
      <c r="H15092" s="1"/>
      <c r="I15092" s="1"/>
    </row>
    <row r="15093" spans="8:9" x14ac:dyDescent="0.2">
      <c r="H15093" s="1"/>
      <c r="I15093" s="1"/>
    </row>
    <row r="15094" spans="8:9" x14ac:dyDescent="0.2">
      <c r="H15094" s="1"/>
      <c r="I15094" s="1"/>
    </row>
    <row r="15095" spans="8:9" x14ac:dyDescent="0.2">
      <c r="H15095" s="1"/>
      <c r="I15095" s="1"/>
    </row>
    <row r="15096" spans="8:9" x14ac:dyDescent="0.2">
      <c r="H15096" s="1"/>
      <c r="I15096" s="1"/>
    </row>
    <row r="15097" spans="8:9" x14ac:dyDescent="0.2">
      <c r="H15097" s="1"/>
      <c r="I15097" s="1"/>
    </row>
    <row r="15098" spans="8:9" x14ac:dyDescent="0.2">
      <c r="H15098" s="1"/>
      <c r="I15098" s="1"/>
    </row>
    <row r="15099" spans="8:9" x14ac:dyDescent="0.2">
      <c r="H15099" s="1"/>
      <c r="I15099" s="1"/>
    </row>
    <row r="15100" spans="8:9" x14ac:dyDescent="0.2">
      <c r="H15100" s="1"/>
      <c r="I15100" s="1"/>
    </row>
    <row r="15101" spans="8:9" x14ac:dyDescent="0.2">
      <c r="H15101" s="1"/>
      <c r="I15101" s="1"/>
    </row>
    <row r="15102" spans="8:9" x14ac:dyDescent="0.2">
      <c r="H15102" s="1"/>
      <c r="I15102" s="1"/>
    </row>
    <row r="15103" spans="8:9" x14ac:dyDescent="0.2">
      <c r="H15103" s="1"/>
      <c r="I15103" s="1"/>
    </row>
    <row r="15104" spans="8:9" x14ac:dyDescent="0.2">
      <c r="H15104" s="1"/>
      <c r="I15104" s="1"/>
    </row>
    <row r="15105" spans="8:9" x14ac:dyDescent="0.2">
      <c r="H15105" s="1"/>
      <c r="I15105" s="1"/>
    </row>
    <row r="15106" spans="8:9" x14ac:dyDescent="0.2">
      <c r="H15106" s="1"/>
      <c r="I15106" s="1"/>
    </row>
    <row r="15107" spans="8:9" x14ac:dyDescent="0.2">
      <c r="H15107" s="1"/>
      <c r="I15107" s="1"/>
    </row>
    <row r="15108" spans="8:9" x14ac:dyDescent="0.2">
      <c r="H15108" s="1"/>
      <c r="I15108" s="1"/>
    </row>
    <row r="15109" spans="8:9" x14ac:dyDescent="0.2">
      <c r="H15109" s="1"/>
      <c r="I15109" s="1"/>
    </row>
    <row r="15110" spans="8:9" x14ac:dyDescent="0.2">
      <c r="H15110" s="1"/>
      <c r="I15110" s="1"/>
    </row>
    <row r="15111" spans="8:9" x14ac:dyDescent="0.2">
      <c r="H15111" s="1"/>
      <c r="I15111" s="1"/>
    </row>
    <row r="15112" spans="8:9" x14ac:dyDescent="0.2">
      <c r="H15112" s="1"/>
      <c r="I15112" s="1"/>
    </row>
    <row r="15113" spans="8:9" x14ac:dyDescent="0.2">
      <c r="H15113" s="1"/>
      <c r="I15113" s="1"/>
    </row>
    <row r="15114" spans="8:9" x14ac:dyDescent="0.2">
      <c r="H15114" s="1"/>
      <c r="I15114" s="1"/>
    </row>
    <row r="15115" spans="8:9" x14ac:dyDescent="0.2">
      <c r="H15115" s="1"/>
      <c r="I15115" s="1"/>
    </row>
    <row r="15116" spans="8:9" x14ac:dyDescent="0.2">
      <c r="H15116" s="1"/>
      <c r="I15116" s="1"/>
    </row>
    <row r="15117" spans="8:9" x14ac:dyDescent="0.2">
      <c r="H15117" s="1"/>
      <c r="I15117" s="1"/>
    </row>
    <row r="15118" spans="8:9" x14ac:dyDescent="0.2">
      <c r="H15118" s="1"/>
      <c r="I15118" s="1"/>
    </row>
    <row r="15119" spans="8:9" x14ac:dyDescent="0.2">
      <c r="H15119" s="1"/>
      <c r="I15119" s="1"/>
    </row>
    <row r="15120" spans="8:9" x14ac:dyDescent="0.2">
      <c r="H15120" s="1"/>
      <c r="I15120" s="1"/>
    </row>
    <row r="15121" spans="8:9" x14ac:dyDescent="0.2">
      <c r="H15121" s="1"/>
      <c r="I15121" s="1"/>
    </row>
    <row r="15122" spans="8:9" x14ac:dyDescent="0.2">
      <c r="H15122" s="1"/>
      <c r="I15122" s="1"/>
    </row>
    <row r="15123" spans="8:9" x14ac:dyDescent="0.2">
      <c r="H15123" s="1"/>
      <c r="I15123" s="1"/>
    </row>
    <row r="15124" spans="8:9" x14ac:dyDescent="0.2">
      <c r="H15124" s="1"/>
      <c r="I15124" s="1"/>
    </row>
    <row r="15125" spans="8:9" x14ac:dyDescent="0.2">
      <c r="H15125" s="1"/>
      <c r="I15125" s="1"/>
    </row>
    <row r="15126" spans="8:9" x14ac:dyDescent="0.2">
      <c r="H15126" s="1"/>
      <c r="I15126" s="1"/>
    </row>
    <row r="15127" spans="8:9" x14ac:dyDescent="0.2">
      <c r="H15127" s="1"/>
      <c r="I15127" s="1"/>
    </row>
    <row r="15128" spans="8:9" x14ac:dyDescent="0.2">
      <c r="H15128" s="1"/>
      <c r="I15128" s="1"/>
    </row>
    <row r="15129" spans="8:9" x14ac:dyDescent="0.2">
      <c r="H15129" s="1"/>
      <c r="I15129" s="1"/>
    </row>
    <row r="15130" spans="8:9" x14ac:dyDescent="0.2">
      <c r="H15130" s="1"/>
      <c r="I15130" s="1"/>
    </row>
    <row r="15131" spans="8:9" x14ac:dyDescent="0.2">
      <c r="H15131" s="1"/>
      <c r="I15131" s="1"/>
    </row>
    <row r="15132" spans="8:9" x14ac:dyDescent="0.2">
      <c r="H15132" s="1"/>
      <c r="I15132" s="1"/>
    </row>
    <row r="15133" spans="8:9" x14ac:dyDescent="0.2">
      <c r="H15133" s="1"/>
      <c r="I15133" s="1"/>
    </row>
    <row r="15134" spans="8:9" x14ac:dyDescent="0.2">
      <c r="H15134" s="1"/>
      <c r="I15134" s="1"/>
    </row>
    <row r="15135" spans="8:9" x14ac:dyDescent="0.2">
      <c r="H15135" s="1"/>
      <c r="I15135" s="1"/>
    </row>
    <row r="15136" spans="8:9" x14ac:dyDescent="0.2">
      <c r="H15136" s="1"/>
      <c r="I15136" s="1"/>
    </row>
    <row r="15137" spans="8:9" x14ac:dyDescent="0.2">
      <c r="H15137" s="1"/>
      <c r="I15137" s="1"/>
    </row>
    <row r="15138" spans="8:9" x14ac:dyDescent="0.2">
      <c r="H15138" s="1"/>
      <c r="I15138" s="1"/>
    </row>
    <row r="15139" spans="8:9" x14ac:dyDescent="0.2">
      <c r="H15139" s="1"/>
      <c r="I15139" s="1"/>
    </row>
    <row r="15140" spans="8:9" x14ac:dyDescent="0.2">
      <c r="H15140" s="1"/>
      <c r="I15140" s="1"/>
    </row>
    <row r="15141" spans="8:9" x14ac:dyDescent="0.2">
      <c r="H15141" s="1"/>
      <c r="I15141" s="1"/>
    </row>
    <row r="15142" spans="8:9" x14ac:dyDescent="0.2">
      <c r="H15142" s="1"/>
      <c r="I15142" s="1"/>
    </row>
    <row r="15143" spans="8:9" x14ac:dyDescent="0.2">
      <c r="H15143" s="1"/>
      <c r="I15143" s="1"/>
    </row>
    <row r="15144" spans="8:9" x14ac:dyDescent="0.2">
      <c r="H15144" s="1"/>
      <c r="I15144" s="1"/>
    </row>
    <row r="15145" spans="8:9" x14ac:dyDescent="0.2">
      <c r="H15145" s="1"/>
      <c r="I15145" s="1"/>
    </row>
    <row r="15146" spans="8:9" x14ac:dyDescent="0.2">
      <c r="H15146" s="1"/>
      <c r="I15146" s="1"/>
    </row>
    <row r="15147" spans="8:9" x14ac:dyDescent="0.2">
      <c r="H15147" s="1"/>
      <c r="I15147" s="1"/>
    </row>
    <row r="15148" spans="8:9" x14ac:dyDescent="0.2">
      <c r="H15148" s="1"/>
      <c r="I15148" s="1"/>
    </row>
    <row r="15149" spans="8:9" x14ac:dyDescent="0.2">
      <c r="H15149" s="1"/>
      <c r="I15149" s="1"/>
    </row>
    <row r="15150" spans="8:9" x14ac:dyDescent="0.2">
      <c r="H15150" s="1"/>
      <c r="I15150" s="1"/>
    </row>
    <row r="15151" spans="8:9" x14ac:dyDescent="0.2">
      <c r="H15151" s="1"/>
      <c r="I15151" s="1"/>
    </row>
    <row r="15152" spans="8:9" x14ac:dyDescent="0.2">
      <c r="H15152" s="1"/>
      <c r="I15152" s="1"/>
    </row>
    <row r="15153" spans="8:9" x14ac:dyDescent="0.2">
      <c r="H15153" s="1"/>
      <c r="I15153" s="1"/>
    </row>
    <row r="15154" spans="8:9" x14ac:dyDescent="0.2">
      <c r="H15154" s="1"/>
      <c r="I15154" s="1"/>
    </row>
    <row r="15155" spans="8:9" x14ac:dyDescent="0.2">
      <c r="H15155" s="1"/>
      <c r="I15155" s="1"/>
    </row>
    <row r="15156" spans="8:9" x14ac:dyDescent="0.2">
      <c r="H15156" s="1"/>
      <c r="I15156" s="1"/>
    </row>
    <row r="15157" spans="8:9" x14ac:dyDescent="0.2">
      <c r="H15157" s="1"/>
      <c r="I15157" s="1"/>
    </row>
    <row r="15158" spans="8:9" x14ac:dyDescent="0.2">
      <c r="H15158" s="1"/>
      <c r="I15158" s="1"/>
    </row>
    <row r="15159" spans="8:9" x14ac:dyDescent="0.2">
      <c r="H15159" s="1"/>
      <c r="I15159" s="1"/>
    </row>
    <row r="15160" spans="8:9" x14ac:dyDescent="0.2">
      <c r="H15160" s="1"/>
      <c r="I15160" s="1"/>
    </row>
    <row r="15161" spans="8:9" x14ac:dyDescent="0.2">
      <c r="H15161" s="1"/>
      <c r="I15161" s="1"/>
    </row>
    <row r="15162" spans="8:9" x14ac:dyDescent="0.2">
      <c r="H15162" s="1"/>
      <c r="I15162" s="1"/>
    </row>
    <row r="15163" spans="8:9" x14ac:dyDescent="0.2">
      <c r="H15163" s="1"/>
      <c r="I15163" s="1"/>
    </row>
    <row r="15164" spans="8:9" x14ac:dyDescent="0.2">
      <c r="H15164" s="1"/>
      <c r="I15164" s="1"/>
    </row>
    <row r="15165" spans="8:9" x14ac:dyDescent="0.2">
      <c r="H15165" s="1"/>
      <c r="I15165" s="1"/>
    </row>
    <row r="15166" spans="8:9" x14ac:dyDescent="0.2">
      <c r="H15166" s="1"/>
      <c r="I15166" s="1"/>
    </row>
    <row r="15167" spans="8:9" x14ac:dyDescent="0.2">
      <c r="H15167" s="1"/>
      <c r="I15167" s="1"/>
    </row>
    <row r="15168" spans="8:9" x14ac:dyDescent="0.2">
      <c r="H15168" s="1"/>
      <c r="I15168" s="1"/>
    </row>
    <row r="15169" spans="8:9" x14ac:dyDescent="0.2">
      <c r="H15169" s="1"/>
      <c r="I15169" s="1"/>
    </row>
    <row r="15170" spans="8:9" x14ac:dyDescent="0.2">
      <c r="H15170" s="1"/>
      <c r="I15170" s="1"/>
    </row>
    <row r="15171" spans="8:9" x14ac:dyDescent="0.2">
      <c r="H15171" s="1"/>
      <c r="I15171" s="1"/>
    </row>
    <row r="15172" spans="8:9" x14ac:dyDescent="0.2">
      <c r="H15172" s="1"/>
      <c r="I15172" s="1"/>
    </row>
    <row r="15173" spans="8:9" x14ac:dyDescent="0.2">
      <c r="H15173" s="1"/>
      <c r="I15173" s="1"/>
    </row>
    <row r="15174" spans="8:9" x14ac:dyDescent="0.2">
      <c r="H15174" s="1"/>
      <c r="I15174" s="1"/>
    </row>
    <row r="15175" spans="8:9" x14ac:dyDescent="0.2">
      <c r="H15175" s="1"/>
      <c r="I15175" s="1"/>
    </row>
    <row r="15176" spans="8:9" x14ac:dyDescent="0.2">
      <c r="H15176" s="1"/>
      <c r="I15176" s="1"/>
    </row>
    <row r="15177" spans="8:9" x14ac:dyDescent="0.2">
      <c r="H15177" s="1"/>
      <c r="I15177" s="1"/>
    </row>
    <row r="15178" spans="8:9" x14ac:dyDescent="0.2">
      <c r="H15178" s="1"/>
      <c r="I15178" s="1"/>
    </row>
    <row r="15179" spans="8:9" x14ac:dyDescent="0.2">
      <c r="H15179" s="1"/>
      <c r="I15179" s="1"/>
    </row>
    <row r="15180" spans="8:9" x14ac:dyDescent="0.2">
      <c r="H15180" s="1"/>
      <c r="I15180" s="1"/>
    </row>
    <row r="15181" spans="8:9" x14ac:dyDescent="0.2">
      <c r="H15181" s="1"/>
      <c r="I15181" s="1"/>
    </row>
    <row r="15182" spans="8:9" x14ac:dyDescent="0.2">
      <c r="H15182" s="1"/>
      <c r="I15182" s="1"/>
    </row>
    <row r="15183" spans="8:9" x14ac:dyDescent="0.2">
      <c r="H15183" s="1"/>
      <c r="I15183" s="1"/>
    </row>
    <row r="15184" spans="8:9" x14ac:dyDescent="0.2">
      <c r="H15184" s="1"/>
      <c r="I15184" s="1"/>
    </row>
    <row r="15185" spans="8:9" x14ac:dyDescent="0.2">
      <c r="H15185" s="1"/>
      <c r="I15185" s="1"/>
    </row>
    <row r="15186" spans="8:9" x14ac:dyDescent="0.2">
      <c r="H15186" s="1"/>
      <c r="I15186" s="1"/>
    </row>
    <row r="15187" spans="8:9" x14ac:dyDescent="0.2">
      <c r="H15187" s="1"/>
      <c r="I15187" s="1"/>
    </row>
    <row r="15188" spans="8:9" x14ac:dyDescent="0.2">
      <c r="H15188" s="1"/>
      <c r="I15188" s="1"/>
    </row>
    <row r="15189" spans="8:9" x14ac:dyDescent="0.2">
      <c r="H15189" s="1"/>
      <c r="I15189" s="1"/>
    </row>
    <row r="15190" spans="8:9" x14ac:dyDescent="0.2">
      <c r="H15190" s="1"/>
      <c r="I15190" s="1"/>
    </row>
    <row r="15191" spans="8:9" x14ac:dyDescent="0.2">
      <c r="H15191" s="1"/>
      <c r="I15191" s="1"/>
    </row>
    <row r="15192" spans="8:9" x14ac:dyDescent="0.2">
      <c r="H15192" s="1"/>
      <c r="I15192" s="1"/>
    </row>
    <row r="15193" spans="8:9" x14ac:dyDescent="0.2">
      <c r="H15193" s="1"/>
      <c r="I15193" s="1"/>
    </row>
    <row r="15194" spans="8:9" x14ac:dyDescent="0.2">
      <c r="H15194" s="1"/>
      <c r="I15194" s="1"/>
    </row>
    <row r="15195" spans="8:9" x14ac:dyDescent="0.2">
      <c r="H15195" s="1"/>
      <c r="I15195" s="1"/>
    </row>
    <row r="15196" spans="8:9" x14ac:dyDescent="0.2">
      <c r="H15196" s="1"/>
      <c r="I15196" s="1"/>
    </row>
    <row r="15197" spans="8:9" x14ac:dyDescent="0.2">
      <c r="H15197" s="1"/>
      <c r="I15197" s="1"/>
    </row>
    <row r="15198" spans="8:9" x14ac:dyDescent="0.2">
      <c r="H15198" s="1"/>
      <c r="I15198" s="1"/>
    </row>
    <row r="15199" spans="8:9" x14ac:dyDescent="0.2">
      <c r="H15199" s="1"/>
      <c r="I15199" s="1"/>
    </row>
    <row r="15200" spans="8:9" x14ac:dyDescent="0.2">
      <c r="H15200" s="1"/>
      <c r="I15200" s="1"/>
    </row>
    <row r="15201" spans="8:9" x14ac:dyDescent="0.2">
      <c r="H15201" s="1"/>
      <c r="I15201" s="1"/>
    </row>
    <row r="15202" spans="8:9" x14ac:dyDescent="0.2">
      <c r="H15202" s="1"/>
      <c r="I15202" s="1"/>
    </row>
    <row r="15203" spans="8:9" x14ac:dyDescent="0.2">
      <c r="H15203" s="1"/>
      <c r="I15203" s="1"/>
    </row>
    <row r="15204" spans="8:9" x14ac:dyDescent="0.2">
      <c r="H15204" s="1"/>
      <c r="I15204" s="1"/>
    </row>
    <row r="15205" spans="8:9" x14ac:dyDescent="0.2">
      <c r="H15205" s="1"/>
      <c r="I15205" s="1"/>
    </row>
    <row r="15206" spans="8:9" x14ac:dyDescent="0.2">
      <c r="H15206" s="1"/>
      <c r="I15206" s="1"/>
    </row>
    <row r="15207" spans="8:9" x14ac:dyDescent="0.2">
      <c r="H15207" s="1"/>
      <c r="I15207" s="1"/>
    </row>
    <row r="15208" spans="8:9" x14ac:dyDescent="0.2">
      <c r="H15208" s="1"/>
      <c r="I15208" s="1"/>
    </row>
    <row r="15209" spans="8:9" x14ac:dyDescent="0.2">
      <c r="H15209" s="1"/>
      <c r="I15209" s="1"/>
    </row>
    <row r="15210" spans="8:9" x14ac:dyDescent="0.2">
      <c r="H15210" s="1"/>
      <c r="I15210" s="1"/>
    </row>
    <row r="15211" spans="8:9" x14ac:dyDescent="0.2">
      <c r="H15211" s="1"/>
      <c r="I15211" s="1"/>
    </row>
    <row r="15212" spans="8:9" x14ac:dyDescent="0.2">
      <c r="H15212" s="1"/>
      <c r="I15212" s="1"/>
    </row>
    <row r="15213" spans="8:9" x14ac:dyDescent="0.2">
      <c r="H15213" s="1"/>
      <c r="I15213" s="1"/>
    </row>
    <row r="15214" spans="8:9" x14ac:dyDescent="0.2">
      <c r="H15214" s="1"/>
      <c r="I15214" s="1"/>
    </row>
    <row r="15215" spans="8:9" x14ac:dyDescent="0.2">
      <c r="H15215" s="1"/>
      <c r="I15215" s="1"/>
    </row>
    <row r="15216" spans="8:9" x14ac:dyDescent="0.2">
      <c r="H15216" s="1"/>
      <c r="I15216" s="1"/>
    </row>
    <row r="15217" spans="8:9" x14ac:dyDescent="0.2">
      <c r="H15217" s="1"/>
      <c r="I15217" s="1"/>
    </row>
    <row r="15218" spans="8:9" x14ac:dyDescent="0.2">
      <c r="H15218" s="1"/>
      <c r="I15218" s="1"/>
    </row>
    <row r="15219" spans="8:9" x14ac:dyDescent="0.2">
      <c r="H15219" s="1"/>
      <c r="I15219" s="1"/>
    </row>
    <row r="15220" spans="8:9" x14ac:dyDescent="0.2">
      <c r="H15220" s="1"/>
      <c r="I15220" s="1"/>
    </row>
    <row r="15221" spans="8:9" x14ac:dyDescent="0.2">
      <c r="H15221" s="1"/>
      <c r="I15221" s="1"/>
    </row>
    <row r="15222" spans="8:9" x14ac:dyDescent="0.2">
      <c r="H15222" s="1"/>
      <c r="I15222" s="1"/>
    </row>
    <row r="15223" spans="8:9" x14ac:dyDescent="0.2">
      <c r="H15223" s="1"/>
      <c r="I15223" s="1"/>
    </row>
    <row r="15224" spans="8:9" x14ac:dyDescent="0.2">
      <c r="H15224" s="1"/>
      <c r="I15224" s="1"/>
    </row>
    <row r="15225" spans="8:9" x14ac:dyDescent="0.2">
      <c r="H15225" s="1"/>
      <c r="I15225" s="1"/>
    </row>
    <row r="15226" spans="8:9" x14ac:dyDescent="0.2">
      <c r="H15226" s="1"/>
      <c r="I15226" s="1"/>
    </row>
    <row r="15227" spans="8:9" x14ac:dyDescent="0.2">
      <c r="H15227" s="1"/>
      <c r="I15227" s="1"/>
    </row>
    <row r="15228" spans="8:9" x14ac:dyDescent="0.2">
      <c r="H15228" s="1"/>
      <c r="I15228" s="1"/>
    </row>
    <row r="15229" spans="8:9" x14ac:dyDescent="0.2">
      <c r="H15229" s="1"/>
      <c r="I15229" s="1"/>
    </row>
    <row r="15230" spans="8:9" x14ac:dyDescent="0.2">
      <c r="H15230" s="1"/>
      <c r="I15230" s="1"/>
    </row>
    <row r="15231" spans="8:9" x14ac:dyDescent="0.2">
      <c r="H15231" s="1"/>
      <c r="I15231" s="1"/>
    </row>
    <row r="15232" spans="8:9" x14ac:dyDescent="0.2">
      <c r="H15232" s="1"/>
      <c r="I15232" s="1"/>
    </row>
    <row r="15233" spans="8:9" x14ac:dyDescent="0.2">
      <c r="H15233" s="1"/>
      <c r="I15233" s="1"/>
    </row>
    <row r="15234" spans="8:9" x14ac:dyDescent="0.2">
      <c r="H15234" s="1"/>
      <c r="I15234" s="1"/>
    </row>
    <row r="15235" spans="8:9" x14ac:dyDescent="0.2">
      <c r="H15235" s="1"/>
      <c r="I15235" s="1"/>
    </row>
    <row r="15236" spans="8:9" x14ac:dyDescent="0.2">
      <c r="H15236" s="1"/>
      <c r="I15236" s="1"/>
    </row>
    <row r="15237" spans="8:9" x14ac:dyDescent="0.2">
      <c r="H15237" s="1"/>
      <c r="I15237" s="1"/>
    </row>
    <row r="15238" spans="8:9" x14ac:dyDescent="0.2">
      <c r="H15238" s="1"/>
      <c r="I15238" s="1"/>
    </row>
    <row r="15239" spans="8:9" x14ac:dyDescent="0.2">
      <c r="H15239" s="1"/>
      <c r="I15239" s="1"/>
    </row>
    <row r="15240" spans="8:9" x14ac:dyDescent="0.2">
      <c r="H15240" s="1"/>
      <c r="I15240" s="1"/>
    </row>
    <row r="15241" spans="8:9" x14ac:dyDescent="0.2">
      <c r="H15241" s="1"/>
      <c r="I15241" s="1"/>
    </row>
    <row r="15242" spans="8:9" x14ac:dyDescent="0.2">
      <c r="H15242" s="1"/>
      <c r="I15242" s="1"/>
    </row>
    <row r="15243" spans="8:9" x14ac:dyDescent="0.2">
      <c r="H15243" s="1"/>
      <c r="I15243" s="1"/>
    </row>
    <row r="15244" spans="8:9" x14ac:dyDescent="0.2">
      <c r="H15244" s="1"/>
      <c r="I15244" s="1"/>
    </row>
    <row r="15245" spans="8:9" x14ac:dyDescent="0.2">
      <c r="H15245" s="1"/>
      <c r="I15245" s="1"/>
    </row>
    <row r="15246" spans="8:9" x14ac:dyDescent="0.2">
      <c r="H15246" s="1"/>
      <c r="I15246" s="1"/>
    </row>
    <row r="15247" spans="8:9" x14ac:dyDescent="0.2">
      <c r="H15247" s="1"/>
      <c r="I15247" s="1"/>
    </row>
    <row r="15248" spans="8:9" x14ac:dyDescent="0.2">
      <c r="H15248" s="1"/>
      <c r="I15248" s="1"/>
    </row>
    <row r="15249" spans="8:9" x14ac:dyDescent="0.2">
      <c r="H15249" s="1"/>
      <c r="I15249" s="1"/>
    </row>
    <row r="15250" spans="8:9" x14ac:dyDescent="0.2">
      <c r="H15250" s="1"/>
      <c r="I15250" s="1"/>
    </row>
    <row r="15251" spans="8:9" x14ac:dyDescent="0.2">
      <c r="H15251" s="1"/>
      <c r="I15251" s="1"/>
    </row>
    <row r="15252" spans="8:9" x14ac:dyDescent="0.2">
      <c r="H15252" s="1"/>
      <c r="I15252" s="1"/>
    </row>
    <row r="15253" spans="8:9" x14ac:dyDescent="0.2">
      <c r="H15253" s="1"/>
      <c r="I15253" s="1"/>
    </row>
    <row r="15254" spans="8:9" x14ac:dyDescent="0.2">
      <c r="H15254" s="1"/>
      <c r="I15254" s="1"/>
    </row>
    <row r="15255" spans="8:9" x14ac:dyDescent="0.2">
      <c r="H15255" s="1"/>
      <c r="I15255" s="1"/>
    </row>
    <row r="15256" spans="8:9" x14ac:dyDescent="0.2">
      <c r="H15256" s="1"/>
      <c r="I15256" s="1"/>
    </row>
    <row r="15257" spans="8:9" x14ac:dyDescent="0.2">
      <c r="H15257" s="1"/>
      <c r="I15257" s="1"/>
    </row>
    <row r="15258" spans="8:9" x14ac:dyDescent="0.2">
      <c r="H15258" s="1"/>
      <c r="I15258" s="1"/>
    </row>
    <row r="15259" spans="8:9" x14ac:dyDescent="0.2">
      <c r="H15259" s="1"/>
      <c r="I15259" s="1"/>
    </row>
    <row r="15260" spans="8:9" x14ac:dyDescent="0.2">
      <c r="H15260" s="1"/>
      <c r="I15260" s="1"/>
    </row>
    <row r="15261" spans="8:9" x14ac:dyDescent="0.2">
      <c r="H15261" s="1"/>
      <c r="I15261" s="1"/>
    </row>
    <row r="15262" spans="8:9" x14ac:dyDescent="0.2">
      <c r="H15262" s="1"/>
      <c r="I15262" s="1"/>
    </row>
    <row r="15263" spans="8:9" x14ac:dyDescent="0.2">
      <c r="H15263" s="1"/>
      <c r="I15263" s="1"/>
    </row>
    <row r="15264" spans="8:9" x14ac:dyDescent="0.2">
      <c r="H15264" s="1"/>
      <c r="I15264" s="1"/>
    </row>
    <row r="15265" spans="8:9" x14ac:dyDescent="0.2">
      <c r="H15265" s="1"/>
      <c r="I15265" s="1"/>
    </row>
    <row r="15266" spans="8:9" x14ac:dyDescent="0.2">
      <c r="H15266" s="1"/>
      <c r="I15266" s="1"/>
    </row>
    <row r="15267" spans="8:9" x14ac:dyDescent="0.2">
      <c r="H15267" s="1"/>
      <c r="I15267" s="1"/>
    </row>
    <row r="15268" spans="8:9" x14ac:dyDescent="0.2">
      <c r="H15268" s="1"/>
      <c r="I15268" s="1"/>
    </row>
    <row r="15269" spans="8:9" x14ac:dyDescent="0.2">
      <c r="H15269" s="1"/>
      <c r="I15269" s="1"/>
    </row>
    <row r="15270" spans="8:9" x14ac:dyDescent="0.2">
      <c r="H15270" s="1"/>
      <c r="I15270" s="1"/>
    </row>
    <row r="15271" spans="8:9" x14ac:dyDescent="0.2">
      <c r="H15271" s="1"/>
      <c r="I15271" s="1"/>
    </row>
    <row r="15272" spans="8:9" x14ac:dyDescent="0.2">
      <c r="H15272" s="1"/>
      <c r="I15272" s="1"/>
    </row>
    <row r="15273" spans="8:9" x14ac:dyDescent="0.2">
      <c r="H15273" s="1"/>
      <c r="I15273" s="1"/>
    </row>
    <row r="15274" spans="8:9" x14ac:dyDescent="0.2">
      <c r="H15274" s="1"/>
      <c r="I15274" s="1"/>
    </row>
    <row r="15275" spans="8:9" x14ac:dyDescent="0.2">
      <c r="H15275" s="1"/>
      <c r="I15275" s="1"/>
    </row>
    <row r="15276" spans="8:9" x14ac:dyDescent="0.2">
      <c r="H15276" s="1"/>
      <c r="I15276" s="1"/>
    </row>
    <row r="15277" spans="8:9" x14ac:dyDescent="0.2">
      <c r="H15277" s="1"/>
      <c r="I15277" s="1"/>
    </row>
    <row r="15278" spans="8:9" x14ac:dyDescent="0.2">
      <c r="H15278" s="1"/>
      <c r="I15278" s="1"/>
    </row>
    <row r="15279" spans="8:9" x14ac:dyDescent="0.2">
      <c r="H15279" s="1"/>
      <c r="I15279" s="1"/>
    </row>
    <row r="15280" spans="8:9" x14ac:dyDescent="0.2">
      <c r="H15280" s="1"/>
      <c r="I15280" s="1"/>
    </row>
    <row r="15281" spans="8:9" x14ac:dyDescent="0.2">
      <c r="H15281" s="1"/>
      <c r="I15281" s="1"/>
    </row>
    <row r="15282" spans="8:9" x14ac:dyDescent="0.2">
      <c r="H15282" s="1"/>
      <c r="I15282" s="1"/>
    </row>
    <row r="15283" spans="8:9" x14ac:dyDescent="0.2">
      <c r="H15283" s="1"/>
      <c r="I15283" s="1"/>
    </row>
    <row r="15284" spans="8:9" x14ac:dyDescent="0.2">
      <c r="H15284" s="1"/>
      <c r="I15284" s="1"/>
    </row>
    <row r="15285" spans="8:9" x14ac:dyDescent="0.2">
      <c r="H15285" s="1"/>
      <c r="I15285" s="1"/>
    </row>
    <row r="15286" spans="8:9" x14ac:dyDescent="0.2">
      <c r="H15286" s="1"/>
      <c r="I15286" s="1"/>
    </row>
    <row r="15287" spans="8:9" x14ac:dyDescent="0.2">
      <c r="H15287" s="1"/>
      <c r="I15287" s="1"/>
    </row>
    <row r="15288" spans="8:9" x14ac:dyDescent="0.2">
      <c r="H15288" s="1"/>
      <c r="I15288" s="1"/>
    </row>
    <row r="15289" spans="8:9" x14ac:dyDescent="0.2">
      <c r="H15289" s="1"/>
      <c r="I15289" s="1"/>
    </row>
    <row r="15290" spans="8:9" x14ac:dyDescent="0.2">
      <c r="H15290" s="1"/>
      <c r="I15290" s="1"/>
    </row>
    <row r="15291" spans="8:9" x14ac:dyDescent="0.2">
      <c r="H15291" s="1"/>
      <c r="I15291" s="1"/>
    </row>
    <row r="15292" spans="8:9" x14ac:dyDescent="0.2">
      <c r="H15292" s="1"/>
      <c r="I15292" s="1"/>
    </row>
    <row r="15293" spans="8:9" x14ac:dyDescent="0.2">
      <c r="H15293" s="1"/>
      <c r="I15293" s="1"/>
    </row>
    <row r="15294" spans="8:9" x14ac:dyDescent="0.2">
      <c r="H15294" s="1"/>
      <c r="I15294" s="1"/>
    </row>
    <row r="15295" spans="8:9" x14ac:dyDescent="0.2">
      <c r="H15295" s="1"/>
      <c r="I15295" s="1"/>
    </row>
    <row r="15296" spans="8:9" x14ac:dyDescent="0.2">
      <c r="H15296" s="1"/>
      <c r="I15296" s="1"/>
    </row>
    <row r="15297" spans="8:9" x14ac:dyDescent="0.2">
      <c r="H15297" s="1"/>
      <c r="I15297" s="1"/>
    </row>
    <row r="15298" spans="8:9" x14ac:dyDescent="0.2">
      <c r="H15298" s="1"/>
      <c r="I15298" s="1"/>
    </row>
    <row r="15299" spans="8:9" x14ac:dyDescent="0.2">
      <c r="H15299" s="1"/>
      <c r="I15299" s="1"/>
    </row>
    <row r="15300" spans="8:9" x14ac:dyDescent="0.2">
      <c r="H15300" s="1"/>
      <c r="I15300" s="1"/>
    </row>
    <row r="15301" spans="8:9" x14ac:dyDescent="0.2">
      <c r="H15301" s="1"/>
      <c r="I15301" s="1"/>
    </row>
    <row r="15302" spans="8:9" x14ac:dyDescent="0.2">
      <c r="H15302" s="1"/>
      <c r="I15302" s="1"/>
    </row>
    <row r="15303" spans="8:9" x14ac:dyDescent="0.2">
      <c r="H15303" s="1"/>
      <c r="I15303" s="1"/>
    </row>
    <row r="15304" spans="8:9" x14ac:dyDescent="0.2">
      <c r="H15304" s="1"/>
      <c r="I15304" s="1"/>
    </row>
    <row r="15305" spans="8:9" x14ac:dyDescent="0.2">
      <c r="H15305" s="1"/>
      <c r="I15305" s="1"/>
    </row>
    <row r="15306" spans="8:9" x14ac:dyDescent="0.2">
      <c r="H15306" s="1"/>
      <c r="I15306" s="1"/>
    </row>
    <row r="15307" spans="8:9" x14ac:dyDescent="0.2">
      <c r="H15307" s="1"/>
      <c r="I15307" s="1"/>
    </row>
    <row r="15308" spans="8:9" x14ac:dyDescent="0.2">
      <c r="H15308" s="1"/>
      <c r="I15308" s="1"/>
    </row>
    <row r="15309" spans="8:9" x14ac:dyDescent="0.2">
      <c r="H15309" s="1"/>
      <c r="I15309" s="1"/>
    </row>
    <row r="15310" spans="8:9" x14ac:dyDescent="0.2">
      <c r="H15310" s="1"/>
      <c r="I15310" s="1"/>
    </row>
    <row r="15311" spans="8:9" x14ac:dyDescent="0.2">
      <c r="H15311" s="1"/>
      <c r="I15311" s="1"/>
    </row>
    <row r="15312" spans="8:9" x14ac:dyDescent="0.2">
      <c r="H15312" s="1"/>
      <c r="I15312" s="1"/>
    </row>
    <row r="15313" spans="8:9" x14ac:dyDescent="0.2">
      <c r="H15313" s="1"/>
      <c r="I15313" s="1"/>
    </row>
    <row r="15314" spans="8:9" x14ac:dyDescent="0.2">
      <c r="H15314" s="1"/>
      <c r="I15314" s="1"/>
    </row>
    <row r="15315" spans="8:9" x14ac:dyDescent="0.2">
      <c r="H15315" s="1"/>
      <c r="I15315" s="1"/>
    </row>
    <row r="15316" spans="8:9" x14ac:dyDescent="0.2">
      <c r="H15316" s="1"/>
      <c r="I15316" s="1"/>
    </row>
    <row r="15317" spans="8:9" x14ac:dyDescent="0.2">
      <c r="H15317" s="1"/>
      <c r="I15317" s="1"/>
    </row>
    <row r="15318" spans="8:9" x14ac:dyDescent="0.2">
      <c r="H15318" s="1"/>
      <c r="I15318" s="1"/>
    </row>
    <row r="15319" spans="8:9" x14ac:dyDescent="0.2">
      <c r="H15319" s="1"/>
      <c r="I15319" s="1"/>
    </row>
    <row r="15320" spans="8:9" x14ac:dyDescent="0.2">
      <c r="H15320" s="1"/>
      <c r="I15320" s="1"/>
    </row>
    <row r="15321" spans="8:9" x14ac:dyDescent="0.2">
      <c r="H15321" s="1"/>
      <c r="I15321" s="1"/>
    </row>
    <row r="15322" spans="8:9" x14ac:dyDescent="0.2">
      <c r="H15322" s="1"/>
      <c r="I15322" s="1"/>
    </row>
    <row r="15323" spans="8:9" x14ac:dyDescent="0.2">
      <c r="H15323" s="1"/>
      <c r="I15323" s="1"/>
    </row>
    <row r="15324" spans="8:9" x14ac:dyDescent="0.2">
      <c r="H15324" s="1"/>
      <c r="I15324" s="1"/>
    </row>
    <row r="15325" spans="8:9" x14ac:dyDescent="0.2">
      <c r="H15325" s="1"/>
      <c r="I15325" s="1"/>
    </row>
    <row r="15326" spans="8:9" x14ac:dyDescent="0.2">
      <c r="H15326" s="1"/>
      <c r="I15326" s="1"/>
    </row>
    <row r="15327" spans="8:9" x14ac:dyDescent="0.2">
      <c r="H15327" s="1"/>
      <c r="I15327" s="1"/>
    </row>
    <row r="15328" spans="8:9" x14ac:dyDescent="0.2">
      <c r="H15328" s="1"/>
      <c r="I15328" s="1"/>
    </row>
    <row r="15329" spans="8:9" x14ac:dyDescent="0.2">
      <c r="H15329" s="1"/>
      <c r="I15329" s="1"/>
    </row>
    <row r="15330" spans="8:9" x14ac:dyDescent="0.2">
      <c r="H15330" s="1"/>
      <c r="I15330" s="1"/>
    </row>
    <row r="15331" spans="8:9" x14ac:dyDescent="0.2">
      <c r="H15331" s="1"/>
      <c r="I15331" s="1"/>
    </row>
    <row r="15332" spans="8:9" x14ac:dyDescent="0.2">
      <c r="H15332" s="1"/>
      <c r="I15332" s="1"/>
    </row>
    <row r="15333" spans="8:9" x14ac:dyDescent="0.2">
      <c r="H15333" s="1"/>
      <c r="I15333" s="1"/>
    </row>
    <row r="15334" spans="8:9" x14ac:dyDescent="0.2">
      <c r="H15334" s="1"/>
      <c r="I15334" s="1"/>
    </row>
    <row r="15335" spans="8:9" x14ac:dyDescent="0.2">
      <c r="H15335" s="1"/>
      <c r="I15335" s="1"/>
    </row>
    <row r="15336" spans="8:9" x14ac:dyDescent="0.2">
      <c r="H15336" s="1"/>
      <c r="I15336" s="1"/>
    </row>
    <row r="15337" spans="8:9" x14ac:dyDescent="0.2">
      <c r="H15337" s="1"/>
      <c r="I15337" s="1"/>
    </row>
    <row r="15338" spans="8:9" x14ac:dyDescent="0.2">
      <c r="H15338" s="1"/>
      <c r="I15338" s="1"/>
    </row>
    <row r="15339" spans="8:9" x14ac:dyDescent="0.2">
      <c r="H15339" s="1"/>
      <c r="I15339" s="1"/>
    </row>
    <row r="15340" spans="8:9" x14ac:dyDescent="0.2">
      <c r="H15340" s="1"/>
      <c r="I15340" s="1"/>
    </row>
    <row r="15341" spans="8:9" x14ac:dyDescent="0.2">
      <c r="H15341" s="1"/>
      <c r="I15341" s="1"/>
    </row>
    <row r="15342" spans="8:9" x14ac:dyDescent="0.2">
      <c r="H15342" s="1"/>
      <c r="I15342" s="1"/>
    </row>
    <row r="15343" spans="8:9" x14ac:dyDescent="0.2">
      <c r="H15343" s="1"/>
      <c r="I15343" s="1"/>
    </row>
    <row r="15344" spans="8:9" x14ac:dyDescent="0.2">
      <c r="H15344" s="1"/>
      <c r="I15344" s="1"/>
    </row>
    <row r="15345" spans="8:9" x14ac:dyDescent="0.2">
      <c r="H15345" s="1"/>
      <c r="I15345" s="1"/>
    </row>
    <row r="15346" spans="8:9" x14ac:dyDescent="0.2">
      <c r="H15346" s="1"/>
      <c r="I15346" s="1"/>
    </row>
    <row r="15347" spans="8:9" x14ac:dyDescent="0.2">
      <c r="H15347" s="1"/>
      <c r="I15347" s="1"/>
    </row>
    <row r="15348" spans="8:9" x14ac:dyDescent="0.2">
      <c r="H15348" s="1"/>
      <c r="I15348" s="1"/>
    </row>
    <row r="15349" spans="8:9" x14ac:dyDescent="0.2">
      <c r="H15349" s="1"/>
      <c r="I15349" s="1"/>
    </row>
    <row r="15350" spans="8:9" x14ac:dyDescent="0.2">
      <c r="H15350" s="1"/>
      <c r="I15350" s="1"/>
    </row>
    <row r="15351" spans="8:9" x14ac:dyDescent="0.2">
      <c r="H15351" s="1"/>
      <c r="I15351" s="1"/>
    </row>
    <row r="15352" spans="8:9" x14ac:dyDescent="0.2">
      <c r="H15352" s="1"/>
      <c r="I15352" s="1"/>
    </row>
    <row r="15353" spans="8:9" x14ac:dyDescent="0.2">
      <c r="H15353" s="1"/>
      <c r="I15353" s="1"/>
    </row>
    <row r="15354" spans="8:9" x14ac:dyDescent="0.2">
      <c r="H15354" s="1"/>
      <c r="I15354" s="1"/>
    </row>
    <row r="15355" spans="8:9" x14ac:dyDescent="0.2">
      <c r="H15355" s="1"/>
      <c r="I15355" s="1"/>
    </row>
    <row r="15356" spans="8:9" x14ac:dyDescent="0.2">
      <c r="H15356" s="1"/>
      <c r="I15356" s="1"/>
    </row>
    <row r="15357" spans="8:9" x14ac:dyDescent="0.2">
      <c r="H15357" s="1"/>
      <c r="I15357" s="1"/>
    </row>
    <row r="15358" spans="8:9" x14ac:dyDescent="0.2">
      <c r="H15358" s="1"/>
      <c r="I15358" s="1"/>
    </row>
    <row r="15359" spans="8:9" x14ac:dyDescent="0.2">
      <c r="H15359" s="1"/>
      <c r="I15359" s="1"/>
    </row>
    <row r="15360" spans="8:9" x14ac:dyDescent="0.2">
      <c r="H15360" s="1"/>
      <c r="I15360" s="1"/>
    </row>
    <row r="15361" spans="8:9" x14ac:dyDescent="0.2">
      <c r="H15361" s="1"/>
      <c r="I15361" s="1"/>
    </row>
    <row r="15362" spans="8:9" x14ac:dyDescent="0.2">
      <c r="H15362" s="1"/>
      <c r="I15362" s="1"/>
    </row>
    <row r="15363" spans="8:9" x14ac:dyDescent="0.2">
      <c r="H15363" s="1"/>
      <c r="I15363" s="1"/>
    </row>
    <row r="15364" spans="8:9" x14ac:dyDescent="0.2">
      <c r="H15364" s="1"/>
      <c r="I15364" s="1"/>
    </row>
    <row r="15365" spans="8:9" x14ac:dyDescent="0.2">
      <c r="H15365" s="1"/>
      <c r="I15365" s="1"/>
    </row>
    <row r="15366" spans="8:9" x14ac:dyDescent="0.2">
      <c r="H15366" s="1"/>
      <c r="I15366" s="1"/>
    </row>
    <row r="15367" spans="8:9" x14ac:dyDescent="0.2">
      <c r="H15367" s="1"/>
      <c r="I15367" s="1"/>
    </row>
    <row r="15368" spans="8:9" x14ac:dyDescent="0.2">
      <c r="H15368" s="1"/>
      <c r="I15368" s="1"/>
    </row>
    <row r="15369" spans="8:9" x14ac:dyDescent="0.2">
      <c r="H15369" s="1"/>
      <c r="I15369" s="1"/>
    </row>
    <row r="15370" spans="8:9" x14ac:dyDescent="0.2">
      <c r="H15370" s="1"/>
      <c r="I15370" s="1"/>
    </row>
    <row r="15371" spans="8:9" x14ac:dyDescent="0.2">
      <c r="H15371" s="1"/>
      <c r="I15371" s="1"/>
    </row>
    <row r="15372" spans="8:9" x14ac:dyDescent="0.2">
      <c r="H15372" s="1"/>
      <c r="I15372" s="1"/>
    </row>
    <row r="15373" spans="8:9" x14ac:dyDescent="0.2">
      <c r="H15373" s="1"/>
      <c r="I15373" s="1"/>
    </row>
    <row r="15374" spans="8:9" x14ac:dyDescent="0.2">
      <c r="H15374" s="1"/>
      <c r="I15374" s="1"/>
    </row>
    <row r="15375" spans="8:9" x14ac:dyDescent="0.2">
      <c r="H15375" s="1"/>
      <c r="I15375" s="1"/>
    </row>
    <row r="15376" spans="8:9" x14ac:dyDescent="0.2">
      <c r="H15376" s="1"/>
      <c r="I15376" s="1"/>
    </row>
    <row r="15377" spans="8:9" x14ac:dyDescent="0.2">
      <c r="H15377" s="1"/>
      <c r="I15377" s="1"/>
    </row>
    <row r="15378" spans="8:9" x14ac:dyDescent="0.2">
      <c r="H15378" s="1"/>
      <c r="I15378" s="1"/>
    </row>
    <row r="15379" spans="8:9" x14ac:dyDescent="0.2">
      <c r="H15379" s="1"/>
      <c r="I15379" s="1"/>
    </row>
    <row r="15380" spans="8:9" x14ac:dyDescent="0.2">
      <c r="H15380" s="1"/>
      <c r="I15380" s="1"/>
    </row>
    <row r="15381" spans="8:9" x14ac:dyDescent="0.2">
      <c r="H15381" s="1"/>
      <c r="I15381" s="1"/>
    </row>
    <row r="15382" spans="8:9" x14ac:dyDescent="0.2">
      <c r="H15382" s="1"/>
      <c r="I15382" s="1"/>
    </row>
    <row r="15383" spans="8:9" x14ac:dyDescent="0.2">
      <c r="H15383" s="1"/>
      <c r="I15383" s="1"/>
    </row>
    <row r="15384" spans="8:9" x14ac:dyDescent="0.2">
      <c r="H15384" s="1"/>
      <c r="I15384" s="1"/>
    </row>
    <row r="15385" spans="8:9" x14ac:dyDescent="0.2">
      <c r="H15385" s="1"/>
      <c r="I15385" s="1"/>
    </row>
    <row r="15386" spans="8:9" x14ac:dyDescent="0.2">
      <c r="H15386" s="1"/>
      <c r="I15386" s="1"/>
    </row>
    <row r="15387" spans="8:9" x14ac:dyDescent="0.2">
      <c r="H15387" s="1"/>
      <c r="I15387" s="1"/>
    </row>
    <row r="15388" spans="8:9" x14ac:dyDescent="0.2">
      <c r="H15388" s="1"/>
      <c r="I15388" s="1"/>
    </row>
    <row r="15389" spans="8:9" x14ac:dyDescent="0.2">
      <c r="H15389" s="1"/>
      <c r="I15389" s="1"/>
    </row>
    <row r="15390" spans="8:9" x14ac:dyDescent="0.2">
      <c r="H15390" s="1"/>
      <c r="I15390" s="1"/>
    </row>
    <row r="15391" spans="8:9" x14ac:dyDescent="0.2">
      <c r="H15391" s="1"/>
      <c r="I15391" s="1"/>
    </row>
    <row r="15392" spans="8:9" x14ac:dyDescent="0.2">
      <c r="H15392" s="1"/>
      <c r="I15392" s="1"/>
    </row>
    <row r="15393" spans="8:9" x14ac:dyDescent="0.2">
      <c r="H15393" s="1"/>
      <c r="I15393" s="1"/>
    </row>
    <row r="15394" spans="8:9" x14ac:dyDescent="0.2">
      <c r="H15394" s="1"/>
      <c r="I15394" s="1"/>
    </row>
    <row r="15395" spans="8:9" x14ac:dyDescent="0.2">
      <c r="H15395" s="1"/>
      <c r="I15395" s="1"/>
    </row>
    <row r="15396" spans="8:9" x14ac:dyDescent="0.2">
      <c r="H15396" s="1"/>
      <c r="I15396" s="1"/>
    </row>
    <row r="15397" spans="8:9" x14ac:dyDescent="0.2">
      <c r="H15397" s="1"/>
      <c r="I15397" s="1"/>
    </row>
    <row r="15398" spans="8:9" x14ac:dyDescent="0.2">
      <c r="H15398" s="1"/>
      <c r="I15398" s="1"/>
    </row>
    <row r="15399" spans="8:9" x14ac:dyDescent="0.2">
      <c r="H15399" s="1"/>
      <c r="I15399" s="1"/>
    </row>
    <row r="15400" spans="8:9" x14ac:dyDescent="0.2">
      <c r="H15400" s="1"/>
      <c r="I15400" s="1"/>
    </row>
    <row r="15401" spans="8:9" x14ac:dyDescent="0.2">
      <c r="H15401" s="1"/>
      <c r="I15401" s="1"/>
    </row>
    <row r="15402" spans="8:9" x14ac:dyDescent="0.2">
      <c r="H15402" s="1"/>
      <c r="I15402" s="1"/>
    </row>
    <row r="15403" spans="8:9" x14ac:dyDescent="0.2">
      <c r="H15403" s="1"/>
      <c r="I15403" s="1"/>
    </row>
    <row r="15404" spans="8:9" x14ac:dyDescent="0.2">
      <c r="H15404" s="1"/>
      <c r="I15404" s="1"/>
    </row>
    <row r="15405" spans="8:9" x14ac:dyDescent="0.2">
      <c r="H15405" s="1"/>
      <c r="I15405" s="1"/>
    </row>
    <row r="15406" spans="8:9" x14ac:dyDescent="0.2">
      <c r="H15406" s="1"/>
      <c r="I15406" s="1"/>
    </row>
    <row r="15407" spans="8:9" x14ac:dyDescent="0.2">
      <c r="H15407" s="1"/>
      <c r="I15407" s="1"/>
    </row>
    <row r="15408" spans="8:9" x14ac:dyDescent="0.2">
      <c r="H15408" s="1"/>
      <c r="I15408" s="1"/>
    </row>
    <row r="15409" spans="8:9" x14ac:dyDescent="0.2">
      <c r="H15409" s="1"/>
      <c r="I15409" s="1"/>
    </row>
    <row r="15410" spans="8:9" x14ac:dyDescent="0.2">
      <c r="H15410" s="1"/>
      <c r="I15410" s="1"/>
    </row>
    <row r="15411" spans="8:9" x14ac:dyDescent="0.2">
      <c r="H15411" s="1"/>
      <c r="I15411" s="1"/>
    </row>
    <row r="15412" spans="8:9" x14ac:dyDescent="0.2">
      <c r="H15412" s="1"/>
      <c r="I15412" s="1"/>
    </row>
    <row r="15413" spans="8:9" x14ac:dyDescent="0.2">
      <c r="H15413" s="1"/>
      <c r="I15413" s="1"/>
    </row>
    <row r="15414" spans="8:9" x14ac:dyDescent="0.2">
      <c r="H15414" s="1"/>
      <c r="I15414" s="1"/>
    </row>
    <row r="15415" spans="8:9" x14ac:dyDescent="0.2">
      <c r="H15415" s="1"/>
      <c r="I15415" s="1"/>
    </row>
    <row r="15416" spans="8:9" x14ac:dyDescent="0.2">
      <c r="H15416" s="1"/>
      <c r="I15416" s="1"/>
    </row>
    <row r="15417" spans="8:9" x14ac:dyDescent="0.2">
      <c r="H15417" s="1"/>
      <c r="I15417" s="1"/>
    </row>
    <row r="15418" spans="8:9" x14ac:dyDescent="0.2">
      <c r="H15418" s="1"/>
      <c r="I15418" s="1"/>
    </row>
    <row r="15419" spans="8:9" x14ac:dyDescent="0.2">
      <c r="H15419" s="1"/>
      <c r="I15419" s="1"/>
    </row>
    <row r="15420" spans="8:9" x14ac:dyDescent="0.2">
      <c r="H15420" s="1"/>
      <c r="I15420" s="1"/>
    </row>
    <row r="15421" spans="8:9" x14ac:dyDescent="0.2">
      <c r="H15421" s="1"/>
      <c r="I15421" s="1"/>
    </row>
    <row r="15422" spans="8:9" x14ac:dyDescent="0.2">
      <c r="H15422" s="1"/>
      <c r="I15422" s="1"/>
    </row>
    <row r="15423" spans="8:9" x14ac:dyDescent="0.2">
      <c r="H15423" s="1"/>
      <c r="I15423" s="1"/>
    </row>
    <row r="15424" spans="8:9" x14ac:dyDescent="0.2">
      <c r="H15424" s="1"/>
      <c r="I15424" s="1"/>
    </row>
    <row r="15425" spans="8:9" x14ac:dyDescent="0.2">
      <c r="H15425" s="1"/>
      <c r="I15425" s="1"/>
    </row>
    <row r="15426" spans="8:9" x14ac:dyDescent="0.2">
      <c r="H15426" s="1"/>
      <c r="I15426" s="1"/>
    </row>
    <row r="15427" spans="8:9" x14ac:dyDescent="0.2">
      <c r="H15427" s="1"/>
      <c r="I15427" s="1"/>
    </row>
    <row r="15428" spans="8:9" x14ac:dyDescent="0.2">
      <c r="H15428" s="1"/>
      <c r="I15428" s="1"/>
    </row>
    <row r="15429" spans="8:9" x14ac:dyDescent="0.2">
      <c r="H15429" s="1"/>
      <c r="I15429" s="1"/>
    </row>
    <row r="15430" spans="8:9" x14ac:dyDescent="0.2">
      <c r="H15430" s="1"/>
      <c r="I15430" s="1"/>
    </row>
    <row r="15431" spans="8:9" x14ac:dyDescent="0.2">
      <c r="H15431" s="1"/>
      <c r="I15431" s="1"/>
    </row>
    <row r="15432" spans="8:9" x14ac:dyDescent="0.2">
      <c r="H15432" s="1"/>
      <c r="I15432" s="1"/>
    </row>
    <row r="15433" spans="8:9" x14ac:dyDescent="0.2">
      <c r="H15433" s="1"/>
      <c r="I15433" s="1"/>
    </row>
    <row r="15434" spans="8:9" x14ac:dyDescent="0.2">
      <c r="H15434" s="1"/>
      <c r="I15434" s="1"/>
    </row>
    <row r="15435" spans="8:9" x14ac:dyDescent="0.2">
      <c r="H15435" s="1"/>
      <c r="I15435" s="1"/>
    </row>
    <row r="15436" spans="8:9" x14ac:dyDescent="0.2">
      <c r="H15436" s="1"/>
      <c r="I15436" s="1"/>
    </row>
    <row r="15437" spans="8:9" x14ac:dyDescent="0.2">
      <c r="H15437" s="1"/>
      <c r="I15437" s="1"/>
    </row>
    <row r="15438" spans="8:9" x14ac:dyDescent="0.2">
      <c r="H15438" s="1"/>
      <c r="I15438" s="1"/>
    </row>
    <row r="15439" spans="8:9" x14ac:dyDescent="0.2">
      <c r="H15439" s="1"/>
      <c r="I15439" s="1"/>
    </row>
    <row r="15440" spans="8:9" x14ac:dyDescent="0.2">
      <c r="H15440" s="1"/>
      <c r="I15440" s="1"/>
    </row>
    <row r="15441" spans="8:9" x14ac:dyDescent="0.2">
      <c r="H15441" s="1"/>
      <c r="I15441" s="1"/>
    </row>
    <row r="15442" spans="8:9" x14ac:dyDescent="0.2">
      <c r="H15442" s="1"/>
      <c r="I15442" s="1"/>
    </row>
    <row r="15443" spans="8:9" x14ac:dyDescent="0.2">
      <c r="H15443" s="1"/>
      <c r="I15443" s="1"/>
    </row>
    <row r="15444" spans="8:9" x14ac:dyDescent="0.2">
      <c r="H15444" s="1"/>
      <c r="I15444" s="1"/>
    </row>
    <row r="15445" spans="8:9" x14ac:dyDescent="0.2">
      <c r="H15445" s="1"/>
      <c r="I15445" s="1"/>
    </row>
    <row r="15446" spans="8:9" x14ac:dyDescent="0.2">
      <c r="H15446" s="1"/>
      <c r="I15446" s="1"/>
    </row>
    <row r="15447" spans="8:9" x14ac:dyDescent="0.2">
      <c r="H15447" s="1"/>
      <c r="I15447" s="1"/>
    </row>
    <row r="15448" spans="8:9" x14ac:dyDescent="0.2">
      <c r="H15448" s="1"/>
      <c r="I15448" s="1"/>
    </row>
    <row r="15449" spans="8:9" x14ac:dyDescent="0.2">
      <c r="H15449" s="1"/>
      <c r="I15449" s="1"/>
    </row>
    <row r="15450" spans="8:9" x14ac:dyDescent="0.2">
      <c r="H15450" s="1"/>
      <c r="I15450" s="1"/>
    </row>
    <row r="15451" spans="8:9" x14ac:dyDescent="0.2">
      <c r="H15451" s="1"/>
      <c r="I15451" s="1"/>
    </row>
    <row r="15452" spans="8:9" x14ac:dyDescent="0.2">
      <c r="H15452" s="1"/>
      <c r="I15452" s="1"/>
    </row>
    <row r="15453" spans="8:9" x14ac:dyDescent="0.2">
      <c r="H15453" s="1"/>
      <c r="I15453" s="1"/>
    </row>
    <row r="15454" spans="8:9" x14ac:dyDescent="0.2">
      <c r="H15454" s="1"/>
      <c r="I15454" s="1"/>
    </row>
    <row r="15455" spans="8:9" x14ac:dyDescent="0.2">
      <c r="H15455" s="1"/>
      <c r="I15455" s="1"/>
    </row>
    <row r="15456" spans="8:9" x14ac:dyDescent="0.2">
      <c r="H15456" s="1"/>
      <c r="I15456" s="1"/>
    </row>
    <row r="15457" spans="8:9" x14ac:dyDescent="0.2">
      <c r="H15457" s="1"/>
      <c r="I15457" s="1"/>
    </row>
    <row r="15458" spans="8:9" x14ac:dyDescent="0.2">
      <c r="H15458" s="1"/>
      <c r="I15458" s="1"/>
    </row>
    <row r="15459" spans="8:9" x14ac:dyDescent="0.2">
      <c r="H15459" s="1"/>
      <c r="I15459" s="1"/>
    </row>
    <row r="15460" spans="8:9" x14ac:dyDescent="0.2">
      <c r="H15460" s="1"/>
      <c r="I15460" s="1"/>
    </row>
    <row r="15461" spans="8:9" x14ac:dyDescent="0.2">
      <c r="H15461" s="1"/>
      <c r="I15461" s="1"/>
    </row>
    <row r="15462" spans="8:9" x14ac:dyDescent="0.2">
      <c r="H15462" s="1"/>
      <c r="I15462" s="1"/>
    </row>
    <row r="15463" spans="8:9" x14ac:dyDescent="0.2">
      <c r="H15463" s="1"/>
      <c r="I15463" s="1"/>
    </row>
    <row r="15464" spans="8:9" x14ac:dyDescent="0.2">
      <c r="H15464" s="1"/>
      <c r="I15464" s="1"/>
    </row>
    <row r="15465" spans="8:9" x14ac:dyDescent="0.2">
      <c r="H15465" s="1"/>
      <c r="I15465" s="1"/>
    </row>
    <row r="15466" spans="8:9" x14ac:dyDescent="0.2">
      <c r="H15466" s="1"/>
      <c r="I15466" s="1"/>
    </row>
    <row r="15467" spans="8:9" x14ac:dyDescent="0.2">
      <c r="H15467" s="1"/>
      <c r="I15467" s="1"/>
    </row>
    <row r="15468" spans="8:9" x14ac:dyDescent="0.2">
      <c r="H15468" s="1"/>
      <c r="I15468" s="1"/>
    </row>
    <row r="15469" spans="8:9" x14ac:dyDescent="0.2">
      <c r="H15469" s="1"/>
      <c r="I15469" s="1"/>
    </row>
    <row r="15470" spans="8:9" x14ac:dyDescent="0.2">
      <c r="H15470" s="1"/>
      <c r="I15470" s="1"/>
    </row>
    <row r="15471" spans="8:9" x14ac:dyDescent="0.2">
      <c r="H15471" s="1"/>
      <c r="I15471" s="1"/>
    </row>
    <row r="15472" spans="8:9" x14ac:dyDescent="0.2">
      <c r="H15472" s="1"/>
      <c r="I15472" s="1"/>
    </row>
    <row r="15473" spans="8:9" x14ac:dyDescent="0.2">
      <c r="H15473" s="1"/>
      <c r="I15473" s="1"/>
    </row>
    <row r="15474" spans="8:9" x14ac:dyDescent="0.2">
      <c r="H15474" s="1"/>
      <c r="I15474" s="1"/>
    </row>
    <row r="15475" spans="8:9" x14ac:dyDescent="0.2">
      <c r="H15475" s="1"/>
      <c r="I15475" s="1"/>
    </row>
    <row r="15476" spans="8:9" x14ac:dyDescent="0.2">
      <c r="H15476" s="1"/>
      <c r="I15476" s="1"/>
    </row>
    <row r="15477" spans="8:9" x14ac:dyDescent="0.2">
      <c r="H15477" s="1"/>
      <c r="I15477" s="1"/>
    </row>
    <row r="15478" spans="8:9" x14ac:dyDescent="0.2">
      <c r="H15478" s="1"/>
      <c r="I15478" s="1"/>
    </row>
    <row r="15479" spans="8:9" x14ac:dyDescent="0.2">
      <c r="H15479" s="1"/>
      <c r="I15479" s="1"/>
    </row>
    <row r="15480" spans="8:9" x14ac:dyDescent="0.2">
      <c r="H15480" s="1"/>
      <c r="I15480" s="1"/>
    </row>
    <row r="15481" spans="8:9" x14ac:dyDescent="0.2">
      <c r="H15481" s="1"/>
      <c r="I15481" s="1"/>
    </row>
    <row r="15482" spans="8:9" x14ac:dyDescent="0.2">
      <c r="H15482" s="1"/>
      <c r="I15482" s="1"/>
    </row>
    <row r="15483" spans="8:9" x14ac:dyDescent="0.2">
      <c r="H15483" s="1"/>
      <c r="I15483" s="1"/>
    </row>
    <row r="15484" spans="8:9" x14ac:dyDescent="0.2">
      <c r="H15484" s="1"/>
      <c r="I15484" s="1"/>
    </row>
    <row r="15485" spans="8:9" x14ac:dyDescent="0.2">
      <c r="H15485" s="1"/>
      <c r="I15485" s="1"/>
    </row>
    <row r="15486" spans="8:9" x14ac:dyDescent="0.2">
      <c r="H15486" s="1"/>
      <c r="I15486" s="1"/>
    </row>
    <row r="15487" spans="8:9" x14ac:dyDescent="0.2">
      <c r="H15487" s="1"/>
      <c r="I15487" s="1"/>
    </row>
    <row r="15488" spans="8:9" x14ac:dyDescent="0.2">
      <c r="H15488" s="1"/>
      <c r="I15488" s="1"/>
    </row>
    <row r="15489" spans="8:9" x14ac:dyDescent="0.2">
      <c r="H15489" s="1"/>
      <c r="I15489" s="1"/>
    </row>
    <row r="15490" spans="8:9" x14ac:dyDescent="0.2">
      <c r="H15490" s="1"/>
      <c r="I15490" s="1"/>
    </row>
    <row r="15491" spans="8:9" x14ac:dyDescent="0.2">
      <c r="H15491" s="1"/>
      <c r="I15491" s="1"/>
    </row>
    <row r="15492" spans="8:9" x14ac:dyDescent="0.2">
      <c r="H15492" s="1"/>
      <c r="I15492" s="1"/>
    </row>
    <row r="15493" spans="8:9" x14ac:dyDescent="0.2">
      <c r="H15493" s="1"/>
      <c r="I15493" s="1"/>
    </row>
    <row r="15494" spans="8:9" x14ac:dyDescent="0.2">
      <c r="H15494" s="1"/>
      <c r="I15494" s="1"/>
    </row>
    <row r="15495" spans="8:9" x14ac:dyDescent="0.2">
      <c r="H15495" s="1"/>
      <c r="I15495" s="1"/>
    </row>
    <row r="15496" spans="8:9" x14ac:dyDescent="0.2">
      <c r="H15496" s="1"/>
      <c r="I15496" s="1"/>
    </row>
    <row r="15497" spans="8:9" x14ac:dyDescent="0.2">
      <c r="H15497" s="1"/>
      <c r="I15497" s="1"/>
    </row>
    <row r="15498" spans="8:9" x14ac:dyDescent="0.2">
      <c r="H15498" s="1"/>
      <c r="I15498" s="1"/>
    </row>
    <row r="15499" spans="8:9" x14ac:dyDescent="0.2">
      <c r="H15499" s="1"/>
      <c r="I15499" s="1"/>
    </row>
    <row r="15500" spans="8:9" x14ac:dyDescent="0.2">
      <c r="H15500" s="1"/>
      <c r="I15500" s="1"/>
    </row>
    <row r="15501" spans="8:9" x14ac:dyDescent="0.2">
      <c r="H15501" s="1"/>
      <c r="I15501" s="1"/>
    </row>
    <row r="15502" spans="8:9" x14ac:dyDescent="0.2">
      <c r="H15502" s="1"/>
      <c r="I15502" s="1"/>
    </row>
    <row r="15503" spans="8:9" x14ac:dyDescent="0.2">
      <c r="H15503" s="1"/>
      <c r="I15503" s="1"/>
    </row>
    <row r="15504" spans="8:9" x14ac:dyDescent="0.2">
      <c r="H15504" s="1"/>
      <c r="I15504" s="1"/>
    </row>
    <row r="15505" spans="8:9" x14ac:dyDescent="0.2">
      <c r="H15505" s="1"/>
      <c r="I15505" s="1"/>
    </row>
    <row r="15506" spans="8:9" x14ac:dyDescent="0.2">
      <c r="H15506" s="1"/>
      <c r="I15506" s="1"/>
    </row>
    <row r="15507" spans="8:9" x14ac:dyDescent="0.2">
      <c r="H15507" s="1"/>
      <c r="I15507" s="1"/>
    </row>
    <row r="15508" spans="8:9" x14ac:dyDescent="0.2">
      <c r="H15508" s="1"/>
      <c r="I15508" s="1"/>
    </row>
    <row r="15509" spans="8:9" x14ac:dyDescent="0.2">
      <c r="H15509" s="1"/>
      <c r="I15509" s="1"/>
    </row>
    <row r="15510" spans="8:9" x14ac:dyDescent="0.2">
      <c r="H15510" s="1"/>
      <c r="I15510" s="1"/>
    </row>
    <row r="15511" spans="8:9" x14ac:dyDescent="0.2">
      <c r="H15511" s="1"/>
      <c r="I15511" s="1"/>
    </row>
    <row r="15512" spans="8:9" x14ac:dyDescent="0.2">
      <c r="H15512" s="1"/>
      <c r="I15512" s="1"/>
    </row>
    <row r="15513" spans="8:9" x14ac:dyDescent="0.2">
      <c r="H15513" s="1"/>
      <c r="I15513" s="1"/>
    </row>
    <row r="15514" spans="8:9" x14ac:dyDescent="0.2">
      <c r="H15514" s="1"/>
      <c r="I15514" s="1"/>
    </row>
    <row r="15515" spans="8:9" x14ac:dyDescent="0.2">
      <c r="H15515" s="1"/>
      <c r="I15515" s="1"/>
    </row>
    <row r="15516" spans="8:9" x14ac:dyDescent="0.2">
      <c r="H15516" s="1"/>
      <c r="I15516" s="1"/>
    </row>
    <row r="15517" spans="8:9" x14ac:dyDescent="0.2">
      <c r="H15517" s="1"/>
      <c r="I15517" s="1"/>
    </row>
    <row r="15518" spans="8:9" x14ac:dyDescent="0.2">
      <c r="H15518" s="1"/>
      <c r="I15518" s="1"/>
    </row>
    <row r="15519" spans="8:9" x14ac:dyDescent="0.2">
      <c r="H15519" s="1"/>
      <c r="I15519" s="1"/>
    </row>
    <row r="15520" spans="8:9" x14ac:dyDescent="0.2">
      <c r="H15520" s="1"/>
      <c r="I15520" s="1"/>
    </row>
    <row r="15521" spans="8:9" x14ac:dyDescent="0.2">
      <c r="H15521" s="1"/>
      <c r="I15521" s="1"/>
    </row>
    <row r="15522" spans="8:9" x14ac:dyDescent="0.2">
      <c r="H15522" s="1"/>
      <c r="I15522" s="1"/>
    </row>
    <row r="15523" spans="8:9" x14ac:dyDescent="0.2">
      <c r="H15523" s="1"/>
      <c r="I15523" s="1"/>
    </row>
    <row r="15524" spans="8:9" x14ac:dyDescent="0.2">
      <c r="H15524" s="1"/>
      <c r="I15524" s="1"/>
    </row>
    <row r="15525" spans="8:9" x14ac:dyDescent="0.2">
      <c r="H15525" s="1"/>
      <c r="I15525" s="1"/>
    </row>
    <row r="15526" spans="8:9" x14ac:dyDescent="0.2">
      <c r="H15526" s="1"/>
      <c r="I15526" s="1"/>
    </row>
    <row r="15527" spans="8:9" x14ac:dyDescent="0.2">
      <c r="H15527" s="1"/>
      <c r="I15527" s="1"/>
    </row>
    <row r="15528" spans="8:9" x14ac:dyDescent="0.2">
      <c r="H15528" s="1"/>
      <c r="I15528" s="1"/>
    </row>
    <row r="15529" spans="8:9" x14ac:dyDescent="0.2">
      <c r="H15529" s="1"/>
      <c r="I15529" s="1"/>
    </row>
    <row r="15530" spans="8:9" x14ac:dyDescent="0.2">
      <c r="H15530" s="1"/>
      <c r="I15530" s="1"/>
    </row>
    <row r="15531" spans="8:9" x14ac:dyDescent="0.2">
      <c r="H15531" s="1"/>
      <c r="I15531" s="1"/>
    </row>
    <row r="15532" spans="8:9" x14ac:dyDescent="0.2">
      <c r="H15532" s="1"/>
      <c r="I15532" s="1"/>
    </row>
    <row r="15533" spans="8:9" x14ac:dyDescent="0.2">
      <c r="H15533" s="1"/>
      <c r="I15533" s="1"/>
    </row>
    <row r="15534" spans="8:9" x14ac:dyDescent="0.2">
      <c r="H15534" s="1"/>
      <c r="I15534" s="1"/>
    </row>
    <row r="15535" spans="8:9" x14ac:dyDescent="0.2">
      <c r="H15535" s="1"/>
      <c r="I15535" s="1"/>
    </row>
    <row r="15536" spans="8:9" x14ac:dyDescent="0.2">
      <c r="H15536" s="1"/>
      <c r="I15536" s="1"/>
    </row>
    <row r="15537" spans="8:9" x14ac:dyDescent="0.2">
      <c r="H15537" s="1"/>
      <c r="I15537" s="1"/>
    </row>
    <row r="15538" spans="8:9" x14ac:dyDescent="0.2">
      <c r="H15538" s="1"/>
      <c r="I15538" s="1"/>
    </row>
    <row r="15539" spans="8:9" x14ac:dyDescent="0.2">
      <c r="H15539" s="1"/>
      <c r="I15539" s="1"/>
    </row>
    <row r="15540" spans="8:9" x14ac:dyDescent="0.2">
      <c r="H15540" s="1"/>
      <c r="I15540" s="1"/>
    </row>
    <row r="15541" spans="8:9" x14ac:dyDescent="0.2">
      <c r="H15541" s="1"/>
      <c r="I15541" s="1"/>
    </row>
    <row r="15542" spans="8:9" x14ac:dyDescent="0.2">
      <c r="H15542" s="1"/>
      <c r="I15542" s="1"/>
    </row>
    <row r="15543" spans="8:9" x14ac:dyDescent="0.2">
      <c r="H15543" s="1"/>
      <c r="I15543" s="1"/>
    </row>
    <row r="15544" spans="8:9" x14ac:dyDescent="0.2">
      <c r="H15544" s="1"/>
      <c r="I15544" s="1"/>
    </row>
    <row r="15545" spans="8:9" x14ac:dyDescent="0.2">
      <c r="H15545" s="1"/>
      <c r="I15545" s="1"/>
    </row>
    <row r="15546" spans="8:9" x14ac:dyDescent="0.2">
      <c r="H15546" s="1"/>
      <c r="I15546" s="1"/>
    </row>
    <row r="15547" spans="8:9" x14ac:dyDescent="0.2">
      <c r="H15547" s="1"/>
      <c r="I15547" s="1"/>
    </row>
    <row r="15548" spans="8:9" x14ac:dyDescent="0.2">
      <c r="H15548" s="1"/>
      <c r="I15548" s="1"/>
    </row>
    <row r="15549" spans="8:9" x14ac:dyDescent="0.2">
      <c r="H15549" s="1"/>
      <c r="I15549" s="1"/>
    </row>
    <row r="15550" spans="8:9" x14ac:dyDescent="0.2">
      <c r="H15550" s="1"/>
      <c r="I15550" s="1"/>
    </row>
    <row r="15551" spans="8:9" x14ac:dyDescent="0.2">
      <c r="H15551" s="1"/>
      <c r="I15551" s="1"/>
    </row>
    <row r="15552" spans="8:9" x14ac:dyDescent="0.2">
      <c r="H15552" s="1"/>
      <c r="I15552" s="1"/>
    </row>
    <row r="15553" spans="8:9" x14ac:dyDescent="0.2">
      <c r="H15553" s="1"/>
      <c r="I15553" s="1"/>
    </row>
    <row r="15554" spans="8:9" x14ac:dyDescent="0.2">
      <c r="H15554" s="1"/>
      <c r="I15554" s="1"/>
    </row>
    <row r="15555" spans="8:9" x14ac:dyDescent="0.2">
      <c r="H15555" s="1"/>
      <c r="I15555" s="1"/>
    </row>
    <row r="15556" spans="8:9" x14ac:dyDescent="0.2">
      <c r="H15556" s="1"/>
      <c r="I15556" s="1"/>
    </row>
    <row r="15557" spans="8:9" x14ac:dyDescent="0.2">
      <c r="H15557" s="1"/>
      <c r="I15557" s="1"/>
    </row>
    <row r="15558" spans="8:9" x14ac:dyDescent="0.2">
      <c r="H15558" s="1"/>
      <c r="I15558" s="1"/>
    </row>
    <row r="15559" spans="8:9" x14ac:dyDescent="0.2">
      <c r="H15559" s="1"/>
      <c r="I15559" s="1"/>
    </row>
    <row r="15560" spans="8:9" x14ac:dyDescent="0.2">
      <c r="H15560" s="1"/>
      <c r="I15560" s="1"/>
    </row>
    <row r="15561" spans="8:9" x14ac:dyDescent="0.2">
      <c r="H15561" s="1"/>
      <c r="I15561" s="1"/>
    </row>
    <row r="15562" spans="8:9" x14ac:dyDescent="0.2">
      <c r="H15562" s="1"/>
      <c r="I15562" s="1"/>
    </row>
    <row r="15563" spans="8:9" x14ac:dyDescent="0.2">
      <c r="H15563" s="1"/>
      <c r="I15563" s="1"/>
    </row>
    <row r="15564" spans="8:9" x14ac:dyDescent="0.2">
      <c r="H15564" s="1"/>
      <c r="I15564" s="1"/>
    </row>
    <row r="15565" spans="8:9" x14ac:dyDescent="0.2">
      <c r="H15565" s="1"/>
      <c r="I15565" s="1"/>
    </row>
    <row r="15566" spans="8:9" x14ac:dyDescent="0.2">
      <c r="H15566" s="1"/>
      <c r="I15566" s="1"/>
    </row>
    <row r="15567" spans="8:9" x14ac:dyDescent="0.2">
      <c r="H15567" s="1"/>
      <c r="I15567" s="1"/>
    </row>
    <row r="15568" spans="8:9" x14ac:dyDescent="0.2">
      <c r="H15568" s="1"/>
      <c r="I15568" s="1"/>
    </row>
    <row r="15569" spans="8:9" x14ac:dyDescent="0.2">
      <c r="H15569" s="1"/>
      <c r="I15569" s="1"/>
    </row>
    <row r="15570" spans="8:9" x14ac:dyDescent="0.2">
      <c r="H15570" s="1"/>
      <c r="I15570" s="1"/>
    </row>
    <row r="15571" spans="8:9" x14ac:dyDescent="0.2">
      <c r="H15571" s="1"/>
      <c r="I15571" s="1"/>
    </row>
    <row r="15572" spans="8:9" x14ac:dyDescent="0.2">
      <c r="H15572" s="1"/>
      <c r="I15572" s="1"/>
    </row>
    <row r="15573" spans="8:9" x14ac:dyDescent="0.2">
      <c r="H15573" s="1"/>
      <c r="I15573" s="1"/>
    </row>
    <row r="15574" spans="8:9" x14ac:dyDescent="0.2">
      <c r="H15574" s="1"/>
      <c r="I15574" s="1"/>
    </row>
    <row r="15575" spans="8:9" x14ac:dyDescent="0.2">
      <c r="H15575" s="1"/>
      <c r="I15575" s="1"/>
    </row>
    <row r="15576" spans="8:9" x14ac:dyDescent="0.2">
      <c r="H15576" s="1"/>
      <c r="I15576" s="1"/>
    </row>
    <row r="15577" spans="8:9" x14ac:dyDescent="0.2">
      <c r="H15577" s="1"/>
      <c r="I15577" s="1"/>
    </row>
    <row r="15578" spans="8:9" x14ac:dyDescent="0.2">
      <c r="H15578" s="1"/>
      <c r="I15578" s="1"/>
    </row>
    <row r="15579" spans="8:9" x14ac:dyDescent="0.2">
      <c r="H15579" s="1"/>
      <c r="I15579" s="1"/>
    </row>
    <row r="15580" spans="8:9" x14ac:dyDescent="0.2">
      <c r="H15580" s="1"/>
      <c r="I15580" s="1"/>
    </row>
    <row r="15581" spans="8:9" x14ac:dyDescent="0.2">
      <c r="H15581" s="1"/>
      <c r="I15581" s="1"/>
    </row>
    <row r="15582" spans="8:9" x14ac:dyDescent="0.2">
      <c r="H15582" s="1"/>
      <c r="I15582" s="1"/>
    </row>
    <row r="15583" spans="8:9" x14ac:dyDescent="0.2">
      <c r="H15583" s="1"/>
      <c r="I15583" s="1"/>
    </row>
    <row r="15584" spans="8:9" x14ac:dyDescent="0.2">
      <c r="H15584" s="1"/>
      <c r="I15584" s="1"/>
    </row>
    <row r="15585" spans="8:9" x14ac:dyDescent="0.2">
      <c r="H15585" s="1"/>
      <c r="I15585" s="1"/>
    </row>
    <row r="15586" spans="8:9" x14ac:dyDescent="0.2">
      <c r="H15586" s="1"/>
      <c r="I15586" s="1"/>
    </row>
    <row r="15587" spans="8:9" x14ac:dyDescent="0.2">
      <c r="H15587" s="1"/>
      <c r="I15587" s="1"/>
    </row>
    <row r="15588" spans="8:9" x14ac:dyDescent="0.2">
      <c r="H15588" s="1"/>
      <c r="I15588" s="1"/>
    </row>
    <row r="15589" spans="8:9" x14ac:dyDescent="0.2">
      <c r="H15589" s="1"/>
      <c r="I15589" s="1"/>
    </row>
    <row r="15590" spans="8:9" x14ac:dyDescent="0.2">
      <c r="H15590" s="1"/>
      <c r="I15590" s="1"/>
    </row>
    <row r="15591" spans="8:9" x14ac:dyDescent="0.2">
      <c r="H15591" s="1"/>
      <c r="I15591" s="1"/>
    </row>
    <row r="15592" spans="8:9" x14ac:dyDescent="0.2">
      <c r="H15592" s="1"/>
      <c r="I15592" s="1"/>
    </row>
    <row r="15593" spans="8:9" x14ac:dyDescent="0.2">
      <c r="H15593" s="1"/>
      <c r="I15593" s="1"/>
    </row>
    <row r="15594" spans="8:9" x14ac:dyDescent="0.2">
      <c r="H15594" s="1"/>
      <c r="I15594" s="1"/>
    </row>
    <row r="15595" spans="8:9" x14ac:dyDescent="0.2">
      <c r="H15595" s="1"/>
      <c r="I15595" s="1"/>
    </row>
    <row r="15596" spans="8:9" x14ac:dyDescent="0.2">
      <c r="H15596" s="1"/>
      <c r="I15596" s="1"/>
    </row>
    <row r="15597" spans="8:9" x14ac:dyDescent="0.2">
      <c r="H15597" s="1"/>
      <c r="I15597" s="1"/>
    </row>
    <row r="15598" spans="8:9" x14ac:dyDescent="0.2">
      <c r="H15598" s="1"/>
      <c r="I15598" s="1"/>
    </row>
    <row r="15599" spans="8:9" x14ac:dyDescent="0.2">
      <c r="H15599" s="1"/>
      <c r="I15599" s="1"/>
    </row>
    <row r="15600" spans="8:9" x14ac:dyDescent="0.2">
      <c r="H15600" s="1"/>
      <c r="I15600" s="1"/>
    </row>
    <row r="15601" spans="8:9" x14ac:dyDescent="0.2">
      <c r="H15601" s="1"/>
      <c r="I15601" s="1"/>
    </row>
    <row r="15602" spans="8:9" x14ac:dyDescent="0.2">
      <c r="H15602" s="1"/>
      <c r="I15602" s="1"/>
    </row>
    <row r="15603" spans="8:9" x14ac:dyDescent="0.2">
      <c r="H15603" s="1"/>
      <c r="I15603" s="1"/>
    </row>
    <row r="15604" spans="8:9" x14ac:dyDescent="0.2">
      <c r="H15604" s="1"/>
      <c r="I15604" s="1"/>
    </row>
    <row r="15605" spans="8:9" x14ac:dyDescent="0.2">
      <c r="H15605" s="1"/>
      <c r="I15605" s="1"/>
    </row>
    <row r="15606" spans="8:9" x14ac:dyDescent="0.2">
      <c r="H15606" s="1"/>
      <c r="I15606" s="1"/>
    </row>
    <row r="15607" spans="8:9" x14ac:dyDescent="0.2">
      <c r="H15607" s="1"/>
      <c r="I15607" s="1"/>
    </row>
    <row r="15608" spans="8:9" x14ac:dyDescent="0.2">
      <c r="H15608" s="1"/>
      <c r="I15608" s="1"/>
    </row>
    <row r="15609" spans="8:9" x14ac:dyDescent="0.2">
      <c r="H15609" s="1"/>
      <c r="I15609" s="1"/>
    </row>
    <row r="15610" spans="8:9" x14ac:dyDescent="0.2">
      <c r="H15610" s="1"/>
      <c r="I15610" s="1"/>
    </row>
    <row r="15611" spans="8:9" x14ac:dyDescent="0.2">
      <c r="H15611" s="1"/>
      <c r="I15611" s="1"/>
    </row>
    <row r="15612" spans="8:9" x14ac:dyDescent="0.2">
      <c r="H15612" s="1"/>
      <c r="I15612" s="1"/>
    </row>
    <row r="15613" spans="8:9" x14ac:dyDescent="0.2">
      <c r="H15613" s="1"/>
      <c r="I15613" s="1"/>
    </row>
    <row r="15614" spans="8:9" x14ac:dyDescent="0.2">
      <c r="H15614" s="1"/>
      <c r="I15614" s="1"/>
    </row>
    <row r="15615" spans="8:9" x14ac:dyDescent="0.2">
      <c r="H15615" s="1"/>
      <c r="I15615" s="1"/>
    </row>
    <row r="15616" spans="8:9" x14ac:dyDescent="0.2">
      <c r="H15616" s="1"/>
      <c r="I15616" s="1"/>
    </row>
    <row r="15617" spans="8:9" x14ac:dyDescent="0.2">
      <c r="H15617" s="1"/>
      <c r="I15617" s="1"/>
    </row>
    <row r="15618" spans="8:9" x14ac:dyDescent="0.2">
      <c r="H15618" s="1"/>
      <c r="I15618" s="1"/>
    </row>
    <row r="15619" spans="8:9" x14ac:dyDescent="0.2">
      <c r="H15619" s="1"/>
      <c r="I15619" s="1"/>
    </row>
    <row r="15620" spans="8:9" x14ac:dyDescent="0.2">
      <c r="H15620" s="1"/>
      <c r="I15620" s="1"/>
    </row>
    <row r="15621" spans="8:9" x14ac:dyDescent="0.2">
      <c r="H15621" s="1"/>
      <c r="I15621" s="1"/>
    </row>
    <row r="15622" spans="8:9" x14ac:dyDescent="0.2">
      <c r="H15622" s="1"/>
      <c r="I15622" s="1"/>
    </row>
    <row r="15623" spans="8:9" x14ac:dyDescent="0.2">
      <c r="H15623" s="1"/>
      <c r="I15623" s="1"/>
    </row>
    <row r="15624" spans="8:9" x14ac:dyDescent="0.2">
      <c r="H15624" s="1"/>
      <c r="I15624" s="1"/>
    </row>
    <row r="15625" spans="8:9" x14ac:dyDescent="0.2">
      <c r="H15625" s="1"/>
      <c r="I15625" s="1"/>
    </row>
    <row r="15626" spans="8:9" x14ac:dyDescent="0.2">
      <c r="H15626" s="1"/>
      <c r="I15626" s="1"/>
    </row>
    <row r="15627" spans="8:9" x14ac:dyDescent="0.2">
      <c r="H15627" s="1"/>
      <c r="I15627" s="1"/>
    </row>
    <row r="15628" spans="8:9" x14ac:dyDescent="0.2">
      <c r="H15628" s="1"/>
      <c r="I15628" s="1"/>
    </row>
    <row r="15629" spans="8:9" x14ac:dyDescent="0.2">
      <c r="H15629" s="1"/>
      <c r="I15629" s="1"/>
    </row>
    <row r="15630" spans="8:9" x14ac:dyDescent="0.2">
      <c r="H15630" s="1"/>
      <c r="I15630" s="1"/>
    </row>
    <row r="15631" spans="8:9" x14ac:dyDescent="0.2">
      <c r="H15631" s="1"/>
      <c r="I15631" s="1"/>
    </row>
    <row r="15632" spans="8:9" x14ac:dyDescent="0.2">
      <c r="H15632" s="1"/>
      <c r="I15632" s="1"/>
    </row>
    <row r="15633" spans="8:9" x14ac:dyDescent="0.2">
      <c r="H15633" s="1"/>
      <c r="I15633" s="1"/>
    </row>
    <row r="15634" spans="8:9" x14ac:dyDescent="0.2">
      <c r="H15634" s="1"/>
      <c r="I15634" s="1"/>
    </row>
    <row r="15635" spans="8:9" x14ac:dyDescent="0.2">
      <c r="H15635" s="1"/>
      <c r="I15635" s="1"/>
    </row>
    <row r="15636" spans="8:9" x14ac:dyDescent="0.2">
      <c r="H15636" s="1"/>
      <c r="I15636" s="1"/>
    </row>
    <row r="15637" spans="8:9" x14ac:dyDescent="0.2">
      <c r="H15637" s="1"/>
      <c r="I15637" s="1"/>
    </row>
    <row r="15638" spans="8:9" x14ac:dyDescent="0.2">
      <c r="H15638" s="1"/>
      <c r="I15638" s="1"/>
    </row>
    <row r="15639" spans="8:9" x14ac:dyDescent="0.2">
      <c r="H15639" s="1"/>
      <c r="I15639" s="1"/>
    </row>
    <row r="15640" spans="8:9" x14ac:dyDescent="0.2">
      <c r="H15640" s="1"/>
      <c r="I15640" s="1"/>
    </row>
    <row r="15641" spans="8:9" x14ac:dyDescent="0.2">
      <c r="H15641" s="1"/>
      <c r="I15641" s="1"/>
    </row>
    <row r="15642" spans="8:9" x14ac:dyDescent="0.2">
      <c r="H15642" s="1"/>
      <c r="I15642" s="1"/>
    </row>
    <row r="15643" spans="8:9" x14ac:dyDescent="0.2">
      <c r="H15643" s="1"/>
      <c r="I15643" s="1"/>
    </row>
    <row r="15644" spans="8:9" x14ac:dyDescent="0.2">
      <c r="H15644" s="1"/>
      <c r="I15644" s="1"/>
    </row>
    <row r="15645" spans="8:9" x14ac:dyDescent="0.2">
      <c r="H15645" s="1"/>
      <c r="I15645" s="1"/>
    </row>
    <row r="15646" spans="8:9" x14ac:dyDescent="0.2">
      <c r="H15646" s="1"/>
      <c r="I15646" s="1"/>
    </row>
    <row r="15647" spans="8:9" x14ac:dyDescent="0.2">
      <c r="H15647" s="1"/>
      <c r="I15647" s="1"/>
    </row>
    <row r="15648" spans="8:9" x14ac:dyDescent="0.2">
      <c r="H15648" s="1"/>
      <c r="I15648" s="1"/>
    </row>
    <row r="15649" spans="8:9" x14ac:dyDescent="0.2">
      <c r="H15649" s="1"/>
      <c r="I15649" s="1"/>
    </row>
    <row r="15650" spans="8:9" x14ac:dyDescent="0.2">
      <c r="H15650" s="1"/>
      <c r="I15650" s="1"/>
    </row>
    <row r="15651" spans="8:9" x14ac:dyDescent="0.2">
      <c r="H15651" s="1"/>
      <c r="I15651" s="1"/>
    </row>
    <row r="15652" spans="8:9" x14ac:dyDescent="0.2">
      <c r="H15652" s="1"/>
      <c r="I15652" s="1"/>
    </row>
    <row r="15653" spans="8:9" x14ac:dyDescent="0.2">
      <c r="H15653" s="1"/>
      <c r="I15653" s="1"/>
    </row>
    <row r="15654" spans="8:9" x14ac:dyDescent="0.2">
      <c r="H15654" s="1"/>
      <c r="I15654" s="1"/>
    </row>
    <row r="15655" spans="8:9" x14ac:dyDescent="0.2">
      <c r="H15655" s="1"/>
      <c r="I15655" s="1"/>
    </row>
    <row r="15656" spans="8:9" x14ac:dyDescent="0.2">
      <c r="H15656" s="1"/>
      <c r="I15656" s="1"/>
    </row>
    <row r="15657" spans="8:9" x14ac:dyDescent="0.2">
      <c r="H15657" s="1"/>
      <c r="I15657" s="1"/>
    </row>
    <row r="15658" spans="8:9" x14ac:dyDescent="0.2">
      <c r="H15658" s="1"/>
      <c r="I15658" s="1"/>
    </row>
    <row r="15659" spans="8:9" x14ac:dyDescent="0.2">
      <c r="H15659" s="1"/>
      <c r="I15659" s="1"/>
    </row>
    <row r="15660" spans="8:9" x14ac:dyDescent="0.2">
      <c r="H15660" s="1"/>
      <c r="I15660" s="1"/>
    </row>
    <row r="15661" spans="8:9" x14ac:dyDescent="0.2">
      <c r="H15661" s="1"/>
      <c r="I15661" s="1"/>
    </row>
    <row r="15662" spans="8:9" x14ac:dyDescent="0.2">
      <c r="H15662" s="1"/>
      <c r="I15662" s="1"/>
    </row>
    <row r="15663" spans="8:9" x14ac:dyDescent="0.2">
      <c r="H15663" s="1"/>
      <c r="I15663" s="1"/>
    </row>
    <row r="15664" spans="8:9" x14ac:dyDescent="0.2">
      <c r="H15664" s="1"/>
      <c r="I15664" s="1"/>
    </row>
    <row r="15665" spans="8:9" x14ac:dyDescent="0.2">
      <c r="H15665" s="1"/>
      <c r="I15665" s="1"/>
    </row>
    <row r="15666" spans="8:9" x14ac:dyDescent="0.2">
      <c r="H15666" s="1"/>
      <c r="I15666" s="1"/>
    </row>
    <row r="15667" spans="8:9" x14ac:dyDescent="0.2">
      <c r="H15667" s="1"/>
      <c r="I15667" s="1"/>
    </row>
    <row r="15668" spans="8:9" x14ac:dyDescent="0.2">
      <c r="H15668" s="1"/>
      <c r="I15668" s="1"/>
    </row>
    <row r="15669" spans="8:9" x14ac:dyDescent="0.2">
      <c r="H15669" s="1"/>
      <c r="I15669" s="1"/>
    </row>
    <row r="15670" spans="8:9" x14ac:dyDescent="0.2">
      <c r="H15670" s="1"/>
      <c r="I15670" s="1"/>
    </row>
    <row r="15671" spans="8:9" x14ac:dyDescent="0.2">
      <c r="H15671" s="1"/>
      <c r="I15671" s="1"/>
    </row>
    <row r="15672" spans="8:9" x14ac:dyDescent="0.2">
      <c r="H15672" s="1"/>
      <c r="I15672" s="1"/>
    </row>
    <row r="15673" spans="8:9" x14ac:dyDescent="0.2">
      <c r="H15673" s="1"/>
      <c r="I15673" s="1"/>
    </row>
    <row r="15674" spans="8:9" x14ac:dyDescent="0.2">
      <c r="H15674" s="1"/>
      <c r="I15674" s="1"/>
    </row>
    <row r="15675" spans="8:9" x14ac:dyDescent="0.2">
      <c r="H15675" s="1"/>
      <c r="I15675" s="1"/>
    </row>
    <row r="15676" spans="8:9" x14ac:dyDescent="0.2">
      <c r="H15676" s="1"/>
      <c r="I15676" s="1"/>
    </row>
    <row r="15677" spans="8:9" x14ac:dyDescent="0.2">
      <c r="H15677" s="1"/>
      <c r="I15677" s="1"/>
    </row>
    <row r="15678" spans="8:9" x14ac:dyDescent="0.2">
      <c r="H15678" s="1"/>
      <c r="I15678" s="1"/>
    </row>
    <row r="15679" spans="8:9" x14ac:dyDescent="0.2">
      <c r="H15679" s="1"/>
      <c r="I15679" s="1"/>
    </row>
    <row r="15680" spans="8:9" x14ac:dyDescent="0.2">
      <c r="H15680" s="1"/>
      <c r="I15680" s="1"/>
    </row>
    <row r="15681" spans="8:9" x14ac:dyDescent="0.2">
      <c r="H15681" s="1"/>
      <c r="I15681" s="1"/>
    </row>
    <row r="15682" spans="8:9" x14ac:dyDescent="0.2">
      <c r="H15682" s="1"/>
      <c r="I15682" s="1"/>
    </row>
    <row r="15683" spans="8:9" x14ac:dyDescent="0.2">
      <c r="H15683" s="1"/>
      <c r="I15683" s="1"/>
    </row>
    <row r="15684" spans="8:9" x14ac:dyDescent="0.2">
      <c r="H15684" s="1"/>
      <c r="I15684" s="1"/>
    </row>
    <row r="15685" spans="8:9" x14ac:dyDescent="0.2">
      <c r="H15685" s="1"/>
      <c r="I15685" s="1"/>
    </row>
    <row r="15686" spans="8:9" x14ac:dyDescent="0.2">
      <c r="H15686" s="1"/>
      <c r="I15686" s="1"/>
    </row>
    <row r="15687" spans="8:9" x14ac:dyDescent="0.2">
      <c r="H15687" s="1"/>
      <c r="I15687" s="1"/>
    </row>
    <row r="15688" spans="8:9" x14ac:dyDescent="0.2">
      <c r="H15688" s="1"/>
      <c r="I15688" s="1"/>
    </row>
    <row r="15689" spans="8:9" x14ac:dyDescent="0.2">
      <c r="H15689" s="1"/>
      <c r="I15689" s="1"/>
    </row>
    <row r="15690" spans="8:9" x14ac:dyDescent="0.2">
      <c r="H15690" s="1"/>
      <c r="I15690" s="1"/>
    </row>
    <row r="15691" spans="8:9" x14ac:dyDescent="0.2">
      <c r="H15691" s="1"/>
      <c r="I15691" s="1"/>
    </row>
    <row r="15692" spans="8:9" x14ac:dyDescent="0.2">
      <c r="H15692" s="1"/>
      <c r="I15692" s="1"/>
    </row>
    <row r="15693" spans="8:9" x14ac:dyDescent="0.2">
      <c r="H15693" s="1"/>
      <c r="I15693" s="1"/>
    </row>
    <row r="15694" spans="8:9" x14ac:dyDescent="0.2">
      <c r="H15694" s="1"/>
      <c r="I15694" s="1"/>
    </row>
    <row r="15695" spans="8:9" x14ac:dyDescent="0.2">
      <c r="H15695" s="1"/>
      <c r="I15695" s="1"/>
    </row>
    <row r="15696" spans="8:9" x14ac:dyDescent="0.2">
      <c r="H15696" s="1"/>
      <c r="I15696" s="1"/>
    </row>
    <row r="15697" spans="8:9" x14ac:dyDescent="0.2">
      <c r="H15697" s="1"/>
      <c r="I15697" s="1"/>
    </row>
    <row r="15698" spans="8:9" x14ac:dyDescent="0.2">
      <c r="H15698" s="1"/>
      <c r="I15698" s="1"/>
    </row>
    <row r="15699" spans="8:9" x14ac:dyDescent="0.2">
      <c r="H15699" s="1"/>
      <c r="I15699" s="1"/>
    </row>
    <row r="15700" spans="8:9" x14ac:dyDescent="0.2">
      <c r="H15700" s="1"/>
      <c r="I15700" s="1"/>
    </row>
    <row r="15701" spans="8:9" x14ac:dyDescent="0.2">
      <c r="H15701" s="1"/>
      <c r="I15701" s="1"/>
    </row>
    <row r="15702" spans="8:9" x14ac:dyDescent="0.2">
      <c r="H15702" s="1"/>
      <c r="I15702" s="1"/>
    </row>
    <row r="15703" spans="8:9" x14ac:dyDescent="0.2">
      <c r="H15703" s="1"/>
      <c r="I15703" s="1"/>
    </row>
    <row r="15704" spans="8:9" x14ac:dyDescent="0.2">
      <c r="H15704" s="1"/>
      <c r="I15704" s="1"/>
    </row>
    <row r="15705" spans="8:9" x14ac:dyDescent="0.2">
      <c r="H15705" s="1"/>
      <c r="I15705" s="1"/>
    </row>
    <row r="15706" spans="8:9" x14ac:dyDescent="0.2">
      <c r="H15706" s="1"/>
      <c r="I15706" s="1"/>
    </row>
    <row r="15707" spans="8:9" x14ac:dyDescent="0.2">
      <c r="H15707" s="1"/>
      <c r="I15707" s="1"/>
    </row>
    <row r="15708" spans="8:9" x14ac:dyDescent="0.2">
      <c r="H15708" s="1"/>
      <c r="I15708" s="1"/>
    </row>
    <row r="15709" spans="8:9" x14ac:dyDescent="0.2">
      <c r="H15709" s="1"/>
      <c r="I15709" s="1"/>
    </row>
    <row r="15710" spans="8:9" x14ac:dyDescent="0.2">
      <c r="H15710" s="1"/>
      <c r="I15710" s="1"/>
    </row>
    <row r="15711" spans="8:9" x14ac:dyDescent="0.2">
      <c r="H15711" s="1"/>
      <c r="I15711" s="1"/>
    </row>
    <row r="15712" spans="8:9" x14ac:dyDescent="0.2">
      <c r="H15712" s="1"/>
      <c r="I15712" s="1"/>
    </row>
    <row r="15713" spans="8:9" x14ac:dyDescent="0.2">
      <c r="H15713" s="1"/>
      <c r="I15713" s="1"/>
    </row>
    <row r="15714" spans="8:9" x14ac:dyDescent="0.2">
      <c r="H15714" s="1"/>
      <c r="I15714" s="1"/>
    </row>
    <row r="15715" spans="8:9" x14ac:dyDescent="0.2">
      <c r="H15715" s="1"/>
      <c r="I15715" s="1"/>
    </row>
    <row r="15716" spans="8:9" x14ac:dyDescent="0.2">
      <c r="H15716" s="1"/>
      <c r="I15716" s="1"/>
    </row>
    <row r="15717" spans="8:9" x14ac:dyDescent="0.2">
      <c r="H15717" s="1"/>
      <c r="I15717" s="1"/>
    </row>
    <row r="15718" spans="8:9" x14ac:dyDescent="0.2">
      <c r="H15718" s="1"/>
      <c r="I15718" s="1"/>
    </row>
    <row r="15719" spans="8:9" x14ac:dyDescent="0.2">
      <c r="H15719" s="1"/>
      <c r="I15719" s="1"/>
    </row>
    <row r="15720" spans="8:9" x14ac:dyDescent="0.2">
      <c r="H15720" s="1"/>
      <c r="I15720" s="1"/>
    </row>
    <row r="15721" spans="8:9" x14ac:dyDescent="0.2">
      <c r="H15721" s="1"/>
      <c r="I15721" s="1"/>
    </row>
    <row r="15722" spans="8:9" x14ac:dyDescent="0.2">
      <c r="H15722" s="1"/>
      <c r="I15722" s="1"/>
    </row>
    <row r="15723" spans="8:9" x14ac:dyDescent="0.2">
      <c r="H15723" s="1"/>
      <c r="I15723" s="1"/>
    </row>
    <row r="15724" spans="8:9" x14ac:dyDescent="0.2">
      <c r="H15724" s="1"/>
      <c r="I15724" s="1"/>
    </row>
    <row r="15725" spans="8:9" x14ac:dyDescent="0.2">
      <c r="H15725" s="1"/>
      <c r="I15725" s="1"/>
    </row>
    <row r="15726" spans="8:9" x14ac:dyDescent="0.2">
      <c r="H15726" s="1"/>
      <c r="I15726" s="1"/>
    </row>
    <row r="15727" spans="8:9" x14ac:dyDescent="0.2">
      <c r="H15727" s="1"/>
      <c r="I15727" s="1"/>
    </row>
    <row r="15728" spans="8:9" x14ac:dyDescent="0.2">
      <c r="H15728" s="1"/>
      <c r="I15728" s="1"/>
    </row>
    <row r="15729" spans="8:9" x14ac:dyDescent="0.2">
      <c r="H15729" s="1"/>
      <c r="I15729" s="1"/>
    </row>
    <row r="15730" spans="8:9" x14ac:dyDescent="0.2">
      <c r="H15730" s="1"/>
      <c r="I15730" s="1"/>
    </row>
    <row r="15731" spans="8:9" x14ac:dyDescent="0.2">
      <c r="H15731" s="1"/>
      <c r="I15731" s="1"/>
    </row>
    <row r="15732" spans="8:9" x14ac:dyDescent="0.2">
      <c r="H15732" s="1"/>
      <c r="I15732" s="1"/>
    </row>
    <row r="15733" spans="8:9" x14ac:dyDescent="0.2">
      <c r="H15733" s="1"/>
      <c r="I15733" s="1"/>
    </row>
    <row r="15734" spans="8:9" x14ac:dyDescent="0.2">
      <c r="H15734" s="1"/>
      <c r="I15734" s="1"/>
    </row>
    <row r="15735" spans="8:9" x14ac:dyDescent="0.2">
      <c r="H15735" s="1"/>
      <c r="I15735" s="1"/>
    </row>
    <row r="15736" spans="8:9" x14ac:dyDescent="0.2">
      <c r="H15736" s="1"/>
      <c r="I15736" s="1"/>
    </row>
    <row r="15737" spans="8:9" x14ac:dyDescent="0.2">
      <c r="H15737" s="1"/>
      <c r="I15737" s="1"/>
    </row>
    <row r="15738" spans="8:9" x14ac:dyDescent="0.2">
      <c r="H15738" s="1"/>
      <c r="I15738" s="1"/>
    </row>
    <row r="15739" spans="8:9" x14ac:dyDescent="0.2">
      <c r="H15739" s="1"/>
      <c r="I15739" s="1"/>
    </row>
    <row r="15740" spans="8:9" x14ac:dyDescent="0.2">
      <c r="H15740" s="1"/>
      <c r="I15740" s="1"/>
    </row>
    <row r="15741" spans="8:9" x14ac:dyDescent="0.2">
      <c r="H15741" s="1"/>
      <c r="I15741" s="1"/>
    </row>
    <row r="15742" spans="8:9" x14ac:dyDescent="0.2">
      <c r="H15742" s="1"/>
      <c r="I15742" s="1"/>
    </row>
    <row r="15743" spans="8:9" x14ac:dyDescent="0.2">
      <c r="H15743" s="1"/>
      <c r="I15743" s="1"/>
    </row>
    <row r="15744" spans="8:9" x14ac:dyDescent="0.2">
      <c r="H15744" s="1"/>
      <c r="I15744" s="1"/>
    </row>
    <row r="15745" spans="8:9" x14ac:dyDescent="0.2">
      <c r="H15745" s="1"/>
      <c r="I15745" s="1"/>
    </row>
    <row r="15746" spans="8:9" x14ac:dyDescent="0.2">
      <c r="H15746" s="1"/>
      <c r="I15746" s="1"/>
    </row>
    <row r="15747" spans="8:9" x14ac:dyDescent="0.2">
      <c r="H15747" s="1"/>
      <c r="I15747" s="1"/>
    </row>
    <row r="15748" spans="8:9" x14ac:dyDescent="0.2">
      <c r="H15748" s="1"/>
      <c r="I15748" s="1"/>
    </row>
    <row r="15749" spans="8:9" x14ac:dyDescent="0.2">
      <c r="H15749" s="1"/>
      <c r="I15749" s="1"/>
    </row>
    <row r="15750" spans="8:9" x14ac:dyDescent="0.2">
      <c r="H15750" s="1"/>
      <c r="I15750" s="1"/>
    </row>
    <row r="15751" spans="8:9" x14ac:dyDescent="0.2">
      <c r="H15751" s="1"/>
      <c r="I15751" s="1"/>
    </row>
    <row r="15752" spans="8:9" x14ac:dyDescent="0.2">
      <c r="H15752" s="1"/>
      <c r="I15752" s="1"/>
    </row>
    <row r="15753" spans="8:9" x14ac:dyDescent="0.2">
      <c r="H15753" s="1"/>
      <c r="I15753" s="1"/>
    </row>
    <row r="15754" spans="8:9" x14ac:dyDescent="0.2">
      <c r="H15754" s="1"/>
      <c r="I15754" s="1"/>
    </row>
    <row r="15755" spans="8:9" x14ac:dyDescent="0.2">
      <c r="H15755" s="1"/>
      <c r="I15755" s="1"/>
    </row>
    <row r="15756" spans="8:9" x14ac:dyDescent="0.2">
      <c r="H15756" s="1"/>
      <c r="I15756" s="1"/>
    </row>
    <row r="15757" spans="8:9" x14ac:dyDescent="0.2">
      <c r="H15757" s="1"/>
      <c r="I15757" s="1"/>
    </row>
    <row r="15758" spans="8:9" x14ac:dyDescent="0.2">
      <c r="H15758" s="1"/>
      <c r="I15758" s="1"/>
    </row>
    <row r="15759" spans="8:9" x14ac:dyDescent="0.2">
      <c r="H15759" s="1"/>
      <c r="I15759" s="1"/>
    </row>
    <row r="15760" spans="8:9" x14ac:dyDescent="0.2">
      <c r="H15760" s="1"/>
      <c r="I15760" s="1"/>
    </row>
    <row r="15761" spans="8:9" x14ac:dyDescent="0.2">
      <c r="H15761" s="1"/>
      <c r="I15761" s="1"/>
    </row>
    <row r="15762" spans="8:9" x14ac:dyDescent="0.2">
      <c r="H15762" s="1"/>
      <c r="I15762" s="1"/>
    </row>
    <row r="15763" spans="8:9" x14ac:dyDescent="0.2">
      <c r="H15763" s="1"/>
      <c r="I15763" s="1"/>
    </row>
    <row r="15764" spans="8:9" x14ac:dyDescent="0.2">
      <c r="H15764" s="1"/>
      <c r="I15764" s="1"/>
    </row>
    <row r="15765" spans="8:9" x14ac:dyDescent="0.2">
      <c r="H15765" s="1"/>
      <c r="I15765" s="1"/>
    </row>
    <row r="15766" spans="8:9" x14ac:dyDescent="0.2">
      <c r="H15766" s="1"/>
      <c r="I15766" s="1"/>
    </row>
    <row r="15767" spans="8:9" x14ac:dyDescent="0.2">
      <c r="H15767" s="1"/>
      <c r="I15767" s="1"/>
    </row>
    <row r="15768" spans="8:9" x14ac:dyDescent="0.2">
      <c r="H15768" s="1"/>
      <c r="I15768" s="1"/>
    </row>
    <row r="15769" spans="8:9" x14ac:dyDescent="0.2">
      <c r="H15769" s="1"/>
      <c r="I15769" s="1"/>
    </row>
    <row r="15770" spans="8:9" x14ac:dyDescent="0.2">
      <c r="H15770" s="1"/>
      <c r="I15770" s="1"/>
    </row>
    <row r="15771" spans="8:9" x14ac:dyDescent="0.2">
      <c r="H15771" s="1"/>
      <c r="I15771" s="1"/>
    </row>
    <row r="15772" spans="8:9" x14ac:dyDescent="0.2">
      <c r="H15772" s="1"/>
      <c r="I15772" s="1"/>
    </row>
    <row r="15773" spans="8:9" x14ac:dyDescent="0.2">
      <c r="H15773" s="1"/>
      <c r="I15773" s="1"/>
    </row>
    <row r="15774" spans="8:9" x14ac:dyDescent="0.2">
      <c r="H15774" s="1"/>
      <c r="I15774" s="1"/>
    </row>
    <row r="15775" spans="8:9" x14ac:dyDescent="0.2">
      <c r="H15775" s="1"/>
      <c r="I15775" s="1"/>
    </row>
    <row r="15776" spans="8:9" x14ac:dyDescent="0.2">
      <c r="H15776" s="1"/>
      <c r="I15776" s="1"/>
    </row>
    <row r="15777" spans="8:9" x14ac:dyDescent="0.2">
      <c r="H15777" s="1"/>
      <c r="I15777" s="1"/>
    </row>
    <row r="15778" spans="8:9" x14ac:dyDescent="0.2">
      <c r="H15778" s="1"/>
      <c r="I15778" s="1"/>
    </row>
    <row r="15779" spans="8:9" x14ac:dyDescent="0.2">
      <c r="H15779" s="1"/>
      <c r="I15779" s="1"/>
    </row>
    <row r="15780" spans="8:9" x14ac:dyDescent="0.2">
      <c r="H15780" s="1"/>
      <c r="I15780" s="1"/>
    </row>
    <row r="15781" spans="8:9" x14ac:dyDescent="0.2">
      <c r="H15781" s="1"/>
      <c r="I15781" s="1"/>
    </row>
    <row r="15782" spans="8:9" x14ac:dyDescent="0.2">
      <c r="H15782" s="1"/>
      <c r="I15782" s="1"/>
    </row>
    <row r="15783" spans="8:9" x14ac:dyDescent="0.2">
      <c r="H15783" s="1"/>
      <c r="I15783" s="1"/>
    </row>
    <row r="15784" spans="8:9" x14ac:dyDescent="0.2">
      <c r="H15784" s="1"/>
      <c r="I15784" s="1"/>
    </row>
    <row r="15785" spans="8:9" x14ac:dyDescent="0.2">
      <c r="H15785" s="1"/>
      <c r="I15785" s="1"/>
    </row>
    <row r="15786" spans="8:9" x14ac:dyDescent="0.2">
      <c r="H15786" s="1"/>
      <c r="I15786" s="1"/>
    </row>
    <row r="15787" spans="8:9" x14ac:dyDescent="0.2">
      <c r="H15787" s="1"/>
      <c r="I15787" s="1"/>
    </row>
    <row r="15788" spans="8:9" x14ac:dyDescent="0.2">
      <c r="H15788" s="1"/>
      <c r="I15788" s="1"/>
    </row>
    <row r="15789" spans="8:9" x14ac:dyDescent="0.2">
      <c r="H15789" s="1"/>
      <c r="I15789" s="1"/>
    </row>
    <row r="15790" spans="8:9" x14ac:dyDescent="0.2">
      <c r="H15790" s="1"/>
      <c r="I15790" s="1"/>
    </row>
    <row r="15791" spans="8:9" x14ac:dyDescent="0.2">
      <c r="H15791" s="1"/>
      <c r="I15791" s="1"/>
    </row>
    <row r="15792" spans="8:9" x14ac:dyDescent="0.2">
      <c r="H15792" s="1"/>
      <c r="I15792" s="1"/>
    </row>
    <row r="15793" spans="8:9" x14ac:dyDescent="0.2">
      <c r="H15793" s="1"/>
      <c r="I15793" s="1"/>
    </row>
    <row r="15794" spans="8:9" x14ac:dyDescent="0.2">
      <c r="H15794" s="1"/>
      <c r="I15794" s="1"/>
    </row>
    <row r="15795" spans="8:9" x14ac:dyDescent="0.2">
      <c r="H15795" s="1"/>
      <c r="I15795" s="1"/>
    </row>
    <row r="15796" spans="8:9" x14ac:dyDescent="0.2">
      <c r="H15796" s="1"/>
      <c r="I15796" s="1"/>
    </row>
    <row r="15797" spans="8:9" x14ac:dyDescent="0.2">
      <c r="H15797" s="1"/>
      <c r="I15797" s="1"/>
    </row>
    <row r="15798" spans="8:9" x14ac:dyDescent="0.2">
      <c r="H15798" s="1"/>
      <c r="I15798" s="1"/>
    </row>
    <row r="15799" spans="8:9" x14ac:dyDescent="0.2">
      <c r="H15799" s="1"/>
      <c r="I15799" s="1"/>
    </row>
    <row r="15800" spans="8:9" x14ac:dyDescent="0.2">
      <c r="H15800" s="1"/>
      <c r="I15800" s="1"/>
    </row>
    <row r="15801" spans="8:9" x14ac:dyDescent="0.2">
      <c r="H15801" s="1"/>
      <c r="I15801" s="1"/>
    </row>
    <row r="15802" spans="8:9" x14ac:dyDescent="0.2">
      <c r="H15802" s="1"/>
      <c r="I15802" s="1"/>
    </row>
    <row r="15803" spans="8:9" x14ac:dyDescent="0.2">
      <c r="H15803" s="1"/>
      <c r="I15803" s="1"/>
    </row>
    <row r="15804" spans="8:9" x14ac:dyDescent="0.2">
      <c r="H15804" s="1"/>
      <c r="I15804" s="1"/>
    </row>
    <row r="15805" spans="8:9" x14ac:dyDescent="0.2">
      <c r="H15805" s="1"/>
      <c r="I15805" s="1"/>
    </row>
    <row r="15806" spans="8:9" x14ac:dyDescent="0.2">
      <c r="H15806" s="1"/>
      <c r="I15806" s="1"/>
    </row>
    <row r="15807" spans="8:9" x14ac:dyDescent="0.2">
      <c r="H15807" s="1"/>
      <c r="I15807" s="1"/>
    </row>
    <row r="15808" spans="8:9" x14ac:dyDescent="0.2">
      <c r="H15808" s="1"/>
      <c r="I15808" s="1"/>
    </row>
    <row r="15809" spans="8:9" x14ac:dyDescent="0.2">
      <c r="H15809" s="1"/>
      <c r="I15809" s="1"/>
    </row>
    <row r="15810" spans="8:9" x14ac:dyDescent="0.2">
      <c r="H15810" s="1"/>
      <c r="I15810" s="1"/>
    </row>
    <row r="15811" spans="8:9" x14ac:dyDescent="0.2">
      <c r="H15811" s="1"/>
      <c r="I15811" s="1"/>
    </row>
    <row r="15812" spans="8:9" x14ac:dyDescent="0.2">
      <c r="H15812" s="1"/>
      <c r="I15812" s="1"/>
    </row>
    <row r="15813" spans="8:9" x14ac:dyDescent="0.2">
      <c r="H15813" s="1"/>
      <c r="I15813" s="1"/>
    </row>
    <row r="15814" spans="8:9" x14ac:dyDescent="0.2">
      <c r="H15814" s="1"/>
      <c r="I15814" s="1"/>
    </row>
    <row r="15815" spans="8:9" x14ac:dyDescent="0.2">
      <c r="H15815" s="1"/>
      <c r="I15815" s="1"/>
    </row>
    <row r="15816" spans="8:9" x14ac:dyDescent="0.2">
      <c r="H15816" s="1"/>
      <c r="I15816" s="1"/>
    </row>
    <row r="15817" spans="8:9" x14ac:dyDescent="0.2">
      <c r="H15817" s="1"/>
      <c r="I15817" s="1"/>
    </row>
    <row r="15818" spans="8:9" x14ac:dyDescent="0.2">
      <c r="H15818" s="1"/>
      <c r="I15818" s="1"/>
    </row>
    <row r="15819" spans="8:9" x14ac:dyDescent="0.2">
      <c r="H15819" s="1"/>
      <c r="I15819" s="1"/>
    </row>
    <row r="15820" spans="8:9" x14ac:dyDescent="0.2">
      <c r="H15820" s="1"/>
      <c r="I15820" s="1"/>
    </row>
    <row r="15821" spans="8:9" x14ac:dyDescent="0.2">
      <c r="H15821" s="1"/>
      <c r="I15821" s="1"/>
    </row>
    <row r="15822" spans="8:9" x14ac:dyDescent="0.2">
      <c r="H15822" s="1"/>
      <c r="I15822" s="1"/>
    </row>
    <row r="15823" spans="8:9" x14ac:dyDescent="0.2">
      <c r="H15823" s="1"/>
      <c r="I15823" s="1"/>
    </row>
    <row r="15824" spans="8:9" x14ac:dyDescent="0.2">
      <c r="H15824" s="1"/>
      <c r="I15824" s="1"/>
    </row>
    <row r="15825" spans="8:9" x14ac:dyDescent="0.2">
      <c r="H15825" s="1"/>
      <c r="I15825" s="1"/>
    </row>
    <row r="15826" spans="8:9" x14ac:dyDescent="0.2">
      <c r="H15826" s="1"/>
      <c r="I15826" s="1"/>
    </row>
    <row r="15827" spans="8:9" x14ac:dyDescent="0.2">
      <c r="H15827" s="1"/>
      <c r="I15827" s="1"/>
    </row>
    <row r="15828" spans="8:9" x14ac:dyDescent="0.2">
      <c r="H15828" s="1"/>
      <c r="I15828" s="1"/>
    </row>
    <row r="15829" spans="8:9" x14ac:dyDescent="0.2">
      <c r="H15829" s="1"/>
      <c r="I15829" s="1"/>
    </row>
    <row r="15830" spans="8:9" x14ac:dyDescent="0.2">
      <c r="H15830" s="1"/>
      <c r="I15830" s="1"/>
    </row>
    <row r="15831" spans="8:9" x14ac:dyDescent="0.2">
      <c r="H15831" s="1"/>
      <c r="I15831" s="1"/>
    </row>
    <row r="15832" spans="8:9" x14ac:dyDescent="0.2">
      <c r="H15832" s="1"/>
      <c r="I15832" s="1"/>
    </row>
    <row r="15833" spans="8:9" x14ac:dyDescent="0.2">
      <c r="H15833" s="1"/>
      <c r="I15833" s="1"/>
    </row>
    <row r="15834" spans="8:9" x14ac:dyDescent="0.2">
      <c r="H15834" s="1"/>
      <c r="I15834" s="1"/>
    </row>
    <row r="15835" spans="8:9" x14ac:dyDescent="0.2">
      <c r="H15835" s="1"/>
      <c r="I15835" s="1"/>
    </row>
    <row r="15836" spans="8:9" x14ac:dyDescent="0.2">
      <c r="H15836" s="1"/>
      <c r="I15836" s="1"/>
    </row>
    <row r="15837" spans="8:9" x14ac:dyDescent="0.2">
      <c r="H15837" s="1"/>
      <c r="I15837" s="1"/>
    </row>
    <row r="15838" spans="8:9" x14ac:dyDescent="0.2">
      <c r="H15838" s="1"/>
      <c r="I15838" s="1"/>
    </row>
    <row r="15839" spans="8:9" x14ac:dyDescent="0.2">
      <c r="H15839" s="1"/>
      <c r="I15839" s="1"/>
    </row>
    <row r="15840" spans="8:9" x14ac:dyDescent="0.2">
      <c r="H15840" s="1"/>
      <c r="I15840" s="1"/>
    </row>
    <row r="15841" spans="8:9" x14ac:dyDescent="0.2">
      <c r="H15841" s="1"/>
      <c r="I15841" s="1"/>
    </row>
    <row r="15842" spans="8:9" x14ac:dyDescent="0.2">
      <c r="H15842" s="1"/>
      <c r="I15842" s="1"/>
    </row>
    <row r="15843" spans="8:9" x14ac:dyDescent="0.2">
      <c r="H15843" s="1"/>
      <c r="I15843" s="1"/>
    </row>
    <row r="15844" spans="8:9" x14ac:dyDescent="0.2">
      <c r="H15844" s="1"/>
      <c r="I15844" s="1"/>
    </row>
    <row r="15845" spans="8:9" x14ac:dyDescent="0.2">
      <c r="H15845" s="1"/>
      <c r="I15845" s="1"/>
    </row>
    <row r="15846" spans="8:9" x14ac:dyDescent="0.2">
      <c r="H15846" s="1"/>
      <c r="I15846" s="1"/>
    </row>
    <row r="15847" spans="8:9" x14ac:dyDescent="0.2">
      <c r="H15847" s="1"/>
      <c r="I15847" s="1"/>
    </row>
    <row r="15848" spans="8:9" x14ac:dyDescent="0.2">
      <c r="H15848" s="1"/>
      <c r="I15848" s="1"/>
    </row>
    <row r="15849" spans="8:9" x14ac:dyDescent="0.2">
      <c r="H15849" s="1"/>
      <c r="I15849" s="1"/>
    </row>
    <row r="15850" spans="8:9" x14ac:dyDescent="0.2">
      <c r="H15850" s="1"/>
      <c r="I15850" s="1"/>
    </row>
    <row r="15851" spans="8:9" x14ac:dyDescent="0.2">
      <c r="H15851" s="1"/>
      <c r="I15851" s="1"/>
    </row>
    <row r="15852" spans="8:9" x14ac:dyDescent="0.2">
      <c r="H15852" s="1"/>
      <c r="I15852" s="1"/>
    </row>
    <row r="15853" spans="8:9" x14ac:dyDescent="0.2">
      <c r="H15853" s="1"/>
      <c r="I15853" s="1"/>
    </row>
    <row r="15854" spans="8:9" x14ac:dyDescent="0.2">
      <c r="H15854" s="1"/>
      <c r="I15854" s="1"/>
    </row>
    <row r="15855" spans="8:9" x14ac:dyDescent="0.2">
      <c r="H15855" s="1"/>
      <c r="I15855" s="1"/>
    </row>
    <row r="15856" spans="8:9" x14ac:dyDescent="0.2">
      <c r="H15856" s="1"/>
      <c r="I15856" s="1"/>
    </row>
    <row r="15857" spans="8:9" x14ac:dyDescent="0.2">
      <c r="H15857" s="1"/>
      <c r="I15857" s="1"/>
    </row>
    <row r="15858" spans="8:9" x14ac:dyDescent="0.2">
      <c r="H15858" s="1"/>
      <c r="I15858" s="1"/>
    </row>
    <row r="15859" spans="8:9" x14ac:dyDescent="0.2">
      <c r="H15859" s="1"/>
      <c r="I15859" s="1"/>
    </row>
    <row r="15860" spans="8:9" x14ac:dyDescent="0.2">
      <c r="H15860" s="1"/>
      <c r="I15860" s="1"/>
    </row>
    <row r="15861" spans="8:9" x14ac:dyDescent="0.2">
      <c r="H15861" s="1"/>
      <c r="I15861" s="1"/>
    </row>
    <row r="15862" spans="8:9" x14ac:dyDescent="0.2">
      <c r="H15862" s="1"/>
      <c r="I15862" s="1"/>
    </row>
    <row r="15863" spans="8:9" x14ac:dyDescent="0.2">
      <c r="H15863" s="1"/>
      <c r="I15863" s="1"/>
    </row>
    <row r="15864" spans="8:9" x14ac:dyDescent="0.2">
      <c r="H15864" s="1"/>
      <c r="I15864" s="1"/>
    </row>
    <row r="15865" spans="8:9" x14ac:dyDescent="0.2">
      <c r="H15865" s="1"/>
      <c r="I15865" s="1"/>
    </row>
    <row r="15866" spans="8:9" x14ac:dyDescent="0.2">
      <c r="H15866" s="1"/>
      <c r="I15866" s="1"/>
    </row>
    <row r="15867" spans="8:9" x14ac:dyDescent="0.2">
      <c r="H15867" s="1"/>
      <c r="I15867" s="1"/>
    </row>
    <row r="15868" spans="8:9" x14ac:dyDescent="0.2">
      <c r="H15868" s="1"/>
      <c r="I15868" s="1"/>
    </row>
    <row r="15869" spans="8:9" x14ac:dyDescent="0.2">
      <c r="H15869" s="1"/>
      <c r="I15869" s="1"/>
    </row>
    <row r="15870" spans="8:9" x14ac:dyDescent="0.2">
      <c r="H15870" s="1"/>
      <c r="I15870" s="1"/>
    </row>
    <row r="15871" spans="8:9" x14ac:dyDescent="0.2">
      <c r="H15871" s="1"/>
      <c r="I15871" s="1"/>
    </row>
    <row r="15872" spans="8:9" x14ac:dyDescent="0.2">
      <c r="H15872" s="1"/>
      <c r="I15872" s="1"/>
    </row>
    <row r="15873" spans="8:9" x14ac:dyDescent="0.2">
      <c r="H15873" s="1"/>
      <c r="I15873" s="1"/>
    </row>
    <row r="15874" spans="8:9" x14ac:dyDescent="0.2">
      <c r="H15874" s="1"/>
      <c r="I15874" s="1"/>
    </row>
    <row r="15875" spans="8:9" x14ac:dyDescent="0.2">
      <c r="H15875" s="1"/>
      <c r="I15875" s="1"/>
    </row>
    <row r="15876" spans="8:9" x14ac:dyDescent="0.2">
      <c r="H15876" s="1"/>
      <c r="I15876" s="1"/>
    </row>
    <row r="15877" spans="8:9" x14ac:dyDescent="0.2">
      <c r="H15877" s="1"/>
      <c r="I15877" s="1"/>
    </row>
    <row r="15878" spans="8:9" x14ac:dyDescent="0.2">
      <c r="H15878" s="1"/>
      <c r="I15878" s="1"/>
    </row>
    <row r="15879" spans="8:9" x14ac:dyDescent="0.2">
      <c r="H15879" s="1"/>
      <c r="I15879" s="1"/>
    </row>
    <row r="15880" spans="8:9" x14ac:dyDescent="0.2">
      <c r="H15880" s="1"/>
      <c r="I15880" s="1"/>
    </row>
    <row r="15881" spans="8:9" x14ac:dyDescent="0.2">
      <c r="H15881" s="1"/>
      <c r="I15881" s="1"/>
    </row>
    <row r="15882" spans="8:9" x14ac:dyDescent="0.2">
      <c r="H15882" s="1"/>
      <c r="I15882" s="1"/>
    </row>
    <row r="15883" spans="8:9" x14ac:dyDescent="0.2">
      <c r="H15883" s="1"/>
      <c r="I15883" s="1"/>
    </row>
    <row r="15884" spans="8:9" x14ac:dyDescent="0.2">
      <c r="H15884" s="1"/>
      <c r="I15884" s="1"/>
    </row>
    <row r="15885" spans="8:9" x14ac:dyDescent="0.2">
      <c r="H15885" s="1"/>
      <c r="I15885" s="1"/>
    </row>
    <row r="15886" spans="8:9" x14ac:dyDescent="0.2">
      <c r="H15886" s="1"/>
      <c r="I15886" s="1"/>
    </row>
    <row r="15887" spans="8:9" x14ac:dyDescent="0.2">
      <c r="H15887" s="1"/>
      <c r="I15887" s="1"/>
    </row>
    <row r="15888" spans="8:9" x14ac:dyDescent="0.2">
      <c r="H15888" s="1"/>
      <c r="I15888" s="1"/>
    </row>
    <row r="15889" spans="8:9" x14ac:dyDescent="0.2">
      <c r="H15889" s="1"/>
      <c r="I15889" s="1"/>
    </row>
    <row r="15890" spans="8:9" x14ac:dyDescent="0.2">
      <c r="H15890" s="1"/>
      <c r="I15890" s="1"/>
    </row>
    <row r="15891" spans="8:9" x14ac:dyDescent="0.2">
      <c r="H15891" s="1"/>
      <c r="I15891" s="1"/>
    </row>
    <row r="15892" spans="8:9" x14ac:dyDescent="0.2">
      <c r="H15892" s="1"/>
      <c r="I15892" s="1"/>
    </row>
    <row r="15893" spans="8:9" x14ac:dyDescent="0.2">
      <c r="H15893" s="1"/>
      <c r="I15893" s="1"/>
    </row>
    <row r="15894" spans="8:9" x14ac:dyDescent="0.2">
      <c r="H15894" s="1"/>
      <c r="I15894" s="1"/>
    </row>
    <row r="15895" spans="8:9" x14ac:dyDescent="0.2">
      <c r="H15895" s="1"/>
      <c r="I15895" s="1"/>
    </row>
    <row r="15896" spans="8:9" x14ac:dyDescent="0.2">
      <c r="H15896" s="1"/>
      <c r="I15896" s="1"/>
    </row>
    <row r="15897" spans="8:9" x14ac:dyDescent="0.2">
      <c r="H15897" s="1"/>
      <c r="I15897" s="1"/>
    </row>
    <row r="15898" spans="8:9" x14ac:dyDescent="0.2">
      <c r="H15898" s="1"/>
      <c r="I15898" s="1"/>
    </row>
    <row r="15899" spans="8:9" x14ac:dyDescent="0.2">
      <c r="H15899" s="1"/>
      <c r="I15899" s="1"/>
    </row>
    <row r="15900" spans="8:9" x14ac:dyDescent="0.2">
      <c r="H15900" s="1"/>
      <c r="I15900" s="1"/>
    </row>
    <row r="15901" spans="8:9" x14ac:dyDescent="0.2">
      <c r="H15901" s="1"/>
      <c r="I15901" s="1"/>
    </row>
    <row r="15902" spans="8:9" x14ac:dyDescent="0.2">
      <c r="H15902" s="1"/>
      <c r="I15902" s="1"/>
    </row>
    <row r="15903" spans="8:9" x14ac:dyDescent="0.2">
      <c r="H15903" s="1"/>
      <c r="I15903" s="1"/>
    </row>
    <row r="15904" spans="8:9" x14ac:dyDescent="0.2">
      <c r="H15904" s="1"/>
      <c r="I15904" s="1"/>
    </row>
    <row r="15905" spans="8:9" x14ac:dyDescent="0.2">
      <c r="H15905" s="1"/>
      <c r="I15905" s="1"/>
    </row>
    <row r="15906" spans="8:9" x14ac:dyDescent="0.2">
      <c r="H15906" s="1"/>
      <c r="I15906" s="1"/>
    </row>
    <row r="15907" spans="8:9" x14ac:dyDescent="0.2">
      <c r="H15907" s="1"/>
      <c r="I15907" s="1"/>
    </row>
    <row r="15908" spans="8:9" x14ac:dyDescent="0.2">
      <c r="H15908" s="1"/>
      <c r="I15908" s="1"/>
    </row>
    <row r="15909" spans="8:9" x14ac:dyDescent="0.2">
      <c r="H15909" s="1"/>
      <c r="I15909" s="1"/>
    </row>
    <row r="15910" spans="8:9" x14ac:dyDescent="0.2">
      <c r="H15910" s="1"/>
      <c r="I15910" s="1"/>
    </row>
    <row r="15911" spans="8:9" x14ac:dyDescent="0.2">
      <c r="H15911" s="1"/>
      <c r="I15911" s="1"/>
    </row>
    <row r="15912" spans="8:9" x14ac:dyDescent="0.2">
      <c r="H15912" s="1"/>
      <c r="I15912" s="1"/>
    </row>
    <row r="15913" spans="8:9" x14ac:dyDescent="0.2">
      <c r="H15913" s="1"/>
      <c r="I15913" s="1"/>
    </row>
    <row r="15914" spans="8:9" x14ac:dyDescent="0.2">
      <c r="H15914" s="1"/>
      <c r="I15914" s="1"/>
    </row>
    <row r="15915" spans="8:9" x14ac:dyDescent="0.2">
      <c r="H15915" s="1"/>
      <c r="I15915" s="1"/>
    </row>
    <row r="15916" spans="8:9" x14ac:dyDescent="0.2">
      <c r="H15916" s="1"/>
      <c r="I15916" s="1"/>
    </row>
    <row r="15917" spans="8:9" x14ac:dyDescent="0.2">
      <c r="H15917" s="1"/>
      <c r="I15917" s="1"/>
    </row>
    <row r="15918" spans="8:9" x14ac:dyDescent="0.2">
      <c r="H15918" s="1"/>
      <c r="I15918" s="1"/>
    </row>
    <row r="15919" spans="8:9" x14ac:dyDescent="0.2">
      <c r="H15919" s="1"/>
      <c r="I15919" s="1"/>
    </row>
    <row r="15920" spans="8:9" x14ac:dyDescent="0.2">
      <c r="H15920" s="1"/>
      <c r="I15920" s="1"/>
    </row>
    <row r="15921" spans="8:9" x14ac:dyDescent="0.2">
      <c r="H15921" s="1"/>
      <c r="I15921" s="1"/>
    </row>
    <row r="15922" spans="8:9" x14ac:dyDescent="0.2">
      <c r="H15922" s="1"/>
      <c r="I15922" s="1"/>
    </row>
    <row r="15923" spans="8:9" x14ac:dyDescent="0.2">
      <c r="H15923" s="1"/>
      <c r="I15923" s="1"/>
    </row>
    <row r="15924" spans="8:9" x14ac:dyDescent="0.2">
      <c r="H15924" s="1"/>
      <c r="I15924" s="1"/>
    </row>
    <row r="15925" spans="8:9" x14ac:dyDescent="0.2">
      <c r="H15925" s="1"/>
      <c r="I15925" s="1"/>
    </row>
    <row r="15926" spans="8:9" x14ac:dyDescent="0.2">
      <c r="H15926" s="1"/>
      <c r="I15926" s="1"/>
    </row>
    <row r="15927" spans="8:9" x14ac:dyDescent="0.2">
      <c r="H15927" s="1"/>
      <c r="I15927" s="1"/>
    </row>
    <row r="15928" spans="8:9" x14ac:dyDescent="0.2">
      <c r="H15928" s="1"/>
      <c r="I15928" s="1"/>
    </row>
    <row r="15929" spans="8:9" x14ac:dyDescent="0.2">
      <c r="H15929" s="1"/>
      <c r="I15929" s="1"/>
    </row>
    <row r="15930" spans="8:9" x14ac:dyDescent="0.2">
      <c r="H15930" s="1"/>
      <c r="I15930" s="1"/>
    </row>
    <row r="15931" spans="8:9" x14ac:dyDescent="0.2">
      <c r="H15931" s="1"/>
      <c r="I15931" s="1"/>
    </row>
    <row r="15932" spans="8:9" x14ac:dyDescent="0.2">
      <c r="H15932" s="1"/>
      <c r="I15932" s="1"/>
    </row>
    <row r="15933" spans="8:9" x14ac:dyDescent="0.2">
      <c r="H15933" s="1"/>
      <c r="I15933" s="1"/>
    </row>
    <row r="15934" spans="8:9" x14ac:dyDescent="0.2">
      <c r="H15934" s="1"/>
      <c r="I15934" s="1"/>
    </row>
    <row r="15935" spans="8:9" x14ac:dyDescent="0.2">
      <c r="H15935" s="1"/>
      <c r="I15935" s="1"/>
    </row>
    <row r="15936" spans="8:9" x14ac:dyDescent="0.2">
      <c r="H15936" s="1"/>
      <c r="I15936" s="1"/>
    </row>
    <row r="15937" spans="8:9" x14ac:dyDescent="0.2">
      <c r="H15937" s="1"/>
      <c r="I15937" s="1"/>
    </row>
    <row r="15938" spans="8:9" x14ac:dyDescent="0.2">
      <c r="H15938" s="1"/>
      <c r="I15938" s="1"/>
    </row>
    <row r="15939" spans="8:9" x14ac:dyDescent="0.2">
      <c r="H15939" s="1"/>
      <c r="I15939" s="1"/>
    </row>
    <row r="15940" spans="8:9" x14ac:dyDescent="0.2">
      <c r="H15940" s="1"/>
      <c r="I15940" s="1"/>
    </row>
    <row r="15941" spans="8:9" x14ac:dyDescent="0.2">
      <c r="H15941" s="1"/>
      <c r="I15941" s="1"/>
    </row>
    <row r="15942" spans="8:9" x14ac:dyDescent="0.2">
      <c r="H15942" s="1"/>
      <c r="I15942" s="1"/>
    </row>
    <row r="15943" spans="8:9" x14ac:dyDescent="0.2">
      <c r="H15943" s="1"/>
      <c r="I15943" s="1"/>
    </row>
    <row r="15944" spans="8:9" x14ac:dyDescent="0.2">
      <c r="H15944" s="1"/>
      <c r="I15944" s="1"/>
    </row>
    <row r="15945" spans="8:9" x14ac:dyDescent="0.2">
      <c r="H15945" s="1"/>
      <c r="I15945" s="1"/>
    </row>
    <row r="15946" spans="8:9" x14ac:dyDescent="0.2">
      <c r="H15946" s="1"/>
      <c r="I15946" s="1"/>
    </row>
    <row r="15947" spans="8:9" x14ac:dyDescent="0.2">
      <c r="H15947" s="1"/>
      <c r="I15947" s="1"/>
    </row>
    <row r="15948" spans="8:9" x14ac:dyDescent="0.2">
      <c r="H15948" s="1"/>
      <c r="I15948" s="1"/>
    </row>
    <row r="15949" spans="8:9" x14ac:dyDescent="0.2">
      <c r="H15949" s="1"/>
      <c r="I15949" s="1"/>
    </row>
    <row r="15950" spans="8:9" x14ac:dyDescent="0.2">
      <c r="H15950" s="1"/>
      <c r="I15950" s="1"/>
    </row>
    <row r="15951" spans="8:9" x14ac:dyDescent="0.2">
      <c r="H15951" s="1"/>
      <c r="I15951" s="1"/>
    </row>
    <row r="15952" spans="8:9" x14ac:dyDescent="0.2">
      <c r="H15952" s="1"/>
      <c r="I15952" s="1"/>
    </row>
    <row r="15953" spans="8:9" x14ac:dyDescent="0.2">
      <c r="H15953" s="1"/>
      <c r="I15953" s="1"/>
    </row>
    <row r="15954" spans="8:9" x14ac:dyDescent="0.2">
      <c r="H15954" s="1"/>
      <c r="I15954" s="1"/>
    </row>
    <row r="15955" spans="8:9" x14ac:dyDescent="0.2">
      <c r="H15955" s="1"/>
      <c r="I15955" s="1"/>
    </row>
    <row r="15956" spans="8:9" x14ac:dyDescent="0.2">
      <c r="H15956" s="1"/>
      <c r="I15956" s="1"/>
    </row>
    <row r="15957" spans="8:9" x14ac:dyDescent="0.2">
      <c r="H15957" s="1"/>
      <c r="I15957" s="1"/>
    </row>
    <row r="15958" spans="8:9" x14ac:dyDescent="0.2">
      <c r="H15958" s="1"/>
      <c r="I15958" s="1"/>
    </row>
    <row r="15959" spans="8:9" x14ac:dyDescent="0.2">
      <c r="H15959" s="1"/>
      <c r="I15959" s="1"/>
    </row>
    <row r="15960" spans="8:9" x14ac:dyDescent="0.2">
      <c r="H15960" s="1"/>
      <c r="I15960" s="1"/>
    </row>
    <row r="15961" spans="8:9" x14ac:dyDescent="0.2">
      <c r="H15961" s="1"/>
      <c r="I15961" s="1"/>
    </row>
    <row r="15962" spans="8:9" x14ac:dyDescent="0.2">
      <c r="H15962" s="1"/>
      <c r="I15962" s="1"/>
    </row>
    <row r="15963" spans="8:9" x14ac:dyDescent="0.2">
      <c r="H15963" s="1"/>
      <c r="I15963" s="1"/>
    </row>
    <row r="15964" spans="8:9" x14ac:dyDescent="0.2">
      <c r="H15964" s="1"/>
      <c r="I15964" s="1"/>
    </row>
    <row r="15965" spans="8:9" x14ac:dyDescent="0.2">
      <c r="H15965" s="1"/>
      <c r="I15965" s="1"/>
    </row>
    <row r="15966" spans="8:9" x14ac:dyDescent="0.2">
      <c r="H15966" s="1"/>
      <c r="I15966" s="1"/>
    </row>
    <row r="15967" spans="8:9" x14ac:dyDescent="0.2">
      <c r="H15967" s="1"/>
      <c r="I15967" s="1"/>
    </row>
    <row r="15968" spans="8:9" x14ac:dyDescent="0.2">
      <c r="H15968" s="1"/>
      <c r="I15968" s="1"/>
    </row>
    <row r="15969" spans="8:9" x14ac:dyDescent="0.2">
      <c r="H15969" s="1"/>
      <c r="I15969" s="1"/>
    </row>
    <row r="15970" spans="8:9" x14ac:dyDescent="0.2">
      <c r="H15970" s="1"/>
      <c r="I15970" s="1"/>
    </row>
    <row r="15971" spans="8:9" x14ac:dyDescent="0.2">
      <c r="H15971" s="1"/>
      <c r="I15971" s="1"/>
    </row>
    <row r="15972" spans="8:9" x14ac:dyDescent="0.2">
      <c r="H15972" s="1"/>
      <c r="I15972" s="1"/>
    </row>
    <row r="15973" spans="8:9" x14ac:dyDescent="0.2">
      <c r="H15973" s="1"/>
      <c r="I15973" s="1"/>
    </row>
    <row r="15974" spans="8:9" x14ac:dyDescent="0.2">
      <c r="H15974" s="1"/>
      <c r="I15974" s="1"/>
    </row>
    <row r="15975" spans="8:9" x14ac:dyDescent="0.2">
      <c r="H15975" s="1"/>
      <c r="I15975" s="1"/>
    </row>
    <row r="15976" spans="8:9" x14ac:dyDescent="0.2">
      <c r="H15976" s="1"/>
      <c r="I15976" s="1"/>
    </row>
    <row r="15977" spans="8:9" x14ac:dyDescent="0.2">
      <c r="H15977" s="1"/>
      <c r="I15977" s="1"/>
    </row>
    <row r="15978" spans="8:9" x14ac:dyDescent="0.2">
      <c r="H15978" s="1"/>
      <c r="I15978" s="1"/>
    </row>
    <row r="15979" spans="8:9" x14ac:dyDescent="0.2">
      <c r="H15979" s="1"/>
      <c r="I15979" s="1"/>
    </row>
    <row r="15980" spans="8:9" x14ac:dyDescent="0.2">
      <c r="H15980" s="1"/>
      <c r="I15980" s="1"/>
    </row>
    <row r="15981" spans="8:9" x14ac:dyDescent="0.2">
      <c r="H15981" s="1"/>
      <c r="I15981" s="1"/>
    </row>
    <row r="15982" spans="8:9" x14ac:dyDescent="0.2">
      <c r="H15982" s="1"/>
      <c r="I15982" s="1"/>
    </row>
    <row r="15983" spans="8:9" x14ac:dyDescent="0.2">
      <c r="H15983" s="1"/>
      <c r="I15983" s="1"/>
    </row>
    <row r="15984" spans="8:9" x14ac:dyDescent="0.2">
      <c r="H15984" s="1"/>
      <c r="I15984" s="1"/>
    </row>
    <row r="15985" spans="8:9" x14ac:dyDescent="0.2">
      <c r="H15985" s="1"/>
      <c r="I15985" s="1"/>
    </row>
    <row r="15986" spans="8:9" x14ac:dyDescent="0.2">
      <c r="H15986" s="1"/>
      <c r="I15986" s="1"/>
    </row>
    <row r="15987" spans="8:9" x14ac:dyDescent="0.2">
      <c r="H15987" s="1"/>
      <c r="I15987" s="1"/>
    </row>
    <row r="15988" spans="8:9" x14ac:dyDescent="0.2">
      <c r="H15988" s="1"/>
      <c r="I15988" s="1"/>
    </row>
    <row r="15989" spans="8:9" x14ac:dyDescent="0.2">
      <c r="H15989" s="1"/>
      <c r="I15989" s="1"/>
    </row>
    <row r="15990" spans="8:9" x14ac:dyDescent="0.2">
      <c r="H15990" s="1"/>
      <c r="I15990" s="1"/>
    </row>
    <row r="15991" spans="8:9" x14ac:dyDescent="0.2">
      <c r="H15991" s="1"/>
      <c r="I15991" s="1"/>
    </row>
    <row r="15992" spans="8:9" x14ac:dyDescent="0.2">
      <c r="H15992" s="1"/>
      <c r="I15992" s="1"/>
    </row>
    <row r="15993" spans="8:9" x14ac:dyDescent="0.2">
      <c r="H15993" s="1"/>
      <c r="I15993" s="1"/>
    </row>
    <row r="15994" spans="8:9" x14ac:dyDescent="0.2">
      <c r="H15994" s="1"/>
      <c r="I15994" s="1"/>
    </row>
    <row r="15995" spans="8:9" x14ac:dyDescent="0.2">
      <c r="H15995" s="1"/>
      <c r="I15995" s="1"/>
    </row>
    <row r="15996" spans="8:9" x14ac:dyDescent="0.2">
      <c r="H15996" s="1"/>
      <c r="I15996" s="1"/>
    </row>
    <row r="15997" spans="8:9" x14ac:dyDescent="0.2">
      <c r="H15997" s="1"/>
      <c r="I15997" s="1"/>
    </row>
    <row r="15998" spans="8:9" x14ac:dyDescent="0.2">
      <c r="H15998" s="1"/>
      <c r="I15998" s="1"/>
    </row>
    <row r="15999" spans="8:9" x14ac:dyDescent="0.2">
      <c r="H15999" s="1"/>
      <c r="I15999" s="1"/>
    </row>
    <row r="16000" spans="8:9" x14ac:dyDescent="0.2">
      <c r="H16000" s="1"/>
      <c r="I16000" s="1"/>
    </row>
    <row r="16001" spans="8:9" x14ac:dyDescent="0.2">
      <c r="H16001" s="1"/>
      <c r="I16001" s="1"/>
    </row>
    <row r="16002" spans="8:9" x14ac:dyDescent="0.2">
      <c r="H16002" s="1"/>
      <c r="I16002" s="1"/>
    </row>
    <row r="16003" spans="8:9" x14ac:dyDescent="0.2">
      <c r="H16003" s="1"/>
      <c r="I16003" s="1"/>
    </row>
    <row r="16004" spans="8:9" x14ac:dyDescent="0.2">
      <c r="H16004" s="1"/>
      <c r="I16004" s="1"/>
    </row>
    <row r="16005" spans="8:9" x14ac:dyDescent="0.2">
      <c r="H16005" s="1"/>
      <c r="I16005" s="1"/>
    </row>
    <row r="16006" spans="8:9" x14ac:dyDescent="0.2">
      <c r="H16006" s="1"/>
      <c r="I16006" s="1"/>
    </row>
    <row r="16007" spans="8:9" x14ac:dyDescent="0.2">
      <c r="H16007" s="1"/>
      <c r="I16007" s="1"/>
    </row>
    <row r="16008" spans="8:9" x14ac:dyDescent="0.2">
      <c r="H16008" s="1"/>
      <c r="I16008" s="1"/>
    </row>
    <row r="16009" spans="8:9" x14ac:dyDescent="0.2">
      <c r="H16009" s="1"/>
      <c r="I16009" s="1"/>
    </row>
    <row r="16010" spans="8:9" x14ac:dyDescent="0.2">
      <c r="H16010" s="1"/>
      <c r="I16010" s="1"/>
    </row>
    <row r="16011" spans="8:9" x14ac:dyDescent="0.2">
      <c r="H16011" s="1"/>
      <c r="I16011" s="1"/>
    </row>
    <row r="16012" spans="8:9" x14ac:dyDescent="0.2">
      <c r="H16012" s="1"/>
      <c r="I16012" s="1"/>
    </row>
    <row r="16013" spans="8:9" x14ac:dyDescent="0.2">
      <c r="H16013" s="1"/>
      <c r="I16013" s="1"/>
    </row>
    <row r="16014" spans="8:9" x14ac:dyDescent="0.2">
      <c r="H16014" s="1"/>
      <c r="I16014" s="1"/>
    </row>
    <row r="16015" spans="8:9" x14ac:dyDescent="0.2">
      <c r="H16015" s="1"/>
      <c r="I16015" s="1"/>
    </row>
    <row r="16016" spans="8:9" x14ac:dyDescent="0.2">
      <c r="H16016" s="1"/>
      <c r="I16016" s="1"/>
    </row>
    <row r="16017" spans="8:9" x14ac:dyDescent="0.2">
      <c r="H16017" s="1"/>
      <c r="I16017" s="1"/>
    </row>
    <row r="16018" spans="8:9" x14ac:dyDescent="0.2">
      <c r="H16018" s="1"/>
      <c r="I16018" s="1"/>
    </row>
    <row r="16019" spans="8:9" x14ac:dyDescent="0.2">
      <c r="H16019" s="1"/>
      <c r="I16019" s="1"/>
    </row>
    <row r="16020" spans="8:9" x14ac:dyDescent="0.2">
      <c r="H16020" s="1"/>
      <c r="I16020" s="1"/>
    </row>
    <row r="16021" spans="8:9" x14ac:dyDescent="0.2">
      <c r="H16021" s="1"/>
      <c r="I16021" s="1"/>
    </row>
    <row r="16022" spans="8:9" x14ac:dyDescent="0.2">
      <c r="H16022" s="1"/>
      <c r="I16022" s="1"/>
    </row>
    <row r="16023" spans="8:9" x14ac:dyDescent="0.2">
      <c r="H16023" s="1"/>
      <c r="I16023" s="1"/>
    </row>
    <row r="16024" spans="8:9" x14ac:dyDescent="0.2">
      <c r="H16024" s="1"/>
      <c r="I16024" s="1"/>
    </row>
    <row r="16025" spans="8:9" x14ac:dyDescent="0.2">
      <c r="H16025" s="1"/>
      <c r="I16025" s="1"/>
    </row>
    <row r="16026" spans="8:9" x14ac:dyDescent="0.2">
      <c r="H16026" s="1"/>
      <c r="I16026" s="1"/>
    </row>
    <row r="16027" spans="8:9" x14ac:dyDescent="0.2">
      <c r="H16027" s="1"/>
      <c r="I16027" s="1"/>
    </row>
    <row r="16028" spans="8:9" x14ac:dyDescent="0.2">
      <c r="H16028" s="1"/>
      <c r="I16028" s="1"/>
    </row>
    <row r="16029" spans="8:9" x14ac:dyDescent="0.2">
      <c r="H16029" s="1"/>
      <c r="I16029" s="1"/>
    </row>
    <row r="16030" spans="8:9" x14ac:dyDescent="0.2">
      <c r="H16030" s="1"/>
      <c r="I16030" s="1"/>
    </row>
    <row r="16031" spans="8:9" x14ac:dyDescent="0.2">
      <c r="H16031" s="1"/>
      <c r="I16031" s="1"/>
    </row>
    <row r="16032" spans="8:9" x14ac:dyDescent="0.2">
      <c r="H16032" s="1"/>
      <c r="I16032" s="1"/>
    </row>
    <row r="16033" spans="8:9" x14ac:dyDescent="0.2">
      <c r="H16033" s="1"/>
      <c r="I16033" s="1"/>
    </row>
    <row r="16034" spans="8:9" x14ac:dyDescent="0.2">
      <c r="H16034" s="1"/>
      <c r="I16034" s="1"/>
    </row>
    <row r="16035" spans="8:9" x14ac:dyDescent="0.2">
      <c r="H16035" s="1"/>
      <c r="I16035" s="1"/>
    </row>
    <row r="16036" spans="8:9" x14ac:dyDescent="0.2">
      <c r="H16036" s="1"/>
      <c r="I16036" s="1"/>
    </row>
    <row r="16037" spans="8:9" x14ac:dyDescent="0.2">
      <c r="H16037" s="1"/>
      <c r="I16037" s="1"/>
    </row>
    <row r="16038" spans="8:9" x14ac:dyDescent="0.2">
      <c r="H16038" s="1"/>
      <c r="I16038" s="1"/>
    </row>
    <row r="16039" spans="8:9" x14ac:dyDescent="0.2">
      <c r="H16039" s="1"/>
      <c r="I16039" s="1"/>
    </row>
    <row r="16040" spans="8:9" x14ac:dyDescent="0.2">
      <c r="H16040" s="1"/>
      <c r="I16040" s="1"/>
    </row>
    <row r="16041" spans="8:9" x14ac:dyDescent="0.2">
      <c r="H16041" s="1"/>
      <c r="I16041" s="1"/>
    </row>
    <row r="16042" spans="8:9" x14ac:dyDescent="0.2">
      <c r="H16042" s="1"/>
      <c r="I16042" s="1"/>
    </row>
    <row r="16043" spans="8:9" x14ac:dyDescent="0.2">
      <c r="H16043" s="1"/>
      <c r="I16043" s="1"/>
    </row>
    <row r="16044" spans="8:9" x14ac:dyDescent="0.2">
      <c r="H16044" s="1"/>
      <c r="I16044" s="1"/>
    </row>
    <row r="16045" spans="8:9" x14ac:dyDescent="0.2">
      <c r="H16045" s="1"/>
      <c r="I16045" s="1"/>
    </row>
    <row r="16046" spans="8:9" x14ac:dyDescent="0.2">
      <c r="H16046" s="1"/>
      <c r="I16046" s="1"/>
    </row>
    <row r="16047" spans="8:9" x14ac:dyDescent="0.2">
      <c r="H16047" s="1"/>
      <c r="I16047" s="1"/>
    </row>
    <row r="16048" spans="8:9" x14ac:dyDescent="0.2">
      <c r="H16048" s="1"/>
      <c r="I16048" s="1"/>
    </row>
    <row r="16049" spans="8:9" x14ac:dyDescent="0.2">
      <c r="H16049" s="1"/>
      <c r="I16049" s="1"/>
    </row>
    <row r="16050" spans="8:9" x14ac:dyDescent="0.2">
      <c r="H16050" s="1"/>
      <c r="I16050" s="1"/>
    </row>
    <row r="16051" spans="8:9" x14ac:dyDescent="0.2">
      <c r="H16051" s="1"/>
      <c r="I16051" s="1"/>
    </row>
    <row r="16052" spans="8:9" x14ac:dyDescent="0.2">
      <c r="H16052" s="1"/>
      <c r="I16052" s="1"/>
    </row>
    <row r="16053" spans="8:9" x14ac:dyDescent="0.2">
      <c r="H16053" s="1"/>
      <c r="I16053" s="1"/>
    </row>
    <row r="16054" spans="8:9" x14ac:dyDescent="0.2">
      <c r="H16054" s="1"/>
      <c r="I16054" s="1"/>
    </row>
    <row r="16055" spans="8:9" x14ac:dyDescent="0.2">
      <c r="H16055" s="1"/>
      <c r="I16055" s="1"/>
    </row>
    <row r="16056" spans="8:9" x14ac:dyDescent="0.2">
      <c r="H16056" s="1"/>
      <c r="I16056" s="1"/>
    </row>
    <row r="16057" spans="8:9" x14ac:dyDescent="0.2">
      <c r="H16057" s="1"/>
      <c r="I16057" s="1"/>
    </row>
    <row r="16058" spans="8:9" x14ac:dyDescent="0.2">
      <c r="H16058" s="1"/>
      <c r="I16058" s="1"/>
    </row>
    <row r="16059" spans="8:9" x14ac:dyDescent="0.2">
      <c r="H16059" s="1"/>
      <c r="I16059" s="1"/>
    </row>
    <row r="16060" spans="8:9" x14ac:dyDescent="0.2">
      <c r="H16060" s="1"/>
      <c r="I16060" s="1"/>
    </row>
    <row r="16061" spans="8:9" x14ac:dyDescent="0.2">
      <c r="H16061" s="1"/>
      <c r="I16061" s="1"/>
    </row>
    <row r="16062" spans="8:9" x14ac:dyDescent="0.2">
      <c r="H16062" s="1"/>
      <c r="I16062" s="1"/>
    </row>
    <row r="16063" spans="8:9" x14ac:dyDescent="0.2">
      <c r="H16063" s="1"/>
      <c r="I16063" s="1"/>
    </row>
    <row r="16064" spans="8:9" x14ac:dyDescent="0.2">
      <c r="H16064" s="1"/>
      <c r="I16064" s="1"/>
    </row>
    <row r="16065" spans="8:9" x14ac:dyDescent="0.2">
      <c r="H16065" s="1"/>
      <c r="I16065" s="1"/>
    </row>
    <row r="16066" spans="8:9" x14ac:dyDescent="0.2">
      <c r="H16066" s="1"/>
      <c r="I16066" s="1"/>
    </row>
    <row r="16067" spans="8:9" x14ac:dyDescent="0.2">
      <c r="H16067" s="1"/>
      <c r="I16067" s="1"/>
    </row>
    <row r="16068" spans="8:9" x14ac:dyDescent="0.2">
      <c r="H16068" s="1"/>
      <c r="I16068" s="1"/>
    </row>
    <row r="16069" spans="8:9" x14ac:dyDescent="0.2">
      <c r="H16069" s="1"/>
      <c r="I16069" s="1"/>
    </row>
    <row r="16070" spans="8:9" x14ac:dyDescent="0.2">
      <c r="H16070" s="1"/>
      <c r="I16070" s="1"/>
    </row>
    <row r="16071" spans="8:9" x14ac:dyDescent="0.2">
      <c r="H16071" s="1"/>
      <c r="I16071" s="1"/>
    </row>
    <row r="16072" spans="8:9" x14ac:dyDescent="0.2">
      <c r="H16072" s="1"/>
      <c r="I16072" s="1"/>
    </row>
    <row r="16073" spans="8:9" x14ac:dyDescent="0.2">
      <c r="H16073" s="1"/>
      <c r="I16073" s="1"/>
    </row>
    <row r="16074" spans="8:9" x14ac:dyDescent="0.2">
      <c r="H16074" s="1"/>
      <c r="I16074" s="1"/>
    </row>
    <row r="16075" spans="8:9" x14ac:dyDescent="0.2">
      <c r="H16075" s="1"/>
      <c r="I16075" s="1"/>
    </row>
    <row r="16076" spans="8:9" x14ac:dyDescent="0.2">
      <c r="H16076" s="1"/>
      <c r="I16076" s="1"/>
    </row>
    <row r="16077" spans="8:9" x14ac:dyDescent="0.2">
      <c r="H16077" s="1"/>
      <c r="I16077" s="1"/>
    </row>
    <row r="16078" spans="8:9" x14ac:dyDescent="0.2">
      <c r="H16078" s="1"/>
      <c r="I16078" s="1"/>
    </row>
    <row r="16079" spans="8:9" x14ac:dyDescent="0.2">
      <c r="H16079" s="1"/>
      <c r="I16079" s="1"/>
    </row>
    <row r="16080" spans="8:9" x14ac:dyDescent="0.2">
      <c r="H16080" s="1"/>
      <c r="I16080" s="1"/>
    </row>
    <row r="16081" spans="8:9" x14ac:dyDescent="0.2">
      <c r="H16081" s="1"/>
      <c r="I16081" s="1"/>
    </row>
    <row r="16082" spans="8:9" x14ac:dyDescent="0.2">
      <c r="H16082" s="1"/>
      <c r="I16082" s="1"/>
    </row>
    <row r="16083" spans="8:9" x14ac:dyDescent="0.2">
      <c r="H16083" s="1"/>
      <c r="I16083" s="1"/>
    </row>
    <row r="16084" spans="8:9" x14ac:dyDescent="0.2">
      <c r="H16084" s="1"/>
      <c r="I16084" s="1"/>
    </row>
    <row r="16085" spans="8:9" x14ac:dyDescent="0.2">
      <c r="H16085" s="1"/>
      <c r="I16085" s="1"/>
    </row>
    <row r="16086" spans="8:9" x14ac:dyDescent="0.2">
      <c r="H16086" s="1"/>
      <c r="I16086" s="1"/>
    </row>
    <row r="16087" spans="8:9" x14ac:dyDescent="0.2">
      <c r="H16087" s="1"/>
      <c r="I16087" s="1"/>
    </row>
    <row r="16088" spans="8:9" x14ac:dyDescent="0.2">
      <c r="H16088" s="1"/>
      <c r="I16088" s="1"/>
    </row>
    <row r="16089" spans="8:9" x14ac:dyDescent="0.2">
      <c r="H16089" s="1"/>
      <c r="I16089" s="1"/>
    </row>
    <row r="16090" spans="8:9" x14ac:dyDescent="0.2">
      <c r="H16090" s="1"/>
      <c r="I16090" s="1"/>
    </row>
    <row r="16091" spans="8:9" x14ac:dyDescent="0.2">
      <c r="H16091" s="1"/>
      <c r="I16091" s="1"/>
    </row>
    <row r="16092" spans="8:9" x14ac:dyDescent="0.2">
      <c r="H16092" s="1"/>
      <c r="I16092" s="1"/>
    </row>
    <row r="16093" spans="8:9" x14ac:dyDescent="0.2">
      <c r="H16093" s="1"/>
      <c r="I16093" s="1"/>
    </row>
    <row r="16094" spans="8:9" x14ac:dyDescent="0.2">
      <c r="H16094" s="1"/>
      <c r="I16094" s="1"/>
    </row>
    <row r="16095" spans="8:9" x14ac:dyDescent="0.2">
      <c r="H16095" s="1"/>
      <c r="I16095" s="1"/>
    </row>
    <row r="16096" spans="8:9" x14ac:dyDescent="0.2">
      <c r="H16096" s="1"/>
      <c r="I16096" s="1"/>
    </row>
    <row r="16097" spans="8:9" x14ac:dyDescent="0.2">
      <c r="H16097" s="1"/>
      <c r="I16097" s="1"/>
    </row>
    <row r="16098" spans="8:9" x14ac:dyDescent="0.2">
      <c r="H16098" s="1"/>
      <c r="I16098" s="1"/>
    </row>
    <row r="16099" spans="8:9" x14ac:dyDescent="0.2">
      <c r="H16099" s="1"/>
      <c r="I16099" s="1"/>
    </row>
    <row r="16100" spans="8:9" x14ac:dyDescent="0.2">
      <c r="H16100" s="1"/>
      <c r="I16100" s="1"/>
    </row>
    <row r="16101" spans="8:9" x14ac:dyDescent="0.2">
      <c r="H16101" s="1"/>
      <c r="I16101" s="1"/>
    </row>
    <row r="16102" spans="8:9" x14ac:dyDescent="0.2">
      <c r="H16102" s="1"/>
      <c r="I16102" s="1"/>
    </row>
    <row r="16103" spans="8:9" x14ac:dyDescent="0.2">
      <c r="H16103" s="1"/>
      <c r="I16103" s="1"/>
    </row>
    <row r="16104" spans="8:9" x14ac:dyDescent="0.2">
      <c r="H16104" s="1"/>
      <c r="I16104" s="1"/>
    </row>
    <row r="16105" spans="8:9" x14ac:dyDescent="0.2">
      <c r="H16105" s="1"/>
      <c r="I16105" s="1"/>
    </row>
    <row r="16106" spans="8:9" x14ac:dyDescent="0.2">
      <c r="H16106" s="1"/>
      <c r="I16106" s="1"/>
    </row>
    <row r="16107" spans="8:9" x14ac:dyDescent="0.2">
      <c r="H16107" s="1"/>
      <c r="I16107" s="1"/>
    </row>
    <row r="16108" spans="8:9" x14ac:dyDescent="0.2">
      <c r="H16108" s="1"/>
      <c r="I16108" s="1"/>
    </row>
    <row r="16109" spans="8:9" x14ac:dyDescent="0.2">
      <c r="H16109" s="1"/>
      <c r="I16109" s="1"/>
    </row>
    <row r="16110" spans="8:9" x14ac:dyDescent="0.2">
      <c r="H16110" s="1"/>
      <c r="I16110" s="1"/>
    </row>
    <row r="16111" spans="8:9" x14ac:dyDescent="0.2">
      <c r="H16111" s="1"/>
      <c r="I16111" s="1"/>
    </row>
    <row r="16112" spans="8:9" x14ac:dyDescent="0.2">
      <c r="H16112" s="1"/>
      <c r="I16112" s="1"/>
    </row>
    <row r="16113" spans="8:9" x14ac:dyDescent="0.2">
      <c r="H16113" s="1"/>
      <c r="I16113" s="1"/>
    </row>
    <row r="16114" spans="8:9" x14ac:dyDescent="0.2">
      <c r="H16114" s="1"/>
      <c r="I16114" s="1"/>
    </row>
    <row r="16115" spans="8:9" x14ac:dyDescent="0.2">
      <c r="H16115" s="1"/>
      <c r="I16115" s="1"/>
    </row>
    <row r="16116" spans="8:9" x14ac:dyDescent="0.2">
      <c r="H16116" s="1"/>
      <c r="I16116" s="1"/>
    </row>
    <row r="16117" spans="8:9" x14ac:dyDescent="0.2">
      <c r="H16117" s="1"/>
      <c r="I16117" s="1"/>
    </row>
    <row r="16118" spans="8:9" x14ac:dyDescent="0.2">
      <c r="H16118" s="1"/>
      <c r="I16118" s="1"/>
    </row>
    <row r="16119" spans="8:9" x14ac:dyDescent="0.2">
      <c r="H16119" s="1"/>
      <c r="I16119" s="1"/>
    </row>
    <row r="16120" spans="8:9" x14ac:dyDescent="0.2">
      <c r="H16120" s="1"/>
      <c r="I16120" s="1"/>
    </row>
    <row r="16121" spans="8:9" x14ac:dyDescent="0.2">
      <c r="H16121" s="1"/>
      <c r="I16121" s="1"/>
    </row>
    <row r="16122" spans="8:9" x14ac:dyDescent="0.2">
      <c r="H16122" s="1"/>
      <c r="I16122" s="1"/>
    </row>
    <row r="16123" spans="8:9" x14ac:dyDescent="0.2">
      <c r="H16123" s="1"/>
      <c r="I16123" s="1"/>
    </row>
    <row r="16124" spans="8:9" x14ac:dyDescent="0.2">
      <c r="H16124" s="1"/>
      <c r="I16124" s="1"/>
    </row>
    <row r="16125" spans="8:9" x14ac:dyDescent="0.2">
      <c r="H16125" s="1"/>
      <c r="I16125" s="1"/>
    </row>
    <row r="16126" spans="8:9" x14ac:dyDescent="0.2">
      <c r="H16126" s="1"/>
      <c r="I16126" s="1"/>
    </row>
    <row r="16127" spans="8:9" x14ac:dyDescent="0.2">
      <c r="H16127" s="1"/>
      <c r="I16127" s="1"/>
    </row>
    <row r="16128" spans="8:9" x14ac:dyDescent="0.2">
      <c r="H16128" s="1"/>
      <c r="I16128" s="1"/>
    </row>
    <row r="16129" spans="8:9" x14ac:dyDescent="0.2">
      <c r="H16129" s="1"/>
      <c r="I16129" s="1"/>
    </row>
    <row r="16130" spans="8:9" x14ac:dyDescent="0.2">
      <c r="H16130" s="1"/>
      <c r="I16130" s="1"/>
    </row>
    <row r="16131" spans="8:9" x14ac:dyDescent="0.2">
      <c r="H16131" s="1"/>
      <c r="I16131" s="1"/>
    </row>
    <row r="16132" spans="8:9" x14ac:dyDescent="0.2">
      <c r="H16132" s="1"/>
      <c r="I16132" s="1"/>
    </row>
    <row r="16133" spans="8:9" x14ac:dyDescent="0.2">
      <c r="H16133" s="1"/>
      <c r="I16133" s="1"/>
    </row>
    <row r="16134" spans="8:9" x14ac:dyDescent="0.2">
      <c r="H16134" s="1"/>
      <c r="I16134" s="1"/>
    </row>
    <row r="16135" spans="8:9" x14ac:dyDescent="0.2">
      <c r="H16135" s="1"/>
      <c r="I16135" s="1"/>
    </row>
    <row r="16136" spans="8:9" x14ac:dyDescent="0.2">
      <c r="H16136" s="1"/>
      <c r="I16136" s="1"/>
    </row>
    <row r="16137" spans="8:9" x14ac:dyDescent="0.2">
      <c r="H16137" s="1"/>
      <c r="I16137" s="1"/>
    </row>
    <row r="16138" spans="8:9" x14ac:dyDescent="0.2">
      <c r="H16138" s="1"/>
      <c r="I16138" s="1"/>
    </row>
    <row r="16139" spans="8:9" x14ac:dyDescent="0.2">
      <c r="H16139" s="1"/>
      <c r="I16139" s="1"/>
    </row>
    <row r="16140" spans="8:9" x14ac:dyDescent="0.2">
      <c r="H16140" s="1"/>
      <c r="I16140" s="1"/>
    </row>
    <row r="16141" spans="8:9" x14ac:dyDescent="0.2">
      <c r="H16141" s="1"/>
      <c r="I16141" s="1"/>
    </row>
    <row r="16142" spans="8:9" x14ac:dyDescent="0.2">
      <c r="H16142" s="1"/>
      <c r="I16142" s="1"/>
    </row>
    <row r="16143" spans="8:9" x14ac:dyDescent="0.2">
      <c r="H16143" s="1"/>
      <c r="I16143" s="1"/>
    </row>
    <row r="16144" spans="8:9" x14ac:dyDescent="0.2">
      <c r="H16144" s="1"/>
      <c r="I16144" s="1"/>
    </row>
    <row r="16145" spans="8:9" x14ac:dyDescent="0.2">
      <c r="H16145" s="1"/>
      <c r="I16145" s="1"/>
    </row>
    <row r="16146" spans="8:9" x14ac:dyDescent="0.2">
      <c r="H16146" s="1"/>
      <c r="I16146" s="1"/>
    </row>
    <row r="16147" spans="8:9" x14ac:dyDescent="0.2">
      <c r="H16147" s="1"/>
      <c r="I16147" s="1"/>
    </row>
    <row r="16148" spans="8:9" x14ac:dyDescent="0.2">
      <c r="H16148" s="1"/>
      <c r="I16148" s="1"/>
    </row>
    <row r="16149" spans="8:9" x14ac:dyDescent="0.2">
      <c r="H16149" s="1"/>
      <c r="I16149" s="1"/>
    </row>
    <row r="16150" spans="8:9" x14ac:dyDescent="0.2">
      <c r="H16150" s="1"/>
      <c r="I16150" s="1"/>
    </row>
    <row r="16151" spans="8:9" x14ac:dyDescent="0.2">
      <c r="H16151" s="1"/>
      <c r="I16151" s="1"/>
    </row>
    <row r="16152" spans="8:9" x14ac:dyDescent="0.2">
      <c r="H16152" s="1"/>
      <c r="I16152" s="1"/>
    </row>
    <row r="16153" spans="8:9" x14ac:dyDescent="0.2">
      <c r="H16153" s="1"/>
      <c r="I16153" s="1"/>
    </row>
    <row r="16154" spans="8:9" x14ac:dyDescent="0.2">
      <c r="H16154" s="1"/>
      <c r="I16154" s="1"/>
    </row>
    <row r="16155" spans="8:9" x14ac:dyDescent="0.2">
      <c r="H16155" s="1"/>
      <c r="I16155" s="1"/>
    </row>
    <row r="16156" spans="8:9" x14ac:dyDescent="0.2">
      <c r="H16156" s="1"/>
      <c r="I16156" s="1"/>
    </row>
    <row r="16157" spans="8:9" x14ac:dyDescent="0.2">
      <c r="H16157" s="1"/>
      <c r="I16157" s="1"/>
    </row>
    <row r="16158" spans="8:9" x14ac:dyDescent="0.2">
      <c r="H16158" s="1"/>
      <c r="I16158" s="1"/>
    </row>
    <row r="16159" spans="8:9" x14ac:dyDescent="0.2">
      <c r="H16159" s="1"/>
      <c r="I16159" s="1"/>
    </row>
    <row r="16160" spans="8:9" x14ac:dyDescent="0.2">
      <c r="H16160" s="1"/>
      <c r="I16160" s="1"/>
    </row>
    <row r="16161" spans="8:9" x14ac:dyDescent="0.2">
      <c r="H16161" s="1"/>
      <c r="I16161" s="1"/>
    </row>
    <row r="16162" spans="8:9" x14ac:dyDescent="0.2">
      <c r="H16162" s="1"/>
      <c r="I16162" s="1"/>
    </row>
    <row r="16163" spans="8:9" x14ac:dyDescent="0.2">
      <c r="H16163" s="1"/>
      <c r="I16163" s="1"/>
    </row>
    <row r="16164" spans="8:9" x14ac:dyDescent="0.2">
      <c r="H16164" s="1"/>
      <c r="I16164" s="1"/>
    </row>
    <row r="16165" spans="8:9" x14ac:dyDescent="0.2">
      <c r="H16165" s="1"/>
      <c r="I16165" s="1"/>
    </row>
    <row r="16166" spans="8:9" x14ac:dyDescent="0.2">
      <c r="H16166" s="1"/>
      <c r="I16166" s="1"/>
    </row>
    <row r="16167" spans="8:9" x14ac:dyDescent="0.2">
      <c r="H16167" s="1"/>
      <c r="I16167" s="1"/>
    </row>
    <row r="16168" spans="8:9" x14ac:dyDescent="0.2">
      <c r="H16168" s="1"/>
      <c r="I16168" s="1"/>
    </row>
    <row r="16169" spans="8:9" x14ac:dyDescent="0.2">
      <c r="H16169" s="1"/>
      <c r="I16169" s="1"/>
    </row>
    <row r="16170" spans="8:9" x14ac:dyDescent="0.2">
      <c r="H16170" s="1"/>
      <c r="I16170" s="1"/>
    </row>
    <row r="16171" spans="8:9" x14ac:dyDescent="0.2">
      <c r="H16171" s="1"/>
      <c r="I16171" s="1"/>
    </row>
    <row r="16172" spans="8:9" x14ac:dyDescent="0.2">
      <c r="H16172" s="1"/>
      <c r="I16172" s="1"/>
    </row>
    <row r="16173" spans="8:9" x14ac:dyDescent="0.2">
      <c r="H16173" s="1"/>
      <c r="I16173" s="1"/>
    </row>
    <row r="16174" spans="8:9" x14ac:dyDescent="0.2">
      <c r="H16174" s="1"/>
      <c r="I16174" s="1"/>
    </row>
    <row r="16175" spans="8:9" x14ac:dyDescent="0.2">
      <c r="H16175" s="1"/>
      <c r="I16175" s="1"/>
    </row>
    <row r="16176" spans="8:9" x14ac:dyDescent="0.2">
      <c r="H16176" s="1"/>
      <c r="I16176" s="1"/>
    </row>
    <row r="16177" spans="8:9" x14ac:dyDescent="0.2">
      <c r="H16177" s="1"/>
      <c r="I16177" s="1"/>
    </row>
    <row r="16178" spans="8:9" x14ac:dyDescent="0.2">
      <c r="H16178" s="1"/>
      <c r="I16178" s="1"/>
    </row>
    <row r="16179" spans="8:9" x14ac:dyDescent="0.2">
      <c r="H16179" s="1"/>
      <c r="I16179" s="1"/>
    </row>
    <row r="16180" spans="8:9" x14ac:dyDescent="0.2">
      <c r="H16180" s="1"/>
      <c r="I16180" s="1"/>
    </row>
    <row r="16181" spans="8:9" x14ac:dyDescent="0.2">
      <c r="H16181" s="1"/>
      <c r="I16181" s="1"/>
    </row>
    <row r="16182" spans="8:9" x14ac:dyDescent="0.2">
      <c r="H16182" s="1"/>
      <c r="I16182" s="1"/>
    </row>
    <row r="16183" spans="8:9" x14ac:dyDescent="0.2">
      <c r="H16183" s="1"/>
      <c r="I16183" s="1"/>
    </row>
    <row r="16184" spans="8:9" x14ac:dyDescent="0.2">
      <c r="H16184" s="1"/>
      <c r="I16184" s="1"/>
    </row>
    <row r="16185" spans="8:9" x14ac:dyDescent="0.2">
      <c r="H16185" s="1"/>
      <c r="I16185" s="1"/>
    </row>
    <row r="16186" spans="8:9" x14ac:dyDescent="0.2">
      <c r="H16186" s="1"/>
      <c r="I16186" s="1"/>
    </row>
    <row r="16187" spans="8:9" x14ac:dyDescent="0.2">
      <c r="H16187" s="1"/>
      <c r="I16187" s="1"/>
    </row>
    <row r="16188" spans="8:9" x14ac:dyDescent="0.2">
      <c r="H16188" s="1"/>
      <c r="I16188" s="1"/>
    </row>
    <row r="16189" spans="8:9" x14ac:dyDescent="0.2">
      <c r="H16189" s="1"/>
      <c r="I16189" s="1"/>
    </row>
    <row r="16190" spans="8:9" x14ac:dyDescent="0.2">
      <c r="H16190" s="1"/>
      <c r="I16190" s="1"/>
    </row>
    <row r="16191" spans="8:9" x14ac:dyDescent="0.2">
      <c r="H16191" s="1"/>
      <c r="I16191" s="1"/>
    </row>
    <row r="16192" spans="8:9" x14ac:dyDescent="0.2">
      <c r="H16192" s="1"/>
      <c r="I16192" s="1"/>
    </row>
    <row r="16193" spans="8:9" x14ac:dyDescent="0.2">
      <c r="H16193" s="1"/>
      <c r="I16193" s="1"/>
    </row>
    <row r="16194" spans="8:9" x14ac:dyDescent="0.2">
      <c r="H16194" s="1"/>
      <c r="I16194" s="1"/>
    </row>
    <row r="16195" spans="8:9" x14ac:dyDescent="0.2">
      <c r="H16195" s="1"/>
      <c r="I16195" s="1"/>
    </row>
    <row r="16196" spans="8:9" x14ac:dyDescent="0.2">
      <c r="H16196" s="1"/>
      <c r="I16196" s="1"/>
    </row>
    <row r="16197" spans="8:9" x14ac:dyDescent="0.2">
      <c r="H16197" s="1"/>
      <c r="I16197" s="1"/>
    </row>
    <row r="16198" spans="8:9" x14ac:dyDescent="0.2">
      <c r="H16198" s="1"/>
      <c r="I16198" s="1"/>
    </row>
    <row r="16199" spans="8:9" x14ac:dyDescent="0.2">
      <c r="H16199" s="1"/>
      <c r="I16199" s="1"/>
    </row>
    <row r="16200" spans="8:9" x14ac:dyDescent="0.2">
      <c r="H16200" s="1"/>
      <c r="I16200" s="1"/>
    </row>
    <row r="16201" spans="8:9" x14ac:dyDescent="0.2">
      <c r="H16201" s="1"/>
      <c r="I16201" s="1"/>
    </row>
    <row r="16202" spans="8:9" x14ac:dyDescent="0.2">
      <c r="H16202" s="1"/>
      <c r="I16202" s="1"/>
    </row>
    <row r="16203" spans="8:9" x14ac:dyDescent="0.2">
      <c r="H16203" s="1"/>
      <c r="I16203" s="1"/>
    </row>
    <row r="16204" spans="8:9" x14ac:dyDescent="0.2">
      <c r="H16204" s="1"/>
      <c r="I16204" s="1"/>
    </row>
    <row r="16205" spans="8:9" x14ac:dyDescent="0.2">
      <c r="H16205" s="1"/>
      <c r="I16205" s="1"/>
    </row>
    <row r="16206" spans="8:9" x14ac:dyDescent="0.2">
      <c r="H16206" s="1"/>
      <c r="I16206" s="1"/>
    </row>
    <row r="16207" spans="8:9" x14ac:dyDescent="0.2">
      <c r="H16207" s="1"/>
      <c r="I16207" s="1"/>
    </row>
    <row r="16208" spans="8:9" x14ac:dyDescent="0.2">
      <c r="H16208" s="1"/>
      <c r="I16208" s="1"/>
    </row>
    <row r="16209" spans="8:9" x14ac:dyDescent="0.2">
      <c r="H16209" s="1"/>
      <c r="I16209" s="1"/>
    </row>
    <row r="16210" spans="8:9" x14ac:dyDescent="0.2">
      <c r="H16210" s="1"/>
      <c r="I16210" s="1"/>
    </row>
    <row r="16211" spans="8:9" x14ac:dyDescent="0.2">
      <c r="H16211" s="1"/>
      <c r="I16211" s="1"/>
    </row>
    <row r="16212" spans="8:9" x14ac:dyDescent="0.2">
      <c r="H16212" s="1"/>
      <c r="I16212" s="1"/>
    </row>
    <row r="16213" spans="8:9" x14ac:dyDescent="0.2">
      <c r="H16213" s="1"/>
      <c r="I16213" s="1"/>
    </row>
    <row r="16214" spans="8:9" x14ac:dyDescent="0.2">
      <c r="H16214" s="1"/>
      <c r="I16214" s="1"/>
    </row>
    <row r="16215" spans="8:9" x14ac:dyDescent="0.2">
      <c r="H16215" s="1"/>
      <c r="I16215" s="1"/>
    </row>
    <row r="16216" spans="8:9" x14ac:dyDescent="0.2">
      <c r="H16216" s="1"/>
      <c r="I16216" s="1"/>
    </row>
    <row r="16217" spans="8:9" x14ac:dyDescent="0.2">
      <c r="H16217" s="1"/>
      <c r="I16217" s="1"/>
    </row>
    <row r="16218" spans="8:9" x14ac:dyDescent="0.2">
      <c r="H16218" s="1"/>
      <c r="I16218" s="1"/>
    </row>
    <row r="16219" spans="8:9" x14ac:dyDescent="0.2">
      <c r="H16219" s="1"/>
      <c r="I16219" s="1"/>
    </row>
    <row r="16220" spans="8:9" x14ac:dyDescent="0.2">
      <c r="H16220" s="1"/>
      <c r="I16220" s="1"/>
    </row>
    <row r="16221" spans="8:9" x14ac:dyDescent="0.2">
      <c r="H16221" s="1"/>
      <c r="I16221" s="1"/>
    </row>
    <row r="16222" spans="8:9" x14ac:dyDescent="0.2">
      <c r="H16222" s="1"/>
      <c r="I16222" s="1"/>
    </row>
    <row r="16223" spans="8:9" x14ac:dyDescent="0.2">
      <c r="H16223" s="1"/>
      <c r="I16223" s="1"/>
    </row>
    <row r="16224" spans="8:9" x14ac:dyDescent="0.2">
      <c r="H16224" s="1"/>
      <c r="I16224" s="1"/>
    </row>
    <row r="16225" spans="8:9" x14ac:dyDescent="0.2">
      <c r="H16225" s="1"/>
      <c r="I16225" s="1"/>
    </row>
    <row r="16226" spans="8:9" x14ac:dyDescent="0.2">
      <c r="H16226" s="1"/>
      <c r="I16226" s="1"/>
    </row>
    <row r="16227" spans="8:9" x14ac:dyDescent="0.2">
      <c r="H16227" s="1"/>
      <c r="I16227" s="1"/>
    </row>
    <row r="16228" spans="8:9" x14ac:dyDescent="0.2">
      <c r="H16228" s="1"/>
      <c r="I16228" s="1"/>
    </row>
    <row r="16229" spans="8:9" x14ac:dyDescent="0.2">
      <c r="H16229" s="1"/>
      <c r="I16229" s="1"/>
    </row>
    <row r="16230" spans="8:9" x14ac:dyDescent="0.2">
      <c r="H16230" s="1"/>
      <c r="I16230" s="1"/>
    </row>
    <row r="16231" spans="8:9" x14ac:dyDescent="0.2">
      <c r="H16231" s="1"/>
      <c r="I16231" s="1"/>
    </row>
    <row r="16232" spans="8:9" x14ac:dyDescent="0.2">
      <c r="H16232" s="1"/>
      <c r="I16232" s="1"/>
    </row>
    <row r="16233" spans="8:9" x14ac:dyDescent="0.2">
      <c r="H16233" s="1"/>
      <c r="I16233" s="1"/>
    </row>
    <row r="16234" spans="8:9" x14ac:dyDescent="0.2">
      <c r="H16234" s="1"/>
      <c r="I16234" s="1"/>
    </row>
    <row r="16235" spans="8:9" x14ac:dyDescent="0.2">
      <c r="H16235" s="1"/>
      <c r="I16235" s="1"/>
    </row>
    <row r="16236" spans="8:9" x14ac:dyDescent="0.2">
      <c r="H16236" s="1"/>
      <c r="I16236" s="1"/>
    </row>
    <row r="16237" spans="8:9" x14ac:dyDescent="0.2">
      <c r="H16237" s="1"/>
      <c r="I16237" s="1"/>
    </row>
    <row r="16238" spans="8:9" x14ac:dyDescent="0.2">
      <c r="H16238" s="1"/>
      <c r="I16238" s="1"/>
    </row>
    <row r="16239" spans="8:9" x14ac:dyDescent="0.2">
      <c r="H16239" s="1"/>
      <c r="I16239" s="1"/>
    </row>
    <row r="16240" spans="8:9" x14ac:dyDescent="0.2">
      <c r="H16240" s="1"/>
      <c r="I16240" s="1"/>
    </row>
    <row r="16241" spans="8:9" x14ac:dyDescent="0.2">
      <c r="H16241" s="1"/>
      <c r="I16241" s="1"/>
    </row>
    <row r="16242" spans="8:9" x14ac:dyDescent="0.2">
      <c r="H16242" s="1"/>
      <c r="I16242" s="1"/>
    </row>
    <row r="16243" spans="8:9" x14ac:dyDescent="0.2">
      <c r="H16243" s="1"/>
      <c r="I16243" s="1"/>
    </row>
    <row r="16244" spans="8:9" x14ac:dyDescent="0.2">
      <c r="H16244" s="1"/>
      <c r="I16244" s="1"/>
    </row>
    <row r="16245" spans="8:9" x14ac:dyDescent="0.2">
      <c r="H16245" s="1"/>
      <c r="I16245" s="1"/>
    </row>
    <row r="16246" spans="8:9" x14ac:dyDescent="0.2">
      <c r="H16246" s="1"/>
      <c r="I16246" s="1"/>
    </row>
    <row r="16247" spans="8:9" x14ac:dyDescent="0.2">
      <c r="H16247" s="1"/>
      <c r="I16247" s="1"/>
    </row>
    <row r="16248" spans="8:9" x14ac:dyDescent="0.2">
      <c r="H16248" s="1"/>
      <c r="I16248" s="1"/>
    </row>
    <row r="16249" spans="8:9" x14ac:dyDescent="0.2">
      <c r="H16249" s="1"/>
      <c r="I16249" s="1"/>
    </row>
    <row r="16250" spans="8:9" x14ac:dyDescent="0.2">
      <c r="H16250" s="1"/>
      <c r="I16250" s="1"/>
    </row>
    <row r="16251" spans="8:9" x14ac:dyDescent="0.2">
      <c r="H16251" s="1"/>
      <c r="I16251" s="1"/>
    </row>
    <row r="16252" spans="8:9" x14ac:dyDescent="0.2">
      <c r="H16252" s="1"/>
      <c r="I16252" s="1"/>
    </row>
    <row r="16253" spans="8:9" x14ac:dyDescent="0.2">
      <c r="H16253" s="1"/>
      <c r="I16253" s="1"/>
    </row>
    <row r="16254" spans="8:9" x14ac:dyDescent="0.2">
      <c r="H16254" s="1"/>
      <c r="I16254" s="1"/>
    </row>
    <row r="16255" spans="8:9" x14ac:dyDescent="0.2">
      <c r="H16255" s="1"/>
      <c r="I16255" s="1"/>
    </row>
    <row r="16256" spans="8:9" x14ac:dyDescent="0.2">
      <c r="H16256" s="1"/>
      <c r="I16256" s="1"/>
    </row>
    <row r="16257" spans="8:9" x14ac:dyDescent="0.2">
      <c r="H16257" s="1"/>
      <c r="I16257" s="1"/>
    </row>
    <row r="16258" spans="8:9" x14ac:dyDescent="0.2">
      <c r="H16258" s="1"/>
      <c r="I16258" s="1"/>
    </row>
    <row r="16259" spans="8:9" x14ac:dyDescent="0.2">
      <c r="H16259" s="1"/>
      <c r="I16259" s="1"/>
    </row>
    <row r="16260" spans="8:9" x14ac:dyDescent="0.2">
      <c r="H16260" s="1"/>
      <c r="I16260" s="1"/>
    </row>
    <row r="16261" spans="8:9" x14ac:dyDescent="0.2">
      <c r="H16261" s="1"/>
      <c r="I16261" s="1"/>
    </row>
    <row r="16262" spans="8:9" x14ac:dyDescent="0.2">
      <c r="H16262" s="1"/>
      <c r="I16262" s="1"/>
    </row>
    <row r="16263" spans="8:9" x14ac:dyDescent="0.2">
      <c r="H16263" s="1"/>
      <c r="I16263" s="1"/>
    </row>
    <row r="16264" spans="8:9" x14ac:dyDescent="0.2">
      <c r="H16264" s="1"/>
      <c r="I16264" s="1"/>
    </row>
    <row r="16265" spans="8:9" x14ac:dyDescent="0.2">
      <c r="H16265" s="1"/>
      <c r="I16265" s="1"/>
    </row>
    <row r="16266" spans="8:9" x14ac:dyDescent="0.2">
      <c r="H16266" s="1"/>
      <c r="I16266" s="1"/>
    </row>
    <row r="16267" spans="8:9" x14ac:dyDescent="0.2">
      <c r="H16267" s="1"/>
      <c r="I16267" s="1"/>
    </row>
    <row r="16268" spans="8:9" x14ac:dyDescent="0.2">
      <c r="H16268" s="1"/>
      <c r="I16268" s="1"/>
    </row>
    <row r="16269" spans="8:9" x14ac:dyDescent="0.2">
      <c r="H16269" s="1"/>
      <c r="I16269" s="1"/>
    </row>
    <row r="16270" spans="8:9" x14ac:dyDescent="0.2">
      <c r="H16270" s="1"/>
      <c r="I16270" s="1"/>
    </row>
    <row r="16271" spans="8:9" x14ac:dyDescent="0.2">
      <c r="H16271" s="1"/>
      <c r="I16271" s="1"/>
    </row>
    <row r="16272" spans="8:9" x14ac:dyDescent="0.2">
      <c r="H16272" s="1"/>
      <c r="I16272" s="1"/>
    </row>
    <row r="16273" spans="8:9" x14ac:dyDescent="0.2">
      <c r="H16273" s="1"/>
      <c r="I16273" s="1"/>
    </row>
    <row r="16274" spans="8:9" x14ac:dyDescent="0.2">
      <c r="H16274" s="1"/>
      <c r="I16274" s="1"/>
    </row>
    <row r="16275" spans="8:9" x14ac:dyDescent="0.2">
      <c r="H16275" s="1"/>
      <c r="I16275" s="1"/>
    </row>
    <row r="16276" spans="8:9" x14ac:dyDescent="0.2">
      <c r="H16276" s="1"/>
      <c r="I16276" s="1"/>
    </row>
    <row r="16277" spans="8:9" x14ac:dyDescent="0.2">
      <c r="H16277" s="1"/>
      <c r="I16277" s="1"/>
    </row>
    <row r="16278" spans="8:9" x14ac:dyDescent="0.2">
      <c r="H16278" s="1"/>
      <c r="I16278" s="1"/>
    </row>
    <row r="16279" spans="8:9" x14ac:dyDescent="0.2">
      <c r="H16279" s="1"/>
      <c r="I16279" s="1"/>
    </row>
    <row r="16280" spans="8:9" x14ac:dyDescent="0.2">
      <c r="H16280" s="1"/>
      <c r="I16280" s="1"/>
    </row>
    <row r="16281" spans="8:9" x14ac:dyDescent="0.2">
      <c r="H16281" s="1"/>
      <c r="I16281" s="1"/>
    </row>
    <row r="16282" spans="8:9" x14ac:dyDescent="0.2">
      <c r="H16282" s="1"/>
      <c r="I16282" s="1"/>
    </row>
    <row r="16283" spans="8:9" x14ac:dyDescent="0.2">
      <c r="H16283" s="1"/>
      <c r="I16283" s="1"/>
    </row>
    <row r="16284" spans="8:9" x14ac:dyDescent="0.2">
      <c r="H16284" s="1"/>
      <c r="I16284" s="1"/>
    </row>
    <row r="16285" spans="8:9" x14ac:dyDescent="0.2">
      <c r="H16285" s="1"/>
      <c r="I16285" s="1"/>
    </row>
    <row r="16286" spans="8:9" x14ac:dyDescent="0.2">
      <c r="H16286" s="1"/>
      <c r="I16286" s="1"/>
    </row>
    <row r="16287" spans="8:9" x14ac:dyDescent="0.2">
      <c r="H16287" s="1"/>
      <c r="I16287" s="1"/>
    </row>
    <row r="16288" spans="8:9" x14ac:dyDescent="0.2">
      <c r="H16288" s="1"/>
      <c r="I16288" s="1"/>
    </row>
    <row r="16289" spans="8:9" x14ac:dyDescent="0.2">
      <c r="H16289" s="1"/>
      <c r="I16289" s="1"/>
    </row>
    <row r="16290" spans="8:9" x14ac:dyDescent="0.2">
      <c r="H16290" s="1"/>
      <c r="I16290" s="1"/>
    </row>
    <row r="16291" spans="8:9" x14ac:dyDescent="0.2">
      <c r="H16291" s="1"/>
      <c r="I16291" s="1"/>
    </row>
    <row r="16292" spans="8:9" x14ac:dyDescent="0.2">
      <c r="H16292" s="1"/>
      <c r="I16292" s="1"/>
    </row>
    <row r="16293" spans="8:9" x14ac:dyDescent="0.2">
      <c r="H16293" s="1"/>
      <c r="I16293" s="1"/>
    </row>
    <row r="16294" spans="8:9" x14ac:dyDescent="0.2">
      <c r="H16294" s="1"/>
      <c r="I16294" s="1"/>
    </row>
    <row r="16295" spans="8:9" x14ac:dyDescent="0.2">
      <c r="H16295" s="1"/>
      <c r="I16295" s="1"/>
    </row>
    <row r="16296" spans="8:9" x14ac:dyDescent="0.2">
      <c r="H16296" s="1"/>
      <c r="I16296" s="1"/>
    </row>
    <row r="16297" spans="8:9" x14ac:dyDescent="0.2">
      <c r="H16297" s="1"/>
      <c r="I16297" s="1"/>
    </row>
    <row r="16298" spans="8:9" x14ac:dyDescent="0.2">
      <c r="H16298" s="1"/>
      <c r="I16298" s="1"/>
    </row>
    <row r="16299" spans="8:9" x14ac:dyDescent="0.2">
      <c r="H16299" s="1"/>
      <c r="I16299" s="1"/>
    </row>
    <row r="16300" spans="8:9" x14ac:dyDescent="0.2">
      <c r="H16300" s="1"/>
      <c r="I16300" s="1"/>
    </row>
    <row r="16301" spans="8:9" x14ac:dyDescent="0.2">
      <c r="H16301" s="1"/>
      <c r="I16301" s="1"/>
    </row>
    <row r="16302" spans="8:9" x14ac:dyDescent="0.2">
      <c r="H16302" s="1"/>
      <c r="I16302" s="1"/>
    </row>
    <row r="16303" spans="8:9" x14ac:dyDescent="0.2">
      <c r="H16303" s="1"/>
      <c r="I16303" s="1"/>
    </row>
    <row r="16304" spans="8:9" x14ac:dyDescent="0.2">
      <c r="H16304" s="1"/>
      <c r="I16304" s="1"/>
    </row>
    <row r="16305" spans="8:9" x14ac:dyDescent="0.2">
      <c r="H16305" s="1"/>
      <c r="I16305" s="1"/>
    </row>
    <row r="16306" spans="8:9" x14ac:dyDescent="0.2">
      <c r="H16306" s="1"/>
      <c r="I16306" s="1"/>
    </row>
    <row r="16307" spans="8:9" x14ac:dyDescent="0.2">
      <c r="H16307" s="1"/>
      <c r="I16307" s="1"/>
    </row>
    <row r="16308" spans="8:9" x14ac:dyDescent="0.2">
      <c r="H16308" s="1"/>
      <c r="I16308" s="1"/>
    </row>
    <row r="16309" spans="8:9" x14ac:dyDescent="0.2">
      <c r="H16309" s="1"/>
      <c r="I16309" s="1"/>
    </row>
    <row r="16310" spans="8:9" x14ac:dyDescent="0.2">
      <c r="H16310" s="1"/>
      <c r="I16310" s="1"/>
    </row>
    <row r="16311" spans="8:9" x14ac:dyDescent="0.2">
      <c r="H16311" s="1"/>
      <c r="I16311" s="1"/>
    </row>
    <row r="16312" spans="8:9" x14ac:dyDescent="0.2">
      <c r="H16312" s="1"/>
      <c r="I16312" s="1"/>
    </row>
    <row r="16313" spans="8:9" x14ac:dyDescent="0.2">
      <c r="H16313" s="1"/>
      <c r="I16313" s="1"/>
    </row>
    <row r="16314" spans="8:9" x14ac:dyDescent="0.2">
      <c r="H16314" s="1"/>
      <c r="I16314" s="1"/>
    </row>
    <row r="16315" spans="8:9" x14ac:dyDescent="0.2">
      <c r="H16315" s="1"/>
      <c r="I16315" s="1"/>
    </row>
    <row r="16316" spans="8:9" x14ac:dyDescent="0.2">
      <c r="H16316" s="1"/>
      <c r="I16316" s="1"/>
    </row>
    <row r="16317" spans="8:9" x14ac:dyDescent="0.2">
      <c r="H16317" s="1"/>
      <c r="I16317" s="1"/>
    </row>
    <row r="16318" spans="8:9" x14ac:dyDescent="0.2">
      <c r="H16318" s="1"/>
      <c r="I16318" s="1"/>
    </row>
    <row r="16319" spans="8:9" x14ac:dyDescent="0.2">
      <c r="H16319" s="1"/>
      <c r="I16319" s="1"/>
    </row>
    <row r="16320" spans="8:9" x14ac:dyDescent="0.2">
      <c r="H16320" s="1"/>
      <c r="I16320" s="1"/>
    </row>
    <row r="16321" spans="8:9" x14ac:dyDescent="0.2">
      <c r="H16321" s="1"/>
      <c r="I16321" s="1"/>
    </row>
    <row r="16322" spans="8:9" x14ac:dyDescent="0.2">
      <c r="H16322" s="1"/>
      <c r="I16322" s="1"/>
    </row>
    <row r="16323" spans="8:9" x14ac:dyDescent="0.2">
      <c r="H16323" s="1"/>
      <c r="I16323" s="1"/>
    </row>
    <row r="16324" spans="8:9" x14ac:dyDescent="0.2">
      <c r="H16324" s="1"/>
      <c r="I16324" s="1"/>
    </row>
    <row r="16325" spans="8:9" x14ac:dyDescent="0.2">
      <c r="H16325" s="1"/>
      <c r="I16325" s="1"/>
    </row>
    <row r="16326" spans="8:9" x14ac:dyDescent="0.2">
      <c r="H16326" s="1"/>
      <c r="I16326" s="1"/>
    </row>
    <row r="16327" spans="8:9" x14ac:dyDescent="0.2">
      <c r="H16327" s="1"/>
      <c r="I16327" s="1"/>
    </row>
    <row r="16328" spans="8:9" x14ac:dyDescent="0.2">
      <c r="H16328" s="1"/>
      <c r="I16328" s="1"/>
    </row>
    <row r="16329" spans="8:9" x14ac:dyDescent="0.2">
      <c r="H16329" s="1"/>
      <c r="I16329" s="1"/>
    </row>
    <row r="16330" spans="8:9" x14ac:dyDescent="0.2">
      <c r="H16330" s="1"/>
      <c r="I16330" s="1"/>
    </row>
    <row r="16331" spans="8:9" x14ac:dyDescent="0.2">
      <c r="H16331" s="1"/>
      <c r="I16331" s="1"/>
    </row>
    <row r="16332" spans="8:9" x14ac:dyDescent="0.2">
      <c r="H16332" s="1"/>
      <c r="I16332" s="1"/>
    </row>
    <row r="16333" spans="8:9" x14ac:dyDescent="0.2">
      <c r="H16333" s="1"/>
      <c r="I16333" s="1"/>
    </row>
    <row r="16334" spans="8:9" x14ac:dyDescent="0.2">
      <c r="H16334" s="1"/>
      <c r="I16334" s="1"/>
    </row>
    <row r="16335" spans="8:9" x14ac:dyDescent="0.2">
      <c r="H16335" s="1"/>
      <c r="I16335" s="1"/>
    </row>
    <row r="16336" spans="8:9" x14ac:dyDescent="0.2">
      <c r="H16336" s="1"/>
      <c r="I16336" s="1"/>
    </row>
    <row r="16337" spans="8:9" x14ac:dyDescent="0.2">
      <c r="H16337" s="1"/>
      <c r="I16337" s="1"/>
    </row>
    <row r="16338" spans="8:9" x14ac:dyDescent="0.2">
      <c r="H16338" s="1"/>
      <c r="I16338" s="1"/>
    </row>
    <row r="16339" spans="8:9" x14ac:dyDescent="0.2">
      <c r="H16339" s="1"/>
      <c r="I16339" s="1"/>
    </row>
    <row r="16340" spans="8:9" x14ac:dyDescent="0.2">
      <c r="H16340" s="1"/>
      <c r="I16340" s="1"/>
    </row>
    <row r="16341" spans="8:9" x14ac:dyDescent="0.2">
      <c r="H16341" s="1"/>
      <c r="I16341" s="1"/>
    </row>
    <row r="16342" spans="8:9" x14ac:dyDescent="0.2">
      <c r="H16342" s="1"/>
      <c r="I16342" s="1"/>
    </row>
    <row r="16343" spans="8:9" x14ac:dyDescent="0.2">
      <c r="H16343" s="1"/>
      <c r="I16343" s="1"/>
    </row>
    <row r="16344" spans="8:9" x14ac:dyDescent="0.2">
      <c r="H16344" s="1"/>
      <c r="I16344" s="1"/>
    </row>
    <row r="16345" spans="8:9" x14ac:dyDescent="0.2">
      <c r="H16345" s="1"/>
      <c r="I16345" s="1"/>
    </row>
    <row r="16346" spans="8:9" x14ac:dyDescent="0.2">
      <c r="H16346" s="1"/>
      <c r="I16346" s="1"/>
    </row>
    <row r="16347" spans="8:9" x14ac:dyDescent="0.2">
      <c r="H16347" s="1"/>
      <c r="I16347" s="1"/>
    </row>
    <row r="16348" spans="8:9" x14ac:dyDescent="0.2">
      <c r="H16348" s="1"/>
      <c r="I16348" s="1"/>
    </row>
    <row r="16349" spans="8:9" x14ac:dyDescent="0.2">
      <c r="H16349" s="1"/>
      <c r="I16349" s="1"/>
    </row>
    <row r="16350" spans="8:9" x14ac:dyDescent="0.2">
      <c r="H16350" s="1"/>
      <c r="I16350" s="1"/>
    </row>
    <row r="16351" spans="8:9" x14ac:dyDescent="0.2">
      <c r="H16351" s="1"/>
      <c r="I16351" s="1"/>
    </row>
    <row r="16352" spans="8:9" x14ac:dyDescent="0.2">
      <c r="H16352" s="1"/>
      <c r="I16352" s="1"/>
    </row>
    <row r="16353" spans="8:9" x14ac:dyDescent="0.2">
      <c r="H16353" s="1"/>
      <c r="I16353" s="1"/>
    </row>
    <row r="16354" spans="8:9" x14ac:dyDescent="0.2">
      <c r="H16354" s="1"/>
      <c r="I16354" s="1"/>
    </row>
    <row r="16355" spans="8:9" x14ac:dyDescent="0.2">
      <c r="H16355" s="1"/>
      <c r="I16355" s="1"/>
    </row>
    <row r="16356" spans="8:9" x14ac:dyDescent="0.2">
      <c r="H16356" s="1"/>
      <c r="I16356" s="1"/>
    </row>
    <row r="16357" spans="8:9" x14ac:dyDescent="0.2">
      <c r="H16357" s="1"/>
      <c r="I16357" s="1"/>
    </row>
    <row r="16358" spans="8:9" x14ac:dyDescent="0.2">
      <c r="H16358" s="1"/>
      <c r="I16358" s="1"/>
    </row>
    <row r="16359" spans="8:9" x14ac:dyDescent="0.2">
      <c r="H16359" s="1"/>
      <c r="I16359" s="1"/>
    </row>
    <row r="16360" spans="8:9" x14ac:dyDescent="0.2">
      <c r="H16360" s="1"/>
      <c r="I16360" s="1"/>
    </row>
    <row r="16361" spans="8:9" x14ac:dyDescent="0.2">
      <c r="H16361" s="1"/>
      <c r="I16361" s="1"/>
    </row>
    <row r="16362" spans="8:9" x14ac:dyDescent="0.2">
      <c r="H16362" s="1"/>
      <c r="I16362" s="1"/>
    </row>
    <row r="16363" spans="8:9" x14ac:dyDescent="0.2">
      <c r="H16363" s="1"/>
      <c r="I16363" s="1"/>
    </row>
    <row r="16364" spans="8:9" x14ac:dyDescent="0.2">
      <c r="H16364" s="1"/>
      <c r="I16364" s="1"/>
    </row>
    <row r="16365" spans="8:9" x14ac:dyDescent="0.2">
      <c r="H16365" s="1"/>
      <c r="I16365" s="1"/>
    </row>
    <row r="16366" spans="8:9" x14ac:dyDescent="0.2">
      <c r="H16366" s="1"/>
      <c r="I16366" s="1"/>
    </row>
    <row r="16367" spans="8:9" x14ac:dyDescent="0.2">
      <c r="H16367" s="1"/>
      <c r="I16367" s="1"/>
    </row>
    <row r="16368" spans="8:9" x14ac:dyDescent="0.2">
      <c r="H16368" s="1"/>
      <c r="I16368" s="1"/>
    </row>
    <row r="16369" spans="8:9" x14ac:dyDescent="0.2">
      <c r="H16369" s="1"/>
      <c r="I16369" s="1"/>
    </row>
    <row r="16370" spans="8:9" x14ac:dyDescent="0.2">
      <c r="H16370" s="1"/>
      <c r="I16370" s="1"/>
    </row>
    <row r="16371" spans="8:9" x14ac:dyDescent="0.2">
      <c r="H16371" s="1"/>
      <c r="I16371" s="1"/>
    </row>
    <row r="16372" spans="8:9" x14ac:dyDescent="0.2">
      <c r="H16372" s="1"/>
      <c r="I16372" s="1"/>
    </row>
    <row r="16373" spans="8:9" x14ac:dyDescent="0.2">
      <c r="H16373" s="1"/>
      <c r="I16373" s="1"/>
    </row>
    <row r="16374" spans="8:9" x14ac:dyDescent="0.2">
      <c r="H16374" s="1"/>
      <c r="I16374" s="1"/>
    </row>
    <row r="16375" spans="8:9" x14ac:dyDescent="0.2">
      <c r="H16375" s="1"/>
      <c r="I16375" s="1"/>
    </row>
    <row r="16376" spans="8:9" x14ac:dyDescent="0.2">
      <c r="H16376" s="1"/>
      <c r="I16376" s="1"/>
    </row>
    <row r="16377" spans="8:9" x14ac:dyDescent="0.2">
      <c r="H16377" s="1"/>
      <c r="I16377" s="1"/>
    </row>
    <row r="16378" spans="8:9" x14ac:dyDescent="0.2">
      <c r="H16378" s="1"/>
      <c r="I16378" s="1"/>
    </row>
    <row r="16379" spans="8:9" x14ac:dyDescent="0.2">
      <c r="H16379" s="1"/>
      <c r="I16379" s="1"/>
    </row>
    <row r="16380" spans="8:9" x14ac:dyDescent="0.2">
      <c r="H16380" s="1"/>
      <c r="I16380" s="1"/>
    </row>
    <row r="16381" spans="8:9" x14ac:dyDescent="0.2">
      <c r="H16381" s="1"/>
      <c r="I16381" s="1"/>
    </row>
    <row r="16382" spans="8:9" x14ac:dyDescent="0.2">
      <c r="H16382" s="1"/>
      <c r="I16382" s="1"/>
    </row>
    <row r="16383" spans="8:9" x14ac:dyDescent="0.2">
      <c r="H16383" s="1"/>
      <c r="I16383" s="1"/>
    </row>
    <row r="16384" spans="8:9" x14ac:dyDescent="0.2">
      <c r="H16384" s="1"/>
      <c r="I16384" s="1"/>
    </row>
    <row r="16385" spans="8:9" x14ac:dyDescent="0.2">
      <c r="H16385" s="1"/>
      <c r="I16385" s="1"/>
    </row>
    <row r="16386" spans="8:9" x14ac:dyDescent="0.2">
      <c r="H16386" s="1"/>
      <c r="I16386" s="1"/>
    </row>
    <row r="16387" spans="8:9" x14ac:dyDescent="0.2">
      <c r="H16387" s="1"/>
      <c r="I16387" s="1"/>
    </row>
    <row r="16388" spans="8:9" x14ac:dyDescent="0.2">
      <c r="H16388" s="1"/>
      <c r="I16388" s="1"/>
    </row>
    <row r="16389" spans="8:9" x14ac:dyDescent="0.2">
      <c r="H16389" s="1"/>
      <c r="I16389" s="1"/>
    </row>
    <row r="16390" spans="8:9" x14ac:dyDescent="0.2">
      <c r="H16390" s="1"/>
      <c r="I16390" s="1"/>
    </row>
    <row r="16391" spans="8:9" x14ac:dyDescent="0.2">
      <c r="H16391" s="1"/>
      <c r="I16391" s="1"/>
    </row>
    <row r="16392" spans="8:9" x14ac:dyDescent="0.2">
      <c r="H16392" s="1"/>
      <c r="I16392" s="1"/>
    </row>
    <row r="16393" spans="8:9" x14ac:dyDescent="0.2">
      <c r="H16393" s="1"/>
      <c r="I16393" s="1"/>
    </row>
    <row r="16394" spans="8:9" x14ac:dyDescent="0.2">
      <c r="H16394" s="1"/>
      <c r="I16394" s="1"/>
    </row>
    <row r="16395" spans="8:9" x14ac:dyDescent="0.2">
      <c r="H16395" s="1"/>
      <c r="I16395" s="1"/>
    </row>
    <row r="16396" spans="8:9" x14ac:dyDescent="0.2">
      <c r="H16396" s="1"/>
      <c r="I16396" s="1"/>
    </row>
    <row r="16397" spans="8:9" x14ac:dyDescent="0.2">
      <c r="H16397" s="1"/>
      <c r="I16397" s="1"/>
    </row>
    <row r="16398" spans="8:9" x14ac:dyDescent="0.2">
      <c r="H16398" s="1"/>
      <c r="I16398" s="1"/>
    </row>
    <row r="16399" spans="8:9" x14ac:dyDescent="0.2">
      <c r="H16399" s="1"/>
      <c r="I16399" s="1"/>
    </row>
    <row r="16400" spans="8:9" x14ac:dyDescent="0.2">
      <c r="H16400" s="1"/>
      <c r="I16400" s="1"/>
    </row>
    <row r="16401" spans="8:9" x14ac:dyDescent="0.2">
      <c r="H16401" s="1"/>
      <c r="I16401" s="1"/>
    </row>
    <row r="16402" spans="8:9" x14ac:dyDescent="0.2">
      <c r="H16402" s="1"/>
      <c r="I16402" s="1"/>
    </row>
    <row r="16403" spans="8:9" x14ac:dyDescent="0.2">
      <c r="H16403" s="1"/>
      <c r="I16403" s="1"/>
    </row>
    <row r="16404" spans="8:9" x14ac:dyDescent="0.2">
      <c r="H16404" s="1"/>
      <c r="I16404" s="1"/>
    </row>
    <row r="16405" spans="8:9" x14ac:dyDescent="0.2">
      <c r="H16405" s="1"/>
      <c r="I16405" s="1"/>
    </row>
    <row r="16406" spans="8:9" x14ac:dyDescent="0.2">
      <c r="H16406" s="1"/>
      <c r="I16406" s="1"/>
    </row>
    <row r="16407" spans="8:9" x14ac:dyDescent="0.2">
      <c r="H16407" s="1"/>
      <c r="I16407" s="1"/>
    </row>
    <row r="16408" spans="8:9" x14ac:dyDescent="0.2">
      <c r="H16408" s="1"/>
      <c r="I16408" s="1"/>
    </row>
    <row r="16409" spans="8:9" x14ac:dyDescent="0.2">
      <c r="H16409" s="1"/>
      <c r="I16409" s="1"/>
    </row>
    <row r="16410" spans="8:9" x14ac:dyDescent="0.2">
      <c r="H16410" s="1"/>
      <c r="I16410" s="1"/>
    </row>
    <row r="16411" spans="8:9" x14ac:dyDescent="0.2">
      <c r="H16411" s="1"/>
      <c r="I16411" s="1"/>
    </row>
    <row r="16412" spans="8:9" x14ac:dyDescent="0.2">
      <c r="H16412" s="1"/>
      <c r="I16412" s="1"/>
    </row>
    <row r="16413" spans="8:9" x14ac:dyDescent="0.2">
      <c r="H16413" s="1"/>
      <c r="I16413" s="1"/>
    </row>
    <row r="16414" spans="8:9" x14ac:dyDescent="0.2">
      <c r="H16414" s="1"/>
      <c r="I16414" s="1"/>
    </row>
    <row r="16415" spans="8:9" x14ac:dyDescent="0.2">
      <c r="H16415" s="1"/>
      <c r="I16415" s="1"/>
    </row>
    <row r="16416" spans="8:9" x14ac:dyDescent="0.2">
      <c r="H16416" s="1"/>
      <c r="I16416" s="1"/>
    </row>
    <row r="16417" spans="8:9" x14ac:dyDescent="0.2">
      <c r="H16417" s="1"/>
      <c r="I16417" s="1"/>
    </row>
    <row r="16418" spans="8:9" x14ac:dyDescent="0.2">
      <c r="H16418" s="1"/>
      <c r="I16418" s="1"/>
    </row>
    <row r="16419" spans="8:9" x14ac:dyDescent="0.2">
      <c r="H16419" s="1"/>
      <c r="I16419" s="1"/>
    </row>
    <row r="16420" spans="8:9" x14ac:dyDescent="0.2">
      <c r="H16420" s="1"/>
      <c r="I16420" s="1"/>
    </row>
    <row r="16421" spans="8:9" x14ac:dyDescent="0.2">
      <c r="H16421" s="1"/>
      <c r="I16421" s="1"/>
    </row>
    <row r="16422" spans="8:9" x14ac:dyDescent="0.2">
      <c r="H16422" s="1"/>
      <c r="I16422" s="1"/>
    </row>
    <row r="16423" spans="8:9" x14ac:dyDescent="0.2">
      <c r="H16423" s="1"/>
      <c r="I16423" s="1"/>
    </row>
    <row r="16424" spans="8:9" x14ac:dyDescent="0.2">
      <c r="H16424" s="1"/>
      <c r="I16424" s="1"/>
    </row>
    <row r="16425" spans="8:9" x14ac:dyDescent="0.2">
      <c r="H16425" s="1"/>
      <c r="I16425" s="1"/>
    </row>
    <row r="16426" spans="8:9" x14ac:dyDescent="0.2">
      <c r="H16426" s="1"/>
      <c r="I16426" s="1"/>
    </row>
    <row r="16427" spans="8:9" x14ac:dyDescent="0.2">
      <c r="H16427" s="1"/>
      <c r="I16427" s="1"/>
    </row>
    <row r="16428" spans="8:9" x14ac:dyDescent="0.2">
      <c r="H16428" s="1"/>
      <c r="I16428" s="1"/>
    </row>
    <row r="16429" spans="8:9" x14ac:dyDescent="0.2">
      <c r="H16429" s="1"/>
      <c r="I16429" s="1"/>
    </row>
    <row r="16430" spans="8:9" x14ac:dyDescent="0.2">
      <c r="H16430" s="1"/>
      <c r="I16430" s="1"/>
    </row>
    <row r="16431" spans="8:9" x14ac:dyDescent="0.2">
      <c r="H16431" s="1"/>
      <c r="I16431" s="1"/>
    </row>
    <row r="16432" spans="8:9" x14ac:dyDescent="0.2">
      <c r="H16432" s="1"/>
      <c r="I16432" s="1"/>
    </row>
    <row r="16433" spans="8:9" x14ac:dyDescent="0.2">
      <c r="H16433" s="1"/>
      <c r="I16433" s="1"/>
    </row>
    <row r="16434" spans="8:9" x14ac:dyDescent="0.2">
      <c r="H16434" s="1"/>
      <c r="I16434" s="1"/>
    </row>
    <row r="16435" spans="8:9" x14ac:dyDescent="0.2">
      <c r="H16435" s="1"/>
      <c r="I16435" s="1"/>
    </row>
    <row r="16436" spans="8:9" x14ac:dyDescent="0.2">
      <c r="H16436" s="1"/>
      <c r="I16436" s="1"/>
    </row>
    <row r="16437" spans="8:9" x14ac:dyDescent="0.2">
      <c r="H16437" s="1"/>
      <c r="I16437" s="1"/>
    </row>
    <row r="16438" spans="8:9" x14ac:dyDescent="0.2">
      <c r="H16438" s="1"/>
      <c r="I16438" s="1"/>
    </row>
    <row r="16439" spans="8:9" x14ac:dyDescent="0.2">
      <c r="H16439" s="1"/>
      <c r="I16439" s="1"/>
    </row>
    <row r="16440" spans="8:9" x14ac:dyDescent="0.2">
      <c r="H16440" s="1"/>
      <c r="I16440" s="1"/>
    </row>
    <row r="16441" spans="8:9" x14ac:dyDescent="0.2">
      <c r="H16441" s="1"/>
      <c r="I16441" s="1"/>
    </row>
    <row r="16442" spans="8:9" x14ac:dyDescent="0.2">
      <c r="H16442" s="1"/>
      <c r="I16442" s="1"/>
    </row>
    <row r="16443" spans="8:9" x14ac:dyDescent="0.2">
      <c r="H16443" s="1"/>
      <c r="I16443" s="1"/>
    </row>
    <row r="16444" spans="8:9" x14ac:dyDescent="0.2">
      <c r="H16444" s="1"/>
      <c r="I16444" s="1"/>
    </row>
    <row r="16445" spans="8:9" x14ac:dyDescent="0.2">
      <c r="H16445" s="1"/>
      <c r="I16445" s="1"/>
    </row>
    <row r="16446" spans="8:9" x14ac:dyDescent="0.2">
      <c r="H16446" s="1"/>
      <c r="I16446" s="1"/>
    </row>
    <row r="16447" spans="8:9" x14ac:dyDescent="0.2">
      <c r="H16447" s="1"/>
      <c r="I16447" s="1"/>
    </row>
    <row r="16448" spans="8:9" x14ac:dyDescent="0.2">
      <c r="H16448" s="1"/>
      <c r="I16448" s="1"/>
    </row>
    <row r="16449" spans="8:9" x14ac:dyDescent="0.2">
      <c r="H16449" s="1"/>
      <c r="I16449" s="1"/>
    </row>
    <row r="16450" spans="8:9" x14ac:dyDescent="0.2">
      <c r="H16450" s="1"/>
      <c r="I16450" s="1"/>
    </row>
    <row r="16451" spans="8:9" x14ac:dyDescent="0.2">
      <c r="H16451" s="1"/>
      <c r="I16451" s="1"/>
    </row>
    <row r="16452" spans="8:9" x14ac:dyDescent="0.2">
      <c r="H16452" s="1"/>
      <c r="I16452" s="1"/>
    </row>
    <row r="16453" spans="8:9" x14ac:dyDescent="0.2">
      <c r="H16453" s="1"/>
      <c r="I16453" s="1"/>
    </row>
    <row r="16454" spans="8:9" x14ac:dyDescent="0.2">
      <c r="H16454" s="1"/>
      <c r="I16454" s="1"/>
    </row>
    <row r="16455" spans="8:9" x14ac:dyDescent="0.2">
      <c r="H16455" s="1"/>
      <c r="I16455" s="1"/>
    </row>
    <row r="16456" spans="8:9" x14ac:dyDescent="0.2">
      <c r="H16456" s="1"/>
      <c r="I16456" s="1"/>
    </row>
    <row r="16457" spans="8:9" x14ac:dyDescent="0.2">
      <c r="H16457" s="1"/>
      <c r="I16457" s="1"/>
    </row>
    <row r="16458" spans="8:9" x14ac:dyDescent="0.2">
      <c r="H16458" s="1"/>
      <c r="I16458" s="1"/>
    </row>
    <row r="16459" spans="8:9" x14ac:dyDescent="0.2">
      <c r="H16459" s="1"/>
      <c r="I16459" s="1"/>
    </row>
    <row r="16460" spans="8:9" x14ac:dyDescent="0.2">
      <c r="H16460" s="1"/>
      <c r="I16460" s="1"/>
    </row>
    <row r="16461" spans="8:9" x14ac:dyDescent="0.2">
      <c r="H16461" s="1"/>
      <c r="I16461" s="1"/>
    </row>
    <row r="16462" spans="8:9" x14ac:dyDescent="0.2">
      <c r="H16462" s="1"/>
      <c r="I16462" s="1"/>
    </row>
    <row r="16463" spans="8:9" x14ac:dyDescent="0.2">
      <c r="H16463" s="1"/>
      <c r="I16463" s="1"/>
    </row>
    <row r="16464" spans="8:9" x14ac:dyDescent="0.2">
      <c r="H16464" s="1"/>
      <c r="I16464" s="1"/>
    </row>
    <row r="16465" spans="8:9" x14ac:dyDescent="0.2">
      <c r="H16465" s="1"/>
      <c r="I16465" s="1"/>
    </row>
    <row r="16466" spans="8:9" x14ac:dyDescent="0.2">
      <c r="H16466" s="1"/>
      <c r="I16466" s="1"/>
    </row>
    <row r="16467" spans="8:9" x14ac:dyDescent="0.2">
      <c r="H16467" s="1"/>
      <c r="I16467" s="1"/>
    </row>
    <row r="16468" spans="8:9" x14ac:dyDescent="0.2">
      <c r="H16468" s="1"/>
      <c r="I16468" s="1"/>
    </row>
    <row r="16469" spans="8:9" x14ac:dyDescent="0.2">
      <c r="H16469" s="1"/>
      <c r="I16469" s="1"/>
    </row>
    <row r="16470" spans="8:9" x14ac:dyDescent="0.2">
      <c r="H16470" s="1"/>
      <c r="I16470" s="1"/>
    </row>
    <row r="16471" spans="8:9" x14ac:dyDescent="0.2">
      <c r="H16471" s="1"/>
      <c r="I16471" s="1"/>
    </row>
    <row r="16472" spans="8:9" x14ac:dyDescent="0.2">
      <c r="H16472" s="1"/>
      <c r="I16472" s="1"/>
    </row>
    <row r="16473" spans="8:9" x14ac:dyDescent="0.2">
      <c r="H16473" s="1"/>
      <c r="I16473" s="1"/>
    </row>
    <row r="16474" spans="8:9" x14ac:dyDescent="0.2">
      <c r="H16474" s="1"/>
      <c r="I16474" s="1"/>
    </row>
    <row r="16475" spans="8:9" x14ac:dyDescent="0.2">
      <c r="H16475" s="1"/>
      <c r="I16475" s="1"/>
    </row>
    <row r="16476" spans="8:9" x14ac:dyDescent="0.2">
      <c r="H16476" s="1"/>
      <c r="I16476" s="1"/>
    </row>
    <row r="16477" spans="8:9" x14ac:dyDescent="0.2">
      <c r="H16477" s="1"/>
      <c r="I16477" s="1"/>
    </row>
    <row r="16478" spans="8:9" x14ac:dyDescent="0.2">
      <c r="H16478" s="1"/>
      <c r="I16478" s="1"/>
    </row>
    <row r="16479" spans="8:9" x14ac:dyDescent="0.2">
      <c r="H16479" s="1"/>
      <c r="I16479" s="1"/>
    </row>
    <row r="16480" spans="8:9" x14ac:dyDescent="0.2">
      <c r="H16480" s="1"/>
      <c r="I16480" s="1"/>
    </row>
    <row r="16481" spans="8:9" x14ac:dyDescent="0.2">
      <c r="H16481" s="1"/>
      <c r="I16481" s="1"/>
    </row>
    <row r="16482" spans="8:9" x14ac:dyDescent="0.2">
      <c r="H16482" s="1"/>
      <c r="I16482" s="1"/>
    </row>
    <row r="16483" spans="8:9" x14ac:dyDescent="0.2">
      <c r="H16483" s="1"/>
      <c r="I16483" s="1"/>
    </row>
    <row r="16484" spans="8:9" x14ac:dyDescent="0.2">
      <c r="H16484" s="1"/>
      <c r="I16484" s="1"/>
    </row>
    <row r="16485" spans="8:9" x14ac:dyDescent="0.2">
      <c r="H16485" s="1"/>
      <c r="I16485" s="1"/>
    </row>
    <row r="16486" spans="8:9" x14ac:dyDescent="0.2">
      <c r="H16486" s="1"/>
      <c r="I16486" s="1"/>
    </row>
    <row r="16487" spans="8:9" x14ac:dyDescent="0.2">
      <c r="H16487" s="1"/>
      <c r="I16487" s="1"/>
    </row>
    <row r="16488" spans="8:9" x14ac:dyDescent="0.2">
      <c r="H16488" s="1"/>
      <c r="I16488" s="1"/>
    </row>
    <row r="16489" spans="8:9" x14ac:dyDescent="0.2">
      <c r="H16489" s="1"/>
      <c r="I16489" s="1"/>
    </row>
    <row r="16490" spans="8:9" x14ac:dyDescent="0.2">
      <c r="H16490" s="1"/>
      <c r="I16490" s="1"/>
    </row>
    <row r="16491" spans="8:9" x14ac:dyDescent="0.2">
      <c r="H16491" s="1"/>
      <c r="I16491" s="1"/>
    </row>
    <row r="16492" spans="8:9" x14ac:dyDescent="0.2">
      <c r="H16492" s="1"/>
      <c r="I16492" s="1"/>
    </row>
    <row r="16493" spans="8:9" x14ac:dyDescent="0.2">
      <c r="H16493" s="1"/>
      <c r="I16493" s="1"/>
    </row>
    <row r="16494" spans="8:9" x14ac:dyDescent="0.2">
      <c r="H16494" s="1"/>
      <c r="I16494" s="1"/>
    </row>
    <row r="16495" spans="8:9" x14ac:dyDescent="0.2">
      <c r="H16495" s="1"/>
      <c r="I16495" s="1"/>
    </row>
    <row r="16496" spans="8:9" x14ac:dyDescent="0.2">
      <c r="H16496" s="1"/>
      <c r="I16496" s="1"/>
    </row>
    <row r="16497" spans="8:9" x14ac:dyDescent="0.2">
      <c r="H16497" s="1"/>
      <c r="I16497" s="1"/>
    </row>
    <row r="16498" spans="8:9" x14ac:dyDescent="0.2">
      <c r="H16498" s="1"/>
      <c r="I16498" s="1"/>
    </row>
    <row r="16499" spans="8:9" x14ac:dyDescent="0.2">
      <c r="H16499" s="1"/>
      <c r="I16499" s="1"/>
    </row>
    <row r="16500" spans="8:9" x14ac:dyDescent="0.2">
      <c r="H16500" s="1"/>
      <c r="I16500" s="1"/>
    </row>
    <row r="16501" spans="8:9" x14ac:dyDescent="0.2">
      <c r="H16501" s="1"/>
      <c r="I16501" s="1"/>
    </row>
    <row r="16502" spans="8:9" x14ac:dyDescent="0.2">
      <c r="H16502" s="1"/>
      <c r="I16502" s="1"/>
    </row>
    <row r="16503" spans="8:9" x14ac:dyDescent="0.2">
      <c r="H16503" s="1"/>
      <c r="I16503" s="1"/>
    </row>
    <row r="16504" spans="8:9" x14ac:dyDescent="0.2">
      <c r="H16504" s="1"/>
      <c r="I16504" s="1"/>
    </row>
    <row r="16505" spans="8:9" x14ac:dyDescent="0.2">
      <c r="H16505" s="1"/>
      <c r="I16505" s="1"/>
    </row>
    <row r="16506" spans="8:9" x14ac:dyDescent="0.2">
      <c r="H16506" s="1"/>
      <c r="I16506" s="1"/>
    </row>
    <row r="16507" spans="8:9" x14ac:dyDescent="0.2">
      <c r="H16507" s="1"/>
      <c r="I16507" s="1"/>
    </row>
    <row r="16508" spans="8:9" x14ac:dyDescent="0.2">
      <c r="H16508" s="1"/>
      <c r="I16508" s="1"/>
    </row>
    <row r="16509" spans="8:9" x14ac:dyDescent="0.2">
      <c r="H16509" s="1"/>
      <c r="I16509" s="1"/>
    </row>
    <row r="16510" spans="8:9" x14ac:dyDescent="0.2">
      <c r="H16510" s="1"/>
      <c r="I16510" s="1"/>
    </row>
    <row r="16511" spans="8:9" x14ac:dyDescent="0.2">
      <c r="H16511" s="1"/>
      <c r="I16511" s="1"/>
    </row>
    <row r="16512" spans="8:9" x14ac:dyDescent="0.2">
      <c r="H16512" s="1"/>
      <c r="I16512" s="1"/>
    </row>
    <row r="16513" spans="8:9" x14ac:dyDescent="0.2">
      <c r="H16513" s="1"/>
      <c r="I16513" s="1"/>
    </row>
    <row r="16514" spans="8:9" x14ac:dyDescent="0.2">
      <c r="H16514" s="1"/>
      <c r="I16514" s="1"/>
    </row>
    <row r="16515" spans="8:9" x14ac:dyDescent="0.2">
      <c r="H16515" s="1"/>
      <c r="I16515" s="1"/>
    </row>
    <row r="16516" spans="8:9" x14ac:dyDescent="0.2">
      <c r="H16516" s="1"/>
      <c r="I16516" s="1"/>
    </row>
    <row r="16517" spans="8:9" x14ac:dyDescent="0.2">
      <c r="H16517" s="1"/>
      <c r="I16517" s="1"/>
    </row>
    <row r="16518" spans="8:9" x14ac:dyDescent="0.2">
      <c r="H16518" s="1"/>
      <c r="I16518" s="1"/>
    </row>
    <row r="16519" spans="8:9" x14ac:dyDescent="0.2">
      <c r="H16519" s="1"/>
      <c r="I16519" s="1"/>
    </row>
    <row r="16520" spans="8:9" x14ac:dyDescent="0.2">
      <c r="H16520" s="1"/>
      <c r="I16520" s="1"/>
    </row>
    <row r="16521" spans="8:9" x14ac:dyDescent="0.2">
      <c r="H16521" s="1"/>
      <c r="I16521" s="1"/>
    </row>
    <row r="16522" spans="8:9" x14ac:dyDescent="0.2">
      <c r="H16522" s="1"/>
      <c r="I16522" s="1"/>
    </row>
    <row r="16523" spans="8:9" x14ac:dyDescent="0.2">
      <c r="H16523" s="1"/>
      <c r="I16523" s="1"/>
    </row>
    <row r="16524" spans="8:9" x14ac:dyDescent="0.2">
      <c r="H16524" s="1"/>
      <c r="I16524" s="1"/>
    </row>
    <row r="16525" spans="8:9" x14ac:dyDescent="0.2">
      <c r="H16525" s="1"/>
      <c r="I16525" s="1"/>
    </row>
    <row r="16526" spans="8:9" x14ac:dyDescent="0.2">
      <c r="H16526" s="1"/>
      <c r="I16526" s="1"/>
    </row>
    <row r="16527" spans="8:9" x14ac:dyDescent="0.2">
      <c r="H16527" s="1"/>
      <c r="I16527" s="1"/>
    </row>
    <row r="16528" spans="8:9" x14ac:dyDescent="0.2">
      <c r="H16528" s="1"/>
      <c r="I16528" s="1"/>
    </row>
    <row r="16529" spans="8:9" x14ac:dyDescent="0.2">
      <c r="H16529" s="1"/>
      <c r="I16529" s="1"/>
    </row>
    <row r="16530" spans="8:9" x14ac:dyDescent="0.2">
      <c r="H16530" s="1"/>
      <c r="I16530" s="1"/>
    </row>
    <row r="16531" spans="8:9" x14ac:dyDescent="0.2">
      <c r="H16531" s="1"/>
      <c r="I16531" s="1"/>
    </row>
    <row r="16532" spans="8:9" x14ac:dyDescent="0.2">
      <c r="H16532" s="1"/>
      <c r="I16532" s="1"/>
    </row>
    <row r="16533" spans="8:9" x14ac:dyDescent="0.2">
      <c r="H16533" s="1"/>
      <c r="I16533" s="1"/>
    </row>
    <row r="16534" spans="8:9" x14ac:dyDescent="0.2">
      <c r="H16534" s="1"/>
      <c r="I16534" s="1"/>
    </row>
    <row r="16535" spans="8:9" x14ac:dyDescent="0.2">
      <c r="H16535" s="1"/>
      <c r="I16535" s="1"/>
    </row>
    <row r="16536" spans="8:9" x14ac:dyDescent="0.2">
      <c r="H16536" s="1"/>
      <c r="I16536" s="1"/>
    </row>
    <row r="16537" spans="8:9" x14ac:dyDescent="0.2">
      <c r="H16537" s="1"/>
      <c r="I16537" s="1"/>
    </row>
    <row r="16538" spans="8:9" x14ac:dyDescent="0.2">
      <c r="H16538" s="1"/>
      <c r="I16538" s="1"/>
    </row>
    <row r="16539" spans="8:9" x14ac:dyDescent="0.2">
      <c r="H16539" s="1"/>
      <c r="I16539" s="1"/>
    </row>
    <row r="16540" spans="8:9" x14ac:dyDescent="0.2">
      <c r="H16540" s="1"/>
      <c r="I16540" s="1"/>
    </row>
    <row r="16541" spans="8:9" x14ac:dyDescent="0.2">
      <c r="H16541" s="1"/>
      <c r="I16541" s="1"/>
    </row>
    <row r="16542" spans="8:9" x14ac:dyDescent="0.2">
      <c r="H16542" s="1"/>
      <c r="I16542" s="1"/>
    </row>
    <row r="16543" spans="8:9" x14ac:dyDescent="0.2">
      <c r="H16543" s="1"/>
      <c r="I16543" s="1"/>
    </row>
    <row r="16544" spans="8:9" x14ac:dyDescent="0.2">
      <c r="H16544" s="1"/>
      <c r="I16544" s="1"/>
    </row>
    <row r="16545" spans="8:9" x14ac:dyDescent="0.2">
      <c r="H16545" s="1"/>
      <c r="I16545" s="1"/>
    </row>
    <row r="16546" spans="8:9" x14ac:dyDescent="0.2">
      <c r="H16546" s="1"/>
      <c r="I16546" s="1"/>
    </row>
    <row r="16547" spans="8:9" x14ac:dyDescent="0.2">
      <c r="H16547" s="1"/>
      <c r="I16547" s="1"/>
    </row>
    <row r="16548" spans="8:9" x14ac:dyDescent="0.2">
      <c r="H16548" s="1"/>
      <c r="I16548" s="1"/>
    </row>
    <row r="16549" spans="8:9" x14ac:dyDescent="0.2">
      <c r="H16549" s="1"/>
      <c r="I16549" s="1"/>
    </row>
    <row r="16550" spans="8:9" x14ac:dyDescent="0.2">
      <c r="H16550" s="1"/>
      <c r="I16550" s="1"/>
    </row>
    <row r="16551" spans="8:9" x14ac:dyDescent="0.2">
      <c r="H16551" s="1"/>
      <c r="I16551" s="1"/>
    </row>
    <row r="16552" spans="8:9" x14ac:dyDescent="0.2">
      <c r="H16552" s="1"/>
      <c r="I16552" s="1"/>
    </row>
    <row r="16553" spans="8:9" x14ac:dyDescent="0.2">
      <c r="H16553" s="1"/>
      <c r="I16553" s="1"/>
    </row>
    <row r="16554" spans="8:9" x14ac:dyDescent="0.2">
      <c r="H16554" s="1"/>
      <c r="I16554" s="1"/>
    </row>
    <row r="16555" spans="8:9" x14ac:dyDescent="0.2">
      <c r="H16555" s="1"/>
      <c r="I16555" s="1"/>
    </row>
    <row r="16556" spans="8:9" x14ac:dyDescent="0.2">
      <c r="H16556" s="1"/>
      <c r="I16556" s="1"/>
    </row>
    <row r="16557" spans="8:9" x14ac:dyDescent="0.2">
      <c r="H16557" s="1"/>
      <c r="I16557" s="1"/>
    </row>
    <row r="16558" spans="8:9" x14ac:dyDescent="0.2">
      <c r="H16558" s="1"/>
      <c r="I16558" s="1"/>
    </row>
    <row r="16559" spans="8:9" x14ac:dyDescent="0.2">
      <c r="H16559" s="1"/>
      <c r="I16559" s="1"/>
    </row>
    <row r="16560" spans="8:9" x14ac:dyDescent="0.2">
      <c r="H16560" s="1"/>
      <c r="I16560" s="1"/>
    </row>
    <row r="16561" spans="8:9" x14ac:dyDescent="0.2">
      <c r="H16561" s="1"/>
      <c r="I16561" s="1"/>
    </row>
    <row r="16562" spans="8:9" x14ac:dyDescent="0.2">
      <c r="H16562" s="1"/>
      <c r="I16562" s="1"/>
    </row>
    <row r="16563" spans="8:9" x14ac:dyDescent="0.2">
      <c r="H16563" s="1"/>
      <c r="I16563" s="1"/>
    </row>
    <row r="16564" spans="8:9" x14ac:dyDescent="0.2">
      <c r="H16564" s="1"/>
      <c r="I16564" s="1"/>
    </row>
    <row r="16565" spans="8:9" x14ac:dyDescent="0.2">
      <c r="H16565" s="1"/>
      <c r="I16565" s="1"/>
    </row>
    <row r="16566" spans="8:9" x14ac:dyDescent="0.2">
      <c r="H16566" s="1"/>
      <c r="I16566" s="1"/>
    </row>
    <row r="16567" spans="8:9" x14ac:dyDescent="0.2">
      <c r="H16567" s="1"/>
      <c r="I16567" s="1"/>
    </row>
    <row r="16568" spans="8:9" x14ac:dyDescent="0.2">
      <c r="H16568" s="1"/>
      <c r="I16568" s="1"/>
    </row>
    <row r="16569" spans="8:9" x14ac:dyDescent="0.2">
      <c r="H16569" s="1"/>
      <c r="I16569" s="1"/>
    </row>
    <row r="16570" spans="8:9" x14ac:dyDescent="0.2">
      <c r="H16570" s="1"/>
      <c r="I16570" s="1"/>
    </row>
    <row r="16571" spans="8:9" x14ac:dyDescent="0.2">
      <c r="H16571" s="1"/>
      <c r="I16571" s="1"/>
    </row>
    <row r="16572" spans="8:9" x14ac:dyDescent="0.2">
      <c r="H16572" s="1"/>
      <c r="I16572" s="1"/>
    </row>
    <row r="16573" spans="8:9" x14ac:dyDescent="0.2">
      <c r="H16573" s="1"/>
      <c r="I16573" s="1"/>
    </row>
    <row r="16574" spans="8:9" x14ac:dyDescent="0.2">
      <c r="H16574" s="1"/>
      <c r="I16574" s="1"/>
    </row>
    <row r="16575" spans="8:9" x14ac:dyDescent="0.2">
      <c r="H16575" s="1"/>
      <c r="I16575" s="1"/>
    </row>
    <row r="16576" spans="8:9" x14ac:dyDescent="0.2">
      <c r="H16576" s="1"/>
      <c r="I16576" s="1"/>
    </row>
    <row r="16577" spans="8:9" x14ac:dyDescent="0.2">
      <c r="H16577" s="1"/>
      <c r="I16577" s="1"/>
    </row>
    <row r="16578" spans="8:9" x14ac:dyDescent="0.2">
      <c r="H16578" s="1"/>
      <c r="I16578" s="1"/>
    </row>
    <row r="16579" spans="8:9" x14ac:dyDescent="0.2">
      <c r="H16579" s="1"/>
      <c r="I16579" s="1"/>
    </row>
    <row r="16580" spans="8:9" x14ac:dyDescent="0.2">
      <c r="H16580" s="1"/>
      <c r="I16580" s="1"/>
    </row>
    <row r="16581" spans="8:9" x14ac:dyDescent="0.2">
      <c r="H16581" s="1"/>
      <c r="I16581" s="1"/>
    </row>
    <row r="16582" spans="8:9" x14ac:dyDescent="0.2">
      <c r="H16582" s="1"/>
      <c r="I16582" s="1"/>
    </row>
    <row r="16583" spans="8:9" x14ac:dyDescent="0.2">
      <c r="H16583" s="1"/>
      <c r="I16583" s="1"/>
    </row>
    <row r="16584" spans="8:9" x14ac:dyDescent="0.2">
      <c r="H16584" s="1"/>
      <c r="I16584" s="1"/>
    </row>
    <row r="16585" spans="8:9" x14ac:dyDescent="0.2">
      <c r="H16585" s="1"/>
      <c r="I16585" s="1"/>
    </row>
    <row r="16586" spans="8:9" x14ac:dyDescent="0.2">
      <c r="H16586" s="1"/>
      <c r="I16586" s="1"/>
    </row>
    <row r="16587" spans="8:9" x14ac:dyDescent="0.2">
      <c r="H16587" s="1"/>
      <c r="I16587" s="1"/>
    </row>
    <row r="16588" spans="8:9" x14ac:dyDescent="0.2">
      <c r="H16588" s="1"/>
      <c r="I16588" s="1"/>
    </row>
    <row r="16589" spans="8:9" x14ac:dyDescent="0.2">
      <c r="H16589" s="1"/>
      <c r="I16589" s="1"/>
    </row>
    <row r="16590" spans="8:9" x14ac:dyDescent="0.2">
      <c r="H16590" s="1"/>
      <c r="I16590" s="1"/>
    </row>
    <row r="16591" spans="8:9" x14ac:dyDescent="0.2">
      <c r="H16591" s="1"/>
      <c r="I16591" s="1"/>
    </row>
    <row r="16592" spans="8:9" x14ac:dyDescent="0.2">
      <c r="H16592" s="1"/>
      <c r="I16592" s="1"/>
    </row>
    <row r="16593" spans="8:9" x14ac:dyDescent="0.2">
      <c r="H16593" s="1"/>
      <c r="I16593" s="1"/>
    </row>
    <row r="16594" spans="8:9" x14ac:dyDescent="0.2">
      <c r="H16594" s="1"/>
      <c r="I16594" s="1"/>
    </row>
    <row r="16595" spans="8:9" x14ac:dyDescent="0.2">
      <c r="H16595" s="1"/>
      <c r="I16595" s="1"/>
    </row>
    <row r="16596" spans="8:9" x14ac:dyDescent="0.2">
      <c r="H16596" s="1"/>
      <c r="I16596" s="1"/>
    </row>
    <row r="16597" spans="8:9" x14ac:dyDescent="0.2">
      <c r="H16597" s="1"/>
      <c r="I16597" s="1"/>
    </row>
    <row r="16598" spans="8:9" x14ac:dyDescent="0.2">
      <c r="H16598" s="1"/>
      <c r="I16598" s="1"/>
    </row>
    <row r="16599" spans="8:9" x14ac:dyDescent="0.2">
      <c r="H16599" s="1"/>
      <c r="I16599" s="1"/>
    </row>
    <row r="16600" spans="8:9" x14ac:dyDescent="0.2">
      <c r="H16600" s="1"/>
      <c r="I16600" s="1"/>
    </row>
    <row r="16601" spans="8:9" x14ac:dyDescent="0.2">
      <c r="H16601" s="1"/>
      <c r="I16601" s="1"/>
    </row>
    <row r="16602" spans="8:9" x14ac:dyDescent="0.2">
      <c r="H16602" s="1"/>
      <c r="I16602" s="1"/>
    </row>
    <row r="16603" spans="8:9" x14ac:dyDescent="0.2">
      <c r="H16603" s="1"/>
      <c r="I16603" s="1"/>
    </row>
    <row r="16604" spans="8:9" x14ac:dyDescent="0.2">
      <c r="H16604" s="1"/>
      <c r="I16604" s="1"/>
    </row>
    <row r="16605" spans="8:9" x14ac:dyDescent="0.2">
      <c r="H16605" s="1"/>
      <c r="I16605" s="1"/>
    </row>
    <row r="16606" spans="8:9" x14ac:dyDescent="0.2">
      <c r="H16606" s="1"/>
      <c r="I16606" s="1"/>
    </row>
    <row r="16607" spans="8:9" x14ac:dyDescent="0.2">
      <c r="H16607" s="1"/>
      <c r="I16607" s="1"/>
    </row>
    <row r="16608" spans="8:9" x14ac:dyDescent="0.2">
      <c r="H16608" s="1"/>
      <c r="I16608" s="1"/>
    </row>
    <row r="16609" spans="8:9" x14ac:dyDescent="0.2">
      <c r="H16609" s="1"/>
      <c r="I16609" s="1"/>
    </row>
    <row r="16610" spans="8:9" x14ac:dyDescent="0.2">
      <c r="H16610" s="1"/>
      <c r="I16610" s="1"/>
    </row>
    <row r="16611" spans="8:9" x14ac:dyDescent="0.2">
      <c r="H16611" s="1"/>
      <c r="I16611" s="1"/>
    </row>
    <row r="16612" spans="8:9" x14ac:dyDescent="0.2">
      <c r="H16612" s="1"/>
      <c r="I16612" s="1"/>
    </row>
    <row r="16613" spans="8:9" x14ac:dyDescent="0.2">
      <c r="H16613" s="1"/>
      <c r="I16613" s="1"/>
    </row>
    <row r="16614" spans="8:9" x14ac:dyDescent="0.2">
      <c r="H16614" s="1"/>
      <c r="I16614" s="1"/>
    </row>
    <row r="16615" spans="8:9" x14ac:dyDescent="0.2">
      <c r="H16615" s="1"/>
      <c r="I16615" s="1"/>
    </row>
    <row r="16616" spans="8:9" x14ac:dyDescent="0.2">
      <c r="H16616" s="1"/>
      <c r="I16616" s="1"/>
    </row>
    <row r="16617" spans="8:9" x14ac:dyDescent="0.2">
      <c r="H16617" s="1"/>
      <c r="I16617" s="1"/>
    </row>
    <row r="16618" spans="8:9" x14ac:dyDescent="0.2">
      <c r="H16618" s="1"/>
      <c r="I16618" s="1"/>
    </row>
    <row r="16619" spans="8:9" x14ac:dyDescent="0.2">
      <c r="H16619" s="1"/>
      <c r="I16619" s="1"/>
    </row>
    <row r="16620" spans="8:9" x14ac:dyDescent="0.2">
      <c r="H16620" s="1"/>
      <c r="I16620" s="1"/>
    </row>
    <row r="16621" spans="8:9" x14ac:dyDescent="0.2">
      <c r="H16621" s="1"/>
      <c r="I16621" s="1"/>
    </row>
    <row r="16622" spans="8:9" x14ac:dyDescent="0.2">
      <c r="H16622" s="1"/>
      <c r="I16622" s="1"/>
    </row>
    <row r="16623" spans="8:9" x14ac:dyDescent="0.2">
      <c r="H16623" s="1"/>
      <c r="I16623" s="1"/>
    </row>
    <row r="16624" spans="8:9" x14ac:dyDescent="0.2">
      <c r="H16624" s="1"/>
      <c r="I16624" s="1"/>
    </row>
    <row r="16625" spans="8:9" x14ac:dyDescent="0.2">
      <c r="H16625" s="1"/>
      <c r="I16625" s="1"/>
    </row>
    <row r="16626" spans="8:9" x14ac:dyDescent="0.2">
      <c r="H16626" s="1"/>
      <c r="I16626" s="1"/>
    </row>
    <row r="16627" spans="8:9" x14ac:dyDescent="0.2">
      <c r="H16627" s="1"/>
      <c r="I16627" s="1"/>
    </row>
    <row r="16628" spans="8:9" x14ac:dyDescent="0.2">
      <c r="H16628" s="1"/>
      <c r="I16628" s="1"/>
    </row>
    <row r="16629" spans="8:9" x14ac:dyDescent="0.2">
      <c r="H16629" s="1"/>
      <c r="I16629" s="1"/>
    </row>
    <row r="16630" spans="8:9" x14ac:dyDescent="0.2">
      <c r="H16630" s="1"/>
      <c r="I16630" s="1"/>
    </row>
    <row r="16631" spans="8:9" x14ac:dyDescent="0.2">
      <c r="H16631" s="1"/>
      <c r="I16631" s="1"/>
    </row>
    <row r="16632" spans="8:9" x14ac:dyDescent="0.2">
      <c r="H16632" s="1"/>
      <c r="I16632" s="1"/>
    </row>
    <row r="16633" spans="8:9" x14ac:dyDescent="0.2">
      <c r="H16633" s="1"/>
      <c r="I16633" s="1"/>
    </row>
    <row r="16634" spans="8:9" x14ac:dyDescent="0.2">
      <c r="H16634" s="1"/>
      <c r="I16634" s="1"/>
    </row>
    <row r="16635" spans="8:9" x14ac:dyDescent="0.2">
      <c r="H16635" s="1"/>
      <c r="I16635" s="1"/>
    </row>
    <row r="16636" spans="8:9" x14ac:dyDescent="0.2">
      <c r="H16636" s="1"/>
      <c r="I16636" s="1"/>
    </row>
    <row r="16637" spans="8:9" x14ac:dyDescent="0.2">
      <c r="H16637" s="1"/>
      <c r="I16637" s="1"/>
    </row>
    <row r="16638" spans="8:9" x14ac:dyDescent="0.2">
      <c r="H16638" s="1"/>
      <c r="I16638" s="1"/>
    </row>
    <row r="16639" spans="8:9" x14ac:dyDescent="0.2">
      <c r="H16639" s="1"/>
      <c r="I16639" s="1"/>
    </row>
    <row r="16640" spans="8:9" x14ac:dyDescent="0.2">
      <c r="H16640" s="1"/>
      <c r="I16640" s="1"/>
    </row>
    <row r="16641" spans="8:9" x14ac:dyDescent="0.2">
      <c r="H16641" s="1"/>
      <c r="I16641" s="1"/>
    </row>
    <row r="16642" spans="8:9" x14ac:dyDescent="0.2">
      <c r="H16642" s="1"/>
      <c r="I16642" s="1"/>
    </row>
    <row r="16643" spans="8:9" x14ac:dyDescent="0.2">
      <c r="H16643" s="1"/>
      <c r="I16643" s="1"/>
    </row>
    <row r="16644" spans="8:9" x14ac:dyDescent="0.2">
      <c r="H16644" s="1"/>
      <c r="I16644" s="1"/>
    </row>
    <row r="16645" spans="8:9" x14ac:dyDescent="0.2">
      <c r="H16645" s="1"/>
      <c r="I16645" s="1"/>
    </row>
    <row r="16646" spans="8:9" x14ac:dyDescent="0.2">
      <c r="H16646" s="1"/>
      <c r="I16646" s="1"/>
    </row>
    <row r="16647" spans="8:9" x14ac:dyDescent="0.2">
      <c r="H16647" s="1"/>
      <c r="I16647" s="1"/>
    </row>
    <row r="16648" spans="8:9" x14ac:dyDescent="0.2">
      <c r="H16648" s="1"/>
      <c r="I16648" s="1"/>
    </row>
    <row r="16649" spans="8:9" x14ac:dyDescent="0.2">
      <c r="H16649" s="1"/>
      <c r="I16649" s="1"/>
    </row>
    <row r="16650" spans="8:9" x14ac:dyDescent="0.2">
      <c r="H16650" s="1"/>
      <c r="I16650" s="1"/>
    </row>
    <row r="16651" spans="8:9" x14ac:dyDescent="0.2">
      <c r="H16651" s="1"/>
      <c r="I16651" s="1"/>
    </row>
    <row r="16652" spans="8:9" x14ac:dyDescent="0.2">
      <c r="H16652" s="1"/>
      <c r="I16652" s="1"/>
    </row>
    <row r="16653" spans="8:9" x14ac:dyDescent="0.2">
      <c r="H16653" s="1"/>
      <c r="I16653" s="1"/>
    </row>
    <row r="16654" spans="8:9" x14ac:dyDescent="0.2">
      <c r="H16654" s="1"/>
      <c r="I16654" s="1"/>
    </row>
    <row r="16655" spans="8:9" x14ac:dyDescent="0.2">
      <c r="H16655" s="1"/>
      <c r="I16655" s="1"/>
    </row>
    <row r="16656" spans="8:9" x14ac:dyDescent="0.2">
      <c r="H16656" s="1"/>
      <c r="I16656" s="1"/>
    </row>
    <row r="16657" spans="8:9" x14ac:dyDescent="0.2">
      <c r="H16657" s="1"/>
      <c r="I16657" s="1"/>
    </row>
    <row r="16658" spans="8:9" x14ac:dyDescent="0.2">
      <c r="H16658" s="1"/>
      <c r="I16658" s="1"/>
    </row>
    <row r="16659" spans="8:9" x14ac:dyDescent="0.2">
      <c r="H16659" s="1"/>
      <c r="I16659" s="1"/>
    </row>
    <row r="16660" spans="8:9" x14ac:dyDescent="0.2">
      <c r="H16660" s="1"/>
      <c r="I16660" s="1"/>
    </row>
    <row r="16661" spans="8:9" x14ac:dyDescent="0.2">
      <c r="H16661" s="1"/>
      <c r="I16661" s="1"/>
    </row>
    <row r="16662" spans="8:9" x14ac:dyDescent="0.2">
      <c r="H16662" s="1"/>
      <c r="I16662" s="1"/>
    </row>
    <row r="16663" spans="8:9" x14ac:dyDescent="0.2">
      <c r="H16663" s="1"/>
      <c r="I16663" s="1"/>
    </row>
    <row r="16664" spans="8:9" x14ac:dyDescent="0.2">
      <c r="H16664" s="1"/>
      <c r="I16664" s="1"/>
    </row>
    <row r="16665" spans="8:9" x14ac:dyDescent="0.2">
      <c r="H16665" s="1"/>
      <c r="I16665" s="1"/>
    </row>
    <row r="16666" spans="8:9" x14ac:dyDescent="0.2">
      <c r="H16666" s="1"/>
      <c r="I16666" s="1"/>
    </row>
    <row r="16667" spans="8:9" x14ac:dyDescent="0.2">
      <c r="H16667" s="1"/>
      <c r="I16667" s="1"/>
    </row>
    <row r="16668" spans="8:9" x14ac:dyDescent="0.2">
      <c r="H16668" s="1"/>
      <c r="I16668" s="1"/>
    </row>
    <row r="16669" spans="8:9" x14ac:dyDescent="0.2">
      <c r="H16669" s="1"/>
      <c r="I16669" s="1"/>
    </row>
    <row r="16670" spans="8:9" x14ac:dyDescent="0.2">
      <c r="H16670" s="1"/>
      <c r="I16670" s="1"/>
    </row>
    <row r="16671" spans="8:9" x14ac:dyDescent="0.2">
      <c r="H16671" s="1"/>
      <c r="I16671" s="1"/>
    </row>
    <row r="16672" spans="8:9" x14ac:dyDescent="0.2">
      <c r="H16672" s="1"/>
      <c r="I16672" s="1"/>
    </row>
    <row r="16673" spans="8:9" x14ac:dyDescent="0.2">
      <c r="H16673" s="1"/>
      <c r="I16673" s="1"/>
    </row>
    <row r="16674" spans="8:9" x14ac:dyDescent="0.2">
      <c r="H16674" s="1"/>
      <c r="I16674" s="1"/>
    </row>
    <row r="16675" spans="8:9" x14ac:dyDescent="0.2">
      <c r="H16675" s="1"/>
      <c r="I16675" s="1"/>
    </row>
    <row r="16676" spans="8:9" x14ac:dyDescent="0.2">
      <c r="H16676" s="1"/>
      <c r="I16676" s="1"/>
    </row>
    <row r="16677" spans="8:9" x14ac:dyDescent="0.2">
      <c r="H16677" s="1"/>
      <c r="I16677" s="1"/>
    </row>
    <row r="16678" spans="8:9" x14ac:dyDescent="0.2">
      <c r="H16678" s="1"/>
      <c r="I16678" s="1"/>
    </row>
    <row r="16679" spans="8:9" x14ac:dyDescent="0.2">
      <c r="H16679" s="1"/>
      <c r="I16679" s="1"/>
    </row>
    <row r="16680" spans="8:9" x14ac:dyDescent="0.2">
      <c r="H16680" s="1"/>
      <c r="I16680" s="1"/>
    </row>
    <row r="16681" spans="8:9" x14ac:dyDescent="0.2">
      <c r="H16681" s="1"/>
      <c r="I16681" s="1"/>
    </row>
    <row r="16682" spans="8:9" x14ac:dyDescent="0.2">
      <c r="H16682" s="1"/>
      <c r="I16682" s="1"/>
    </row>
    <row r="16683" spans="8:9" x14ac:dyDescent="0.2">
      <c r="H16683" s="1"/>
      <c r="I16683" s="1"/>
    </row>
    <row r="16684" spans="8:9" x14ac:dyDescent="0.2">
      <c r="H16684" s="1"/>
      <c r="I16684" s="1"/>
    </row>
    <row r="16685" spans="8:9" x14ac:dyDescent="0.2">
      <c r="H16685" s="1"/>
      <c r="I16685" s="1"/>
    </row>
    <row r="16686" spans="8:9" x14ac:dyDescent="0.2">
      <c r="H16686" s="1"/>
      <c r="I16686" s="1"/>
    </row>
    <row r="16687" spans="8:9" x14ac:dyDescent="0.2">
      <c r="H16687" s="1"/>
      <c r="I16687" s="1"/>
    </row>
    <row r="16688" spans="8:9" x14ac:dyDescent="0.2">
      <c r="H16688" s="1"/>
      <c r="I16688" s="1"/>
    </row>
    <row r="16689" spans="8:9" x14ac:dyDescent="0.2">
      <c r="H16689" s="1"/>
      <c r="I16689" s="1"/>
    </row>
    <row r="16690" spans="8:9" x14ac:dyDescent="0.2">
      <c r="H16690" s="1"/>
      <c r="I16690" s="1"/>
    </row>
    <row r="16691" spans="8:9" x14ac:dyDescent="0.2">
      <c r="H16691" s="1"/>
      <c r="I16691" s="1"/>
    </row>
    <row r="16692" spans="8:9" x14ac:dyDescent="0.2">
      <c r="H16692" s="1"/>
      <c r="I16692" s="1"/>
    </row>
    <row r="16693" spans="8:9" x14ac:dyDescent="0.2">
      <c r="H16693" s="1"/>
      <c r="I16693" s="1"/>
    </row>
    <row r="16694" spans="8:9" x14ac:dyDescent="0.2">
      <c r="H16694" s="1"/>
      <c r="I16694" s="1"/>
    </row>
    <row r="16695" spans="8:9" x14ac:dyDescent="0.2">
      <c r="H16695" s="1"/>
      <c r="I16695" s="1"/>
    </row>
    <row r="16696" spans="8:9" x14ac:dyDescent="0.2">
      <c r="H16696" s="1"/>
      <c r="I16696" s="1"/>
    </row>
    <row r="16697" spans="8:9" x14ac:dyDescent="0.2">
      <c r="H16697" s="1"/>
      <c r="I16697" s="1"/>
    </row>
    <row r="16698" spans="8:9" x14ac:dyDescent="0.2">
      <c r="H16698" s="1"/>
      <c r="I16698" s="1"/>
    </row>
    <row r="16699" spans="8:9" x14ac:dyDescent="0.2">
      <c r="H16699" s="1"/>
      <c r="I16699" s="1"/>
    </row>
    <row r="16700" spans="8:9" x14ac:dyDescent="0.2">
      <c r="H16700" s="1"/>
      <c r="I16700" s="1"/>
    </row>
    <row r="16701" spans="8:9" x14ac:dyDescent="0.2">
      <c r="H16701" s="1"/>
      <c r="I16701" s="1"/>
    </row>
    <row r="16702" spans="8:9" x14ac:dyDescent="0.2">
      <c r="H16702" s="1"/>
      <c r="I16702" s="1"/>
    </row>
    <row r="16703" spans="8:9" x14ac:dyDescent="0.2">
      <c r="H16703" s="1"/>
      <c r="I16703" s="1"/>
    </row>
    <row r="16704" spans="8:9" x14ac:dyDescent="0.2">
      <c r="H16704" s="1"/>
      <c r="I16704" s="1"/>
    </row>
    <row r="16705" spans="8:9" x14ac:dyDescent="0.2">
      <c r="H16705" s="1"/>
      <c r="I16705" s="1"/>
    </row>
    <row r="16706" spans="8:9" x14ac:dyDescent="0.2">
      <c r="H16706" s="1"/>
      <c r="I16706" s="1"/>
    </row>
    <row r="16707" spans="8:9" x14ac:dyDescent="0.2">
      <c r="H16707" s="1"/>
      <c r="I16707" s="1"/>
    </row>
    <row r="16708" spans="8:9" x14ac:dyDescent="0.2">
      <c r="H16708" s="1"/>
      <c r="I16708" s="1"/>
    </row>
    <row r="16709" spans="8:9" x14ac:dyDescent="0.2">
      <c r="H16709" s="1"/>
      <c r="I16709" s="1"/>
    </row>
    <row r="16710" spans="8:9" x14ac:dyDescent="0.2">
      <c r="H16710" s="1"/>
      <c r="I16710" s="1"/>
    </row>
    <row r="16711" spans="8:9" x14ac:dyDescent="0.2">
      <c r="H16711" s="1"/>
      <c r="I16711" s="1"/>
    </row>
    <row r="16712" spans="8:9" x14ac:dyDescent="0.2">
      <c r="H16712" s="1"/>
      <c r="I16712" s="1"/>
    </row>
    <row r="16713" spans="8:9" x14ac:dyDescent="0.2">
      <c r="H16713" s="1"/>
      <c r="I16713" s="1"/>
    </row>
    <row r="16714" spans="8:9" x14ac:dyDescent="0.2">
      <c r="H16714" s="1"/>
      <c r="I16714" s="1"/>
    </row>
    <row r="16715" spans="8:9" x14ac:dyDescent="0.2">
      <c r="H16715" s="1"/>
      <c r="I16715" s="1"/>
    </row>
    <row r="16716" spans="8:9" x14ac:dyDescent="0.2">
      <c r="H16716" s="1"/>
      <c r="I16716" s="1"/>
    </row>
    <row r="16717" spans="8:9" x14ac:dyDescent="0.2">
      <c r="H16717" s="1"/>
      <c r="I16717" s="1"/>
    </row>
    <row r="16718" spans="8:9" x14ac:dyDescent="0.2">
      <c r="H16718" s="1"/>
      <c r="I16718" s="1"/>
    </row>
    <row r="16719" spans="8:9" x14ac:dyDescent="0.2">
      <c r="H16719" s="1"/>
      <c r="I16719" s="1"/>
    </row>
    <row r="16720" spans="8:9" x14ac:dyDescent="0.2">
      <c r="H16720" s="1"/>
      <c r="I16720" s="1"/>
    </row>
    <row r="16721" spans="8:9" x14ac:dyDescent="0.2">
      <c r="H16721" s="1"/>
      <c r="I16721" s="1"/>
    </row>
    <row r="16722" spans="8:9" x14ac:dyDescent="0.2">
      <c r="H16722" s="1"/>
      <c r="I16722" s="1"/>
    </row>
    <row r="16723" spans="8:9" x14ac:dyDescent="0.2">
      <c r="H16723" s="1"/>
      <c r="I16723" s="1"/>
    </row>
    <row r="16724" spans="8:9" x14ac:dyDescent="0.2">
      <c r="H16724" s="1"/>
      <c r="I16724" s="1"/>
    </row>
    <row r="16725" spans="8:9" x14ac:dyDescent="0.2">
      <c r="H16725" s="1"/>
      <c r="I16725" s="1"/>
    </row>
    <row r="16726" spans="8:9" x14ac:dyDescent="0.2">
      <c r="H16726" s="1"/>
      <c r="I16726" s="1"/>
    </row>
    <row r="16727" spans="8:9" x14ac:dyDescent="0.2">
      <c r="H16727" s="1"/>
      <c r="I16727" s="1"/>
    </row>
    <row r="16728" spans="8:9" x14ac:dyDescent="0.2">
      <c r="H16728" s="1"/>
      <c r="I16728" s="1"/>
    </row>
    <row r="16729" spans="8:9" x14ac:dyDescent="0.2">
      <c r="H16729" s="1"/>
      <c r="I16729" s="1"/>
    </row>
    <row r="16730" spans="8:9" x14ac:dyDescent="0.2">
      <c r="H16730" s="1"/>
      <c r="I16730" s="1"/>
    </row>
    <row r="16731" spans="8:9" x14ac:dyDescent="0.2">
      <c r="H16731" s="1"/>
      <c r="I16731" s="1"/>
    </row>
    <row r="16732" spans="8:9" x14ac:dyDescent="0.2">
      <c r="H16732" s="1"/>
      <c r="I16732" s="1"/>
    </row>
    <row r="16733" spans="8:9" x14ac:dyDescent="0.2">
      <c r="H16733" s="1"/>
      <c r="I16733" s="1"/>
    </row>
    <row r="16734" spans="8:9" x14ac:dyDescent="0.2">
      <c r="H16734" s="1"/>
      <c r="I16734" s="1"/>
    </row>
    <row r="16735" spans="8:9" x14ac:dyDescent="0.2">
      <c r="H16735" s="1"/>
      <c r="I16735" s="1"/>
    </row>
    <row r="16736" spans="8:9" x14ac:dyDescent="0.2">
      <c r="H16736" s="1"/>
      <c r="I16736" s="1"/>
    </row>
    <row r="16737" spans="8:9" x14ac:dyDescent="0.2">
      <c r="H16737" s="1"/>
      <c r="I16737" s="1"/>
    </row>
    <row r="16738" spans="8:9" x14ac:dyDescent="0.2">
      <c r="H16738" s="1"/>
      <c r="I16738" s="1"/>
    </row>
    <row r="16739" spans="8:9" x14ac:dyDescent="0.2">
      <c r="H16739" s="1"/>
      <c r="I16739" s="1"/>
    </row>
    <row r="16740" spans="8:9" x14ac:dyDescent="0.2">
      <c r="H16740" s="1"/>
      <c r="I16740" s="1"/>
    </row>
    <row r="16741" spans="8:9" x14ac:dyDescent="0.2">
      <c r="H16741" s="1"/>
      <c r="I16741" s="1"/>
    </row>
    <row r="16742" spans="8:9" x14ac:dyDescent="0.2">
      <c r="H16742" s="1"/>
      <c r="I16742" s="1"/>
    </row>
    <row r="16743" spans="8:9" x14ac:dyDescent="0.2">
      <c r="H16743" s="1"/>
      <c r="I16743" s="1"/>
    </row>
    <row r="16744" spans="8:9" x14ac:dyDescent="0.2">
      <c r="H16744" s="1"/>
      <c r="I16744" s="1"/>
    </row>
    <row r="16745" spans="8:9" x14ac:dyDescent="0.2">
      <c r="H16745" s="1"/>
      <c r="I16745" s="1"/>
    </row>
    <row r="16746" spans="8:9" x14ac:dyDescent="0.2">
      <c r="H16746" s="1"/>
      <c r="I16746" s="1"/>
    </row>
    <row r="16747" spans="8:9" x14ac:dyDescent="0.2">
      <c r="H16747" s="1"/>
      <c r="I16747" s="1"/>
    </row>
    <row r="16748" spans="8:9" x14ac:dyDescent="0.2">
      <c r="H16748" s="1"/>
      <c r="I16748" s="1"/>
    </row>
    <row r="16749" spans="8:9" x14ac:dyDescent="0.2">
      <c r="H16749" s="1"/>
      <c r="I16749" s="1"/>
    </row>
    <row r="16750" spans="8:9" x14ac:dyDescent="0.2">
      <c r="H16750" s="1"/>
      <c r="I16750" s="1"/>
    </row>
    <row r="16751" spans="8:9" x14ac:dyDescent="0.2">
      <c r="H16751" s="1"/>
      <c r="I16751" s="1"/>
    </row>
    <row r="16752" spans="8:9" x14ac:dyDescent="0.2">
      <c r="H16752" s="1"/>
      <c r="I16752" s="1"/>
    </row>
    <row r="16753" spans="8:9" x14ac:dyDescent="0.2">
      <c r="H16753" s="1"/>
      <c r="I16753" s="1"/>
    </row>
    <row r="16754" spans="8:9" x14ac:dyDescent="0.2">
      <c r="H16754" s="1"/>
      <c r="I16754" s="1"/>
    </row>
    <row r="16755" spans="8:9" x14ac:dyDescent="0.2">
      <c r="H16755" s="1"/>
      <c r="I16755" s="1"/>
    </row>
    <row r="16756" spans="8:9" x14ac:dyDescent="0.2">
      <c r="H16756" s="1"/>
      <c r="I16756" s="1"/>
    </row>
    <row r="16757" spans="8:9" x14ac:dyDescent="0.2">
      <c r="H16757" s="1"/>
      <c r="I16757" s="1"/>
    </row>
    <row r="16758" spans="8:9" x14ac:dyDescent="0.2">
      <c r="H16758" s="1"/>
      <c r="I16758" s="1"/>
    </row>
    <row r="16759" spans="8:9" x14ac:dyDescent="0.2">
      <c r="H16759" s="1"/>
      <c r="I16759" s="1"/>
    </row>
    <row r="16760" spans="8:9" x14ac:dyDescent="0.2">
      <c r="H16760" s="1"/>
      <c r="I16760" s="1"/>
    </row>
    <row r="16761" spans="8:9" x14ac:dyDescent="0.2">
      <c r="H16761" s="1"/>
      <c r="I16761" s="1"/>
    </row>
    <row r="16762" spans="8:9" x14ac:dyDescent="0.2">
      <c r="H16762" s="1"/>
      <c r="I16762" s="1"/>
    </row>
    <row r="16763" spans="8:9" x14ac:dyDescent="0.2">
      <c r="H16763" s="1"/>
      <c r="I16763" s="1"/>
    </row>
    <row r="16764" spans="8:9" x14ac:dyDescent="0.2">
      <c r="H16764" s="1"/>
      <c r="I16764" s="1"/>
    </row>
    <row r="16765" spans="8:9" x14ac:dyDescent="0.2">
      <c r="H16765" s="1"/>
      <c r="I16765" s="1"/>
    </row>
    <row r="16766" spans="8:9" x14ac:dyDescent="0.2">
      <c r="H16766" s="1"/>
      <c r="I16766" s="1"/>
    </row>
    <row r="16767" spans="8:9" x14ac:dyDescent="0.2">
      <c r="H16767" s="1"/>
      <c r="I16767" s="1"/>
    </row>
    <row r="16768" spans="8:9" x14ac:dyDescent="0.2">
      <c r="H16768" s="1"/>
      <c r="I16768" s="1"/>
    </row>
    <row r="16769" spans="8:9" x14ac:dyDescent="0.2">
      <c r="H16769" s="1"/>
      <c r="I16769" s="1"/>
    </row>
    <row r="16770" spans="8:9" x14ac:dyDescent="0.2">
      <c r="H16770" s="1"/>
      <c r="I16770" s="1"/>
    </row>
    <row r="16771" spans="8:9" x14ac:dyDescent="0.2">
      <c r="H16771" s="1"/>
      <c r="I16771" s="1"/>
    </row>
    <row r="16772" spans="8:9" x14ac:dyDescent="0.2">
      <c r="H16772" s="1"/>
      <c r="I16772" s="1"/>
    </row>
    <row r="16773" spans="8:9" x14ac:dyDescent="0.2">
      <c r="H16773" s="1"/>
      <c r="I16773" s="1"/>
    </row>
    <row r="16774" spans="8:9" x14ac:dyDescent="0.2">
      <c r="H16774" s="1"/>
      <c r="I16774" s="1"/>
    </row>
    <row r="16775" spans="8:9" x14ac:dyDescent="0.2">
      <c r="H16775" s="1"/>
      <c r="I16775" s="1"/>
    </row>
    <row r="16776" spans="8:9" x14ac:dyDescent="0.2">
      <c r="H16776" s="1"/>
      <c r="I16776" s="1"/>
    </row>
    <row r="16777" spans="8:9" x14ac:dyDescent="0.2">
      <c r="H16777" s="1"/>
      <c r="I16777" s="1"/>
    </row>
    <row r="16778" spans="8:9" x14ac:dyDescent="0.2">
      <c r="H16778" s="1"/>
      <c r="I16778" s="1"/>
    </row>
    <row r="16779" spans="8:9" x14ac:dyDescent="0.2">
      <c r="H16779" s="1"/>
      <c r="I16779" s="1"/>
    </row>
    <row r="16780" spans="8:9" x14ac:dyDescent="0.2">
      <c r="H16780" s="1"/>
      <c r="I16780" s="1"/>
    </row>
    <row r="16781" spans="8:9" x14ac:dyDescent="0.2">
      <c r="H16781" s="1"/>
      <c r="I16781" s="1"/>
    </row>
    <row r="16782" spans="8:9" x14ac:dyDescent="0.2">
      <c r="H16782" s="1"/>
      <c r="I16782" s="1"/>
    </row>
    <row r="16783" spans="8:9" x14ac:dyDescent="0.2">
      <c r="H16783" s="1"/>
      <c r="I16783" s="1"/>
    </row>
    <row r="16784" spans="8:9" x14ac:dyDescent="0.2">
      <c r="H16784" s="1"/>
      <c r="I16784" s="1"/>
    </row>
    <row r="16785" spans="8:9" x14ac:dyDescent="0.2">
      <c r="H16785" s="1"/>
      <c r="I16785" s="1"/>
    </row>
    <row r="16786" spans="8:9" x14ac:dyDescent="0.2">
      <c r="H16786" s="1"/>
      <c r="I16786" s="1"/>
    </row>
    <row r="16787" spans="8:9" x14ac:dyDescent="0.2">
      <c r="H16787" s="1"/>
      <c r="I16787" s="1"/>
    </row>
    <row r="16788" spans="8:9" x14ac:dyDescent="0.2">
      <c r="H16788" s="1"/>
      <c r="I16788" s="1"/>
    </row>
    <row r="16789" spans="8:9" x14ac:dyDescent="0.2">
      <c r="H16789" s="1"/>
      <c r="I16789" s="1"/>
    </row>
    <row r="16790" spans="8:9" x14ac:dyDescent="0.2">
      <c r="H16790" s="1"/>
      <c r="I16790" s="1"/>
    </row>
    <row r="16791" spans="8:9" x14ac:dyDescent="0.2">
      <c r="H16791" s="1"/>
      <c r="I16791" s="1"/>
    </row>
    <row r="16792" spans="8:9" x14ac:dyDescent="0.2">
      <c r="H16792" s="1"/>
      <c r="I16792" s="1"/>
    </row>
    <row r="16793" spans="8:9" x14ac:dyDescent="0.2">
      <c r="H16793" s="1"/>
      <c r="I16793" s="1"/>
    </row>
    <row r="16794" spans="8:9" x14ac:dyDescent="0.2">
      <c r="H16794" s="1"/>
      <c r="I16794" s="1"/>
    </row>
    <row r="16795" spans="8:9" x14ac:dyDescent="0.2">
      <c r="H16795" s="1"/>
      <c r="I16795" s="1"/>
    </row>
    <row r="16796" spans="8:9" x14ac:dyDescent="0.2">
      <c r="H16796" s="1"/>
      <c r="I16796" s="1"/>
    </row>
    <row r="16797" spans="8:9" x14ac:dyDescent="0.2">
      <c r="H16797" s="1"/>
      <c r="I16797" s="1"/>
    </row>
    <row r="16798" spans="8:9" x14ac:dyDescent="0.2">
      <c r="H16798" s="1"/>
      <c r="I16798" s="1"/>
    </row>
    <row r="16799" spans="8:9" x14ac:dyDescent="0.2">
      <c r="H16799" s="1"/>
      <c r="I16799" s="1"/>
    </row>
    <row r="16800" spans="8:9" x14ac:dyDescent="0.2">
      <c r="H16800" s="1"/>
      <c r="I16800" s="1"/>
    </row>
    <row r="16801" spans="8:9" x14ac:dyDescent="0.2">
      <c r="H16801" s="1"/>
      <c r="I16801" s="1"/>
    </row>
    <row r="16802" spans="8:9" x14ac:dyDescent="0.2">
      <c r="H16802" s="1"/>
      <c r="I16802" s="1"/>
    </row>
    <row r="16803" spans="8:9" x14ac:dyDescent="0.2">
      <c r="H16803" s="1"/>
      <c r="I16803" s="1"/>
    </row>
    <row r="16804" spans="8:9" x14ac:dyDescent="0.2">
      <c r="H16804" s="1"/>
      <c r="I16804" s="1"/>
    </row>
    <row r="16805" spans="8:9" x14ac:dyDescent="0.2">
      <c r="H16805" s="1"/>
      <c r="I16805" s="1"/>
    </row>
    <row r="16806" spans="8:9" x14ac:dyDescent="0.2">
      <c r="H16806" s="1"/>
      <c r="I16806" s="1"/>
    </row>
    <row r="16807" spans="8:9" x14ac:dyDescent="0.2">
      <c r="H16807" s="1"/>
      <c r="I16807" s="1"/>
    </row>
    <row r="16808" spans="8:9" x14ac:dyDescent="0.2">
      <c r="H16808" s="1"/>
      <c r="I16808" s="1"/>
    </row>
    <row r="16809" spans="8:9" x14ac:dyDescent="0.2">
      <c r="H16809" s="1"/>
      <c r="I16809" s="1"/>
    </row>
    <row r="16810" spans="8:9" x14ac:dyDescent="0.2">
      <c r="H16810" s="1"/>
      <c r="I16810" s="1"/>
    </row>
    <row r="16811" spans="8:9" x14ac:dyDescent="0.2">
      <c r="H16811" s="1"/>
      <c r="I16811" s="1"/>
    </row>
    <row r="16812" spans="8:9" x14ac:dyDescent="0.2">
      <c r="H16812" s="1"/>
      <c r="I16812" s="1"/>
    </row>
    <row r="16813" spans="8:9" x14ac:dyDescent="0.2">
      <c r="H16813" s="1"/>
      <c r="I16813" s="1"/>
    </row>
    <row r="16814" spans="8:9" x14ac:dyDescent="0.2">
      <c r="H16814" s="1"/>
      <c r="I16814" s="1"/>
    </row>
    <row r="16815" spans="8:9" x14ac:dyDescent="0.2">
      <c r="H16815" s="1"/>
      <c r="I16815" s="1"/>
    </row>
    <row r="16816" spans="8:9" x14ac:dyDescent="0.2">
      <c r="H16816" s="1"/>
      <c r="I16816" s="1"/>
    </row>
    <row r="16817" spans="8:9" x14ac:dyDescent="0.2">
      <c r="H16817" s="1"/>
      <c r="I16817" s="1"/>
    </row>
    <row r="16818" spans="8:9" x14ac:dyDescent="0.2">
      <c r="H16818" s="1"/>
      <c r="I16818" s="1"/>
    </row>
    <row r="16819" spans="8:9" x14ac:dyDescent="0.2">
      <c r="H16819" s="1"/>
      <c r="I16819" s="1"/>
    </row>
    <row r="16820" spans="8:9" x14ac:dyDescent="0.2">
      <c r="H16820" s="1"/>
      <c r="I16820" s="1"/>
    </row>
    <row r="16821" spans="8:9" x14ac:dyDescent="0.2">
      <c r="H16821" s="1"/>
      <c r="I16821" s="1"/>
    </row>
    <row r="16822" spans="8:9" x14ac:dyDescent="0.2">
      <c r="H16822" s="1"/>
      <c r="I16822" s="1"/>
    </row>
    <row r="16823" spans="8:9" x14ac:dyDescent="0.2">
      <c r="H16823" s="1"/>
      <c r="I16823" s="1"/>
    </row>
    <row r="16824" spans="8:9" x14ac:dyDescent="0.2">
      <c r="H16824" s="1"/>
      <c r="I16824" s="1"/>
    </row>
    <row r="16825" spans="8:9" x14ac:dyDescent="0.2">
      <c r="H16825" s="1"/>
      <c r="I16825" s="1"/>
    </row>
    <row r="16826" spans="8:9" x14ac:dyDescent="0.2">
      <c r="H16826" s="1"/>
      <c r="I16826" s="1"/>
    </row>
    <row r="16827" spans="8:9" x14ac:dyDescent="0.2">
      <c r="H16827" s="1"/>
      <c r="I16827" s="1"/>
    </row>
    <row r="16828" spans="8:9" x14ac:dyDescent="0.2">
      <c r="H16828" s="1"/>
      <c r="I16828" s="1"/>
    </row>
    <row r="16829" spans="8:9" x14ac:dyDescent="0.2">
      <c r="H16829" s="1"/>
      <c r="I16829" s="1"/>
    </row>
    <row r="16830" spans="8:9" x14ac:dyDescent="0.2">
      <c r="H16830" s="1"/>
      <c r="I16830" s="1"/>
    </row>
    <row r="16831" spans="8:9" x14ac:dyDescent="0.2">
      <c r="H16831" s="1"/>
      <c r="I16831" s="1"/>
    </row>
    <row r="16832" spans="8:9" x14ac:dyDescent="0.2">
      <c r="H16832" s="1"/>
      <c r="I16832" s="1"/>
    </row>
    <row r="16833" spans="8:9" x14ac:dyDescent="0.2">
      <c r="H16833" s="1"/>
      <c r="I16833" s="1"/>
    </row>
    <row r="16834" spans="8:9" x14ac:dyDescent="0.2">
      <c r="H16834" s="1"/>
      <c r="I16834" s="1"/>
    </row>
    <row r="16835" spans="8:9" x14ac:dyDescent="0.2">
      <c r="H16835" s="1"/>
      <c r="I16835" s="1"/>
    </row>
    <row r="16836" spans="8:9" x14ac:dyDescent="0.2">
      <c r="H16836" s="1"/>
      <c r="I16836" s="1"/>
    </row>
    <row r="16837" spans="8:9" x14ac:dyDescent="0.2">
      <c r="H16837" s="1"/>
      <c r="I16837" s="1"/>
    </row>
    <row r="16838" spans="8:9" x14ac:dyDescent="0.2">
      <c r="H16838" s="1"/>
      <c r="I16838" s="1"/>
    </row>
    <row r="16839" spans="8:9" x14ac:dyDescent="0.2">
      <c r="H16839" s="1"/>
      <c r="I16839" s="1"/>
    </row>
    <row r="16840" spans="8:9" x14ac:dyDescent="0.2">
      <c r="H16840" s="1"/>
      <c r="I16840" s="1"/>
    </row>
    <row r="16841" spans="8:9" x14ac:dyDescent="0.2">
      <c r="H16841" s="1"/>
      <c r="I16841" s="1"/>
    </row>
    <row r="16842" spans="8:9" x14ac:dyDescent="0.2">
      <c r="H16842" s="1"/>
      <c r="I16842" s="1"/>
    </row>
    <row r="16843" spans="8:9" x14ac:dyDescent="0.2">
      <c r="H16843" s="1"/>
      <c r="I16843" s="1"/>
    </row>
    <row r="16844" spans="8:9" x14ac:dyDescent="0.2">
      <c r="H16844" s="1"/>
      <c r="I16844" s="1"/>
    </row>
    <row r="16845" spans="8:9" x14ac:dyDescent="0.2">
      <c r="H16845" s="1"/>
      <c r="I16845" s="1"/>
    </row>
    <row r="16846" spans="8:9" x14ac:dyDescent="0.2">
      <c r="H16846" s="1"/>
      <c r="I16846" s="1"/>
    </row>
    <row r="16847" spans="8:9" x14ac:dyDescent="0.2">
      <c r="H16847" s="1"/>
      <c r="I16847" s="1"/>
    </row>
    <row r="16848" spans="8:9" x14ac:dyDescent="0.2">
      <c r="H16848" s="1"/>
      <c r="I16848" s="1"/>
    </row>
    <row r="16849" spans="8:9" x14ac:dyDescent="0.2">
      <c r="H16849" s="1"/>
      <c r="I16849" s="1"/>
    </row>
    <row r="16850" spans="8:9" x14ac:dyDescent="0.2">
      <c r="H16850" s="1"/>
      <c r="I16850" s="1"/>
    </row>
    <row r="16851" spans="8:9" x14ac:dyDescent="0.2">
      <c r="H16851" s="1"/>
      <c r="I16851" s="1"/>
    </row>
    <row r="16852" spans="8:9" x14ac:dyDescent="0.2">
      <c r="H16852" s="1"/>
      <c r="I16852" s="1"/>
    </row>
    <row r="16853" spans="8:9" x14ac:dyDescent="0.2">
      <c r="H16853" s="1"/>
      <c r="I16853" s="1"/>
    </row>
    <row r="16854" spans="8:9" x14ac:dyDescent="0.2">
      <c r="H16854" s="1"/>
      <c r="I16854" s="1"/>
    </row>
    <row r="16855" spans="8:9" x14ac:dyDescent="0.2">
      <c r="H16855" s="1"/>
      <c r="I16855" s="1"/>
    </row>
    <row r="16856" spans="8:9" x14ac:dyDescent="0.2">
      <c r="H16856" s="1"/>
      <c r="I16856" s="1"/>
    </row>
    <row r="16857" spans="8:9" x14ac:dyDescent="0.2">
      <c r="H16857" s="1"/>
      <c r="I16857" s="1"/>
    </row>
    <row r="16858" spans="8:9" x14ac:dyDescent="0.2">
      <c r="H16858" s="1"/>
      <c r="I16858" s="1"/>
    </row>
    <row r="16859" spans="8:9" x14ac:dyDescent="0.2">
      <c r="H16859" s="1"/>
      <c r="I16859" s="1"/>
    </row>
    <row r="16860" spans="8:9" x14ac:dyDescent="0.2">
      <c r="H16860" s="1"/>
      <c r="I16860" s="1"/>
    </row>
    <row r="16861" spans="8:9" x14ac:dyDescent="0.2">
      <c r="H16861" s="1"/>
      <c r="I16861" s="1"/>
    </row>
    <row r="16862" spans="8:9" x14ac:dyDescent="0.2">
      <c r="H16862" s="1"/>
      <c r="I16862" s="1"/>
    </row>
    <row r="16863" spans="8:9" x14ac:dyDescent="0.2">
      <c r="H16863" s="1"/>
      <c r="I16863" s="1"/>
    </row>
    <row r="16864" spans="8:9" x14ac:dyDescent="0.2">
      <c r="H16864" s="1"/>
      <c r="I16864" s="1"/>
    </row>
    <row r="16865" spans="8:9" x14ac:dyDescent="0.2">
      <c r="H16865" s="1"/>
      <c r="I16865" s="1"/>
    </row>
    <row r="16866" spans="8:9" x14ac:dyDescent="0.2">
      <c r="H16866" s="1"/>
      <c r="I16866" s="1"/>
    </row>
    <row r="16867" spans="8:9" x14ac:dyDescent="0.2">
      <c r="H16867" s="1"/>
      <c r="I16867" s="1"/>
    </row>
    <row r="16868" spans="8:9" x14ac:dyDescent="0.2">
      <c r="H16868" s="1"/>
      <c r="I16868" s="1"/>
    </row>
    <row r="16869" spans="8:9" x14ac:dyDescent="0.2">
      <c r="H16869" s="1"/>
      <c r="I16869" s="1"/>
    </row>
    <row r="16870" spans="8:9" x14ac:dyDescent="0.2">
      <c r="H16870" s="1"/>
      <c r="I16870" s="1"/>
    </row>
    <row r="16871" spans="8:9" x14ac:dyDescent="0.2">
      <c r="H16871" s="1"/>
      <c r="I16871" s="1"/>
    </row>
    <row r="16872" spans="8:9" x14ac:dyDescent="0.2">
      <c r="H16872" s="1"/>
      <c r="I16872" s="1"/>
    </row>
    <row r="16873" spans="8:9" x14ac:dyDescent="0.2">
      <c r="H16873" s="1"/>
      <c r="I16873" s="1"/>
    </row>
    <row r="16874" spans="8:9" x14ac:dyDescent="0.2">
      <c r="H16874" s="1"/>
      <c r="I16874" s="1"/>
    </row>
    <row r="16875" spans="8:9" x14ac:dyDescent="0.2">
      <c r="H16875" s="1"/>
      <c r="I16875" s="1"/>
    </row>
    <row r="16876" spans="8:9" x14ac:dyDescent="0.2">
      <c r="H16876" s="1"/>
      <c r="I16876" s="1"/>
    </row>
    <row r="16877" spans="8:9" x14ac:dyDescent="0.2">
      <c r="H16877" s="1"/>
      <c r="I16877" s="1"/>
    </row>
    <row r="16878" spans="8:9" x14ac:dyDescent="0.2">
      <c r="H16878" s="1"/>
      <c r="I16878" s="1"/>
    </row>
    <row r="16879" spans="8:9" x14ac:dyDescent="0.2">
      <c r="H16879" s="1"/>
      <c r="I16879" s="1"/>
    </row>
    <row r="16880" spans="8:9" x14ac:dyDescent="0.2">
      <c r="H16880" s="1"/>
      <c r="I16880" s="1"/>
    </row>
    <row r="16881" spans="8:9" x14ac:dyDescent="0.2">
      <c r="H16881" s="1"/>
      <c r="I16881" s="1"/>
    </row>
    <row r="16882" spans="8:9" x14ac:dyDescent="0.2">
      <c r="H16882" s="1"/>
      <c r="I16882" s="1"/>
    </row>
    <row r="16883" spans="8:9" x14ac:dyDescent="0.2">
      <c r="H16883" s="1"/>
      <c r="I16883" s="1"/>
    </row>
    <row r="16884" spans="8:9" x14ac:dyDescent="0.2">
      <c r="H16884" s="1"/>
      <c r="I16884" s="1"/>
    </row>
    <row r="16885" spans="8:9" x14ac:dyDescent="0.2">
      <c r="H16885" s="1"/>
      <c r="I16885" s="1"/>
    </row>
    <row r="16886" spans="8:9" x14ac:dyDescent="0.2">
      <c r="H16886" s="1"/>
      <c r="I16886" s="1"/>
    </row>
    <row r="16887" spans="8:9" x14ac:dyDescent="0.2">
      <c r="H16887" s="1"/>
      <c r="I16887" s="1"/>
    </row>
    <row r="16888" spans="8:9" x14ac:dyDescent="0.2">
      <c r="H16888" s="1"/>
      <c r="I16888" s="1"/>
    </row>
    <row r="16889" spans="8:9" x14ac:dyDescent="0.2">
      <c r="H16889" s="1"/>
      <c r="I16889" s="1"/>
    </row>
    <row r="16890" spans="8:9" x14ac:dyDescent="0.2">
      <c r="H16890" s="1"/>
      <c r="I16890" s="1"/>
    </row>
    <row r="16891" spans="8:9" x14ac:dyDescent="0.2">
      <c r="H16891" s="1"/>
      <c r="I16891" s="1"/>
    </row>
    <row r="16892" spans="8:9" x14ac:dyDescent="0.2">
      <c r="H16892" s="1"/>
      <c r="I16892" s="1"/>
    </row>
    <row r="16893" spans="8:9" x14ac:dyDescent="0.2">
      <c r="H16893" s="1"/>
      <c r="I16893" s="1"/>
    </row>
    <row r="16894" spans="8:9" x14ac:dyDescent="0.2">
      <c r="H16894" s="1"/>
      <c r="I16894" s="1"/>
    </row>
    <row r="16895" spans="8:9" x14ac:dyDescent="0.2">
      <c r="H16895" s="1"/>
      <c r="I16895" s="1"/>
    </row>
    <row r="16896" spans="8:9" x14ac:dyDescent="0.2">
      <c r="H16896" s="1"/>
      <c r="I16896" s="1"/>
    </row>
    <row r="16897" spans="8:9" x14ac:dyDescent="0.2">
      <c r="H16897" s="1"/>
      <c r="I16897" s="1"/>
    </row>
    <row r="16898" spans="8:9" x14ac:dyDescent="0.2">
      <c r="H16898" s="1"/>
      <c r="I16898" s="1"/>
    </row>
    <row r="16899" spans="8:9" x14ac:dyDescent="0.2">
      <c r="H16899" s="1"/>
      <c r="I16899" s="1"/>
    </row>
    <row r="16900" spans="8:9" x14ac:dyDescent="0.2">
      <c r="H16900" s="1"/>
      <c r="I16900" s="1"/>
    </row>
    <row r="16901" spans="8:9" x14ac:dyDescent="0.2">
      <c r="H16901" s="1"/>
      <c r="I16901" s="1"/>
    </row>
    <row r="16902" spans="8:9" x14ac:dyDescent="0.2">
      <c r="H16902" s="1"/>
      <c r="I16902" s="1"/>
    </row>
    <row r="16903" spans="8:9" x14ac:dyDescent="0.2">
      <c r="H16903" s="1"/>
      <c r="I16903" s="1"/>
    </row>
    <row r="16904" spans="8:9" x14ac:dyDescent="0.2">
      <c r="H16904" s="1"/>
      <c r="I16904" s="1"/>
    </row>
    <row r="16905" spans="8:9" x14ac:dyDescent="0.2">
      <c r="H16905" s="1"/>
      <c r="I16905" s="1"/>
    </row>
    <row r="16906" spans="8:9" x14ac:dyDescent="0.2">
      <c r="H16906" s="1"/>
      <c r="I16906" s="1"/>
    </row>
    <row r="16907" spans="8:9" x14ac:dyDescent="0.2">
      <c r="H16907" s="1"/>
      <c r="I16907" s="1"/>
    </row>
    <row r="16908" spans="8:9" x14ac:dyDescent="0.2">
      <c r="H16908" s="1"/>
      <c r="I16908" s="1"/>
    </row>
    <row r="16909" spans="8:9" x14ac:dyDescent="0.2">
      <c r="H16909" s="1"/>
      <c r="I16909" s="1"/>
    </row>
    <row r="16910" spans="8:9" x14ac:dyDescent="0.2">
      <c r="H16910" s="1"/>
      <c r="I16910" s="1"/>
    </row>
    <row r="16911" spans="8:9" x14ac:dyDescent="0.2">
      <c r="H16911" s="1"/>
      <c r="I16911" s="1"/>
    </row>
    <row r="16912" spans="8:9" x14ac:dyDescent="0.2">
      <c r="H16912" s="1"/>
      <c r="I16912" s="1"/>
    </row>
    <row r="16913" spans="8:9" x14ac:dyDescent="0.2">
      <c r="H16913" s="1"/>
      <c r="I16913" s="1"/>
    </row>
    <row r="16914" spans="8:9" x14ac:dyDescent="0.2">
      <c r="H16914" s="1"/>
      <c r="I16914" s="1"/>
    </row>
    <row r="16915" spans="8:9" x14ac:dyDescent="0.2">
      <c r="H16915" s="1"/>
      <c r="I16915" s="1"/>
    </row>
    <row r="16916" spans="8:9" x14ac:dyDescent="0.2">
      <c r="H16916" s="1"/>
      <c r="I16916" s="1"/>
    </row>
    <row r="16917" spans="8:9" x14ac:dyDescent="0.2">
      <c r="H16917" s="1"/>
      <c r="I16917" s="1"/>
    </row>
    <row r="16918" spans="8:9" x14ac:dyDescent="0.2">
      <c r="H16918" s="1"/>
      <c r="I16918" s="1"/>
    </row>
    <row r="16919" spans="8:9" x14ac:dyDescent="0.2">
      <c r="H16919" s="1"/>
      <c r="I16919" s="1"/>
    </row>
    <row r="16920" spans="8:9" x14ac:dyDescent="0.2">
      <c r="H16920" s="1"/>
      <c r="I16920" s="1"/>
    </row>
    <row r="16921" spans="8:9" x14ac:dyDescent="0.2">
      <c r="H16921" s="1"/>
      <c r="I16921" s="1"/>
    </row>
    <row r="16922" spans="8:9" x14ac:dyDescent="0.2">
      <c r="H16922" s="1"/>
      <c r="I16922" s="1"/>
    </row>
    <row r="16923" spans="8:9" x14ac:dyDescent="0.2">
      <c r="H16923" s="1"/>
      <c r="I16923" s="1"/>
    </row>
    <row r="16924" spans="8:9" x14ac:dyDescent="0.2">
      <c r="H16924" s="1"/>
      <c r="I16924" s="1"/>
    </row>
    <row r="16925" spans="8:9" x14ac:dyDescent="0.2">
      <c r="H16925" s="1"/>
      <c r="I16925" s="1"/>
    </row>
    <row r="16926" spans="8:9" x14ac:dyDescent="0.2">
      <c r="H16926" s="1"/>
      <c r="I16926" s="1"/>
    </row>
    <row r="16927" spans="8:9" x14ac:dyDescent="0.2">
      <c r="H16927" s="1"/>
      <c r="I16927" s="1"/>
    </row>
    <row r="16928" spans="8:9" x14ac:dyDescent="0.2">
      <c r="H16928" s="1"/>
      <c r="I16928" s="1"/>
    </row>
    <row r="16929" spans="8:9" x14ac:dyDescent="0.2">
      <c r="H16929" s="1"/>
      <c r="I16929" s="1"/>
    </row>
    <row r="16930" spans="8:9" x14ac:dyDescent="0.2">
      <c r="H16930" s="1"/>
      <c r="I16930" s="1"/>
    </row>
    <row r="16931" spans="8:9" x14ac:dyDescent="0.2">
      <c r="H16931" s="1"/>
      <c r="I16931" s="1"/>
    </row>
    <row r="16932" spans="8:9" x14ac:dyDescent="0.2">
      <c r="H16932" s="1"/>
      <c r="I16932" s="1"/>
    </row>
    <row r="16933" spans="8:9" x14ac:dyDescent="0.2">
      <c r="H16933" s="1"/>
      <c r="I16933" s="1"/>
    </row>
    <row r="16934" spans="8:9" x14ac:dyDescent="0.2">
      <c r="H16934" s="1"/>
      <c r="I16934" s="1"/>
    </row>
    <row r="16935" spans="8:9" x14ac:dyDescent="0.2">
      <c r="H16935" s="1"/>
      <c r="I16935" s="1"/>
    </row>
    <row r="16936" spans="8:9" x14ac:dyDescent="0.2">
      <c r="H16936" s="1"/>
      <c r="I16936" s="1"/>
    </row>
    <row r="16937" spans="8:9" x14ac:dyDescent="0.2">
      <c r="H16937" s="1"/>
      <c r="I16937" s="1"/>
    </row>
    <row r="16938" spans="8:9" x14ac:dyDescent="0.2">
      <c r="H16938" s="1"/>
      <c r="I16938" s="1"/>
    </row>
    <row r="16939" spans="8:9" x14ac:dyDescent="0.2">
      <c r="H16939" s="1"/>
      <c r="I16939" s="1"/>
    </row>
    <row r="16940" spans="8:9" x14ac:dyDescent="0.2">
      <c r="H16940" s="1"/>
      <c r="I16940" s="1"/>
    </row>
    <row r="16941" spans="8:9" x14ac:dyDescent="0.2">
      <c r="H16941" s="1"/>
      <c r="I16941" s="1"/>
    </row>
    <row r="16942" spans="8:9" x14ac:dyDescent="0.2">
      <c r="H16942" s="1"/>
      <c r="I16942" s="1"/>
    </row>
    <row r="16943" spans="8:9" x14ac:dyDescent="0.2">
      <c r="H16943" s="1"/>
      <c r="I16943" s="1"/>
    </row>
    <row r="16944" spans="8:9" x14ac:dyDescent="0.2">
      <c r="H16944" s="1"/>
      <c r="I16944" s="1"/>
    </row>
    <row r="16945" spans="8:9" x14ac:dyDescent="0.2">
      <c r="H16945" s="1"/>
      <c r="I16945" s="1"/>
    </row>
    <row r="16946" spans="8:9" x14ac:dyDescent="0.2">
      <c r="H16946" s="1"/>
      <c r="I16946" s="1"/>
    </row>
    <row r="16947" spans="8:9" x14ac:dyDescent="0.2">
      <c r="H16947" s="1"/>
      <c r="I16947" s="1"/>
    </row>
    <row r="16948" spans="8:9" x14ac:dyDescent="0.2">
      <c r="H16948" s="1"/>
      <c r="I16948" s="1"/>
    </row>
    <row r="16949" spans="8:9" x14ac:dyDescent="0.2">
      <c r="H16949" s="1"/>
      <c r="I16949" s="1"/>
    </row>
    <row r="16950" spans="8:9" x14ac:dyDescent="0.2">
      <c r="H16950" s="1"/>
      <c r="I16950" s="1"/>
    </row>
    <row r="16951" spans="8:9" x14ac:dyDescent="0.2">
      <c r="H16951" s="1"/>
      <c r="I16951" s="1"/>
    </row>
    <row r="16952" spans="8:9" x14ac:dyDescent="0.2">
      <c r="H16952" s="1"/>
      <c r="I16952" s="1"/>
    </row>
    <row r="16953" spans="8:9" x14ac:dyDescent="0.2">
      <c r="H16953" s="1"/>
      <c r="I16953" s="1"/>
    </row>
    <row r="16954" spans="8:9" x14ac:dyDescent="0.2">
      <c r="H16954" s="1"/>
      <c r="I16954" s="1"/>
    </row>
    <row r="16955" spans="8:9" x14ac:dyDescent="0.2">
      <c r="H16955" s="1"/>
      <c r="I16955" s="1"/>
    </row>
    <row r="16956" spans="8:9" x14ac:dyDescent="0.2">
      <c r="H16956" s="1"/>
      <c r="I16956" s="1"/>
    </row>
    <row r="16957" spans="8:9" x14ac:dyDescent="0.2">
      <c r="H16957" s="1"/>
      <c r="I16957" s="1"/>
    </row>
    <row r="16958" spans="8:9" x14ac:dyDescent="0.2">
      <c r="H16958" s="1"/>
      <c r="I16958" s="1"/>
    </row>
    <row r="16959" spans="8:9" x14ac:dyDescent="0.2">
      <c r="H16959" s="1"/>
      <c r="I16959" s="1"/>
    </row>
    <row r="16960" spans="8:9" x14ac:dyDescent="0.2">
      <c r="H16960" s="1"/>
      <c r="I16960" s="1"/>
    </row>
    <row r="16961" spans="8:9" x14ac:dyDescent="0.2">
      <c r="H16961" s="1"/>
      <c r="I16961" s="1"/>
    </row>
    <row r="16962" spans="8:9" x14ac:dyDescent="0.2">
      <c r="H16962" s="1"/>
      <c r="I16962" s="1"/>
    </row>
    <row r="16963" spans="8:9" x14ac:dyDescent="0.2">
      <c r="H16963" s="1"/>
      <c r="I16963" s="1"/>
    </row>
    <row r="16964" spans="8:9" x14ac:dyDescent="0.2">
      <c r="H16964" s="1"/>
      <c r="I16964" s="1"/>
    </row>
    <row r="16965" spans="8:9" x14ac:dyDescent="0.2">
      <c r="H16965" s="1"/>
      <c r="I16965" s="1"/>
    </row>
    <row r="16966" spans="8:9" x14ac:dyDescent="0.2">
      <c r="H16966" s="1"/>
      <c r="I16966" s="1"/>
    </row>
    <row r="16967" spans="8:9" x14ac:dyDescent="0.2">
      <c r="H16967" s="1"/>
      <c r="I16967" s="1"/>
    </row>
    <row r="16968" spans="8:9" x14ac:dyDescent="0.2">
      <c r="H16968" s="1"/>
      <c r="I16968" s="1"/>
    </row>
    <row r="16969" spans="8:9" x14ac:dyDescent="0.2">
      <c r="H16969" s="1"/>
      <c r="I16969" s="1"/>
    </row>
    <row r="16970" spans="8:9" x14ac:dyDescent="0.2">
      <c r="H16970" s="1"/>
      <c r="I16970" s="1"/>
    </row>
    <row r="16971" spans="8:9" x14ac:dyDescent="0.2">
      <c r="H16971" s="1"/>
      <c r="I16971" s="1"/>
    </row>
    <row r="16972" spans="8:9" x14ac:dyDescent="0.2">
      <c r="H16972" s="1"/>
      <c r="I16972" s="1"/>
    </row>
    <row r="16973" spans="8:9" x14ac:dyDescent="0.2">
      <c r="H16973" s="1"/>
      <c r="I16973" s="1"/>
    </row>
    <row r="16974" spans="8:9" x14ac:dyDescent="0.2">
      <c r="H16974" s="1"/>
      <c r="I16974" s="1"/>
    </row>
    <row r="16975" spans="8:9" x14ac:dyDescent="0.2">
      <c r="H16975" s="1"/>
      <c r="I16975" s="1"/>
    </row>
    <row r="16976" spans="8:9" x14ac:dyDescent="0.2">
      <c r="H16976" s="1"/>
      <c r="I16976" s="1"/>
    </row>
    <row r="16977" spans="8:9" x14ac:dyDescent="0.2">
      <c r="H16977" s="1"/>
      <c r="I16977" s="1"/>
    </row>
    <row r="16978" spans="8:9" x14ac:dyDescent="0.2">
      <c r="H16978" s="1"/>
      <c r="I16978" s="1"/>
    </row>
    <row r="16979" spans="8:9" x14ac:dyDescent="0.2">
      <c r="H16979" s="1"/>
      <c r="I16979" s="1"/>
    </row>
    <row r="16980" spans="8:9" x14ac:dyDescent="0.2">
      <c r="H16980" s="1"/>
      <c r="I16980" s="1"/>
    </row>
    <row r="16981" spans="8:9" x14ac:dyDescent="0.2">
      <c r="H16981" s="1"/>
      <c r="I16981" s="1"/>
    </row>
    <row r="16982" spans="8:9" x14ac:dyDescent="0.2">
      <c r="H16982" s="1"/>
      <c r="I16982" s="1"/>
    </row>
    <row r="16983" spans="8:9" x14ac:dyDescent="0.2">
      <c r="H16983" s="1"/>
      <c r="I16983" s="1"/>
    </row>
    <row r="16984" spans="8:9" x14ac:dyDescent="0.2">
      <c r="H16984" s="1"/>
      <c r="I16984" s="1"/>
    </row>
    <row r="16985" spans="8:9" x14ac:dyDescent="0.2">
      <c r="H16985" s="1"/>
      <c r="I16985" s="1"/>
    </row>
    <row r="16986" spans="8:9" x14ac:dyDescent="0.2">
      <c r="H16986" s="1"/>
      <c r="I16986" s="1"/>
    </row>
    <row r="16987" spans="8:9" x14ac:dyDescent="0.2">
      <c r="H16987" s="1"/>
      <c r="I16987" s="1"/>
    </row>
    <row r="16988" spans="8:9" x14ac:dyDescent="0.2">
      <c r="H16988" s="1"/>
      <c r="I16988" s="1"/>
    </row>
    <row r="16989" spans="8:9" x14ac:dyDescent="0.2">
      <c r="H16989" s="1"/>
      <c r="I16989" s="1"/>
    </row>
    <row r="16990" spans="8:9" x14ac:dyDescent="0.2">
      <c r="H16990" s="1"/>
      <c r="I16990" s="1"/>
    </row>
    <row r="16991" spans="8:9" x14ac:dyDescent="0.2">
      <c r="H16991" s="1"/>
      <c r="I16991" s="1"/>
    </row>
    <row r="16992" spans="8:9" x14ac:dyDescent="0.2">
      <c r="H16992" s="1"/>
      <c r="I16992" s="1"/>
    </row>
    <row r="16993" spans="8:9" x14ac:dyDescent="0.2">
      <c r="H16993" s="1"/>
      <c r="I16993" s="1"/>
    </row>
    <row r="16994" spans="8:9" x14ac:dyDescent="0.2">
      <c r="H16994" s="1"/>
      <c r="I16994" s="1"/>
    </row>
    <row r="16995" spans="8:9" x14ac:dyDescent="0.2">
      <c r="H16995" s="1"/>
      <c r="I16995" s="1"/>
    </row>
    <row r="16996" spans="8:9" x14ac:dyDescent="0.2">
      <c r="H16996" s="1"/>
      <c r="I16996" s="1"/>
    </row>
    <row r="16997" spans="8:9" x14ac:dyDescent="0.2">
      <c r="H16997" s="1"/>
      <c r="I16997" s="1"/>
    </row>
    <row r="16998" spans="8:9" x14ac:dyDescent="0.2">
      <c r="H16998" s="1"/>
      <c r="I16998" s="1"/>
    </row>
    <row r="16999" spans="8:9" x14ac:dyDescent="0.2">
      <c r="H16999" s="1"/>
      <c r="I16999" s="1"/>
    </row>
    <row r="17000" spans="8:9" x14ac:dyDescent="0.2">
      <c r="H17000" s="1"/>
      <c r="I17000" s="1"/>
    </row>
    <row r="17001" spans="8:9" x14ac:dyDescent="0.2">
      <c r="H17001" s="1"/>
      <c r="I17001" s="1"/>
    </row>
    <row r="17002" spans="8:9" x14ac:dyDescent="0.2">
      <c r="H17002" s="1"/>
      <c r="I17002" s="1"/>
    </row>
    <row r="17003" spans="8:9" x14ac:dyDescent="0.2">
      <c r="H17003" s="1"/>
      <c r="I17003" s="1"/>
    </row>
    <row r="17004" spans="8:9" x14ac:dyDescent="0.2">
      <c r="H17004" s="1"/>
      <c r="I17004" s="1"/>
    </row>
    <row r="17005" spans="8:9" x14ac:dyDescent="0.2">
      <c r="H17005" s="1"/>
      <c r="I17005" s="1"/>
    </row>
    <row r="17006" spans="8:9" x14ac:dyDescent="0.2">
      <c r="H17006" s="1"/>
      <c r="I17006" s="1"/>
    </row>
    <row r="17007" spans="8:9" x14ac:dyDescent="0.2">
      <c r="H17007" s="1"/>
      <c r="I17007" s="1"/>
    </row>
    <row r="17008" spans="8:9" x14ac:dyDescent="0.2">
      <c r="H17008" s="1"/>
      <c r="I17008" s="1"/>
    </row>
    <row r="17009" spans="8:9" x14ac:dyDescent="0.2">
      <c r="H17009" s="1"/>
      <c r="I17009" s="1"/>
    </row>
    <row r="17010" spans="8:9" x14ac:dyDescent="0.2">
      <c r="H17010" s="1"/>
      <c r="I17010" s="1"/>
    </row>
    <row r="17011" spans="8:9" x14ac:dyDescent="0.2">
      <c r="H17011" s="1"/>
      <c r="I17011" s="1"/>
    </row>
    <row r="17012" spans="8:9" x14ac:dyDescent="0.2">
      <c r="H17012" s="1"/>
      <c r="I17012" s="1"/>
    </row>
    <row r="17013" spans="8:9" x14ac:dyDescent="0.2">
      <c r="H17013" s="1"/>
      <c r="I17013" s="1"/>
    </row>
    <row r="17014" spans="8:9" x14ac:dyDescent="0.2">
      <c r="H17014" s="1"/>
      <c r="I17014" s="1"/>
    </row>
    <row r="17015" spans="8:9" x14ac:dyDescent="0.2">
      <c r="H17015" s="1"/>
      <c r="I17015" s="1"/>
    </row>
    <row r="17016" spans="8:9" x14ac:dyDescent="0.2">
      <c r="H17016" s="1"/>
      <c r="I17016" s="1"/>
    </row>
    <row r="17017" spans="8:9" x14ac:dyDescent="0.2">
      <c r="H17017" s="1"/>
      <c r="I17017" s="1"/>
    </row>
    <row r="17018" spans="8:9" x14ac:dyDescent="0.2">
      <c r="H17018" s="1"/>
      <c r="I17018" s="1"/>
    </row>
    <row r="17019" spans="8:9" x14ac:dyDescent="0.2">
      <c r="H17019" s="1"/>
      <c r="I17019" s="1"/>
    </row>
    <row r="17020" spans="8:9" x14ac:dyDescent="0.2">
      <c r="H17020" s="1"/>
      <c r="I17020" s="1"/>
    </row>
    <row r="17021" spans="8:9" x14ac:dyDescent="0.2">
      <c r="H17021" s="1"/>
      <c r="I17021" s="1"/>
    </row>
    <row r="17022" spans="8:9" x14ac:dyDescent="0.2">
      <c r="H17022" s="1"/>
      <c r="I17022" s="1"/>
    </row>
    <row r="17023" spans="8:9" x14ac:dyDescent="0.2">
      <c r="H17023" s="1"/>
      <c r="I17023" s="1"/>
    </row>
    <row r="17024" spans="8:9" x14ac:dyDescent="0.2">
      <c r="H17024" s="1"/>
      <c r="I17024" s="1"/>
    </row>
    <row r="17025" spans="8:9" x14ac:dyDescent="0.2">
      <c r="H17025" s="1"/>
      <c r="I17025" s="1"/>
    </row>
    <row r="17026" spans="8:9" x14ac:dyDescent="0.2">
      <c r="H17026" s="1"/>
      <c r="I17026" s="1"/>
    </row>
    <row r="17027" spans="8:9" x14ac:dyDescent="0.2">
      <c r="H17027" s="1"/>
      <c r="I17027" s="1"/>
    </row>
    <row r="17028" spans="8:9" x14ac:dyDescent="0.2">
      <c r="H17028" s="1"/>
      <c r="I17028" s="1"/>
    </row>
    <row r="17029" spans="8:9" x14ac:dyDescent="0.2">
      <c r="H17029" s="1"/>
      <c r="I17029" s="1"/>
    </row>
    <row r="17030" spans="8:9" x14ac:dyDescent="0.2">
      <c r="H17030" s="1"/>
      <c r="I17030" s="1"/>
    </row>
    <row r="17031" spans="8:9" x14ac:dyDescent="0.2">
      <c r="H17031" s="1"/>
      <c r="I17031" s="1"/>
    </row>
    <row r="17032" spans="8:9" x14ac:dyDescent="0.2">
      <c r="H17032" s="1"/>
      <c r="I17032" s="1"/>
    </row>
    <row r="17033" spans="8:9" x14ac:dyDescent="0.2">
      <c r="H17033" s="1"/>
      <c r="I17033" s="1"/>
    </row>
    <row r="17034" spans="8:9" x14ac:dyDescent="0.2">
      <c r="H17034" s="1"/>
      <c r="I17034" s="1"/>
    </row>
    <row r="17035" spans="8:9" x14ac:dyDescent="0.2">
      <c r="H17035" s="1"/>
      <c r="I17035" s="1"/>
    </row>
    <row r="17036" spans="8:9" x14ac:dyDescent="0.2">
      <c r="H17036" s="1"/>
      <c r="I17036" s="1"/>
    </row>
    <row r="17037" spans="8:9" x14ac:dyDescent="0.2">
      <c r="H17037" s="1"/>
      <c r="I17037" s="1"/>
    </row>
    <row r="17038" spans="8:9" x14ac:dyDescent="0.2">
      <c r="H17038" s="1"/>
      <c r="I17038" s="1"/>
    </row>
    <row r="17039" spans="8:9" x14ac:dyDescent="0.2">
      <c r="H17039" s="1"/>
      <c r="I17039" s="1"/>
    </row>
    <row r="17040" spans="8:9" x14ac:dyDescent="0.2">
      <c r="H17040" s="1"/>
      <c r="I17040" s="1"/>
    </row>
    <row r="17041" spans="8:9" x14ac:dyDescent="0.2">
      <c r="H17041" s="1"/>
      <c r="I17041" s="1"/>
    </row>
    <row r="17042" spans="8:9" x14ac:dyDescent="0.2">
      <c r="H17042" s="1"/>
      <c r="I17042" s="1"/>
    </row>
    <row r="17043" spans="8:9" x14ac:dyDescent="0.2">
      <c r="H17043" s="1"/>
      <c r="I17043" s="1"/>
    </row>
    <row r="17044" spans="8:9" x14ac:dyDescent="0.2">
      <c r="H17044" s="1"/>
      <c r="I17044" s="1"/>
    </row>
    <row r="17045" spans="8:9" x14ac:dyDescent="0.2">
      <c r="H17045" s="1"/>
      <c r="I17045" s="1"/>
    </row>
    <row r="17046" spans="8:9" x14ac:dyDescent="0.2">
      <c r="H17046" s="1"/>
      <c r="I17046" s="1"/>
    </row>
    <row r="17047" spans="8:9" x14ac:dyDescent="0.2">
      <c r="H17047" s="1"/>
      <c r="I17047" s="1"/>
    </row>
    <row r="17048" spans="8:9" x14ac:dyDescent="0.2">
      <c r="H17048" s="1"/>
      <c r="I17048" s="1"/>
    </row>
    <row r="17049" spans="8:9" x14ac:dyDescent="0.2">
      <c r="H17049" s="1"/>
      <c r="I17049" s="1"/>
    </row>
    <row r="17050" spans="8:9" x14ac:dyDescent="0.2">
      <c r="H17050" s="1"/>
      <c r="I17050" s="1"/>
    </row>
    <row r="17051" spans="8:9" x14ac:dyDescent="0.2">
      <c r="H17051" s="1"/>
      <c r="I17051" s="1"/>
    </row>
    <row r="17052" spans="8:9" x14ac:dyDescent="0.2">
      <c r="H17052" s="1"/>
      <c r="I17052" s="1"/>
    </row>
    <row r="17053" spans="8:9" x14ac:dyDescent="0.2">
      <c r="H17053" s="1"/>
      <c r="I17053" s="1"/>
    </row>
    <row r="17054" spans="8:9" x14ac:dyDescent="0.2">
      <c r="H17054" s="1"/>
      <c r="I17054" s="1"/>
    </row>
    <row r="17055" spans="8:9" x14ac:dyDescent="0.2">
      <c r="H17055" s="1"/>
      <c r="I17055" s="1"/>
    </row>
    <row r="17056" spans="8:9" x14ac:dyDescent="0.2">
      <c r="H17056" s="1"/>
      <c r="I17056" s="1"/>
    </row>
    <row r="17057" spans="8:9" x14ac:dyDescent="0.2">
      <c r="H17057" s="1"/>
      <c r="I17057" s="1"/>
    </row>
    <row r="17058" spans="8:9" x14ac:dyDescent="0.2">
      <c r="H17058" s="1"/>
      <c r="I17058" s="1"/>
    </row>
    <row r="17059" spans="8:9" x14ac:dyDescent="0.2">
      <c r="H17059" s="1"/>
      <c r="I17059" s="1"/>
    </row>
    <row r="17060" spans="8:9" x14ac:dyDescent="0.2">
      <c r="H17060" s="1"/>
      <c r="I17060" s="1"/>
    </row>
    <row r="17061" spans="8:9" x14ac:dyDescent="0.2">
      <c r="H17061" s="1"/>
      <c r="I17061" s="1"/>
    </row>
    <row r="17062" spans="8:9" x14ac:dyDescent="0.2">
      <c r="H17062" s="1"/>
      <c r="I17062" s="1"/>
    </row>
    <row r="17063" spans="8:9" x14ac:dyDescent="0.2">
      <c r="H17063" s="1"/>
      <c r="I17063" s="1"/>
    </row>
    <row r="17064" spans="8:9" x14ac:dyDescent="0.2">
      <c r="H17064" s="1"/>
      <c r="I17064" s="1"/>
    </row>
    <row r="17065" spans="8:9" x14ac:dyDescent="0.2">
      <c r="H17065" s="1"/>
      <c r="I17065" s="1"/>
    </row>
    <row r="17066" spans="8:9" x14ac:dyDescent="0.2">
      <c r="H17066" s="1"/>
      <c r="I17066" s="1"/>
    </row>
    <row r="17067" spans="8:9" x14ac:dyDescent="0.2">
      <c r="H17067" s="1"/>
      <c r="I17067" s="1"/>
    </row>
    <row r="17068" spans="8:9" x14ac:dyDescent="0.2">
      <c r="H17068" s="1"/>
      <c r="I17068" s="1"/>
    </row>
    <row r="17069" spans="8:9" x14ac:dyDescent="0.2">
      <c r="H17069" s="1"/>
      <c r="I17069" s="1"/>
    </row>
    <row r="17070" spans="8:9" x14ac:dyDescent="0.2">
      <c r="H17070" s="1"/>
      <c r="I17070" s="1"/>
    </row>
    <row r="17071" spans="8:9" x14ac:dyDescent="0.2">
      <c r="H17071" s="1"/>
      <c r="I17071" s="1"/>
    </row>
    <row r="17072" spans="8:9" x14ac:dyDescent="0.2">
      <c r="H17072" s="1"/>
      <c r="I17072" s="1"/>
    </row>
    <row r="17073" spans="8:9" x14ac:dyDescent="0.2">
      <c r="H17073" s="1"/>
      <c r="I17073" s="1"/>
    </row>
    <row r="17074" spans="8:9" x14ac:dyDescent="0.2">
      <c r="H17074" s="1"/>
      <c r="I17074" s="1"/>
    </row>
    <row r="17075" spans="8:9" x14ac:dyDescent="0.2">
      <c r="H17075" s="1"/>
      <c r="I17075" s="1"/>
    </row>
    <row r="17076" spans="8:9" x14ac:dyDescent="0.2">
      <c r="H17076" s="1"/>
      <c r="I17076" s="1"/>
    </row>
    <row r="17077" spans="8:9" x14ac:dyDescent="0.2">
      <c r="H17077" s="1"/>
      <c r="I17077" s="1"/>
    </row>
    <row r="17078" spans="8:9" x14ac:dyDescent="0.2">
      <c r="H17078" s="1"/>
      <c r="I17078" s="1"/>
    </row>
    <row r="17079" spans="8:9" x14ac:dyDescent="0.2">
      <c r="H17079" s="1"/>
      <c r="I17079" s="1"/>
    </row>
    <row r="17080" spans="8:9" x14ac:dyDescent="0.2">
      <c r="H17080" s="1"/>
      <c r="I17080" s="1"/>
    </row>
    <row r="17081" spans="8:9" x14ac:dyDescent="0.2">
      <c r="H17081" s="1"/>
      <c r="I17081" s="1"/>
    </row>
    <row r="17082" spans="8:9" x14ac:dyDescent="0.2">
      <c r="H17082" s="1"/>
      <c r="I17082" s="1"/>
    </row>
    <row r="17083" spans="8:9" x14ac:dyDescent="0.2">
      <c r="H17083" s="1"/>
      <c r="I17083" s="1"/>
    </row>
    <row r="17084" spans="8:9" x14ac:dyDescent="0.2">
      <c r="H17084" s="1"/>
      <c r="I17084" s="1"/>
    </row>
    <row r="17085" spans="8:9" x14ac:dyDescent="0.2">
      <c r="H17085" s="1"/>
      <c r="I17085" s="1"/>
    </row>
    <row r="17086" spans="8:9" x14ac:dyDescent="0.2">
      <c r="H17086" s="1"/>
      <c r="I17086" s="1"/>
    </row>
    <row r="17087" spans="8:9" x14ac:dyDescent="0.2">
      <c r="H17087" s="1"/>
      <c r="I17087" s="1"/>
    </row>
    <row r="17088" spans="8:9" x14ac:dyDescent="0.2">
      <c r="H17088" s="1"/>
      <c r="I17088" s="1"/>
    </row>
    <row r="17089" spans="8:9" x14ac:dyDescent="0.2">
      <c r="H17089" s="1"/>
      <c r="I17089" s="1"/>
    </row>
    <row r="17090" spans="8:9" x14ac:dyDescent="0.2">
      <c r="H17090" s="1"/>
      <c r="I17090" s="1"/>
    </row>
    <row r="17091" spans="8:9" x14ac:dyDescent="0.2">
      <c r="H17091" s="1"/>
      <c r="I17091" s="1"/>
    </row>
    <row r="17092" spans="8:9" x14ac:dyDescent="0.2">
      <c r="H17092" s="1"/>
      <c r="I17092" s="1"/>
    </row>
    <row r="17093" spans="8:9" x14ac:dyDescent="0.2">
      <c r="H17093" s="1"/>
      <c r="I17093" s="1"/>
    </row>
    <row r="17094" spans="8:9" x14ac:dyDescent="0.2">
      <c r="H17094" s="1"/>
      <c r="I17094" s="1"/>
    </row>
    <row r="17095" spans="8:9" x14ac:dyDescent="0.2">
      <c r="H17095" s="1"/>
      <c r="I17095" s="1"/>
    </row>
    <row r="17096" spans="8:9" x14ac:dyDescent="0.2">
      <c r="H17096" s="1"/>
      <c r="I17096" s="1"/>
    </row>
    <row r="17097" spans="8:9" x14ac:dyDescent="0.2">
      <c r="H17097" s="1"/>
      <c r="I17097" s="1"/>
    </row>
    <row r="17098" spans="8:9" x14ac:dyDescent="0.2">
      <c r="H17098" s="1"/>
      <c r="I17098" s="1"/>
    </row>
    <row r="17099" spans="8:9" x14ac:dyDescent="0.2">
      <c r="H17099" s="1"/>
      <c r="I17099" s="1"/>
    </row>
    <row r="17100" spans="8:9" x14ac:dyDescent="0.2">
      <c r="H17100" s="1"/>
      <c r="I17100" s="1"/>
    </row>
    <row r="17101" spans="8:9" x14ac:dyDescent="0.2">
      <c r="H17101" s="1"/>
      <c r="I17101" s="1"/>
    </row>
    <row r="17102" spans="8:9" x14ac:dyDescent="0.2">
      <c r="H17102" s="1"/>
      <c r="I17102" s="1"/>
    </row>
    <row r="17103" spans="8:9" x14ac:dyDescent="0.2">
      <c r="H17103" s="1"/>
      <c r="I17103" s="1"/>
    </row>
    <row r="17104" spans="8:9" x14ac:dyDescent="0.2">
      <c r="H17104" s="1"/>
      <c r="I17104" s="1"/>
    </row>
    <row r="17105" spans="8:9" x14ac:dyDescent="0.2">
      <c r="H17105" s="1"/>
      <c r="I17105" s="1"/>
    </row>
    <row r="17106" spans="8:9" x14ac:dyDescent="0.2">
      <c r="H17106" s="1"/>
      <c r="I17106" s="1"/>
    </row>
    <row r="17107" spans="8:9" x14ac:dyDescent="0.2">
      <c r="H17107" s="1"/>
      <c r="I17107" s="1"/>
    </row>
    <row r="17108" spans="8:9" x14ac:dyDescent="0.2">
      <c r="H17108" s="1"/>
      <c r="I17108" s="1"/>
    </row>
    <row r="17109" spans="8:9" x14ac:dyDescent="0.2">
      <c r="H17109" s="1"/>
      <c r="I17109" s="1"/>
    </row>
    <row r="17110" spans="8:9" x14ac:dyDescent="0.2">
      <c r="H17110" s="1"/>
      <c r="I17110" s="1"/>
    </row>
    <row r="17111" spans="8:9" x14ac:dyDescent="0.2">
      <c r="H17111" s="1"/>
      <c r="I17111" s="1"/>
    </row>
    <row r="17112" spans="8:9" x14ac:dyDescent="0.2">
      <c r="H17112" s="1"/>
      <c r="I17112" s="1"/>
    </row>
    <row r="17113" spans="8:9" x14ac:dyDescent="0.2">
      <c r="H17113" s="1"/>
      <c r="I17113" s="1"/>
    </row>
    <row r="17114" spans="8:9" x14ac:dyDescent="0.2">
      <c r="H17114" s="1"/>
      <c r="I17114" s="1"/>
    </row>
    <row r="17115" spans="8:9" x14ac:dyDescent="0.2">
      <c r="H17115" s="1"/>
      <c r="I17115" s="1"/>
    </row>
    <row r="17116" spans="8:9" x14ac:dyDescent="0.2">
      <c r="H17116" s="1"/>
      <c r="I17116" s="1"/>
    </row>
    <row r="17117" spans="8:9" x14ac:dyDescent="0.2">
      <c r="H17117" s="1"/>
      <c r="I17117" s="1"/>
    </row>
    <row r="17118" spans="8:9" x14ac:dyDescent="0.2">
      <c r="H17118" s="1"/>
      <c r="I17118" s="1"/>
    </row>
    <row r="17119" spans="8:9" x14ac:dyDescent="0.2">
      <c r="H17119" s="1"/>
      <c r="I17119" s="1"/>
    </row>
    <row r="17120" spans="8:9" x14ac:dyDescent="0.2">
      <c r="H17120" s="1"/>
      <c r="I17120" s="1"/>
    </row>
    <row r="17121" spans="8:9" x14ac:dyDescent="0.2">
      <c r="H17121" s="1"/>
      <c r="I17121" s="1"/>
    </row>
    <row r="17122" spans="8:9" x14ac:dyDescent="0.2">
      <c r="H17122" s="1"/>
      <c r="I17122" s="1"/>
    </row>
    <row r="17123" spans="8:9" x14ac:dyDescent="0.2">
      <c r="H17123" s="1"/>
      <c r="I17123" s="1"/>
    </row>
    <row r="17124" spans="8:9" x14ac:dyDescent="0.2">
      <c r="H17124" s="1"/>
      <c r="I17124" s="1"/>
    </row>
    <row r="17125" spans="8:9" x14ac:dyDescent="0.2">
      <c r="H17125" s="1"/>
      <c r="I17125" s="1"/>
    </row>
    <row r="17126" spans="8:9" x14ac:dyDescent="0.2">
      <c r="H17126" s="1"/>
      <c r="I17126" s="1"/>
    </row>
    <row r="17127" spans="8:9" x14ac:dyDescent="0.2">
      <c r="H17127" s="1"/>
      <c r="I17127" s="1"/>
    </row>
    <row r="17128" spans="8:9" x14ac:dyDescent="0.2">
      <c r="H17128" s="1"/>
      <c r="I17128" s="1"/>
    </row>
    <row r="17129" spans="8:9" x14ac:dyDescent="0.2">
      <c r="H17129" s="1"/>
      <c r="I17129" s="1"/>
    </row>
    <row r="17130" spans="8:9" x14ac:dyDescent="0.2">
      <c r="H17130" s="1"/>
      <c r="I17130" s="1"/>
    </row>
    <row r="17131" spans="8:9" x14ac:dyDescent="0.2">
      <c r="H17131" s="1"/>
      <c r="I17131" s="1"/>
    </row>
    <row r="17132" spans="8:9" x14ac:dyDescent="0.2">
      <c r="H17132" s="1"/>
      <c r="I17132" s="1"/>
    </row>
    <row r="17133" spans="8:9" x14ac:dyDescent="0.2">
      <c r="H17133" s="1"/>
      <c r="I17133" s="1"/>
    </row>
    <row r="17134" spans="8:9" x14ac:dyDescent="0.2">
      <c r="H17134" s="1"/>
      <c r="I17134" s="1"/>
    </row>
    <row r="17135" spans="8:9" x14ac:dyDescent="0.2">
      <c r="H17135" s="1"/>
      <c r="I17135" s="1"/>
    </row>
    <row r="17136" spans="8:9" x14ac:dyDescent="0.2">
      <c r="H17136" s="1"/>
      <c r="I17136" s="1"/>
    </row>
    <row r="17137" spans="8:9" x14ac:dyDescent="0.2">
      <c r="H17137" s="1"/>
      <c r="I17137" s="1"/>
    </row>
    <row r="17138" spans="8:9" x14ac:dyDescent="0.2">
      <c r="H17138" s="1"/>
      <c r="I17138" s="1"/>
    </row>
    <row r="17139" spans="8:9" x14ac:dyDescent="0.2">
      <c r="H17139" s="1"/>
      <c r="I17139" s="1"/>
    </row>
    <row r="17140" spans="8:9" x14ac:dyDescent="0.2">
      <c r="H17140" s="1"/>
      <c r="I17140" s="1"/>
    </row>
    <row r="17141" spans="8:9" x14ac:dyDescent="0.2">
      <c r="H17141" s="1"/>
      <c r="I17141" s="1"/>
    </row>
    <row r="17142" spans="8:9" x14ac:dyDescent="0.2">
      <c r="H17142" s="1"/>
      <c r="I17142" s="1"/>
    </row>
    <row r="17143" spans="8:9" x14ac:dyDescent="0.2">
      <c r="H17143" s="1"/>
      <c r="I17143" s="1"/>
    </row>
    <row r="17144" spans="8:9" x14ac:dyDescent="0.2">
      <c r="H17144" s="1"/>
      <c r="I17144" s="1"/>
    </row>
    <row r="17145" spans="8:9" x14ac:dyDescent="0.2">
      <c r="H17145" s="1"/>
      <c r="I17145" s="1"/>
    </row>
    <row r="17146" spans="8:9" x14ac:dyDescent="0.2">
      <c r="H17146" s="1"/>
      <c r="I17146" s="1"/>
    </row>
    <row r="17147" spans="8:9" x14ac:dyDescent="0.2">
      <c r="H17147" s="1"/>
      <c r="I17147" s="1"/>
    </row>
    <row r="17148" spans="8:9" x14ac:dyDescent="0.2">
      <c r="H17148" s="1"/>
      <c r="I17148" s="1"/>
    </row>
    <row r="17149" spans="8:9" x14ac:dyDescent="0.2">
      <c r="H17149" s="1"/>
      <c r="I17149" s="1"/>
    </row>
    <row r="17150" spans="8:9" x14ac:dyDescent="0.2">
      <c r="H17150" s="1"/>
      <c r="I17150" s="1"/>
    </row>
    <row r="17151" spans="8:9" x14ac:dyDescent="0.2">
      <c r="H17151" s="1"/>
      <c r="I17151" s="1"/>
    </row>
    <row r="17152" spans="8:9" x14ac:dyDescent="0.2">
      <c r="H17152" s="1"/>
      <c r="I17152" s="1"/>
    </row>
    <row r="17153" spans="8:9" x14ac:dyDescent="0.2">
      <c r="H17153" s="1"/>
      <c r="I17153" s="1"/>
    </row>
    <row r="17154" spans="8:9" x14ac:dyDescent="0.2">
      <c r="H17154" s="1"/>
      <c r="I17154" s="1"/>
    </row>
    <row r="17155" spans="8:9" x14ac:dyDescent="0.2">
      <c r="H17155" s="1"/>
      <c r="I17155" s="1"/>
    </row>
    <row r="17156" spans="8:9" x14ac:dyDescent="0.2">
      <c r="H17156" s="1"/>
      <c r="I17156" s="1"/>
    </row>
    <row r="17157" spans="8:9" x14ac:dyDescent="0.2">
      <c r="H17157" s="1"/>
      <c r="I17157" s="1"/>
    </row>
    <row r="17158" spans="8:9" x14ac:dyDescent="0.2">
      <c r="H17158" s="1"/>
      <c r="I17158" s="1"/>
    </row>
    <row r="17159" spans="8:9" x14ac:dyDescent="0.2">
      <c r="H17159" s="1"/>
      <c r="I17159" s="1"/>
    </row>
    <row r="17160" spans="8:9" x14ac:dyDescent="0.2">
      <c r="H17160" s="1"/>
      <c r="I17160" s="1"/>
    </row>
    <row r="17161" spans="8:9" x14ac:dyDescent="0.2">
      <c r="H17161" s="1"/>
      <c r="I17161" s="1"/>
    </row>
    <row r="17162" spans="8:9" x14ac:dyDescent="0.2">
      <c r="H17162" s="1"/>
      <c r="I17162" s="1"/>
    </row>
    <row r="17163" spans="8:9" x14ac:dyDescent="0.2">
      <c r="H17163" s="1"/>
      <c r="I17163" s="1"/>
    </row>
    <row r="17164" spans="8:9" x14ac:dyDescent="0.2">
      <c r="H17164" s="1"/>
      <c r="I17164" s="1"/>
    </row>
    <row r="17165" spans="8:9" x14ac:dyDescent="0.2">
      <c r="H17165" s="1"/>
      <c r="I17165" s="1"/>
    </row>
    <row r="17166" spans="8:9" x14ac:dyDescent="0.2">
      <c r="H17166" s="1"/>
      <c r="I17166" s="1"/>
    </row>
    <row r="17167" spans="8:9" x14ac:dyDescent="0.2">
      <c r="H17167" s="1"/>
      <c r="I17167" s="1"/>
    </row>
    <row r="17168" spans="8:9" x14ac:dyDescent="0.2">
      <c r="H17168" s="1"/>
      <c r="I17168" s="1"/>
    </row>
    <row r="17169" spans="8:9" x14ac:dyDescent="0.2">
      <c r="H17169" s="1"/>
      <c r="I17169" s="1"/>
    </row>
    <row r="17170" spans="8:9" x14ac:dyDescent="0.2">
      <c r="H17170" s="1"/>
      <c r="I17170" s="1"/>
    </row>
    <row r="17171" spans="8:9" x14ac:dyDescent="0.2">
      <c r="H17171" s="1"/>
      <c r="I17171" s="1"/>
    </row>
    <row r="17172" spans="8:9" x14ac:dyDescent="0.2">
      <c r="H17172" s="1"/>
      <c r="I17172" s="1"/>
    </row>
    <row r="17173" spans="8:9" x14ac:dyDescent="0.2">
      <c r="H17173" s="1"/>
      <c r="I17173" s="1"/>
    </row>
    <row r="17174" spans="8:9" x14ac:dyDescent="0.2">
      <c r="H17174" s="1"/>
      <c r="I17174" s="1"/>
    </row>
    <row r="17175" spans="8:9" x14ac:dyDescent="0.2">
      <c r="H17175" s="1"/>
      <c r="I17175" s="1"/>
    </row>
    <row r="17176" spans="8:9" x14ac:dyDescent="0.2">
      <c r="H17176" s="1"/>
      <c r="I17176" s="1"/>
    </row>
    <row r="17177" spans="8:9" x14ac:dyDescent="0.2">
      <c r="H17177" s="1"/>
      <c r="I17177" s="1"/>
    </row>
    <row r="17178" spans="8:9" x14ac:dyDescent="0.2">
      <c r="H17178" s="1"/>
      <c r="I17178" s="1"/>
    </row>
    <row r="17179" spans="8:9" x14ac:dyDescent="0.2">
      <c r="H17179" s="1"/>
      <c r="I17179" s="1"/>
    </row>
    <row r="17180" spans="8:9" x14ac:dyDescent="0.2">
      <c r="H17180" s="1"/>
      <c r="I17180" s="1"/>
    </row>
    <row r="17181" spans="8:9" x14ac:dyDescent="0.2">
      <c r="H17181" s="1"/>
      <c r="I17181" s="1"/>
    </row>
    <row r="17182" spans="8:9" x14ac:dyDescent="0.2">
      <c r="H17182" s="1"/>
      <c r="I17182" s="1"/>
    </row>
    <row r="17183" spans="8:9" x14ac:dyDescent="0.2">
      <c r="H17183" s="1"/>
      <c r="I17183" s="1"/>
    </row>
    <row r="17184" spans="8:9" x14ac:dyDescent="0.2">
      <c r="H17184" s="1"/>
      <c r="I17184" s="1"/>
    </row>
    <row r="17185" spans="8:9" x14ac:dyDescent="0.2">
      <c r="H17185" s="1"/>
      <c r="I17185" s="1"/>
    </row>
    <row r="17186" spans="8:9" x14ac:dyDescent="0.2">
      <c r="H17186" s="1"/>
      <c r="I17186" s="1"/>
    </row>
    <row r="17187" spans="8:9" x14ac:dyDescent="0.2">
      <c r="H17187" s="1"/>
      <c r="I17187" s="1"/>
    </row>
    <row r="17188" spans="8:9" x14ac:dyDescent="0.2">
      <c r="H17188" s="1"/>
      <c r="I17188" s="1"/>
    </row>
    <row r="17189" spans="8:9" x14ac:dyDescent="0.2">
      <c r="H17189" s="1"/>
      <c r="I17189" s="1"/>
    </row>
    <row r="17190" spans="8:9" x14ac:dyDescent="0.2">
      <c r="H17190" s="1"/>
      <c r="I17190" s="1"/>
    </row>
    <row r="17191" spans="8:9" x14ac:dyDescent="0.2">
      <c r="H17191" s="1"/>
      <c r="I17191" s="1"/>
    </row>
    <row r="17192" spans="8:9" x14ac:dyDescent="0.2">
      <c r="H17192" s="1"/>
      <c r="I17192" s="1"/>
    </row>
    <row r="17193" spans="8:9" x14ac:dyDescent="0.2">
      <c r="H17193" s="1"/>
      <c r="I17193" s="1"/>
    </row>
    <row r="17194" spans="8:9" x14ac:dyDescent="0.2">
      <c r="H17194" s="1"/>
      <c r="I17194" s="1"/>
    </row>
    <row r="17195" spans="8:9" x14ac:dyDescent="0.2">
      <c r="H17195" s="1"/>
      <c r="I17195" s="1"/>
    </row>
    <row r="17196" spans="8:9" x14ac:dyDescent="0.2">
      <c r="H17196" s="1"/>
      <c r="I17196" s="1"/>
    </row>
    <row r="17197" spans="8:9" x14ac:dyDescent="0.2">
      <c r="H17197" s="1"/>
      <c r="I17197" s="1"/>
    </row>
    <row r="17198" spans="8:9" x14ac:dyDescent="0.2">
      <c r="H17198" s="1"/>
      <c r="I17198" s="1"/>
    </row>
    <row r="17199" spans="8:9" x14ac:dyDescent="0.2">
      <c r="H17199" s="1"/>
      <c r="I17199" s="1"/>
    </row>
    <row r="17200" spans="8:9" x14ac:dyDescent="0.2">
      <c r="H17200" s="1"/>
      <c r="I17200" s="1"/>
    </row>
    <row r="17201" spans="8:9" x14ac:dyDescent="0.2">
      <c r="H17201" s="1"/>
      <c r="I17201" s="1"/>
    </row>
    <row r="17202" spans="8:9" x14ac:dyDescent="0.2">
      <c r="H17202" s="1"/>
      <c r="I17202" s="1"/>
    </row>
    <row r="17203" spans="8:9" x14ac:dyDescent="0.2">
      <c r="H17203" s="1"/>
      <c r="I17203" s="1"/>
    </row>
    <row r="17204" spans="8:9" x14ac:dyDescent="0.2">
      <c r="H17204" s="1"/>
      <c r="I17204" s="1"/>
    </row>
    <row r="17205" spans="8:9" x14ac:dyDescent="0.2">
      <c r="H17205" s="1"/>
      <c r="I17205" s="1"/>
    </row>
    <row r="17206" spans="8:9" x14ac:dyDescent="0.2">
      <c r="H17206" s="1"/>
      <c r="I17206" s="1"/>
    </row>
    <row r="17207" spans="8:9" x14ac:dyDescent="0.2">
      <c r="H17207" s="1"/>
      <c r="I17207" s="1"/>
    </row>
    <row r="17208" spans="8:9" x14ac:dyDescent="0.2">
      <c r="H17208" s="1"/>
      <c r="I17208" s="1"/>
    </row>
    <row r="17209" spans="8:9" x14ac:dyDescent="0.2">
      <c r="H17209" s="1"/>
      <c r="I17209" s="1"/>
    </row>
    <row r="17210" spans="8:9" x14ac:dyDescent="0.2">
      <c r="H17210" s="1"/>
      <c r="I17210" s="1"/>
    </row>
    <row r="17211" spans="8:9" x14ac:dyDescent="0.2">
      <c r="H17211" s="1"/>
      <c r="I17211" s="1"/>
    </row>
    <row r="17212" spans="8:9" x14ac:dyDescent="0.2">
      <c r="H17212" s="1"/>
      <c r="I17212" s="1"/>
    </row>
    <row r="17213" spans="8:9" x14ac:dyDescent="0.2">
      <c r="H17213" s="1"/>
      <c r="I17213" s="1"/>
    </row>
    <row r="17214" spans="8:9" x14ac:dyDescent="0.2">
      <c r="H17214" s="1"/>
      <c r="I17214" s="1"/>
    </row>
    <row r="17215" spans="8:9" x14ac:dyDescent="0.2">
      <c r="H17215" s="1"/>
      <c r="I17215" s="1"/>
    </row>
    <row r="17216" spans="8:9" x14ac:dyDescent="0.2">
      <c r="H17216" s="1"/>
      <c r="I17216" s="1"/>
    </row>
    <row r="17217" spans="8:9" x14ac:dyDescent="0.2">
      <c r="H17217" s="1"/>
      <c r="I17217" s="1"/>
    </row>
    <row r="17218" spans="8:9" x14ac:dyDescent="0.2">
      <c r="H17218" s="1"/>
      <c r="I17218" s="1"/>
    </row>
    <row r="17219" spans="8:9" x14ac:dyDescent="0.2">
      <c r="H17219" s="1"/>
      <c r="I17219" s="1"/>
    </row>
    <row r="17220" spans="8:9" x14ac:dyDescent="0.2">
      <c r="H17220" s="1"/>
      <c r="I17220" s="1"/>
    </row>
    <row r="17221" spans="8:9" x14ac:dyDescent="0.2">
      <c r="H17221" s="1"/>
      <c r="I17221" s="1"/>
    </row>
    <row r="17222" spans="8:9" x14ac:dyDescent="0.2">
      <c r="H17222" s="1"/>
      <c r="I17222" s="1"/>
    </row>
    <row r="17223" spans="8:9" x14ac:dyDescent="0.2">
      <c r="H17223" s="1"/>
      <c r="I17223" s="1"/>
    </row>
    <row r="17224" spans="8:9" x14ac:dyDescent="0.2">
      <c r="H17224" s="1"/>
      <c r="I17224" s="1"/>
    </row>
    <row r="17225" spans="8:9" x14ac:dyDescent="0.2">
      <c r="H17225" s="1"/>
      <c r="I17225" s="1"/>
    </row>
    <row r="17226" spans="8:9" x14ac:dyDescent="0.2">
      <c r="H17226" s="1"/>
      <c r="I17226" s="1"/>
    </row>
    <row r="17227" spans="8:9" x14ac:dyDescent="0.2">
      <c r="H17227" s="1"/>
      <c r="I17227" s="1"/>
    </row>
    <row r="17228" spans="8:9" x14ac:dyDescent="0.2">
      <c r="H17228" s="1"/>
      <c r="I17228" s="1"/>
    </row>
    <row r="17229" spans="8:9" x14ac:dyDescent="0.2">
      <c r="H17229" s="1"/>
      <c r="I17229" s="1"/>
    </row>
    <row r="17230" spans="8:9" x14ac:dyDescent="0.2">
      <c r="H17230" s="1"/>
      <c r="I17230" s="1"/>
    </row>
    <row r="17231" spans="8:9" x14ac:dyDescent="0.2">
      <c r="H17231" s="1"/>
      <c r="I17231" s="1"/>
    </row>
    <row r="17232" spans="8:9" x14ac:dyDescent="0.2">
      <c r="H17232" s="1"/>
      <c r="I17232" s="1"/>
    </row>
    <row r="17233" spans="8:9" x14ac:dyDescent="0.2">
      <c r="H17233" s="1"/>
      <c r="I17233" s="1"/>
    </row>
    <row r="17234" spans="8:9" x14ac:dyDescent="0.2">
      <c r="H17234" s="1"/>
      <c r="I17234" s="1"/>
    </row>
    <row r="17235" spans="8:9" x14ac:dyDescent="0.2">
      <c r="H17235" s="1"/>
      <c r="I17235" s="1"/>
    </row>
    <row r="17236" spans="8:9" x14ac:dyDescent="0.2">
      <c r="H17236" s="1"/>
      <c r="I17236" s="1"/>
    </row>
    <row r="17237" spans="8:9" x14ac:dyDescent="0.2">
      <c r="H17237" s="1"/>
      <c r="I17237" s="1"/>
    </row>
    <row r="17238" spans="8:9" x14ac:dyDescent="0.2">
      <c r="H17238" s="1"/>
      <c r="I17238" s="1"/>
    </row>
    <row r="17239" spans="8:9" x14ac:dyDescent="0.2">
      <c r="H17239" s="1"/>
      <c r="I17239" s="1"/>
    </row>
    <row r="17240" spans="8:9" x14ac:dyDescent="0.2">
      <c r="H17240" s="1"/>
      <c r="I17240" s="1"/>
    </row>
    <row r="17241" spans="8:9" x14ac:dyDescent="0.2">
      <c r="H17241" s="1"/>
      <c r="I17241" s="1"/>
    </row>
    <row r="17242" spans="8:9" x14ac:dyDescent="0.2">
      <c r="H17242" s="1"/>
      <c r="I17242" s="1"/>
    </row>
    <row r="17243" spans="8:9" x14ac:dyDescent="0.2">
      <c r="H17243" s="1"/>
      <c r="I17243" s="1"/>
    </row>
    <row r="17244" spans="8:9" x14ac:dyDescent="0.2">
      <c r="H17244" s="1"/>
      <c r="I17244" s="1"/>
    </row>
    <row r="17245" spans="8:9" x14ac:dyDescent="0.2">
      <c r="H17245" s="1"/>
      <c r="I17245" s="1"/>
    </row>
    <row r="17246" spans="8:9" x14ac:dyDescent="0.2">
      <c r="H17246" s="1"/>
      <c r="I17246" s="1"/>
    </row>
    <row r="17247" spans="8:9" x14ac:dyDescent="0.2">
      <c r="H17247" s="1"/>
      <c r="I17247" s="1"/>
    </row>
    <row r="17248" spans="8:9" x14ac:dyDescent="0.2">
      <c r="H17248" s="1"/>
      <c r="I17248" s="1"/>
    </row>
    <row r="17249" spans="8:9" x14ac:dyDescent="0.2">
      <c r="H17249" s="1"/>
      <c r="I17249" s="1"/>
    </row>
    <row r="17250" spans="8:9" x14ac:dyDescent="0.2">
      <c r="H17250" s="1"/>
      <c r="I17250" s="1"/>
    </row>
    <row r="17251" spans="8:9" x14ac:dyDescent="0.2">
      <c r="H17251" s="1"/>
      <c r="I17251" s="1"/>
    </row>
    <row r="17252" spans="8:9" x14ac:dyDescent="0.2">
      <c r="H17252" s="1"/>
      <c r="I17252" s="1"/>
    </row>
    <row r="17253" spans="8:9" x14ac:dyDescent="0.2">
      <c r="H17253" s="1"/>
      <c r="I17253" s="1"/>
    </row>
    <row r="17254" spans="8:9" x14ac:dyDescent="0.2">
      <c r="H17254" s="1"/>
      <c r="I17254" s="1"/>
    </row>
    <row r="17255" spans="8:9" x14ac:dyDescent="0.2">
      <c r="H17255" s="1"/>
      <c r="I17255" s="1"/>
    </row>
    <row r="17256" spans="8:9" x14ac:dyDescent="0.2">
      <c r="H17256" s="1"/>
      <c r="I17256" s="1"/>
    </row>
    <row r="17257" spans="8:9" x14ac:dyDescent="0.2">
      <c r="H17257" s="1"/>
      <c r="I17257" s="1"/>
    </row>
    <row r="17258" spans="8:9" x14ac:dyDescent="0.2">
      <c r="H17258" s="1"/>
      <c r="I17258" s="1"/>
    </row>
    <row r="17259" spans="8:9" x14ac:dyDescent="0.2">
      <c r="H17259" s="1"/>
      <c r="I17259" s="1"/>
    </row>
    <row r="17260" spans="8:9" x14ac:dyDescent="0.2">
      <c r="H17260" s="1"/>
      <c r="I17260" s="1"/>
    </row>
    <row r="17261" spans="8:9" x14ac:dyDescent="0.2">
      <c r="H17261" s="1"/>
      <c r="I17261" s="1"/>
    </row>
    <row r="17262" spans="8:9" x14ac:dyDescent="0.2">
      <c r="H17262" s="1"/>
      <c r="I17262" s="1"/>
    </row>
    <row r="17263" spans="8:9" x14ac:dyDescent="0.2">
      <c r="H17263" s="1"/>
      <c r="I17263" s="1"/>
    </row>
    <row r="17264" spans="8:9" x14ac:dyDescent="0.2">
      <c r="H17264" s="1"/>
      <c r="I17264" s="1"/>
    </row>
    <row r="17265" spans="8:9" x14ac:dyDescent="0.2">
      <c r="H17265" s="1"/>
      <c r="I17265" s="1"/>
    </row>
    <row r="17266" spans="8:9" x14ac:dyDescent="0.2">
      <c r="H17266" s="1"/>
      <c r="I17266" s="1"/>
    </row>
    <row r="17267" spans="8:9" x14ac:dyDescent="0.2">
      <c r="H17267" s="1"/>
      <c r="I17267" s="1"/>
    </row>
    <row r="17268" spans="8:9" x14ac:dyDescent="0.2">
      <c r="H17268" s="1"/>
      <c r="I17268" s="1"/>
    </row>
    <row r="17269" spans="8:9" x14ac:dyDescent="0.2">
      <c r="H17269" s="1"/>
      <c r="I17269" s="1"/>
    </row>
    <row r="17270" spans="8:9" x14ac:dyDescent="0.2">
      <c r="H17270" s="1"/>
      <c r="I17270" s="1"/>
    </row>
    <row r="17271" spans="8:9" x14ac:dyDescent="0.2">
      <c r="H17271" s="1"/>
      <c r="I17271" s="1"/>
    </row>
    <row r="17272" spans="8:9" x14ac:dyDescent="0.2">
      <c r="H17272" s="1"/>
      <c r="I17272" s="1"/>
    </row>
    <row r="17273" spans="8:9" x14ac:dyDescent="0.2">
      <c r="H17273" s="1"/>
      <c r="I17273" s="1"/>
    </row>
    <row r="17274" spans="8:9" x14ac:dyDescent="0.2">
      <c r="H17274" s="1"/>
      <c r="I17274" s="1"/>
    </row>
    <row r="17275" spans="8:9" x14ac:dyDescent="0.2">
      <c r="H17275" s="1"/>
      <c r="I17275" s="1"/>
    </row>
    <row r="17276" spans="8:9" x14ac:dyDescent="0.2">
      <c r="H17276" s="1"/>
      <c r="I17276" s="1"/>
    </row>
    <row r="17277" spans="8:9" x14ac:dyDescent="0.2">
      <c r="H17277" s="1"/>
      <c r="I17277" s="1"/>
    </row>
    <row r="17278" spans="8:9" x14ac:dyDescent="0.2">
      <c r="H17278" s="1"/>
      <c r="I17278" s="1"/>
    </row>
    <row r="17279" spans="8:9" x14ac:dyDescent="0.2">
      <c r="H17279" s="1"/>
      <c r="I17279" s="1"/>
    </row>
    <row r="17280" spans="8:9" x14ac:dyDescent="0.2">
      <c r="H17280" s="1"/>
      <c r="I17280" s="1"/>
    </row>
    <row r="17281" spans="8:9" x14ac:dyDescent="0.2">
      <c r="H17281" s="1"/>
      <c r="I17281" s="1"/>
    </row>
    <row r="17282" spans="8:9" x14ac:dyDescent="0.2">
      <c r="H17282" s="1"/>
      <c r="I17282" s="1"/>
    </row>
    <row r="17283" spans="8:9" x14ac:dyDescent="0.2">
      <c r="H17283" s="1"/>
      <c r="I17283" s="1"/>
    </row>
    <row r="17284" spans="8:9" x14ac:dyDescent="0.2">
      <c r="H17284" s="1"/>
      <c r="I17284" s="1"/>
    </row>
    <row r="17285" spans="8:9" x14ac:dyDescent="0.2">
      <c r="H17285" s="1"/>
      <c r="I17285" s="1"/>
    </row>
    <row r="17286" spans="8:9" x14ac:dyDescent="0.2">
      <c r="H17286" s="1"/>
      <c r="I17286" s="1"/>
    </row>
    <row r="17287" spans="8:9" x14ac:dyDescent="0.2">
      <c r="H17287" s="1"/>
      <c r="I17287" s="1"/>
    </row>
    <row r="17288" spans="8:9" x14ac:dyDescent="0.2">
      <c r="H17288" s="1"/>
      <c r="I17288" s="1"/>
    </row>
    <row r="17289" spans="8:9" x14ac:dyDescent="0.2">
      <c r="H17289" s="1"/>
      <c r="I17289" s="1"/>
    </row>
    <row r="17290" spans="8:9" x14ac:dyDescent="0.2">
      <c r="H17290" s="1"/>
      <c r="I17290" s="1"/>
    </row>
    <row r="17291" spans="8:9" x14ac:dyDescent="0.2">
      <c r="H17291" s="1"/>
      <c r="I17291" s="1"/>
    </row>
    <row r="17292" spans="8:9" x14ac:dyDescent="0.2">
      <c r="H17292" s="1"/>
      <c r="I17292" s="1"/>
    </row>
    <row r="17293" spans="8:9" x14ac:dyDescent="0.2">
      <c r="H17293" s="1"/>
      <c r="I17293" s="1"/>
    </row>
    <row r="17294" spans="8:9" x14ac:dyDescent="0.2">
      <c r="H17294" s="1"/>
      <c r="I17294" s="1"/>
    </row>
    <row r="17295" spans="8:9" x14ac:dyDescent="0.2">
      <c r="H17295" s="1"/>
      <c r="I17295" s="1"/>
    </row>
    <row r="17296" spans="8:9" x14ac:dyDescent="0.2">
      <c r="H17296" s="1"/>
      <c r="I17296" s="1"/>
    </row>
    <row r="17297" spans="8:9" x14ac:dyDescent="0.2">
      <c r="H17297" s="1"/>
      <c r="I17297" s="1"/>
    </row>
    <row r="17298" spans="8:9" x14ac:dyDescent="0.2">
      <c r="H17298" s="1"/>
      <c r="I17298" s="1"/>
    </row>
    <row r="17299" spans="8:9" x14ac:dyDescent="0.2">
      <c r="H17299" s="1"/>
      <c r="I17299" s="1"/>
    </row>
    <row r="17300" spans="8:9" x14ac:dyDescent="0.2">
      <c r="H17300" s="1"/>
      <c r="I17300" s="1"/>
    </row>
    <row r="17301" spans="8:9" x14ac:dyDescent="0.2">
      <c r="H17301" s="1"/>
      <c r="I17301" s="1"/>
    </row>
    <row r="17302" spans="8:9" x14ac:dyDescent="0.2">
      <c r="H17302" s="1"/>
      <c r="I17302" s="1"/>
    </row>
    <row r="17303" spans="8:9" x14ac:dyDescent="0.2">
      <c r="H17303" s="1"/>
      <c r="I17303" s="1"/>
    </row>
    <row r="17304" spans="8:9" x14ac:dyDescent="0.2">
      <c r="H17304" s="1"/>
      <c r="I17304" s="1"/>
    </row>
    <row r="17305" spans="8:9" x14ac:dyDescent="0.2">
      <c r="H17305" s="1"/>
      <c r="I17305" s="1"/>
    </row>
    <row r="17306" spans="8:9" x14ac:dyDescent="0.2">
      <c r="H17306" s="1"/>
      <c r="I17306" s="1"/>
    </row>
    <row r="17307" spans="8:9" x14ac:dyDescent="0.2">
      <c r="H17307" s="1"/>
      <c r="I17307" s="1"/>
    </row>
    <row r="17308" spans="8:9" x14ac:dyDescent="0.2">
      <c r="H17308" s="1"/>
      <c r="I17308" s="1"/>
    </row>
    <row r="17309" spans="8:9" x14ac:dyDescent="0.2">
      <c r="H17309" s="1"/>
      <c r="I17309" s="1"/>
    </row>
    <row r="17310" spans="8:9" x14ac:dyDescent="0.2">
      <c r="H17310" s="1"/>
      <c r="I17310" s="1"/>
    </row>
    <row r="17311" spans="8:9" x14ac:dyDescent="0.2">
      <c r="H17311" s="1"/>
      <c r="I17311" s="1"/>
    </row>
    <row r="17312" spans="8:9" x14ac:dyDescent="0.2">
      <c r="H17312" s="1"/>
      <c r="I17312" s="1"/>
    </row>
    <row r="17313" spans="8:9" x14ac:dyDescent="0.2">
      <c r="H17313" s="1"/>
      <c r="I17313" s="1"/>
    </row>
    <row r="17314" spans="8:9" x14ac:dyDescent="0.2">
      <c r="H17314" s="1"/>
      <c r="I17314" s="1"/>
    </row>
    <row r="17315" spans="8:9" x14ac:dyDescent="0.2">
      <c r="H17315" s="1"/>
      <c r="I17315" s="1"/>
    </row>
    <row r="17316" spans="8:9" x14ac:dyDescent="0.2">
      <c r="H17316" s="1"/>
      <c r="I17316" s="1"/>
    </row>
    <row r="17317" spans="8:9" x14ac:dyDescent="0.2">
      <c r="H17317" s="1"/>
      <c r="I17317" s="1"/>
    </row>
    <row r="17318" spans="8:9" x14ac:dyDescent="0.2">
      <c r="H17318" s="1"/>
      <c r="I17318" s="1"/>
    </row>
    <row r="17319" spans="8:9" x14ac:dyDescent="0.2">
      <c r="H17319" s="1"/>
      <c r="I17319" s="1"/>
    </row>
    <row r="17320" spans="8:9" x14ac:dyDescent="0.2">
      <c r="H17320" s="1"/>
      <c r="I17320" s="1"/>
    </row>
    <row r="17321" spans="8:9" x14ac:dyDescent="0.2">
      <c r="H17321" s="1"/>
      <c r="I17321" s="1"/>
    </row>
    <row r="17322" spans="8:9" x14ac:dyDescent="0.2">
      <c r="H17322" s="1"/>
      <c r="I17322" s="1"/>
    </row>
    <row r="17323" spans="8:9" x14ac:dyDescent="0.2">
      <c r="H17323" s="1"/>
      <c r="I17323" s="1"/>
    </row>
    <row r="17324" spans="8:9" x14ac:dyDescent="0.2">
      <c r="H17324" s="1"/>
      <c r="I17324" s="1"/>
    </row>
    <row r="17325" spans="8:9" x14ac:dyDescent="0.2">
      <c r="H17325" s="1"/>
      <c r="I17325" s="1"/>
    </row>
    <row r="17326" spans="8:9" x14ac:dyDescent="0.2">
      <c r="H17326" s="1"/>
      <c r="I17326" s="1"/>
    </row>
    <row r="17327" spans="8:9" x14ac:dyDescent="0.2">
      <c r="H17327" s="1"/>
      <c r="I17327" s="1"/>
    </row>
    <row r="17328" spans="8:9" x14ac:dyDescent="0.2">
      <c r="H17328" s="1"/>
      <c r="I17328" s="1"/>
    </row>
    <row r="17329" spans="8:9" x14ac:dyDescent="0.2">
      <c r="H17329" s="1"/>
      <c r="I17329" s="1"/>
    </row>
    <row r="17330" spans="8:9" x14ac:dyDescent="0.2">
      <c r="H17330" s="1"/>
      <c r="I17330" s="1"/>
    </row>
    <row r="17331" spans="8:9" x14ac:dyDescent="0.2">
      <c r="H17331" s="1"/>
      <c r="I17331" s="1"/>
    </row>
    <row r="17332" spans="8:9" x14ac:dyDescent="0.2">
      <c r="H17332" s="1"/>
      <c r="I17332" s="1"/>
    </row>
    <row r="17333" spans="8:9" x14ac:dyDescent="0.2">
      <c r="H17333" s="1"/>
      <c r="I17333" s="1"/>
    </row>
    <row r="17334" spans="8:9" x14ac:dyDescent="0.2">
      <c r="H17334" s="1"/>
      <c r="I17334" s="1"/>
    </row>
    <row r="17335" spans="8:9" x14ac:dyDescent="0.2">
      <c r="H17335" s="1"/>
      <c r="I17335" s="1"/>
    </row>
    <row r="17336" spans="8:9" x14ac:dyDescent="0.2">
      <c r="H17336" s="1"/>
      <c r="I17336" s="1"/>
    </row>
    <row r="17337" spans="8:9" x14ac:dyDescent="0.2">
      <c r="H17337" s="1"/>
      <c r="I17337" s="1"/>
    </row>
    <row r="17338" spans="8:9" x14ac:dyDescent="0.2">
      <c r="H17338" s="1"/>
      <c r="I17338" s="1"/>
    </row>
    <row r="17339" spans="8:9" x14ac:dyDescent="0.2">
      <c r="H17339" s="1"/>
      <c r="I17339" s="1"/>
    </row>
    <row r="17340" spans="8:9" x14ac:dyDescent="0.2">
      <c r="H17340" s="1"/>
      <c r="I17340" s="1"/>
    </row>
    <row r="17341" spans="8:9" x14ac:dyDescent="0.2">
      <c r="H17341" s="1"/>
      <c r="I17341" s="1"/>
    </row>
    <row r="17342" spans="8:9" x14ac:dyDescent="0.2">
      <c r="H17342" s="1"/>
      <c r="I17342" s="1"/>
    </row>
    <row r="17343" spans="8:9" x14ac:dyDescent="0.2">
      <c r="H17343" s="1"/>
      <c r="I17343" s="1"/>
    </row>
    <row r="17344" spans="8:9" x14ac:dyDescent="0.2">
      <c r="H17344" s="1"/>
      <c r="I17344" s="1"/>
    </row>
    <row r="17345" spans="8:9" x14ac:dyDescent="0.2">
      <c r="H17345" s="1"/>
      <c r="I17345" s="1"/>
    </row>
    <row r="17346" spans="8:9" x14ac:dyDescent="0.2">
      <c r="H17346" s="1"/>
      <c r="I17346" s="1"/>
    </row>
    <row r="17347" spans="8:9" x14ac:dyDescent="0.2">
      <c r="H17347" s="1"/>
      <c r="I17347" s="1"/>
    </row>
    <row r="17348" spans="8:9" x14ac:dyDescent="0.2">
      <c r="H17348" s="1"/>
      <c r="I17348" s="1"/>
    </row>
    <row r="17349" spans="8:9" x14ac:dyDescent="0.2">
      <c r="H17349" s="1"/>
      <c r="I17349" s="1"/>
    </row>
    <row r="17350" spans="8:9" x14ac:dyDescent="0.2">
      <c r="H17350" s="1"/>
      <c r="I17350" s="1"/>
    </row>
    <row r="17351" spans="8:9" x14ac:dyDescent="0.2">
      <c r="H17351" s="1"/>
      <c r="I17351" s="1"/>
    </row>
    <row r="17352" spans="8:9" x14ac:dyDescent="0.2">
      <c r="H17352" s="1"/>
      <c r="I17352" s="1"/>
    </row>
    <row r="17353" spans="8:9" x14ac:dyDescent="0.2">
      <c r="H17353" s="1"/>
      <c r="I17353" s="1"/>
    </row>
    <row r="17354" spans="8:9" x14ac:dyDescent="0.2">
      <c r="H17354" s="1"/>
      <c r="I17354" s="1"/>
    </row>
    <row r="17355" spans="8:9" x14ac:dyDescent="0.2">
      <c r="H17355" s="1"/>
      <c r="I17355" s="1"/>
    </row>
    <row r="17356" spans="8:9" x14ac:dyDescent="0.2">
      <c r="H17356" s="1"/>
      <c r="I17356" s="1"/>
    </row>
    <row r="17357" spans="8:9" x14ac:dyDescent="0.2">
      <c r="H17357" s="1"/>
      <c r="I17357" s="1"/>
    </row>
    <row r="17358" spans="8:9" x14ac:dyDescent="0.2">
      <c r="H17358" s="1"/>
      <c r="I17358" s="1"/>
    </row>
    <row r="17359" spans="8:9" x14ac:dyDescent="0.2">
      <c r="H17359" s="1"/>
      <c r="I17359" s="1"/>
    </row>
    <row r="17360" spans="8:9" x14ac:dyDescent="0.2">
      <c r="H17360" s="1"/>
      <c r="I17360" s="1"/>
    </row>
    <row r="17361" spans="8:9" x14ac:dyDescent="0.2">
      <c r="H17361" s="1"/>
      <c r="I17361" s="1"/>
    </row>
    <row r="17362" spans="8:9" x14ac:dyDescent="0.2">
      <c r="H17362" s="1"/>
      <c r="I17362" s="1"/>
    </row>
    <row r="17363" spans="8:9" x14ac:dyDescent="0.2">
      <c r="H17363" s="1"/>
      <c r="I17363" s="1"/>
    </row>
    <row r="17364" spans="8:9" x14ac:dyDescent="0.2">
      <c r="H17364" s="1"/>
      <c r="I17364" s="1"/>
    </row>
    <row r="17365" spans="8:9" x14ac:dyDescent="0.2">
      <c r="H17365" s="1"/>
      <c r="I17365" s="1"/>
    </row>
    <row r="17366" spans="8:9" x14ac:dyDescent="0.2">
      <c r="H17366" s="1"/>
      <c r="I17366" s="1"/>
    </row>
    <row r="17367" spans="8:9" x14ac:dyDescent="0.2">
      <c r="H17367" s="1"/>
      <c r="I17367" s="1"/>
    </row>
    <row r="17368" spans="8:9" x14ac:dyDescent="0.2">
      <c r="H17368" s="1"/>
      <c r="I17368" s="1"/>
    </row>
    <row r="17369" spans="8:9" x14ac:dyDescent="0.2">
      <c r="H17369" s="1"/>
      <c r="I17369" s="1"/>
    </row>
    <row r="17370" spans="8:9" x14ac:dyDescent="0.2">
      <c r="H17370" s="1"/>
      <c r="I17370" s="1"/>
    </row>
    <row r="17371" spans="8:9" x14ac:dyDescent="0.2">
      <c r="H17371" s="1"/>
      <c r="I17371" s="1"/>
    </row>
    <row r="17372" spans="8:9" x14ac:dyDescent="0.2">
      <c r="H17372" s="1"/>
      <c r="I17372" s="1"/>
    </row>
    <row r="17373" spans="8:9" x14ac:dyDescent="0.2">
      <c r="H17373" s="1"/>
      <c r="I17373" s="1"/>
    </row>
    <row r="17374" spans="8:9" x14ac:dyDescent="0.2">
      <c r="H17374" s="1"/>
      <c r="I17374" s="1"/>
    </row>
    <row r="17375" spans="8:9" x14ac:dyDescent="0.2">
      <c r="H17375" s="1"/>
      <c r="I17375" s="1"/>
    </row>
    <row r="17376" spans="8:9" x14ac:dyDescent="0.2">
      <c r="H17376" s="1"/>
      <c r="I17376" s="1"/>
    </row>
    <row r="17377" spans="8:9" x14ac:dyDescent="0.2">
      <c r="H17377" s="1"/>
      <c r="I17377" s="1"/>
    </row>
    <row r="17378" spans="8:9" x14ac:dyDescent="0.2">
      <c r="H17378" s="1"/>
      <c r="I17378" s="1"/>
    </row>
    <row r="17379" spans="8:9" x14ac:dyDescent="0.2">
      <c r="H17379" s="1"/>
      <c r="I17379" s="1"/>
    </row>
    <row r="17380" spans="8:9" x14ac:dyDescent="0.2">
      <c r="H17380" s="1"/>
      <c r="I17380" s="1"/>
    </row>
    <row r="17381" spans="8:9" x14ac:dyDescent="0.2">
      <c r="H17381" s="1"/>
      <c r="I17381" s="1"/>
    </row>
    <row r="17382" spans="8:9" x14ac:dyDescent="0.2">
      <c r="H17382" s="1"/>
      <c r="I17382" s="1"/>
    </row>
    <row r="17383" spans="8:9" x14ac:dyDescent="0.2">
      <c r="H17383" s="1"/>
      <c r="I17383" s="1"/>
    </row>
    <row r="17384" spans="8:9" x14ac:dyDescent="0.2">
      <c r="H17384" s="1"/>
      <c r="I17384" s="1"/>
    </row>
    <row r="17385" spans="8:9" x14ac:dyDescent="0.2">
      <c r="H17385" s="1"/>
      <c r="I17385" s="1"/>
    </row>
    <row r="17386" spans="8:9" x14ac:dyDescent="0.2">
      <c r="H17386" s="1"/>
      <c r="I17386" s="1"/>
    </row>
    <row r="17387" spans="8:9" x14ac:dyDescent="0.2">
      <c r="H17387" s="1"/>
      <c r="I17387" s="1"/>
    </row>
    <row r="17388" spans="8:9" x14ac:dyDescent="0.2">
      <c r="H17388" s="1"/>
      <c r="I17388" s="1"/>
    </row>
    <row r="17389" spans="8:9" x14ac:dyDescent="0.2">
      <c r="H17389" s="1"/>
      <c r="I17389" s="1"/>
    </row>
    <row r="17390" spans="8:9" x14ac:dyDescent="0.2">
      <c r="H17390" s="1"/>
      <c r="I17390" s="1"/>
    </row>
    <row r="17391" spans="8:9" x14ac:dyDescent="0.2">
      <c r="H17391" s="1"/>
      <c r="I17391" s="1"/>
    </row>
    <row r="17392" spans="8:9" x14ac:dyDescent="0.2">
      <c r="H17392" s="1"/>
      <c r="I17392" s="1"/>
    </row>
    <row r="17393" spans="8:9" x14ac:dyDescent="0.2">
      <c r="H17393" s="1"/>
      <c r="I17393" s="1"/>
    </row>
    <row r="17394" spans="8:9" x14ac:dyDescent="0.2">
      <c r="H17394" s="1"/>
      <c r="I17394" s="1"/>
    </row>
    <row r="17395" spans="8:9" x14ac:dyDescent="0.2">
      <c r="H17395" s="1"/>
      <c r="I17395" s="1"/>
    </row>
    <row r="17396" spans="8:9" x14ac:dyDescent="0.2">
      <c r="H17396" s="1"/>
      <c r="I17396" s="1"/>
    </row>
    <row r="17397" spans="8:9" x14ac:dyDescent="0.2">
      <c r="H17397" s="1"/>
      <c r="I17397" s="1"/>
    </row>
    <row r="17398" spans="8:9" x14ac:dyDescent="0.2">
      <c r="H17398" s="1"/>
      <c r="I17398" s="1"/>
    </row>
    <row r="17399" spans="8:9" x14ac:dyDescent="0.2">
      <c r="H17399" s="1"/>
      <c r="I17399" s="1"/>
    </row>
    <row r="17400" spans="8:9" x14ac:dyDescent="0.2">
      <c r="H17400" s="1"/>
      <c r="I17400" s="1"/>
    </row>
    <row r="17401" spans="8:9" x14ac:dyDescent="0.2">
      <c r="H17401" s="1"/>
      <c r="I17401" s="1"/>
    </row>
    <row r="17402" spans="8:9" x14ac:dyDescent="0.2">
      <c r="H17402" s="1"/>
      <c r="I17402" s="1"/>
    </row>
    <row r="17403" spans="8:9" x14ac:dyDescent="0.2">
      <c r="H17403" s="1"/>
      <c r="I17403" s="1"/>
    </row>
    <row r="17404" spans="8:9" x14ac:dyDescent="0.2">
      <c r="H17404" s="1"/>
      <c r="I17404" s="1"/>
    </row>
    <row r="17405" spans="8:9" x14ac:dyDescent="0.2">
      <c r="H17405" s="1"/>
      <c r="I17405" s="1"/>
    </row>
    <row r="17406" spans="8:9" x14ac:dyDescent="0.2">
      <c r="H17406" s="1"/>
      <c r="I17406" s="1"/>
    </row>
    <row r="17407" spans="8:9" x14ac:dyDescent="0.2">
      <c r="H17407" s="1"/>
      <c r="I17407" s="1"/>
    </row>
    <row r="17408" spans="8:9" x14ac:dyDescent="0.2">
      <c r="H17408" s="1"/>
      <c r="I17408" s="1"/>
    </row>
    <row r="17409" spans="8:9" x14ac:dyDescent="0.2">
      <c r="H17409" s="1"/>
      <c r="I17409" s="1"/>
    </row>
    <row r="17410" spans="8:9" x14ac:dyDescent="0.2">
      <c r="H17410" s="1"/>
      <c r="I17410" s="1"/>
    </row>
    <row r="17411" spans="8:9" x14ac:dyDescent="0.2">
      <c r="H17411" s="1"/>
      <c r="I17411" s="1"/>
    </row>
    <row r="17412" spans="8:9" x14ac:dyDescent="0.2">
      <c r="H17412" s="1"/>
      <c r="I17412" s="1"/>
    </row>
    <row r="17413" spans="8:9" x14ac:dyDescent="0.2">
      <c r="H17413" s="1"/>
      <c r="I17413" s="1"/>
    </row>
    <row r="17414" spans="8:9" x14ac:dyDescent="0.2">
      <c r="H17414" s="1"/>
      <c r="I17414" s="1"/>
    </row>
    <row r="17415" spans="8:9" x14ac:dyDescent="0.2">
      <c r="H17415" s="1"/>
      <c r="I17415" s="1"/>
    </row>
    <row r="17416" spans="8:9" x14ac:dyDescent="0.2">
      <c r="H17416" s="1"/>
      <c r="I17416" s="1"/>
    </row>
    <row r="17417" spans="8:9" x14ac:dyDescent="0.2">
      <c r="H17417" s="1"/>
      <c r="I17417" s="1"/>
    </row>
    <row r="17418" spans="8:9" x14ac:dyDescent="0.2">
      <c r="H17418" s="1"/>
      <c r="I17418" s="1"/>
    </row>
    <row r="17419" spans="8:9" x14ac:dyDescent="0.2">
      <c r="H17419" s="1"/>
      <c r="I17419" s="1"/>
    </row>
    <row r="17420" spans="8:9" x14ac:dyDescent="0.2">
      <c r="H17420" s="1"/>
      <c r="I17420" s="1"/>
    </row>
    <row r="17421" spans="8:9" x14ac:dyDescent="0.2">
      <c r="H17421" s="1"/>
      <c r="I17421" s="1"/>
    </row>
    <row r="17422" spans="8:9" x14ac:dyDescent="0.2">
      <c r="H17422" s="1"/>
      <c r="I17422" s="1"/>
    </row>
    <row r="17423" spans="8:9" x14ac:dyDescent="0.2">
      <c r="H17423" s="1"/>
      <c r="I17423" s="1"/>
    </row>
    <row r="17424" spans="8:9" x14ac:dyDescent="0.2">
      <c r="H17424" s="1"/>
      <c r="I17424" s="1"/>
    </row>
    <row r="17425" spans="8:9" x14ac:dyDescent="0.2">
      <c r="H17425" s="1"/>
      <c r="I17425" s="1"/>
    </row>
    <row r="17426" spans="8:9" x14ac:dyDescent="0.2">
      <c r="H17426" s="1"/>
      <c r="I17426" s="1"/>
    </row>
    <row r="17427" spans="8:9" x14ac:dyDescent="0.2">
      <c r="H17427" s="1"/>
      <c r="I17427" s="1"/>
    </row>
    <row r="17428" spans="8:9" x14ac:dyDescent="0.2">
      <c r="H17428" s="1"/>
      <c r="I17428" s="1"/>
    </row>
    <row r="17429" spans="8:9" x14ac:dyDescent="0.2">
      <c r="H17429" s="1"/>
      <c r="I17429" s="1"/>
    </row>
    <row r="17430" spans="8:9" x14ac:dyDescent="0.2">
      <c r="H17430" s="1"/>
      <c r="I17430" s="1"/>
    </row>
    <row r="17431" spans="8:9" x14ac:dyDescent="0.2">
      <c r="H17431" s="1"/>
      <c r="I17431" s="1"/>
    </row>
    <row r="17432" spans="8:9" x14ac:dyDescent="0.2">
      <c r="H17432" s="1"/>
      <c r="I17432" s="1"/>
    </row>
    <row r="17433" spans="8:9" x14ac:dyDescent="0.2">
      <c r="H17433" s="1"/>
      <c r="I17433" s="1"/>
    </row>
    <row r="17434" spans="8:9" x14ac:dyDescent="0.2">
      <c r="H17434" s="1"/>
      <c r="I17434" s="1"/>
    </row>
    <row r="17435" spans="8:9" x14ac:dyDescent="0.2">
      <c r="H17435" s="1"/>
      <c r="I17435" s="1"/>
    </row>
    <row r="17436" spans="8:9" x14ac:dyDescent="0.2">
      <c r="H17436" s="1"/>
      <c r="I17436" s="1"/>
    </row>
    <row r="17437" spans="8:9" x14ac:dyDescent="0.2">
      <c r="H17437" s="1"/>
      <c r="I17437" s="1"/>
    </row>
    <row r="17438" spans="8:9" x14ac:dyDescent="0.2">
      <c r="H17438" s="1"/>
      <c r="I17438" s="1"/>
    </row>
    <row r="17439" spans="8:9" x14ac:dyDescent="0.2">
      <c r="H17439" s="1"/>
      <c r="I17439" s="1"/>
    </row>
    <row r="17440" spans="8:9" x14ac:dyDescent="0.2">
      <c r="H17440" s="1"/>
      <c r="I17440" s="1"/>
    </row>
    <row r="17441" spans="8:9" x14ac:dyDescent="0.2">
      <c r="H17441" s="1"/>
      <c r="I17441" s="1"/>
    </row>
    <row r="17442" spans="8:9" x14ac:dyDescent="0.2">
      <c r="H17442" s="1"/>
      <c r="I17442" s="1"/>
    </row>
    <row r="17443" spans="8:9" x14ac:dyDescent="0.2">
      <c r="H17443" s="1"/>
      <c r="I17443" s="1"/>
    </row>
    <row r="17444" spans="8:9" x14ac:dyDescent="0.2">
      <c r="H17444" s="1"/>
      <c r="I17444" s="1"/>
    </row>
    <row r="17445" spans="8:9" x14ac:dyDescent="0.2">
      <c r="H17445" s="1"/>
      <c r="I17445" s="1"/>
    </row>
    <row r="17446" spans="8:9" x14ac:dyDescent="0.2">
      <c r="H17446" s="1"/>
      <c r="I17446" s="1"/>
    </row>
    <row r="17447" spans="8:9" x14ac:dyDescent="0.2">
      <c r="H17447" s="1"/>
      <c r="I17447" s="1"/>
    </row>
    <row r="17448" spans="8:9" x14ac:dyDescent="0.2">
      <c r="H17448" s="1"/>
      <c r="I17448" s="1"/>
    </row>
    <row r="17449" spans="8:9" x14ac:dyDescent="0.2">
      <c r="H17449" s="1"/>
      <c r="I17449" s="1"/>
    </row>
    <row r="17450" spans="8:9" x14ac:dyDescent="0.2">
      <c r="H17450" s="1"/>
      <c r="I17450" s="1"/>
    </row>
    <row r="17451" spans="8:9" x14ac:dyDescent="0.2">
      <c r="H17451" s="1"/>
      <c r="I17451" s="1"/>
    </row>
    <row r="17452" spans="8:9" x14ac:dyDescent="0.2">
      <c r="H17452" s="1"/>
      <c r="I17452" s="1"/>
    </row>
    <row r="17453" spans="8:9" x14ac:dyDescent="0.2">
      <c r="H17453" s="1"/>
      <c r="I17453" s="1"/>
    </row>
    <row r="17454" spans="8:9" x14ac:dyDescent="0.2">
      <c r="H17454" s="1"/>
      <c r="I17454" s="1"/>
    </row>
    <row r="17455" spans="8:9" x14ac:dyDescent="0.2">
      <c r="H17455" s="1"/>
      <c r="I17455" s="1"/>
    </row>
    <row r="17456" spans="8:9" x14ac:dyDescent="0.2">
      <c r="H17456" s="1"/>
      <c r="I17456" s="1"/>
    </row>
    <row r="17457" spans="8:9" x14ac:dyDescent="0.2">
      <c r="H17457" s="1"/>
      <c r="I17457" s="1"/>
    </row>
    <row r="17458" spans="8:9" x14ac:dyDescent="0.2">
      <c r="H17458" s="1"/>
      <c r="I17458" s="1"/>
    </row>
    <row r="17459" spans="8:9" x14ac:dyDescent="0.2">
      <c r="H17459" s="1"/>
      <c r="I17459" s="1"/>
    </row>
    <row r="17460" spans="8:9" x14ac:dyDescent="0.2">
      <c r="H17460" s="1"/>
      <c r="I17460" s="1"/>
    </row>
    <row r="17461" spans="8:9" x14ac:dyDescent="0.2">
      <c r="H17461" s="1"/>
      <c r="I17461" s="1"/>
    </row>
    <row r="17462" spans="8:9" x14ac:dyDescent="0.2">
      <c r="H17462" s="1"/>
      <c r="I17462" s="1"/>
    </row>
    <row r="17463" spans="8:9" x14ac:dyDescent="0.2">
      <c r="H17463" s="1"/>
      <c r="I17463" s="1"/>
    </row>
    <row r="17464" spans="8:9" x14ac:dyDescent="0.2">
      <c r="H17464" s="1"/>
      <c r="I17464" s="1"/>
    </row>
    <row r="17465" spans="8:9" x14ac:dyDescent="0.2">
      <c r="H17465" s="1"/>
      <c r="I17465" s="1"/>
    </row>
    <row r="17466" spans="8:9" x14ac:dyDescent="0.2">
      <c r="H17466" s="1"/>
      <c r="I17466" s="1"/>
    </row>
    <row r="17467" spans="8:9" x14ac:dyDescent="0.2">
      <c r="H17467" s="1"/>
      <c r="I17467" s="1"/>
    </row>
    <row r="17468" spans="8:9" x14ac:dyDescent="0.2">
      <c r="H17468" s="1"/>
      <c r="I17468" s="1"/>
    </row>
    <row r="17469" spans="8:9" x14ac:dyDescent="0.2">
      <c r="H17469" s="1"/>
      <c r="I17469" s="1"/>
    </row>
    <row r="17470" spans="8:9" x14ac:dyDescent="0.2">
      <c r="H17470" s="1"/>
      <c r="I17470" s="1"/>
    </row>
    <row r="17471" spans="8:9" x14ac:dyDescent="0.2">
      <c r="H17471" s="1"/>
      <c r="I17471" s="1"/>
    </row>
    <row r="17472" spans="8:9" x14ac:dyDescent="0.2">
      <c r="H17472" s="1"/>
      <c r="I17472" s="1"/>
    </row>
    <row r="17473" spans="8:9" x14ac:dyDescent="0.2">
      <c r="H17473" s="1"/>
      <c r="I17473" s="1"/>
    </row>
    <row r="17474" spans="8:9" x14ac:dyDescent="0.2">
      <c r="H17474" s="1"/>
      <c r="I17474" s="1"/>
    </row>
    <row r="17475" spans="8:9" x14ac:dyDescent="0.2">
      <c r="H17475" s="1"/>
      <c r="I17475" s="1"/>
    </row>
    <row r="17476" spans="8:9" x14ac:dyDescent="0.2">
      <c r="H17476" s="1"/>
      <c r="I17476" s="1"/>
    </row>
    <row r="17477" spans="8:9" x14ac:dyDescent="0.2">
      <c r="H17477" s="1"/>
      <c r="I17477" s="1"/>
    </row>
    <row r="17478" spans="8:9" x14ac:dyDescent="0.2">
      <c r="H17478" s="1"/>
      <c r="I17478" s="1"/>
    </row>
    <row r="17479" spans="8:9" x14ac:dyDescent="0.2">
      <c r="H17479" s="1"/>
      <c r="I17479" s="1"/>
    </row>
    <row r="17480" spans="8:9" x14ac:dyDescent="0.2">
      <c r="H17480" s="1"/>
      <c r="I17480" s="1"/>
    </row>
    <row r="17481" spans="8:9" x14ac:dyDescent="0.2">
      <c r="H17481" s="1"/>
      <c r="I17481" s="1"/>
    </row>
    <row r="17482" spans="8:9" x14ac:dyDescent="0.2">
      <c r="H17482" s="1"/>
      <c r="I17482" s="1"/>
    </row>
    <row r="17483" spans="8:9" x14ac:dyDescent="0.2">
      <c r="H17483" s="1"/>
      <c r="I17483" s="1"/>
    </row>
    <row r="17484" spans="8:9" x14ac:dyDescent="0.2">
      <c r="H17484" s="1"/>
      <c r="I17484" s="1"/>
    </row>
    <row r="17485" spans="8:9" x14ac:dyDescent="0.2">
      <c r="H17485" s="1"/>
      <c r="I17485" s="1"/>
    </row>
    <row r="17486" spans="8:9" x14ac:dyDescent="0.2">
      <c r="H17486" s="1"/>
      <c r="I17486" s="1"/>
    </row>
    <row r="17487" spans="8:9" x14ac:dyDescent="0.2">
      <c r="H17487" s="1"/>
      <c r="I17487" s="1"/>
    </row>
    <row r="17488" spans="8:9" x14ac:dyDescent="0.2">
      <c r="H17488" s="1"/>
      <c r="I17488" s="1"/>
    </row>
    <row r="17489" spans="8:9" x14ac:dyDescent="0.2">
      <c r="H17489" s="1"/>
      <c r="I17489" s="1"/>
    </row>
    <row r="17490" spans="8:9" x14ac:dyDescent="0.2">
      <c r="H17490" s="1"/>
      <c r="I17490" s="1"/>
    </row>
    <row r="17491" spans="8:9" x14ac:dyDescent="0.2">
      <c r="H17491" s="1"/>
      <c r="I17491" s="1"/>
    </row>
    <row r="17492" spans="8:9" x14ac:dyDescent="0.2">
      <c r="H17492" s="1"/>
      <c r="I17492" s="1"/>
    </row>
    <row r="17493" spans="8:9" x14ac:dyDescent="0.2">
      <c r="H17493" s="1"/>
      <c r="I17493" s="1"/>
    </row>
    <row r="17494" spans="8:9" x14ac:dyDescent="0.2">
      <c r="H17494" s="1"/>
      <c r="I17494" s="1"/>
    </row>
    <row r="17495" spans="8:9" x14ac:dyDescent="0.2">
      <c r="H17495" s="1"/>
      <c r="I17495" s="1"/>
    </row>
    <row r="17496" spans="8:9" x14ac:dyDescent="0.2">
      <c r="H17496" s="1"/>
      <c r="I17496" s="1"/>
    </row>
    <row r="17497" spans="8:9" x14ac:dyDescent="0.2">
      <c r="H17497" s="1"/>
      <c r="I17497" s="1"/>
    </row>
    <row r="17498" spans="8:9" x14ac:dyDescent="0.2">
      <c r="H17498" s="1"/>
      <c r="I17498" s="1"/>
    </row>
    <row r="17499" spans="8:9" x14ac:dyDescent="0.2">
      <c r="H17499" s="1"/>
      <c r="I17499" s="1"/>
    </row>
    <row r="17500" spans="8:9" x14ac:dyDescent="0.2">
      <c r="H17500" s="1"/>
      <c r="I17500" s="1"/>
    </row>
    <row r="17501" spans="8:9" x14ac:dyDescent="0.2">
      <c r="H17501" s="1"/>
      <c r="I17501" s="1"/>
    </row>
    <row r="17502" spans="8:9" x14ac:dyDescent="0.2">
      <c r="H17502" s="1"/>
      <c r="I17502" s="1"/>
    </row>
    <row r="17503" spans="8:9" x14ac:dyDescent="0.2">
      <c r="H17503" s="1"/>
      <c r="I17503" s="1"/>
    </row>
    <row r="17504" spans="8:9" x14ac:dyDescent="0.2">
      <c r="H17504" s="1"/>
      <c r="I17504" s="1"/>
    </row>
    <row r="17505" spans="8:9" x14ac:dyDescent="0.2">
      <c r="H17505" s="1"/>
      <c r="I17505" s="1"/>
    </row>
    <row r="17506" spans="8:9" x14ac:dyDescent="0.2">
      <c r="H17506" s="1"/>
      <c r="I17506" s="1"/>
    </row>
    <row r="17507" spans="8:9" x14ac:dyDescent="0.2">
      <c r="H17507" s="1"/>
      <c r="I17507" s="1"/>
    </row>
    <row r="17508" spans="8:9" x14ac:dyDescent="0.2">
      <c r="H17508" s="1"/>
      <c r="I17508" s="1"/>
    </row>
    <row r="17509" spans="8:9" x14ac:dyDescent="0.2">
      <c r="H17509" s="1"/>
      <c r="I17509" s="1"/>
    </row>
    <row r="17510" spans="8:9" x14ac:dyDescent="0.2">
      <c r="H17510" s="1"/>
      <c r="I17510" s="1"/>
    </row>
    <row r="17511" spans="8:9" x14ac:dyDescent="0.2">
      <c r="H17511" s="1"/>
      <c r="I17511" s="1"/>
    </row>
    <row r="17512" spans="8:9" x14ac:dyDescent="0.2">
      <c r="H17512" s="1"/>
      <c r="I17512" s="1"/>
    </row>
    <row r="17513" spans="8:9" x14ac:dyDescent="0.2">
      <c r="H17513" s="1"/>
      <c r="I17513" s="1"/>
    </row>
    <row r="17514" spans="8:9" x14ac:dyDescent="0.2">
      <c r="H17514" s="1"/>
      <c r="I17514" s="1"/>
    </row>
    <row r="17515" spans="8:9" x14ac:dyDescent="0.2">
      <c r="H17515" s="1"/>
      <c r="I17515" s="1"/>
    </row>
    <row r="17516" spans="8:9" x14ac:dyDescent="0.2">
      <c r="H17516" s="1"/>
      <c r="I17516" s="1"/>
    </row>
    <row r="17517" spans="8:9" x14ac:dyDescent="0.2">
      <c r="H17517" s="1"/>
      <c r="I17517" s="1"/>
    </row>
    <row r="17518" spans="8:9" x14ac:dyDescent="0.2">
      <c r="H17518" s="1"/>
      <c r="I17518" s="1"/>
    </row>
    <row r="17519" spans="8:9" x14ac:dyDescent="0.2">
      <c r="H17519" s="1"/>
      <c r="I17519" s="1"/>
    </row>
    <row r="17520" spans="8:9" x14ac:dyDescent="0.2">
      <c r="H17520" s="1"/>
      <c r="I17520" s="1"/>
    </row>
    <row r="17521" spans="8:9" x14ac:dyDescent="0.2">
      <c r="H17521" s="1"/>
      <c r="I17521" s="1"/>
    </row>
    <row r="17522" spans="8:9" x14ac:dyDescent="0.2">
      <c r="H17522" s="1"/>
      <c r="I17522" s="1"/>
    </row>
    <row r="17523" spans="8:9" x14ac:dyDescent="0.2">
      <c r="H17523" s="1"/>
      <c r="I17523" s="1"/>
    </row>
    <row r="17524" spans="8:9" x14ac:dyDescent="0.2">
      <c r="H17524" s="1"/>
      <c r="I17524" s="1"/>
    </row>
    <row r="17525" spans="8:9" x14ac:dyDescent="0.2">
      <c r="H17525" s="1"/>
      <c r="I17525" s="1"/>
    </row>
    <row r="17526" spans="8:9" x14ac:dyDescent="0.2">
      <c r="H17526" s="1"/>
      <c r="I17526" s="1"/>
    </row>
    <row r="17527" spans="8:9" x14ac:dyDescent="0.2">
      <c r="H17527" s="1"/>
      <c r="I17527" s="1"/>
    </row>
    <row r="17528" spans="8:9" x14ac:dyDescent="0.2">
      <c r="H17528" s="1"/>
      <c r="I17528" s="1"/>
    </row>
    <row r="17529" spans="8:9" x14ac:dyDescent="0.2">
      <c r="H17529" s="1"/>
      <c r="I17529" s="1"/>
    </row>
    <row r="17530" spans="8:9" x14ac:dyDescent="0.2">
      <c r="H17530" s="1"/>
      <c r="I17530" s="1"/>
    </row>
    <row r="17531" spans="8:9" x14ac:dyDescent="0.2">
      <c r="H17531" s="1"/>
      <c r="I17531" s="1"/>
    </row>
    <row r="17532" spans="8:9" x14ac:dyDescent="0.2">
      <c r="H17532" s="1"/>
      <c r="I17532" s="1"/>
    </row>
    <row r="17533" spans="8:9" x14ac:dyDescent="0.2">
      <c r="H17533" s="1"/>
      <c r="I17533" s="1"/>
    </row>
    <row r="17534" spans="8:9" x14ac:dyDescent="0.2">
      <c r="H17534" s="1"/>
      <c r="I17534" s="1"/>
    </row>
    <row r="17535" spans="8:9" x14ac:dyDescent="0.2">
      <c r="H17535" s="1"/>
      <c r="I17535" s="1"/>
    </row>
    <row r="17536" spans="8:9" x14ac:dyDescent="0.2">
      <c r="H17536" s="1"/>
      <c r="I17536" s="1"/>
    </row>
    <row r="17537" spans="8:9" x14ac:dyDescent="0.2">
      <c r="H17537" s="1"/>
      <c r="I17537" s="1"/>
    </row>
    <row r="17538" spans="8:9" x14ac:dyDescent="0.2">
      <c r="H17538" s="1"/>
      <c r="I17538" s="1"/>
    </row>
    <row r="17539" spans="8:9" x14ac:dyDescent="0.2">
      <c r="H17539" s="1"/>
      <c r="I17539" s="1"/>
    </row>
    <row r="17540" spans="8:9" x14ac:dyDescent="0.2">
      <c r="H17540" s="1"/>
      <c r="I17540" s="1"/>
    </row>
    <row r="17541" spans="8:9" x14ac:dyDescent="0.2">
      <c r="H17541" s="1"/>
      <c r="I17541" s="1"/>
    </row>
    <row r="17542" spans="8:9" x14ac:dyDescent="0.2">
      <c r="H17542" s="1"/>
      <c r="I17542" s="1"/>
    </row>
    <row r="17543" spans="8:9" x14ac:dyDescent="0.2">
      <c r="H17543" s="1"/>
      <c r="I17543" s="1"/>
    </row>
    <row r="17544" spans="8:9" x14ac:dyDescent="0.2">
      <c r="H17544" s="1"/>
      <c r="I17544" s="1"/>
    </row>
    <row r="17545" spans="8:9" x14ac:dyDescent="0.2">
      <c r="H17545" s="1"/>
      <c r="I17545" s="1"/>
    </row>
    <row r="17546" spans="8:9" x14ac:dyDescent="0.2">
      <c r="H17546" s="1"/>
      <c r="I17546" s="1"/>
    </row>
    <row r="17547" spans="8:9" x14ac:dyDescent="0.2">
      <c r="H17547" s="1"/>
      <c r="I17547" s="1"/>
    </row>
    <row r="17548" spans="8:9" x14ac:dyDescent="0.2">
      <c r="H17548" s="1"/>
      <c r="I17548" s="1"/>
    </row>
    <row r="17549" spans="8:9" x14ac:dyDescent="0.2">
      <c r="H17549" s="1"/>
      <c r="I17549" s="1"/>
    </row>
    <row r="17550" spans="8:9" x14ac:dyDescent="0.2">
      <c r="H17550" s="1"/>
      <c r="I17550" s="1"/>
    </row>
    <row r="17551" spans="8:9" x14ac:dyDescent="0.2">
      <c r="H17551" s="1"/>
      <c r="I17551" s="1"/>
    </row>
    <row r="17552" spans="8:9" x14ac:dyDescent="0.2">
      <c r="H17552" s="1"/>
      <c r="I17552" s="1"/>
    </row>
    <row r="17553" spans="8:9" x14ac:dyDescent="0.2">
      <c r="H17553" s="1"/>
      <c r="I17553" s="1"/>
    </row>
    <row r="17554" spans="8:9" x14ac:dyDescent="0.2">
      <c r="H17554" s="1"/>
      <c r="I17554" s="1"/>
    </row>
    <row r="17555" spans="8:9" x14ac:dyDescent="0.2">
      <c r="H17555" s="1"/>
      <c r="I17555" s="1"/>
    </row>
    <row r="17556" spans="8:9" x14ac:dyDescent="0.2">
      <c r="H17556" s="1"/>
      <c r="I17556" s="1"/>
    </row>
    <row r="17557" spans="8:9" x14ac:dyDescent="0.2">
      <c r="H17557" s="1"/>
      <c r="I17557" s="1"/>
    </row>
    <row r="17558" spans="8:9" x14ac:dyDescent="0.2">
      <c r="H17558" s="1"/>
      <c r="I17558" s="1"/>
    </row>
    <row r="17559" spans="8:9" x14ac:dyDescent="0.2">
      <c r="H17559" s="1"/>
      <c r="I17559" s="1"/>
    </row>
    <row r="17560" spans="8:9" x14ac:dyDescent="0.2">
      <c r="H17560" s="1"/>
      <c r="I17560" s="1"/>
    </row>
    <row r="17561" spans="8:9" x14ac:dyDescent="0.2">
      <c r="H17561" s="1"/>
      <c r="I17561" s="1"/>
    </row>
    <row r="17562" spans="8:9" x14ac:dyDescent="0.2">
      <c r="H17562" s="1"/>
      <c r="I17562" s="1"/>
    </row>
    <row r="17563" spans="8:9" x14ac:dyDescent="0.2">
      <c r="H17563" s="1"/>
      <c r="I17563" s="1"/>
    </row>
    <row r="17564" spans="8:9" x14ac:dyDescent="0.2">
      <c r="H17564" s="1"/>
      <c r="I17564" s="1"/>
    </row>
    <row r="17565" spans="8:9" x14ac:dyDescent="0.2">
      <c r="H17565" s="1"/>
      <c r="I17565" s="1"/>
    </row>
    <row r="17566" spans="8:9" x14ac:dyDescent="0.2">
      <c r="H17566" s="1"/>
      <c r="I17566" s="1"/>
    </row>
    <row r="17567" spans="8:9" x14ac:dyDescent="0.2">
      <c r="H17567" s="1"/>
      <c r="I17567" s="1"/>
    </row>
    <row r="17568" spans="8:9" x14ac:dyDescent="0.2">
      <c r="H17568" s="1"/>
      <c r="I17568" s="1"/>
    </row>
    <row r="17569" spans="8:9" x14ac:dyDescent="0.2">
      <c r="H17569" s="1"/>
      <c r="I17569" s="1"/>
    </row>
    <row r="17570" spans="8:9" x14ac:dyDescent="0.2">
      <c r="H17570" s="1"/>
      <c r="I17570" s="1"/>
    </row>
    <row r="17571" spans="8:9" x14ac:dyDescent="0.2">
      <c r="H17571" s="1"/>
      <c r="I17571" s="1"/>
    </row>
    <row r="17572" spans="8:9" x14ac:dyDescent="0.2">
      <c r="H17572" s="1"/>
      <c r="I17572" s="1"/>
    </row>
    <row r="17573" spans="8:9" x14ac:dyDescent="0.2">
      <c r="H17573" s="1"/>
      <c r="I17573" s="1"/>
    </row>
    <row r="17574" spans="8:9" x14ac:dyDescent="0.2">
      <c r="H17574" s="1"/>
      <c r="I17574" s="1"/>
    </row>
    <row r="17575" spans="8:9" x14ac:dyDescent="0.2">
      <c r="H17575" s="1"/>
      <c r="I17575" s="1"/>
    </row>
    <row r="17576" spans="8:9" x14ac:dyDescent="0.2">
      <c r="H17576" s="1"/>
      <c r="I17576" s="1"/>
    </row>
    <row r="17577" spans="8:9" x14ac:dyDescent="0.2">
      <c r="H17577" s="1"/>
      <c r="I17577" s="1"/>
    </row>
    <row r="17578" spans="8:9" x14ac:dyDescent="0.2">
      <c r="H17578" s="1"/>
      <c r="I17578" s="1"/>
    </row>
    <row r="17579" spans="8:9" x14ac:dyDescent="0.2">
      <c r="H17579" s="1"/>
      <c r="I17579" s="1"/>
    </row>
    <row r="17580" spans="8:9" x14ac:dyDescent="0.2">
      <c r="H17580" s="1"/>
      <c r="I17580" s="1"/>
    </row>
    <row r="17581" spans="8:9" x14ac:dyDescent="0.2">
      <c r="H17581" s="1"/>
      <c r="I17581" s="1"/>
    </row>
    <row r="17582" spans="8:9" x14ac:dyDescent="0.2">
      <c r="H17582" s="1"/>
      <c r="I17582" s="1"/>
    </row>
    <row r="17583" spans="8:9" x14ac:dyDescent="0.2">
      <c r="H17583" s="1"/>
      <c r="I17583" s="1"/>
    </row>
    <row r="17584" spans="8:9" x14ac:dyDescent="0.2">
      <c r="H17584" s="1"/>
      <c r="I17584" s="1"/>
    </row>
    <row r="17585" spans="8:9" x14ac:dyDescent="0.2">
      <c r="H17585" s="1"/>
      <c r="I17585" s="1"/>
    </row>
    <row r="17586" spans="8:9" x14ac:dyDescent="0.2">
      <c r="H17586" s="1"/>
      <c r="I17586" s="1"/>
    </row>
    <row r="17587" spans="8:9" x14ac:dyDescent="0.2">
      <c r="H17587" s="1"/>
      <c r="I17587" s="1"/>
    </row>
    <row r="17588" spans="8:9" x14ac:dyDescent="0.2">
      <c r="H17588" s="1"/>
      <c r="I17588" s="1"/>
    </row>
    <row r="17589" spans="8:9" x14ac:dyDescent="0.2">
      <c r="H17589" s="1"/>
      <c r="I17589" s="1"/>
    </row>
    <row r="17590" spans="8:9" x14ac:dyDescent="0.2">
      <c r="H17590" s="1"/>
      <c r="I17590" s="1"/>
    </row>
    <row r="17591" spans="8:9" x14ac:dyDescent="0.2">
      <c r="H17591" s="1"/>
      <c r="I17591" s="1"/>
    </row>
    <row r="17592" spans="8:9" x14ac:dyDescent="0.2">
      <c r="H17592" s="1"/>
      <c r="I17592" s="1"/>
    </row>
    <row r="17593" spans="8:9" x14ac:dyDescent="0.2">
      <c r="H17593" s="1"/>
      <c r="I17593" s="1"/>
    </row>
    <row r="17594" spans="8:9" x14ac:dyDescent="0.2">
      <c r="H17594" s="1"/>
      <c r="I17594" s="1"/>
    </row>
    <row r="17595" spans="8:9" x14ac:dyDescent="0.2">
      <c r="H17595" s="1"/>
      <c r="I17595" s="1"/>
    </row>
    <row r="17596" spans="8:9" x14ac:dyDescent="0.2">
      <c r="H17596" s="1"/>
      <c r="I17596" s="1"/>
    </row>
    <row r="17597" spans="8:9" x14ac:dyDescent="0.2">
      <c r="H17597" s="1"/>
      <c r="I17597" s="1"/>
    </row>
    <row r="17598" spans="8:9" x14ac:dyDescent="0.2">
      <c r="H17598" s="1"/>
      <c r="I17598" s="1"/>
    </row>
    <row r="17599" spans="8:9" x14ac:dyDescent="0.2">
      <c r="H17599" s="1"/>
      <c r="I17599" s="1"/>
    </row>
    <row r="17600" spans="8:9" x14ac:dyDescent="0.2">
      <c r="H17600" s="1"/>
      <c r="I17600" s="1"/>
    </row>
    <row r="17601" spans="8:9" x14ac:dyDescent="0.2">
      <c r="H17601" s="1"/>
      <c r="I17601" s="1"/>
    </row>
    <row r="17602" spans="8:9" x14ac:dyDescent="0.2">
      <c r="H17602" s="1"/>
      <c r="I17602" s="1"/>
    </row>
    <row r="17603" spans="8:9" x14ac:dyDescent="0.2">
      <c r="H17603" s="1"/>
      <c r="I17603" s="1"/>
    </row>
    <row r="17604" spans="8:9" x14ac:dyDescent="0.2">
      <c r="H17604" s="1"/>
      <c r="I17604" s="1"/>
    </row>
    <row r="17605" spans="8:9" x14ac:dyDescent="0.2">
      <c r="H17605" s="1"/>
      <c r="I17605" s="1"/>
    </row>
    <row r="17606" spans="8:9" x14ac:dyDescent="0.2">
      <c r="H17606" s="1"/>
      <c r="I17606" s="1"/>
    </row>
    <row r="17607" spans="8:9" x14ac:dyDescent="0.2">
      <c r="H17607" s="1"/>
      <c r="I17607" s="1"/>
    </row>
    <row r="17608" spans="8:9" x14ac:dyDescent="0.2">
      <c r="H17608" s="1"/>
      <c r="I17608" s="1"/>
    </row>
    <row r="17609" spans="8:9" x14ac:dyDescent="0.2">
      <c r="H17609" s="1"/>
      <c r="I17609" s="1"/>
    </row>
    <row r="17610" spans="8:9" x14ac:dyDescent="0.2">
      <c r="H17610" s="1"/>
      <c r="I17610" s="1"/>
    </row>
    <row r="17611" spans="8:9" x14ac:dyDescent="0.2">
      <c r="H17611" s="1"/>
      <c r="I17611" s="1"/>
    </row>
    <row r="17612" spans="8:9" x14ac:dyDescent="0.2">
      <c r="H17612" s="1"/>
      <c r="I17612" s="1"/>
    </row>
    <row r="17613" spans="8:9" x14ac:dyDescent="0.2">
      <c r="H17613" s="1"/>
      <c r="I17613" s="1"/>
    </row>
    <row r="17614" spans="8:9" x14ac:dyDescent="0.2">
      <c r="H17614" s="1"/>
      <c r="I17614" s="1"/>
    </row>
    <row r="17615" spans="8:9" x14ac:dyDescent="0.2">
      <c r="H17615" s="1"/>
      <c r="I17615" s="1"/>
    </row>
    <row r="17616" spans="8:9" x14ac:dyDescent="0.2">
      <c r="H17616" s="1"/>
      <c r="I17616" s="1"/>
    </row>
    <row r="17617" spans="8:9" x14ac:dyDescent="0.2">
      <c r="H17617" s="1"/>
      <c r="I17617" s="1"/>
    </row>
    <row r="17618" spans="8:9" x14ac:dyDescent="0.2">
      <c r="H17618" s="1"/>
      <c r="I17618" s="1"/>
    </row>
    <row r="17619" spans="8:9" x14ac:dyDescent="0.2">
      <c r="H17619" s="1"/>
      <c r="I17619" s="1"/>
    </row>
    <row r="17620" spans="8:9" x14ac:dyDescent="0.2">
      <c r="H17620" s="1"/>
      <c r="I17620" s="1"/>
    </row>
    <row r="17621" spans="8:9" x14ac:dyDescent="0.2">
      <c r="H17621" s="1"/>
      <c r="I17621" s="1"/>
    </row>
    <row r="17622" spans="8:9" x14ac:dyDescent="0.2">
      <c r="H17622" s="1"/>
      <c r="I17622" s="1"/>
    </row>
    <row r="17623" spans="8:9" x14ac:dyDescent="0.2">
      <c r="H17623" s="1"/>
      <c r="I17623" s="1"/>
    </row>
    <row r="17624" spans="8:9" x14ac:dyDescent="0.2">
      <c r="H17624" s="1"/>
      <c r="I17624" s="1"/>
    </row>
    <row r="17625" spans="8:9" x14ac:dyDescent="0.2">
      <c r="H17625" s="1"/>
      <c r="I17625" s="1"/>
    </row>
    <row r="17626" spans="8:9" x14ac:dyDescent="0.2">
      <c r="H17626" s="1"/>
      <c r="I17626" s="1"/>
    </row>
    <row r="17627" spans="8:9" x14ac:dyDescent="0.2">
      <c r="H17627" s="1"/>
      <c r="I17627" s="1"/>
    </row>
    <row r="17628" spans="8:9" x14ac:dyDescent="0.2">
      <c r="H17628" s="1"/>
      <c r="I17628" s="1"/>
    </row>
    <row r="17629" spans="8:9" x14ac:dyDescent="0.2">
      <c r="H17629" s="1"/>
      <c r="I17629" s="1"/>
    </row>
    <row r="17630" spans="8:9" x14ac:dyDescent="0.2">
      <c r="H17630" s="1"/>
      <c r="I17630" s="1"/>
    </row>
    <row r="17631" spans="8:9" x14ac:dyDescent="0.2">
      <c r="H17631" s="1"/>
      <c r="I17631" s="1"/>
    </row>
    <row r="17632" spans="8:9" x14ac:dyDescent="0.2">
      <c r="H17632" s="1"/>
      <c r="I17632" s="1"/>
    </row>
    <row r="17633" spans="8:9" x14ac:dyDescent="0.2">
      <c r="H17633" s="1"/>
      <c r="I17633" s="1"/>
    </row>
    <row r="17634" spans="8:9" x14ac:dyDescent="0.2">
      <c r="H17634" s="1"/>
      <c r="I17634" s="1"/>
    </row>
    <row r="17635" spans="8:9" x14ac:dyDescent="0.2">
      <c r="H17635" s="1"/>
      <c r="I17635" s="1"/>
    </row>
    <row r="17636" spans="8:9" x14ac:dyDescent="0.2">
      <c r="H17636" s="1"/>
      <c r="I17636" s="1"/>
    </row>
    <row r="17637" spans="8:9" x14ac:dyDescent="0.2">
      <c r="H17637" s="1"/>
      <c r="I17637" s="1"/>
    </row>
    <row r="17638" spans="8:9" x14ac:dyDescent="0.2">
      <c r="H17638" s="1"/>
      <c r="I17638" s="1"/>
    </row>
    <row r="17639" spans="8:9" x14ac:dyDescent="0.2">
      <c r="H17639" s="1"/>
      <c r="I17639" s="1"/>
    </row>
    <row r="17640" spans="8:9" x14ac:dyDescent="0.2">
      <c r="H17640" s="1"/>
      <c r="I17640" s="1"/>
    </row>
    <row r="17641" spans="8:9" x14ac:dyDescent="0.2">
      <c r="H17641" s="1"/>
      <c r="I17641" s="1"/>
    </row>
    <row r="17642" spans="8:9" x14ac:dyDescent="0.2">
      <c r="H17642" s="1"/>
      <c r="I17642" s="1"/>
    </row>
    <row r="17643" spans="8:9" x14ac:dyDescent="0.2">
      <c r="H17643" s="1"/>
      <c r="I17643" s="1"/>
    </row>
    <row r="17644" spans="8:9" x14ac:dyDescent="0.2">
      <c r="H17644" s="1"/>
      <c r="I17644" s="1"/>
    </row>
    <row r="17645" spans="8:9" x14ac:dyDescent="0.2">
      <c r="H17645" s="1"/>
      <c r="I17645" s="1"/>
    </row>
    <row r="17646" spans="8:9" x14ac:dyDescent="0.2">
      <c r="H17646" s="1"/>
      <c r="I17646" s="1"/>
    </row>
    <row r="17647" spans="8:9" x14ac:dyDescent="0.2">
      <c r="H17647" s="1"/>
      <c r="I17647" s="1"/>
    </row>
    <row r="17648" spans="8:9" x14ac:dyDescent="0.2">
      <c r="H17648" s="1"/>
      <c r="I17648" s="1"/>
    </row>
    <row r="17649" spans="8:9" x14ac:dyDescent="0.2">
      <c r="H17649" s="1"/>
      <c r="I17649" s="1"/>
    </row>
    <row r="17650" spans="8:9" x14ac:dyDescent="0.2">
      <c r="H17650" s="1"/>
      <c r="I17650" s="1"/>
    </row>
    <row r="17651" spans="8:9" x14ac:dyDescent="0.2">
      <c r="H17651" s="1"/>
      <c r="I17651" s="1"/>
    </row>
    <row r="17652" spans="8:9" x14ac:dyDescent="0.2">
      <c r="H17652" s="1"/>
      <c r="I17652" s="1"/>
    </row>
    <row r="17653" spans="8:9" x14ac:dyDescent="0.2">
      <c r="H17653" s="1"/>
      <c r="I17653" s="1"/>
    </row>
    <row r="17654" spans="8:9" x14ac:dyDescent="0.2">
      <c r="H17654" s="1"/>
      <c r="I17654" s="1"/>
    </row>
    <row r="17655" spans="8:9" x14ac:dyDescent="0.2">
      <c r="H17655" s="1"/>
      <c r="I17655" s="1"/>
    </row>
    <row r="17656" spans="8:9" x14ac:dyDescent="0.2">
      <c r="H17656" s="1"/>
      <c r="I17656" s="1"/>
    </row>
    <row r="17657" spans="8:9" x14ac:dyDescent="0.2">
      <c r="H17657" s="1"/>
      <c r="I17657" s="1"/>
    </row>
    <row r="17658" spans="8:9" x14ac:dyDescent="0.2">
      <c r="H17658" s="1"/>
      <c r="I17658" s="1"/>
    </row>
    <row r="17659" spans="8:9" x14ac:dyDescent="0.2">
      <c r="H17659" s="1"/>
      <c r="I17659" s="1"/>
    </row>
    <row r="17660" spans="8:9" x14ac:dyDescent="0.2">
      <c r="H17660" s="1"/>
      <c r="I17660" s="1"/>
    </row>
    <row r="17661" spans="8:9" x14ac:dyDescent="0.2">
      <c r="H17661" s="1"/>
      <c r="I17661" s="1"/>
    </row>
    <row r="17662" spans="8:9" x14ac:dyDescent="0.2">
      <c r="H17662" s="1"/>
      <c r="I17662" s="1"/>
    </row>
    <row r="17663" spans="8:9" x14ac:dyDescent="0.2">
      <c r="H17663" s="1"/>
      <c r="I17663" s="1"/>
    </row>
    <row r="17664" spans="8:9" x14ac:dyDescent="0.2">
      <c r="H17664" s="1"/>
      <c r="I17664" s="1"/>
    </row>
    <row r="17665" spans="8:9" x14ac:dyDescent="0.2">
      <c r="H17665" s="1"/>
      <c r="I17665" s="1"/>
    </row>
    <row r="17666" spans="8:9" x14ac:dyDescent="0.2">
      <c r="H17666" s="1"/>
      <c r="I17666" s="1"/>
    </row>
    <row r="17667" spans="8:9" x14ac:dyDescent="0.2">
      <c r="H17667" s="1"/>
      <c r="I17667" s="1"/>
    </row>
    <row r="17668" spans="8:9" x14ac:dyDescent="0.2">
      <c r="H17668" s="1"/>
      <c r="I17668" s="1"/>
    </row>
    <row r="17669" spans="8:9" x14ac:dyDescent="0.2">
      <c r="H17669" s="1"/>
      <c r="I17669" s="1"/>
    </row>
    <row r="17670" spans="8:9" x14ac:dyDescent="0.2">
      <c r="H17670" s="1"/>
      <c r="I17670" s="1"/>
    </row>
    <row r="17671" spans="8:9" x14ac:dyDescent="0.2">
      <c r="H17671" s="1"/>
      <c r="I17671" s="1"/>
    </row>
    <row r="17672" spans="8:9" x14ac:dyDescent="0.2">
      <c r="H17672" s="1"/>
      <c r="I17672" s="1"/>
    </row>
    <row r="17673" spans="8:9" x14ac:dyDescent="0.2">
      <c r="H17673" s="1"/>
      <c r="I17673" s="1"/>
    </row>
    <row r="17674" spans="8:9" x14ac:dyDescent="0.2">
      <c r="H17674" s="1"/>
      <c r="I17674" s="1"/>
    </row>
    <row r="17675" spans="8:9" x14ac:dyDescent="0.2">
      <c r="H17675" s="1"/>
      <c r="I17675" s="1"/>
    </row>
    <row r="17676" spans="8:9" x14ac:dyDescent="0.2">
      <c r="H17676" s="1"/>
      <c r="I17676" s="1"/>
    </row>
    <row r="17677" spans="8:9" x14ac:dyDescent="0.2">
      <c r="H17677" s="1"/>
      <c r="I17677" s="1"/>
    </row>
    <row r="17678" spans="8:9" x14ac:dyDescent="0.2">
      <c r="H17678" s="1"/>
      <c r="I17678" s="1"/>
    </row>
    <row r="17679" spans="8:9" x14ac:dyDescent="0.2">
      <c r="H17679" s="1"/>
      <c r="I17679" s="1"/>
    </row>
    <row r="17680" spans="8:9" x14ac:dyDescent="0.2">
      <c r="H17680" s="1"/>
      <c r="I17680" s="1"/>
    </row>
    <row r="17681" spans="8:9" x14ac:dyDescent="0.2">
      <c r="H17681" s="1"/>
      <c r="I17681" s="1"/>
    </row>
    <row r="17682" spans="8:9" x14ac:dyDescent="0.2">
      <c r="H17682" s="1"/>
      <c r="I17682" s="1"/>
    </row>
    <row r="17683" spans="8:9" x14ac:dyDescent="0.2">
      <c r="H17683" s="1"/>
      <c r="I17683" s="1"/>
    </row>
    <row r="17684" spans="8:9" x14ac:dyDescent="0.2">
      <c r="H17684" s="1"/>
      <c r="I17684" s="1"/>
    </row>
    <row r="17685" spans="8:9" x14ac:dyDescent="0.2">
      <c r="H17685" s="1"/>
      <c r="I17685" s="1"/>
    </row>
    <row r="17686" spans="8:9" x14ac:dyDescent="0.2">
      <c r="H17686" s="1"/>
      <c r="I17686" s="1"/>
    </row>
    <row r="17687" spans="8:9" x14ac:dyDescent="0.2">
      <c r="H17687" s="1"/>
      <c r="I17687" s="1"/>
    </row>
    <row r="17688" spans="8:9" x14ac:dyDescent="0.2">
      <c r="H17688" s="1"/>
      <c r="I17688" s="1"/>
    </row>
    <row r="17689" spans="8:9" x14ac:dyDescent="0.2">
      <c r="H17689" s="1"/>
      <c r="I17689" s="1"/>
    </row>
    <row r="17690" spans="8:9" x14ac:dyDescent="0.2">
      <c r="H17690" s="1"/>
      <c r="I17690" s="1"/>
    </row>
    <row r="17691" spans="8:9" x14ac:dyDescent="0.2">
      <c r="H17691" s="1"/>
      <c r="I17691" s="1"/>
    </row>
    <row r="17692" spans="8:9" x14ac:dyDescent="0.2">
      <c r="H17692" s="1"/>
      <c r="I17692" s="1"/>
    </row>
    <row r="17693" spans="8:9" x14ac:dyDescent="0.2">
      <c r="H17693" s="1"/>
      <c r="I17693" s="1"/>
    </row>
    <row r="17694" spans="8:9" x14ac:dyDescent="0.2">
      <c r="H17694" s="1"/>
      <c r="I17694" s="1"/>
    </row>
    <row r="17695" spans="8:9" x14ac:dyDescent="0.2">
      <c r="H17695" s="1"/>
      <c r="I17695" s="1"/>
    </row>
    <row r="17696" spans="8:9" x14ac:dyDescent="0.2">
      <c r="H17696" s="1"/>
      <c r="I17696" s="1"/>
    </row>
    <row r="17697" spans="8:9" x14ac:dyDescent="0.2">
      <c r="H17697" s="1"/>
      <c r="I17697" s="1"/>
    </row>
    <row r="17698" spans="8:9" x14ac:dyDescent="0.2">
      <c r="H17698" s="1"/>
      <c r="I17698" s="1"/>
    </row>
    <row r="17699" spans="8:9" x14ac:dyDescent="0.2">
      <c r="H17699" s="1"/>
      <c r="I17699" s="1"/>
    </row>
    <row r="17700" spans="8:9" x14ac:dyDescent="0.2">
      <c r="H17700" s="1"/>
      <c r="I17700" s="1"/>
    </row>
    <row r="17701" spans="8:9" x14ac:dyDescent="0.2">
      <c r="H17701" s="1"/>
      <c r="I17701" s="1"/>
    </row>
    <row r="17702" spans="8:9" x14ac:dyDescent="0.2">
      <c r="H17702" s="1"/>
      <c r="I17702" s="1"/>
    </row>
    <row r="17703" spans="8:9" x14ac:dyDescent="0.2">
      <c r="H17703" s="1"/>
      <c r="I17703" s="1"/>
    </row>
    <row r="17704" spans="8:9" x14ac:dyDescent="0.2">
      <c r="H17704" s="1"/>
      <c r="I17704" s="1"/>
    </row>
    <row r="17705" spans="8:9" x14ac:dyDescent="0.2">
      <c r="H17705" s="1"/>
      <c r="I17705" s="1"/>
    </row>
    <row r="17706" spans="8:9" x14ac:dyDescent="0.2">
      <c r="H17706" s="1"/>
      <c r="I17706" s="1"/>
    </row>
    <row r="17707" spans="8:9" x14ac:dyDescent="0.2">
      <c r="H17707" s="1"/>
      <c r="I17707" s="1"/>
    </row>
    <row r="17708" spans="8:9" x14ac:dyDescent="0.2">
      <c r="H17708" s="1"/>
      <c r="I17708" s="1"/>
    </row>
    <row r="17709" spans="8:9" x14ac:dyDescent="0.2">
      <c r="H17709" s="1"/>
      <c r="I17709" s="1"/>
    </row>
    <row r="17710" spans="8:9" x14ac:dyDescent="0.2">
      <c r="H17710" s="1"/>
      <c r="I17710" s="1"/>
    </row>
    <row r="17711" spans="8:9" x14ac:dyDescent="0.2">
      <c r="H17711" s="1"/>
      <c r="I17711" s="1"/>
    </row>
    <row r="17712" spans="8:9" x14ac:dyDescent="0.2">
      <c r="H17712" s="1"/>
      <c r="I17712" s="1"/>
    </row>
    <row r="17713" spans="8:9" x14ac:dyDescent="0.2">
      <c r="H17713" s="1"/>
      <c r="I17713" s="1"/>
    </row>
    <row r="17714" spans="8:9" x14ac:dyDescent="0.2">
      <c r="H17714" s="1"/>
      <c r="I17714" s="1"/>
    </row>
    <row r="17715" spans="8:9" x14ac:dyDescent="0.2">
      <c r="H17715" s="1"/>
      <c r="I17715" s="1"/>
    </row>
    <row r="17716" spans="8:9" x14ac:dyDescent="0.2">
      <c r="H17716" s="1"/>
      <c r="I17716" s="1"/>
    </row>
    <row r="17717" spans="8:9" x14ac:dyDescent="0.2">
      <c r="H17717" s="1"/>
      <c r="I17717" s="1"/>
    </row>
    <row r="17718" spans="8:9" x14ac:dyDescent="0.2">
      <c r="H17718" s="1"/>
      <c r="I17718" s="1"/>
    </row>
    <row r="17719" spans="8:9" x14ac:dyDescent="0.2">
      <c r="H17719" s="1"/>
      <c r="I17719" s="1"/>
    </row>
    <row r="17720" spans="8:9" x14ac:dyDescent="0.2">
      <c r="H17720" s="1"/>
      <c r="I17720" s="1"/>
    </row>
    <row r="17721" spans="8:9" x14ac:dyDescent="0.2">
      <c r="H17721" s="1"/>
      <c r="I17721" s="1"/>
    </row>
    <row r="17722" spans="8:9" x14ac:dyDescent="0.2">
      <c r="H17722" s="1"/>
      <c r="I17722" s="1"/>
    </row>
    <row r="17723" spans="8:9" x14ac:dyDescent="0.2">
      <c r="H17723" s="1"/>
      <c r="I17723" s="1"/>
    </row>
    <row r="17724" spans="8:9" x14ac:dyDescent="0.2">
      <c r="H17724" s="1"/>
      <c r="I17724" s="1"/>
    </row>
    <row r="17725" spans="8:9" x14ac:dyDescent="0.2">
      <c r="H17725" s="1"/>
      <c r="I17725" s="1"/>
    </row>
    <row r="17726" spans="8:9" x14ac:dyDescent="0.2">
      <c r="H17726" s="1"/>
      <c r="I17726" s="1"/>
    </row>
    <row r="17727" spans="8:9" x14ac:dyDescent="0.2">
      <c r="H17727" s="1"/>
      <c r="I17727" s="1"/>
    </row>
    <row r="17728" spans="8:9" x14ac:dyDescent="0.2">
      <c r="H17728" s="1"/>
      <c r="I17728" s="1"/>
    </row>
    <row r="17729" spans="8:9" x14ac:dyDescent="0.2">
      <c r="H17729" s="1"/>
      <c r="I17729" s="1"/>
    </row>
    <row r="17730" spans="8:9" x14ac:dyDescent="0.2">
      <c r="H17730" s="1"/>
      <c r="I17730" s="1"/>
    </row>
    <row r="17731" spans="8:9" x14ac:dyDescent="0.2">
      <c r="H17731" s="1"/>
      <c r="I17731" s="1"/>
    </row>
    <row r="17732" spans="8:9" x14ac:dyDescent="0.2">
      <c r="H17732" s="1"/>
      <c r="I17732" s="1"/>
    </row>
    <row r="17733" spans="8:9" x14ac:dyDescent="0.2">
      <c r="H17733" s="1"/>
      <c r="I17733" s="1"/>
    </row>
    <row r="17734" spans="8:9" x14ac:dyDescent="0.2">
      <c r="H17734" s="1"/>
      <c r="I17734" s="1"/>
    </row>
    <row r="17735" spans="8:9" x14ac:dyDescent="0.2">
      <c r="H17735" s="1"/>
      <c r="I17735" s="1"/>
    </row>
    <row r="17736" spans="8:9" x14ac:dyDescent="0.2">
      <c r="H17736" s="1"/>
      <c r="I17736" s="1"/>
    </row>
    <row r="17737" spans="8:9" x14ac:dyDescent="0.2">
      <c r="H17737" s="1"/>
      <c r="I17737" s="1"/>
    </row>
    <row r="17738" spans="8:9" x14ac:dyDescent="0.2">
      <c r="H17738" s="1"/>
      <c r="I17738" s="1"/>
    </row>
    <row r="17739" spans="8:9" x14ac:dyDescent="0.2">
      <c r="H17739" s="1"/>
      <c r="I17739" s="1"/>
    </row>
    <row r="17740" spans="8:9" x14ac:dyDescent="0.2">
      <c r="H17740" s="1"/>
      <c r="I17740" s="1"/>
    </row>
    <row r="17741" spans="8:9" x14ac:dyDescent="0.2">
      <c r="H17741" s="1"/>
      <c r="I17741" s="1"/>
    </row>
    <row r="17742" spans="8:9" x14ac:dyDescent="0.2">
      <c r="H17742" s="1"/>
      <c r="I17742" s="1"/>
    </row>
    <row r="17743" spans="8:9" x14ac:dyDescent="0.2">
      <c r="H17743" s="1"/>
      <c r="I17743" s="1"/>
    </row>
    <row r="17744" spans="8:9" x14ac:dyDescent="0.2">
      <c r="H17744" s="1"/>
      <c r="I17744" s="1"/>
    </row>
    <row r="17745" spans="8:9" x14ac:dyDescent="0.2">
      <c r="H17745" s="1"/>
      <c r="I17745" s="1"/>
    </row>
    <row r="17746" spans="8:9" x14ac:dyDescent="0.2">
      <c r="H17746" s="1"/>
      <c r="I17746" s="1"/>
    </row>
    <row r="17747" spans="8:9" x14ac:dyDescent="0.2">
      <c r="H17747" s="1"/>
      <c r="I17747" s="1"/>
    </row>
    <row r="17748" spans="8:9" x14ac:dyDescent="0.2">
      <c r="H17748" s="1"/>
      <c r="I17748" s="1"/>
    </row>
    <row r="17749" spans="8:9" x14ac:dyDescent="0.2">
      <c r="H17749" s="1"/>
      <c r="I17749" s="1"/>
    </row>
    <row r="17750" spans="8:9" x14ac:dyDescent="0.2">
      <c r="H17750" s="1"/>
      <c r="I17750" s="1"/>
    </row>
    <row r="17751" spans="8:9" x14ac:dyDescent="0.2">
      <c r="H17751" s="1"/>
      <c r="I17751" s="1"/>
    </row>
    <row r="17752" spans="8:9" x14ac:dyDescent="0.2">
      <c r="H17752" s="1"/>
      <c r="I17752" s="1"/>
    </row>
    <row r="17753" spans="8:9" x14ac:dyDescent="0.2">
      <c r="H17753" s="1"/>
      <c r="I17753" s="1"/>
    </row>
    <row r="17754" spans="8:9" x14ac:dyDescent="0.2">
      <c r="H17754" s="1"/>
      <c r="I17754" s="1"/>
    </row>
    <row r="17755" spans="8:9" x14ac:dyDescent="0.2">
      <c r="H17755" s="1"/>
      <c r="I17755" s="1"/>
    </row>
    <row r="17756" spans="8:9" x14ac:dyDescent="0.2">
      <c r="H17756" s="1"/>
      <c r="I17756" s="1"/>
    </row>
    <row r="17757" spans="8:9" x14ac:dyDescent="0.2">
      <c r="H17757" s="1"/>
      <c r="I17757" s="1"/>
    </row>
    <row r="17758" spans="8:9" x14ac:dyDescent="0.2">
      <c r="H17758" s="1"/>
      <c r="I17758" s="1"/>
    </row>
    <row r="17759" spans="8:9" x14ac:dyDescent="0.2">
      <c r="H17759" s="1"/>
      <c r="I17759" s="1"/>
    </row>
    <row r="17760" spans="8:9" x14ac:dyDescent="0.2">
      <c r="H17760" s="1"/>
      <c r="I17760" s="1"/>
    </row>
    <row r="17761" spans="8:9" x14ac:dyDescent="0.2">
      <c r="H17761" s="1"/>
      <c r="I17761" s="1"/>
    </row>
    <row r="17762" spans="8:9" x14ac:dyDescent="0.2">
      <c r="H17762" s="1"/>
      <c r="I17762" s="1"/>
    </row>
    <row r="17763" spans="8:9" x14ac:dyDescent="0.2">
      <c r="H17763" s="1"/>
      <c r="I17763" s="1"/>
    </row>
    <row r="17764" spans="8:9" x14ac:dyDescent="0.2">
      <c r="H17764" s="1"/>
      <c r="I17764" s="1"/>
    </row>
    <row r="17765" spans="8:9" x14ac:dyDescent="0.2">
      <c r="H17765" s="1"/>
      <c r="I17765" s="1"/>
    </row>
    <row r="17766" spans="8:9" x14ac:dyDescent="0.2">
      <c r="H17766" s="1"/>
      <c r="I17766" s="1"/>
    </row>
    <row r="17767" spans="8:9" x14ac:dyDescent="0.2">
      <c r="H17767" s="1"/>
      <c r="I17767" s="1"/>
    </row>
    <row r="17768" spans="8:9" x14ac:dyDescent="0.2">
      <c r="H17768" s="1"/>
      <c r="I17768" s="1"/>
    </row>
    <row r="17769" spans="8:9" x14ac:dyDescent="0.2">
      <c r="H17769" s="1"/>
      <c r="I17769" s="1"/>
    </row>
    <row r="17770" spans="8:9" x14ac:dyDescent="0.2">
      <c r="H17770" s="1"/>
      <c r="I17770" s="1"/>
    </row>
    <row r="17771" spans="8:9" x14ac:dyDescent="0.2">
      <c r="H17771" s="1"/>
      <c r="I17771" s="1"/>
    </row>
    <row r="17772" spans="8:9" x14ac:dyDescent="0.2">
      <c r="H17772" s="1"/>
      <c r="I17772" s="1"/>
    </row>
    <row r="17773" spans="8:9" x14ac:dyDescent="0.2">
      <c r="H17773" s="1"/>
      <c r="I17773" s="1"/>
    </row>
    <row r="17774" spans="8:9" x14ac:dyDescent="0.2">
      <c r="H17774" s="1"/>
      <c r="I17774" s="1"/>
    </row>
    <row r="17775" spans="8:9" x14ac:dyDescent="0.2">
      <c r="H17775" s="1"/>
      <c r="I17775" s="1"/>
    </row>
    <row r="17776" spans="8:9" x14ac:dyDescent="0.2">
      <c r="H17776" s="1"/>
      <c r="I17776" s="1"/>
    </row>
    <row r="17777" spans="8:9" x14ac:dyDescent="0.2">
      <c r="H17777" s="1"/>
      <c r="I17777" s="1"/>
    </row>
    <row r="17778" spans="8:9" x14ac:dyDescent="0.2">
      <c r="H17778" s="1"/>
      <c r="I17778" s="1"/>
    </row>
    <row r="17779" spans="8:9" x14ac:dyDescent="0.2">
      <c r="H17779" s="1"/>
      <c r="I17779" s="1"/>
    </row>
    <row r="17780" spans="8:9" x14ac:dyDescent="0.2">
      <c r="H17780" s="1"/>
      <c r="I17780" s="1"/>
    </row>
    <row r="17781" spans="8:9" x14ac:dyDescent="0.2">
      <c r="H17781" s="1"/>
      <c r="I17781" s="1"/>
    </row>
    <row r="17782" spans="8:9" x14ac:dyDescent="0.2">
      <c r="H17782" s="1"/>
      <c r="I17782" s="1"/>
    </row>
    <row r="17783" spans="8:9" x14ac:dyDescent="0.2">
      <c r="H17783" s="1"/>
      <c r="I17783" s="1"/>
    </row>
    <row r="17784" spans="8:9" x14ac:dyDescent="0.2">
      <c r="H17784" s="1"/>
      <c r="I17784" s="1"/>
    </row>
    <row r="17785" spans="8:9" x14ac:dyDescent="0.2">
      <c r="H17785" s="1"/>
      <c r="I17785" s="1"/>
    </row>
    <row r="17786" spans="8:9" x14ac:dyDescent="0.2">
      <c r="H17786" s="1"/>
      <c r="I17786" s="1"/>
    </row>
    <row r="17787" spans="8:9" x14ac:dyDescent="0.2">
      <c r="H17787" s="1"/>
      <c r="I17787" s="1"/>
    </row>
    <row r="17788" spans="8:9" x14ac:dyDescent="0.2">
      <c r="H17788" s="1"/>
      <c r="I17788" s="1"/>
    </row>
    <row r="17789" spans="8:9" x14ac:dyDescent="0.2">
      <c r="H17789" s="1"/>
      <c r="I17789" s="1"/>
    </row>
    <row r="17790" spans="8:9" x14ac:dyDescent="0.2">
      <c r="H17790" s="1"/>
      <c r="I17790" s="1"/>
    </row>
    <row r="17791" spans="8:9" x14ac:dyDescent="0.2">
      <c r="H17791" s="1"/>
      <c r="I17791" s="1"/>
    </row>
    <row r="17792" spans="8:9" x14ac:dyDescent="0.2">
      <c r="H17792" s="1"/>
      <c r="I17792" s="1"/>
    </row>
    <row r="17793" spans="8:9" x14ac:dyDescent="0.2">
      <c r="H17793" s="1"/>
      <c r="I17793" s="1"/>
    </row>
    <row r="17794" spans="8:9" x14ac:dyDescent="0.2">
      <c r="H17794" s="1"/>
      <c r="I17794" s="1"/>
    </row>
    <row r="17795" spans="8:9" x14ac:dyDescent="0.2">
      <c r="H17795" s="1"/>
      <c r="I17795" s="1"/>
    </row>
    <row r="17796" spans="8:9" x14ac:dyDescent="0.2">
      <c r="H17796" s="1"/>
      <c r="I17796" s="1"/>
    </row>
    <row r="17797" spans="8:9" x14ac:dyDescent="0.2">
      <c r="H17797" s="1"/>
      <c r="I17797" s="1"/>
    </row>
    <row r="17798" spans="8:9" x14ac:dyDescent="0.2">
      <c r="H17798" s="1"/>
      <c r="I17798" s="1"/>
    </row>
    <row r="17799" spans="8:9" x14ac:dyDescent="0.2">
      <c r="H17799" s="1"/>
      <c r="I17799" s="1"/>
    </row>
    <row r="17800" spans="8:9" x14ac:dyDescent="0.2">
      <c r="H17800" s="1"/>
      <c r="I17800" s="1"/>
    </row>
    <row r="17801" spans="8:9" x14ac:dyDescent="0.2">
      <c r="H17801" s="1"/>
      <c r="I17801" s="1"/>
    </row>
    <row r="17802" spans="8:9" x14ac:dyDescent="0.2">
      <c r="H17802" s="1"/>
      <c r="I17802" s="1"/>
    </row>
    <row r="17803" spans="8:9" x14ac:dyDescent="0.2">
      <c r="H17803" s="1"/>
      <c r="I17803" s="1"/>
    </row>
    <row r="17804" spans="8:9" x14ac:dyDescent="0.2">
      <c r="H17804" s="1"/>
      <c r="I17804" s="1"/>
    </row>
    <row r="17805" spans="8:9" x14ac:dyDescent="0.2">
      <c r="H17805" s="1"/>
      <c r="I17805" s="1"/>
    </row>
    <row r="17806" spans="8:9" x14ac:dyDescent="0.2">
      <c r="H17806" s="1"/>
      <c r="I17806" s="1"/>
    </row>
    <row r="17807" spans="8:9" x14ac:dyDescent="0.2">
      <c r="H17807" s="1"/>
      <c r="I17807" s="1"/>
    </row>
    <row r="17808" spans="8:9" x14ac:dyDescent="0.2">
      <c r="H17808" s="1"/>
      <c r="I17808" s="1"/>
    </row>
    <row r="17809" spans="8:9" x14ac:dyDescent="0.2">
      <c r="H17809" s="1"/>
      <c r="I17809" s="1"/>
    </row>
    <row r="17810" spans="8:9" x14ac:dyDescent="0.2">
      <c r="H17810" s="1"/>
      <c r="I17810" s="1"/>
    </row>
    <row r="17811" spans="8:9" x14ac:dyDescent="0.2">
      <c r="H17811" s="1"/>
      <c r="I17811" s="1"/>
    </row>
    <row r="17812" spans="8:9" x14ac:dyDescent="0.2">
      <c r="H17812" s="1"/>
      <c r="I17812" s="1"/>
    </row>
    <row r="17813" spans="8:9" x14ac:dyDescent="0.2">
      <c r="H17813" s="1"/>
      <c r="I17813" s="1"/>
    </row>
    <row r="17814" spans="8:9" x14ac:dyDescent="0.2">
      <c r="H17814" s="1"/>
      <c r="I17814" s="1"/>
    </row>
    <row r="17815" spans="8:9" x14ac:dyDescent="0.2">
      <c r="H17815" s="1"/>
      <c r="I17815" s="1"/>
    </row>
    <row r="17816" spans="8:9" x14ac:dyDescent="0.2">
      <c r="H17816" s="1"/>
      <c r="I17816" s="1"/>
    </row>
    <row r="17817" spans="8:9" x14ac:dyDescent="0.2">
      <c r="H17817" s="1"/>
      <c r="I17817" s="1"/>
    </row>
    <row r="17818" spans="8:9" x14ac:dyDescent="0.2">
      <c r="H17818" s="1"/>
      <c r="I17818" s="1"/>
    </row>
    <row r="17819" spans="8:9" x14ac:dyDescent="0.2">
      <c r="H17819" s="1"/>
      <c r="I17819" s="1"/>
    </row>
    <row r="17820" spans="8:9" x14ac:dyDescent="0.2">
      <c r="H17820" s="1"/>
      <c r="I17820" s="1"/>
    </row>
    <row r="17821" spans="8:9" x14ac:dyDescent="0.2">
      <c r="H17821" s="1"/>
      <c r="I17821" s="1"/>
    </row>
    <row r="17822" spans="8:9" x14ac:dyDescent="0.2">
      <c r="H17822" s="1"/>
      <c r="I17822" s="1"/>
    </row>
    <row r="17823" spans="8:9" x14ac:dyDescent="0.2">
      <c r="H17823" s="1"/>
      <c r="I17823" s="1"/>
    </row>
    <row r="17824" spans="8:9" x14ac:dyDescent="0.2">
      <c r="H17824" s="1"/>
      <c r="I17824" s="1"/>
    </row>
    <row r="17825" spans="8:9" x14ac:dyDescent="0.2">
      <c r="H17825" s="1"/>
      <c r="I17825" s="1"/>
    </row>
    <row r="17826" spans="8:9" x14ac:dyDescent="0.2">
      <c r="H17826" s="1"/>
      <c r="I17826" s="1"/>
    </row>
    <row r="17827" spans="8:9" x14ac:dyDescent="0.2">
      <c r="H17827" s="1"/>
      <c r="I17827" s="1"/>
    </row>
    <row r="17828" spans="8:9" x14ac:dyDescent="0.2">
      <c r="H17828" s="1"/>
      <c r="I17828" s="1"/>
    </row>
    <row r="17829" spans="8:9" x14ac:dyDescent="0.2">
      <c r="H17829" s="1"/>
      <c r="I17829" s="1"/>
    </row>
    <row r="17830" spans="8:9" x14ac:dyDescent="0.2">
      <c r="H17830" s="1"/>
      <c r="I17830" s="1"/>
    </row>
    <row r="17831" spans="8:9" x14ac:dyDescent="0.2">
      <c r="H17831" s="1"/>
      <c r="I17831" s="1"/>
    </row>
    <row r="17832" spans="8:9" x14ac:dyDescent="0.2">
      <c r="H17832" s="1"/>
      <c r="I17832" s="1"/>
    </row>
    <row r="17833" spans="8:9" x14ac:dyDescent="0.2">
      <c r="H17833" s="1"/>
      <c r="I17833" s="1"/>
    </row>
    <row r="17834" spans="8:9" x14ac:dyDescent="0.2">
      <c r="H17834" s="1"/>
      <c r="I17834" s="1"/>
    </row>
    <row r="17835" spans="8:9" x14ac:dyDescent="0.2">
      <c r="H17835" s="1"/>
      <c r="I17835" s="1"/>
    </row>
    <row r="17836" spans="8:9" x14ac:dyDescent="0.2">
      <c r="H17836" s="1"/>
      <c r="I17836" s="1"/>
    </row>
    <row r="17837" spans="8:9" x14ac:dyDescent="0.2">
      <c r="H17837" s="1"/>
      <c r="I17837" s="1"/>
    </row>
    <row r="17838" spans="8:9" x14ac:dyDescent="0.2">
      <c r="H17838" s="1"/>
      <c r="I17838" s="1"/>
    </row>
    <row r="17839" spans="8:9" x14ac:dyDescent="0.2">
      <c r="H17839" s="1"/>
      <c r="I17839" s="1"/>
    </row>
    <row r="17840" spans="8:9" x14ac:dyDescent="0.2">
      <c r="H17840" s="1"/>
      <c r="I17840" s="1"/>
    </row>
    <row r="17841" spans="8:9" x14ac:dyDescent="0.2">
      <c r="H17841" s="1"/>
      <c r="I17841" s="1"/>
    </row>
    <row r="17842" spans="8:9" x14ac:dyDescent="0.2">
      <c r="H17842" s="1"/>
      <c r="I17842" s="1"/>
    </row>
    <row r="17843" spans="8:9" x14ac:dyDescent="0.2">
      <c r="H17843" s="1"/>
      <c r="I17843" s="1"/>
    </row>
    <row r="17844" spans="8:9" x14ac:dyDescent="0.2">
      <c r="H17844" s="1"/>
      <c r="I17844" s="1"/>
    </row>
    <row r="17845" spans="8:9" x14ac:dyDescent="0.2">
      <c r="H17845" s="1"/>
      <c r="I17845" s="1"/>
    </row>
    <row r="17846" spans="8:9" x14ac:dyDescent="0.2">
      <c r="H17846" s="1"/>
      <c r="I17846" s="1"/>
    </row>
    <row r="17847" spans="8:9" x14ac:dyDescent="0.2">
      <c r="H17847" s="1"/>
      <c r="I17847" s="1"/>
    </row>
    <row r="17848" spans="8:9" x14ac:dyDescent="0.2">
      <c r="H17848" s="1"/>
      <c r="I17848" s="1"/>
    </row>
    <row r="17849" spans="8:9" x14ac:dyDescent="0.2">
      <c r="H17849" s="1"/>
      <c r="I17849" s="1"/>
    </row>
    <row r="17850" spans="8:9" x14ac:dyDescent="0.2">
      <c r="H17850" s="1"/>
      <c r="I17850" s="1"/>
    </row>
    <row r="17851" spans="8:9" x14ac:dyDescent="0.2">
      <c r="H17851" s="1"/>
      <c r="I17851" s="1"/>
    </row>
    <row r="17852" spans="8:9" x14ac:dyDescent="0.2">
      <c r="H17852" s="1"/>
      <c r="I17852" s="1"/>
    </row>
    <row r="17853" spans="8:9" x14ac:dyDescent="0.2">
      <c r="H17853" s="1"/>
      <c r="I17853" s="1"/>
    </row>
    <row r="17854" spans="8:9" x14ac:dyDescent="0.2">
      <c r="H17854" s="1"/>
      <c r="I17854" s="1"/>
    </row>
    <row r="17855" spans="8:9" x14ac:dyDescent="0.2">
      <c r="H17855" s="1"/>
      <c r="I17855" s="1"/>
    </row>
    <row r="17856" spans="8:9" x14ac:dyDescent="0.2">
      <c r="H17856" s="1"/>
      <c r="I17856" s="1"/>
    </row>
    <row r="17857" spans="8:9" x14ac:dyDescent="0.2">
      <c r="H17857" s="1"/>
      <c r="I17857" s="1"/>
    </row>
    <row r="17858" spans="8:9" x14ac:dyDescent="0.2">
      <c r="H17858" s="1"/>
      <c r="I17858" s="1"/>
    </row>
    <row r="17859" spans="8:9" x14ac:dyDescent="0.2">
      <c r="H17859" s="1"/>
      <c r="I17859" s="1"/>
    </row>
    <row r="17860" spans="8:9" x14ac:dyDescent="0.2">
      <c r="H17860" s="1"/>
      <c r="I17860" s="1"/>
    </row>
    <row r="17861" spans="8:9" x14ac:dyDescent="0.2">
      <c r="H17861" s="1"/>
      <c r="I17861" s="1"/>
    </row>
    <row r="17862" spans="8:9" x14ac:dyDescent="0.2">
      <c r="H17862" s="1"/>
      <c r="I17862" s="1"/>
    </row>
    <row r="17863" spans="8:9" x14ac:dyDescent="0.2">
      <c r="H17863" s="1"/>
      <c r="I17863" s="1"/>
    </row>
    <row r="17864" spans="8:9" x14ac:dyDescent="0.2">
      <c r="H17864" s="1"/>
      <c r="I17864" s="1"/>
    </row>
    <row r="17865" spans="8:9" x14ac:dyDescent="0.2">
      <c r="H17865" s="1"/>
      <c r="I17865" s="1"/>
    </row>
    <row r="17866" spans="8:9" x14ac:dyDescent="0.2">
      <c r="H17866" s="1"/>
      <c r="I17866" s="1"/>
    </row>
    <row r="17867" spans="8:9" x14ac:dyDescent="0.2">
      <c r="H17867" s="1"/>
      <c r="I17867" s="1"/>
    </row>
    <row r="17868" spans="8:9" x14ac:dyDescent="0.2">
      <c r="H17868" s="1"/>
      <c r="I17868" s="1"/>
    </row>
    <row r="17869" spans="8:9" x14ac:dyDescent="0.2">
      <c r="H17869" s="1"/>
      <c r="I17869" s="1"/>
    </row>
    <row r="17870" spans="8:9" x14ac:dyDescent="0.2">
      <c r="H17870" s="1"/>
      <c r="I17870" s="1"/>
    </row>
    <row r="17871" spans="8:9" x14ac:dyDescent="0.2">
      <c r="H17871" s="1"/>
      <c r="I17871" s="1"/>
    </row>
    <row r="17872" spans="8:9" x14ac:dyDescent="0.2">
      <c r="H17872" s="1"/>
      <c r="I17872" s="1"/>
    </row>
    <row r="17873" spans="8:9" x14ac:dyDescent="0.2">
      <c r="H17873" s="1"/>
      <c r="I17873" s="1"/>
    </row>
    <row r="17874" spans="8:9" x14ac:dyDescent="0.2">
      <c r="H17874" s="1"/>
      <c r="I17874" s="1"/>
    </row>
    <row r="17875" spans="8:9" x14ac:dyDescent="0.2">
      <c r="H17875" s="1"/>
      <c r="I17875" s="1"/>
    </row>
    <row r="17876" spans="8:9" x14ac:dyDescent="0.2">
      <c r="H17876" s="1"/>
      <c r="I17876" s="1"/>
    </row>
    <row r="17877" spans="8:9" x14ac:dyDescent="0.2">
      <c r="H17877" s="1"/>
      <c r="I17877" s="1"/>
    </row>
    <row r="17878" spans="8:9" x14ac:dyDescent="0.2">
      <c r="H17878" s="1"/>
      <c r="I17878" s="1"/>
    </row>
    <row r="17879" spans="8:9" x14ac:dyDescent="0.2">
      <c r="H17879" s="1"/>
      <c r="I17879" s="1"/>
    </row>
    <row r="17880" spans="8:9" x14ac:dyDescent="0.2">
      <c r="H17880" s="1"/>
      <c r="I17880" s="1"/>
    </row>
    <row r="17881" spans="8:9" x14ac:dyDescent="0.2">
      <c r="H17881" s="1"/>
      <c r="I17881" s="1"/>
    </row>
    <row r="17882" spans="8:9" x14ac:dyDescent="0.2">
      <c r="H17882" s="1"/>
      <c r="I17882" s="1"/>
    </row>
    <row r="17883" spans="8:9" x14ac:dyDescent="0.2">
      <c r="H17883" s="1"/>
      <c r="I17883" s="1"/>
    </row>
    <row r="17884" spans="8:9" x14ac:dyDescent="0.2">
      <c r="H17884" s="1"/>
      <c r="I17884" s="1"/>
    </row>
    <row r="17885" spans="8:9" x14ac:dyDescent="0.2">
      <c r="H17885" s="1"/>
      <c r="I17885" s="1"/>
    </row>
    <row r="17886" spans="8:9" x14ac:dyDescent="0.2">
      <c r="H17886" s="1"/>
      <c r="I17886" s="1"/>
    </row>
    <row r="17887" spans="8:9" x14ac:dyDescent="0.2">
      <c r="H17887" s="1"/>
      <c r="I17887" s="1"/>
    </row>
    <row r="17888" spans="8:9" x14ac:dyDescent="0.2">
      <c r="H17888" s="1"/>
      <c r="I17888" s="1"/>
    </row>
    <row r="17889" spans="8:9" x14ac:dyDescent="0.2">
      <c r="H17889" s="1"/>
      <c r="I17889" s="1"/>
    </row>
    <row r="17890" spans="8:9" x14ac:dyDescent="0.2">
      <c r="H17890" s="1"/>
      <c r="I17890" s="1"/>
    </row>
    <row r="17891" spans="8:9" x14ac:dyDescent="0.2">
      <c r="H17891" s="1"/>
      <c r="I17891" s="1"/>
    </row>
    <row r="17892" spans="8:9" x14ac:dyDescent="0.2">
      <c r="H17892" s="1"/>
      <c r="I17892" s="1"/>
    </row>
    <row r="17893" spans="8:9" x14ac:dyDescent="0.2">
      <c r="H17893" s="1"/>
      <c r="I17893" s="1"/>
    </row>
    <row r="17894" spans="8:9" x14ac:dyDescent="0.2">
      <c r="H17894" s="1"/>
      <c r="I17894" s="1"/>
    </row>
    <row r="17895" spans="8:9" x14ac:dyDescent="0.2">
      <c r="H17895" s="1"/>
      <c r="I17895" s="1"/>
    </row>
    <row r="17896" spans="8:9" x14ac:dyDescent="0.2">
      <c r="H17896" s="1"/>
      <c r="I17896" s="1"/>
    </row>
    <row r="17897" spans="8:9" x14ac:dyDescent="0.2">
      <c r="H17897" s="1"/>
      <c r="I17897" s="1"/>
    </row>
    <row r="17898" spans="8:9" x14ac:dyDescent="0.2">
      <c r="H17898" s="1"/>
      <c r="I17898" s="1"/>
    </row>
    <row r="17899" spans="8:9" x14ac:dyDescent="0.2">
      <c r="H17899" s="1"/>
      <c r="I17899" s="1"/>
    </row>
    <row r="17900" spans="8:9" x14ac:dyDescent="0.2">
      <c r="H17900" s="1"/>
      <c r="I17900" s="1"/>
    </row>
    <row r="17901" spans="8:9" x14ac:dyDescent="0.2">
      <c r="H17901" s="1"/>
      <c r="I17901" s="1"/>
    </row>
    <row r="17902" spans="8:9" x14ac:dyDescent="0.2">
      <c r="H17902" s="1"/>
      <c r="I17902" s="1"/>
    </row>
    <row r="17903" spans="8:9" x14ac:dyDescent="0.2">
      <c r="H17903" s="1"/>
      <c r="I17903" s="1"/>
    </row>
    <row r="17904" spans="8:9" x14ac:dyDescent="0.2">
      <c r="H17904" s="1"/>
      <c r="I17904" s="1"/>
    </row>
    <row r="17905" spans="8:9" x14ac:dyDescent="0.2">
      <c r="H17905" s="1"/>
      <c r="I17905" s="1"/>
    </row>
    <row r="17906" spans="8:9" x14ac:dyDescent="0.2">
      <c r="H17906" s="1"/>
      <c r="I17906" s="1"/>
    </row>
    <row r="17907" spans="8:9" x14ac:dyDescent="0.2">
      <c r="H17907" s="1"/>
      <c r="I17907" s="1"/>
    </row>
    <row r="17908" spans="8:9" x14ac:dyDescent="0.2">
      <c r="H17908" s="1"/>
      <c r="I17908" s="1"/>
    </row>
    <row r="17909" spans="8:9" x14ac:dyDescent="0.2">
      <c r="H17909" s="1"/>
      <c r="I17909" s="1"/>
    </row>
    <row r="17910" spans="8:9" x14ac:dyDescent="0.2">
      <c r="H17910" s="1"/>
      <c r="I17910" s="1"/>
    </row>
    <row r="17911" spans="8:9" x14ac:dyDescent="0.2">
      <c r="H17911" s="1"/>
      <c r="I17911" s="1"/>
    </row>
    <row r="17912" spans="8:9" x14ac:dyDescent="0.2">
      <c r="H17912" s="1"/>
      <c r="I17912" s="1"/>
    </row>
    <row r="17913" spans="8:9" x14ac:dyDescent="0.2">
      <c r="H17913" s="1"/>
      <c r="I17913" s="1"/>
    </row>
    <row r="17914" spans="8:9" x14ac:dyDescent="0.2">
      <c r="H17914" s="1"/>
      <c r="I17914" s="1"/>
    </row>
    <row r="17915" spans="8:9" x14ac:dyDescent="0.2">
      <c r="H17915" s="1"/>
      <c r="I17915" s="1"/>
    </row>
    <row r="17916" spans="8:9" x14ac:dyDescent="0.2">
      <c r="H17916" s="1"/>
      <c r="I17916" s="1"/>
    </row>
    <row r="17917" spans="8:9" x14ac:dyDescent="0.2">
      <c r="H17917" s="1"/>
      <c r="I17917" s="1"/>
    </row>
    <row r="17918" spans="8:9" x14ac:dyDescent="0.2">
      <c r="H17918" s="1"/>
      <c r="I17918" s="1"/>
    </row>
    <row r="17919" spans="8:9" x14ac:dyDescent="0.2">
      <c r="H17919" s="1"/>
      <c r="I17919" s="1"/>
    </row>
    <row r="17920" spans="8:9" x14ac:dyDescent="0.2">
      <c r="H17920" s="1"/>
      <c r="I17920" s="1"/>
    </row>
    <row r="17921" spans="8:9" x14ac:dyDescent="0.2">
      <c r="H17921" s="1"/>
      <c r="I17921" s="1"/>
    </row>
    <row r="17922" spans="8:9" x14ac:dyDescent="0.2">
      <c r="H17922" s="1"/>
      <c r="I17922" s="1"/>
    </row>
    <row r="17923" spans="8:9" x14ac:dyDescent="0.2">
      <c r="H17923" s="1"/>
      <c r="I17923" s="1"/>
    </row>
    <row r="17924" spans="8:9" x14ac:dyDescent="0.2">
      <c r="H17924" s="1"/>
      <c r="I17924" s="1"/>
    </row>
    <row r="17925" spans="8:9" x14ac:dyDescent="0.2">
      <c r="H17925" s="1"/>
      <c r="I17925" s="1"/>
    </row>
    <row r="17926" spans="8:9" x14ac:dyDescent="0.2">
      <c r="H17926" s="1"/>
      <c r="I17926" s="1"/>
    </row>
    <row r="17927" spans="8:9" x14ac:dyDescent="0.2">
      <c r="H17927" s="1"/>
      <c r="I17927" s="1"/>
    </row>
    <row r="17928" spans="8:9" x14ac:dyDescent="0.2">
      <c r="H17928" s="1"/>
      <c r="I17928" s="1"/>
    </row>
    <row r="17929" spans="8:9" x14ac:dyDescent="0.2">
      <c r="H17929" s="1"/>
      <c r="I17929" s="1"/>
    </row>
    <row r="17930" spans="8:9" x14ac:dyDescent="0.2">
      <c r="H17930" s="1"/>
      <c r="I17930" s="1"/>
    </row>
    <row r="17931" spans="8:9" x14ac:dyDescent="0.2">
      <c r="H17931" s="1"/>
      <c r="I17931" s="1"/>
    </row>
    <row r="17932" spans="8:9" x14ac:dyDescent="0.2">
      <c r="H17932" s="1"/>
      <c r="I17932" s="1"/>
    </row>
    <row r="17933" spans="8:9" x14ac:dyDescent="0.2">
      <c r="H17933" s="1"/>
      <c r="I17933" s="1"/>
    </row>
    <row r="17934" spans="8:9" x14ac:dyDescent="0.2">
      <c r="H17934" s="1"/>
      <c r="I17934" s="1"/>
    </row>
    <row r="17935" spans="8:9" x14ac:dyDescent="0.2">
      <c r="H17935" s="1"/>
      <c r="I17935" s="1"/>
    </row>
    <row r="17936" spans="8:9" x14ac:dyDescent="0.2">
      <c r="H17936" s="1"/>
      <c r="I17936" s="1"/>
    </row>
    <row r="17937" spans="8:9" x14ac:dyDescent="0.2">
      <c r="H17937" s="1"/>
      <c r="I17937" s="1"/>
    </row>
    <row r="17938" spans="8:9" x14ac:dyDescent="0.2">
      <c r="H17938" s="1"/>
      <c r="I17938" s="1"/>
    </row>
    <row r="17939" spans="8:9" x14ac:dyDescent="0.2">
      <c r="H17939" s="1"/>
      <c r="I17939" s="1"/>
    </row>
    <row r="17940" spans="8:9" x14ac:dyDescent="0.2">
      <c r="H17940" s="1"/>
      <c r="I17940" s="1"/>
    </row>
    <row r="17941" spans="8:9" x14ac:dyDescent="0.2">
      <c r="H17941" s="1"/>
      <c r="I17941" s="1"/>
    </row>
    <row r="17942" spans="8:9" x14ac:dyDescent="0.2">
      <c r="H17942" s="1"/>
      <c r="I17942" s="1"/>
    </row>
    <row r="17943" spans="8:9" x14ac:dyDescent="0.2">
      <c r="H17943" s="1"/>
      <c r="I17943" s="1"/>
    </row>
    <row r="17944" spans="8:9" x14ac:dyDescent="0.2">
      <c r="H17944" s="1"/>
      <c r="I17944" s="1"/>
    </row>
    <row r="17945" spans="8:9" x14ac:dyDescent="0.2">
      <c r="H17945" s="1"/>
      <c r="I17945" s="1"/>
    </row>
    <row r="17946" spans="8:9" x14ac:dyDescent="0.2">
      <c r="H17946" s="1"/>
      <c r="I17946" s="1"/>
    </row>
    <row r="17947" spans="8:9" x14ac:dyDescent="0.2">
      <c r="H17947" s="1"/>
      <c r="I17947" s="1"/>
    </row>
    <row r="17948" spans="8:9" x14ac:dyDescent="0.2">
      <c r="H17948" s="1"/>
      <c r="I17948" s="1"/>
    </row>
    <row r="17949" spans="8:9" x14ac:dyDescent="0.2">
      <c r="H17949" s="1"/>
      <c r="I17949" s="1"/>
    </row>
    <row r="17950" spans="8:9" x14ac:dyDescent="0.2">
      <c r="H17950" s="1"/>
      <c r="I17950" s="1"/>
    </row>
    <row r="17951" spans="8:9" x14ac:dyDescent="0.2">
      <c r="H17951" s="1"/>
      <c r="I17951" s="1"/>
    </row>
    <row r="17952" spans="8:9" x14ac:dyDescent="0.2">
      <c r="H17952" s="1"/>
      <c r="I17952" s="1"/>
    </row>
    <row r="17953" spans="8:9" x14ac:dyDescent="0.2">
      <c r="H17953" s="1"/>
      <c r="I17953" s="1"/>
    </row>
    <row r="17954" spans="8:9" x14ac:dyDescent="0.2">
      <c r="H17954" s="1"/>
      <c r="I17954" s="1"/>
    </row>
    <row r="17955" spans="8:9" x14ac:dyDescent="0.2">
      <c r="H17955" s="1"/>
      <c r="I17955" s="1"/>
    </row>
    <row r="17956" spans="8:9" x14ac:dyDescent="0.2">
      <c r="H17956" s="1"/>
      <c r="I17956" s="1"/>
    </row>
    <row r="17957" spans="8:9" x14ac:dyDescent="0.2">
      <c r="H17957" s="1"/>
      <c r="I17957" s="1"/>
    </row>
    <row r="17958" spans="8:9" x14ac:dyDescent="0.2">
      <c r="H17958" s="1"/>
      <c r="I17958" s="1"/>
    </row>
    <row r="17959" spans="8:9" x14ac:dyDescent="0.2">
      <c r="H17959" s="1"/>
      <c r="I17959" s="1"/>
    </row>
    <row r="17960" spans="8:9" x14ac:dyDescent="0.2">
      <c r="H17960" s="1"/>
      <c r="I17960" s="1"/>
    </row>
    <row r="17961" spans="8:9" x14ac:dyDescent="0.2">
      <c r="H17961" s="1"/>
      <c r="I17961" s="1"/>
    </row>
    <row r="17962" spans="8:9" x14ac:dyDescent="0.2">
      <c r="H17962" s="1"/>
      <c r="I17962" s="1"/>
    </row>
    <row r="17963" spans="8:9" x14ac:dyDescent="0.2">
      <c r="H17963" s="1"/>
      <c r="I17963" s="1"/>
    </row>
    <row r="17964" spans="8:9" x14ac:dyDescent="0.2">
      <c r="H17964" s="1"/>
      <c r="I17964" s="1"/>
    </row>
    <row r="17965" spans="8:9" x14ac:dyDescent="0.2">
      <c r="H17965" s="1"/>
      <c r="I17965" s="1"/>
    </row>
    <row r="17966" spans="8:9" x14ac:dyDescent="0.2">
      <c r="H17966" s="1"/>
      <c r="I17966" s="1"/>
    </row>
    <row r="17967" spans="8:9" x14ac:dyDescent="0.2">
      <c r="H17967" s="1"/>
      <c r="I17967" s="1"/>
    </row>
    <row r="17968" spans="8:9" x14ac:dyDescent="0.2">
      <c r="H17968" s="1"/>
      <c r="I17968" s="1"/>
    </row>
    <row r="17969" spans="8:9" x14ac:dyDescent="0.2">
      <c r="H17969" s="1"/>
      <c r="I17969" s="1"/>
    </row>
    <row r="17970" spans="8:9" x14ac:dyDescent="0.2">
      <c r="H17970" s="1"/>
      <c r="I17970" s="1"/>
    </row>
    <row r="17971" spans="8:9" x14ac:dyDescent="0.2">
      <c r="H17971" s="1"/>
      <c r="I17971" s="1"/>
    </row>
    <row r="17972" spans="8:9" x14ac:dyDescent="0.2">
      <c r="H17972" s="1"/>
      <c r="I17972" s="1"/>
    </row>
    <row r="17973" spans="8:9" x14ac:dyDescent="0.2">
      <c r="H17973" s="1"/>
      <c r="I17973" s="1"/>
    </row>
    <row r="17974" spans="8:9" x14ac:dyDescent="0.2">
      <c r="H17974" s="1"/>
      <c r="I17974" s="1"/>
    </row>
    <row r="17975" spans="8:9" x14ac:dyDescent="0.2">
      <c r="H17975" s="1"/>
      <c r="I17975" s="1"/>
    </row>
    <row r="17976" spans="8:9" x14ac:dyDescent="0.2">
      <c r="H17976" s="1"/>
      <c r="I17976" s="1"/>
    </row>
    <row r="17977" spans="8:9" x14ac:dyDescent="0.2">
      <c r="H17977" s="1"/>
      <c r="I17977" s="1"/>
    </row>
    <row r="17978" spans="8:9" x14ac:dyDescent="0.2">
      <c r="H17978" s="1"/>
      <c r="I17978" s="1"/>
    </row>
    <row r="17979" spans="8:9" x14ac:dyDescent="0.2">
      <c r="H17979" s="1"/>
      <c r="I17979" s="1"/>
    </row>
    <row r="17980" spans="8:9" x14ac:dyDescent="0.2">
      <c r="H17980" s="1"/>
      <c r="I17980" s="1"/>
    </row>
    <row r="17981" spans="8:9" x14ac:dyDescent="0.2">
      <c r="H17981" s="1"/>
      <c r="I17981" s="1"/>
    </row>
    <row r="17982" spans="8:9" x14ac:dyDescent="0.2">
      <c r="H17982" s="1"/>
      <c r="I17982" s="1"/>
    </row>
    <row r="17983" spans="8:9" x14ac:dyDescent="0.2">
      <c r="H17983" s="1"/>
      <c r="I17983" s="1"/>
    </row>
    <row r="17984" spans="8:9" x14ac:dyDescent="0.2">
      <c r="H17984" s="1"/>
      <c r="I17984" s="1"/>
    </row>
    <row r="17985" spans="8:9" x14ac:dyDescent="0.2">
      <c r="H17985" s="1"/>
      <c r="I17985" s="1"/>
    </row>
    <row r="17986" spans="8:9" x14ac:dyDescent="0.2">
      <c r="H17986" s="1"/>
      <c r="I17986" s="1"/>
    </row>
    <row r="17987" spans="8:9" x14ac:dyDescent="0.2">
      <c r="H17987" s="1"/>
      <c r="I17987" s="1"/>
    </row>
    <row r="17988" spans="8:9" x14ac:dyDescent="0.2">
      <c r="H17988" s="1"/>
      <c r="I17988" s="1"/>
    </row>
    <row r="17989" spans="8:9" x14ac:dyDescent="0.2">
      <c r="H17989" s="1"/>
      <c r="I17989" s="1"/>
    </row>
    <row r="17990" spans="8:9" x14ac:dyDescent="0.2">
      <c r="H17990" s="1"/>
      <c r="I17990" s="1"/>
    </row>
    <row r="17991" spans="8:9" x14ac:dyDescent="0.2">
      <c r="H17991" s="1"/>
      <c r="I17991" s="1"/>
    </row>
    <row r="17992" spans="8:9" x14ac:dyDescent="0.2">
      <c r="H17992" s="1"/>
      <c r="I17992" s="1"/>
    </row>
    <row r="17993" spans="8:9" x14ac:dyDescent="0.2">
      <c r="H17993" s="1"/>
      <c r="I17993" s="1"/>
    </row>
    <row r="17994" spans="8:9" x14ac:dyDescent="0.2">
      <c r="H17994" s="1"/>
      <c r="I17994" s="1"/>
    </row>
    <row r="17995" spans="8:9" x14ac:dyDescent="0.2">
      <c r="H17995" s="1"/>
      <c r="I17995" s="1"/>
    </row>
    <row r="17996" spans="8:9" x14ac:dyDescent="0.2">
      <c r="H17996" s="1"/>
      <c r="I17996" s="1"/>
    </row>
    <row r="17997" spans="8:9" x14ac:dyDescent="0.2">
      <c r="H17997" s="1"/>
      <c r="I17997" s="1"/>
    </row>
    <row r="17998" spans="8:9" x14ac:dyDescent="0.2">
      <c r="H17998" s="1"/>
      <c r="I17998" s="1"/>
    </row>
    <row r="17999" spans="8:9" x14ac:dyDescent="0.2">
      <c r="H17999" s="1"/>
      <c r="I17999" s="1"/>
    </row>
    <row r="18000" spans="8:9" x14ac:dyDescent="0.2">
      <c r="H18000" s="1"/>
      <c r="I18000" s="1"/>
    </row>
    <row r="18001" spans="8:9" x14ac:dyDescent="0.2">
      <c r="H18001" s="1"/>
      <c r="I18001" s="1"/>
    </row>
    <row r="18002" spans="8:9" x14ac:dyDescent="0.2">
      <c r="H18002" s="1"/>
      <c r="I18002" s="1"/>
    </row>
    <row r="18003" spans="8:9" x14ac:dyDescent="0.2">
      <c r="H18003" s="1"/>
      <c r="I18003" s="1"/>
    </row>
    <row r="18004" spans="8:9" x14ac:dyDescent="0.2">
      <c r="H18004" s="1"/>
      <c r="I18004" s="1"/>
    </row>
    <row r="18005" spans="8:9" x14ac:dyDescent="0.2">
      <c r="H18005" s="1"/>
      <c r="I18005" s="1"/>
    </row>
    <row r="18006" spans="8:9" x14ac:dyDescent="0.2">
      <c r="H18006" s="1"/>
      <c r="I18006" s="1"/>
    </row>
    <row r="18007" spans="8:9" x14ac:dyDescent="0.2">
      <c r="H18007" s="1"/>
      <c r="I18007" s="1"/>
    </row>
    <row r="18008" spans="8:9" x14ac:dyDescent="0.2">
      <c r="H18008" s="1"/>
      <c r="I18008" s="1"/>
    </row>
    <row r="18009" spans="8:9" x14ac:dyDescent="0.2">
      <c r="H18009" s="1"/>
      <c r="I18009" s="1"/>
    </row>
    <row r="18010" spans="8:9" x14ac:dyDescent="0.2">
      <c r="H18010" s="1"/>
      <c r="I18010" s="1"/>
    </row>
    <row r="18011" spans="8:9" x14ac:dyDescent="0.2">
      <c r="H18011" s="1"/>
      <c r="I18011" s="1"/>
    </row>
    <row r="18012" spans="8:9" x14ac:dyDescent="0.2">
      <c r="H18012" s="1"/>
      <c r="I18012" s="1"/>
    </row>
    <row r="18013" spans="8:9" x14ac:dyDescent="0.2">
      <c r="H18013" s="1"/>
      <c r="I18013" s="1"/>
    </row>
    <row r="18014" spans="8:9" x14ac:dyDescent="0.2">
      <c r="H18014" s="1"/>
      <c r="I18014" s="1"/>
    </row>
    <row r="18015" spans="8:9" x14ac:dyDescent="0.2">
      <c r="H18015" s="1"/>
      <c r="I18015" s="1"/>
    </row>
    <row r="18016" spans="8:9" x14ac:dyDescent="0.2">
      <c r="H18016" s="1"/>
      <c r="I18016" s="1"/>
    </row>
    <row r="18017" spans="8:9" x14ac:dyDescent="0.2">
      <c r="H18017" s="1"/>
      <c r="I18017" s="1"/>
    </row>
    <row r="18018" spans="8:9" x14ac:dyDescent="0.2">
      <c r="H18018" s="1"/>
      <c r="I18018" s="1"/>
    </row>
    <row r="18019" spans="8:9" x14ac:dyDescent="0.2">
      <c r="H18019" s="1"/>
      <c r="I18019" s="1"/>
    </row>
    <row r="18020" spans="8:9" x14ac:dyDescent="0.2">
      <c r="H18020" s="1"/>
      <c r="I18020" s="1"/>
    </row>
    <row r="18021" spans="8:9" x14ac:dyDescent="0.2">
      <c r="H18021" s="1"/>
      <c r="I18021" s="1"/>
    </row>
    <row r="18022" spans="8:9" x14ac:dyDescent="0.2">
      <c r="H18022" s="1"/>
      <c r="I18022" s="1"/>
    </row>
    <row r="18023" spans="8:9" x14ac:dyDescent="0.2">
      <c r="H18023" s="1"/>
      <c r="I18023" s="1"/>
    </row>
    <row r="18024" spans="8:9" x14ac:dyDescent="0.2">
      <c r="H18024" s="1"/>
      <c r="I18024" s="1"/>
    </row>
    <row r="18025" spans="8:9" x14ac:dyDescent="0.2">
      <c r="H18025" s="1"/>
      <c r="I18025" s="1"/>
    </row>
    <row r="18026" spans="8:9" x14ac:dyDescent="0.2">
      <c r="H18026" s="1"/>
      <c r="I18026" s="1"/>
    </row>
    <row r="18027" spans="8:9" x14ac:dyDescent="0.2">
      <c r="H18027" s="1"/>
      <c r="I18027" s="1"/>
    </row>
    <row r="18028" spans="8:9" x14ac:dyDescent="0.2">
      <c r="H18028" s="1"/>
      <c r="I18028" s="1"/>
    </row>
    <row r="18029" spans="8:9" x14ac:dyDescent="0.2">
      <c r="H18029" s="1"/>
      <c r="I18029" s="1"/>
    </row>
    <row r="18030" spans="8:9" x14ac:dyDescent="0.2">
      <c r="H18030" s="1"/>
      <c r="I18030" s="1"/>
    </row>
    <row r="18031" spans="8:9" x14ac:dyDescent="0.2">
      <c r="H18031" s="1"/>
      <c r="I18031" s="1"/>
    </row>
    <row r="18032" spans="8:9" x14ac:dyDescent="0.2">
      <c r="H18032" s="1"/>
      <c r="I18032" s="1"/>
    </row>
    <row r="18033" spans="8:9" x14ac:dyDescent="0.2">
      <c r="H18033" s="1"/>
      <c r="I18033" s="1"/>
    </row>
    <row r="18034" spans="8:9" x14ac:dyDescent="0.2">
      <c r="H18034" s="1"/>
      <c r="I18034" s="1"/>
    </row>
    <row r="18035" spans="8:9" x14ac:dyDescent="0.2">
      <c r="H18035" s="1"/>
      <c r="I18035" s="1"/>
    </row>
    <row r="18036" spans="8:9" x14ac:dyDescent="0.2">
      <c r="H18036" s="1"/>
      <c r="I18036" s="1"/>
    </row>
    <row r="18037" spans="8:9" x14ac:dyDescent="0.2">
      <c r="H18037" s="1"/>
      <c r="I18037" s="1"/>
    </row>
    <row r="18038" spans="8:9" x14ac:dyDescent="0.2">
      <c r="H18038" s="1"/>
      <c r="I18038" s="1"/>
    </row>
    <row r="18039" spans="8:9" x14ac:dyDescent="0.2">
      <c r="H18039" s="1"/>
      <c r="I18039" s="1"/>
    </row>
    <row r="18040" spans="8:9" x14ac:dyDescent="0.2">
      <c r="H18040" s="1"/>
      <c r="I18040" s="1"/>
    </row>
    <row r="18041" spans="8:9" x14ac:dyDescent="0.2">
      <c r="H18041" s="1"/>
      <c r="I18041" s="1"/>
    </row>
    <row r="18042" spans="8:9" x14ac:dyDescent="0.2">
      <c r="H18042" s="1"/>
      <c r="I18042" s="1"/>
    </row>
    <row r="18043" spans="8:9" x14ac:dyDescent="0.2">
      <c r="H18043" s="1"/>
      <c r="I18043" s="1"/>
    </row>
    <row r="18044" spans="8:9" x14ac:dyDescent="0.2">
      <c r="H18044" s="1"/>
      <c r="I18044" s="1"/>
    </row>
    <row r="18045" spans="8:9" x14ac:dyDescent="0.2">
      <c r="H18045" s="1"/>
      <c r="I18045" s="1"/>
    </row>
    <row r="18046" spans="8:9" x14ac:dyDescent="0.2">
      <c r="H18046" s="1"/>
      <c r="I18046" s="1"/>
    </row>
    <row r="18047" spans="8:9" x14ac:dyDescent="0.2">
      <c r="H18047" s="1"/>
      <c r="I18047" s="1"/>
    </row>
    <row r="18048" spans="8:9" x14ac:dyDescent="0.2">
      <c r="H18048" s="1"/>
      <c r="I18048" s="1"/>
    </row>
    <row r="18049" spans="8:9" x14ac:dyDescent="0.2">
      <c r="H18049" s="1"/>
      <c r="I18049" s="1"/>
    </row>
    <row r="18050" spans="8:9" x14ac:dyDescent="0.2">
      <c r="H18050" s="1"/>
      <c r="I18050" s="1"/>
    </row>
    <row r="18051" spans="8:9" x14ac:dyDescent="0.2">
      <c r="H18051" s="1"/>
      <c r="I18051" s="1"/>
    </row>
    <row r="18052" spans="8:9" x14ac:dyDescent="0.2">
      <c r="H18052" s="1"/>
      <c r="I18052" s="1"/>
    </row>
    <row r="18053" spans="8:9" x14ac:dyDescent="0.2">
      <c r="H18053" s="1"/>
      <c r="I18053" s="1"/>
    </row>
    <row r="18054" spans="8:9" x14ac:dyDescent="0.2">
      <c r="H18054" s="1"/>
      <c r="I18054" s="1"/>
    </row>
    <row r="18055" spans="8:9" x14ac:dyDescent="0.2">
      <c r="H18055" s="1"/>
      <c r="I18055" s="1"/>
    </row>
    <row r="18056" spans="8:9" x14ac:dyDescent="0.2">
      <c r="H18056" s="1"/>
      <c r="I18056" s="1"/>
    </row>
    <row r="18057" spans="8:9" x14ac:dyDescent="0.2">
      <c r="H18057" s="1"/>
      <c r="I18057" s="1"/>
    </row>
    <row r="18058" spans="8:9" x14ac:dyDescent="0.2">
      <c r="H18058" s="1"/>
      <c r="I18058" s="1"/>
    </row>
    <row r="18059" spans="8:9" x14ac:dyDescent="0.2">
      <c r="H18059" s="1"/>
      <c r="I18059" s="1"/>
    </row>
    <row r="18060" spans="8:9" x14ac:dyDescent="0.2">
      <c r="H18060" s="1"/>
      <c r="I18060" s="1"/>
    </row>
    <row r="18061" spans="8:9" x14ac:dyDescent="0.2">
      <c r="H18061" s="1"/>
      <c r="I18061" s="1"/>
    </row>
    <row r="18062" spans="8:9" x14ac:dyDescent="0.2">
      <c r="H18062" s="1"/>
      <c r="I18062" s="1"/>
    </row>
    <row r="18063" spans="8:9" x14ac:dyDescent="0.2">
      <c r="H18063" s="1"/>
      <c r="I18063" s="1"/>
    </row>
    <row r="18064" spans="8:9" x14ac:dyDescent="0.2">
      <c r="H18064" s="1"/>
      <c r="I18064" s="1"/>
    </row>
    <row r="18065" spans="8:9" x14ac:dyDescent="0.2">
      <c r="H18065" s="1"/>
      <c r="I18065" s="1"/>
    </row>
    <row r="18066" spans="8:9" x14ac:dyDescent="0.2">
      <c r="H18066" s="1"/>
      <c r="I18066" s="1"/>
    </row>
    <row r="18067" spans="8:9" x14ac:dyDescent="0.2">
      <c r="H18067" s="1"/>
      <c r="I18067" s="1"/>
    </row>
    <row r="18068" spans="8:9" x14ac:dyDescent="0.2">
      <c r="H18068" s="1"/>
      <c r="I18068" s="1"/>
    </row>
    <row r="18069" spans="8:9" x14ac:dyDescent="0.2">
      <c r="H18069" s="1"/>
      <c r="I18069" s="1"/>
    </row>
    <row r="18070" spans="8:9" x14ac:dyDescent="0.2">
      <c r="H18070" s="1"/>
      <c r="I18070" s="1"/>
    </row>
    <row r="18071" spans="8:9" x14ac:dyDescent="0.2">
      <c r="H18071" s="1"/>
      <c r="I18071" s="1"/>
    </row>
    <row r="18072" spans="8:9" x14ac:dyDescent="0.2">
      <c r="H18072" s="1"/>
      <c r="I18072" s="1"/>
    </row>
    <row r="18073" spans="8:9" x14ac:dyDescent="0.2">
      <c r="H18073" s="1"/>
      <c r="I18073" s="1"/>
    </row>
    <row r="18074" spans="8:9" x14ac:dyDescent="0.2">
      <c r="H18074" s="1"/>
      <c r="I18074" s="1"/>
    </row>
    <row r="18075" spans="8:9" x14ac:dyDescent="0.2">
      <c r="H18075" s="1"/>
      <c r="I18075" s="1"/>
    </row>
    <row r="18076" spans="8:9" x14ac:dyDescent="0.2">
      <c r="H18076" s="1"/>
      <c r="I18076" s="1"/>
    </row>
    <row r="18077" spans="8:9" x14ac:dyDescent="0.2">
      <c r="H18077" s="1"/>
      <c r="I18077" s="1"/>
    </row>
    <row r="18078" spans="8:9" x14ac:dyDescent="0.2">
      <c r="H18078" s="1"/>
      <c r="I18078" s="1"/>
    </row>
    <row r="18079" spans="8:9" x14ac:dyDescent="0.2">
      <c r="H18079" s="1"/>
      <c r="I18079" s="1"/>
    </row>
    <row r="18080" spans="8:9" x14ac:dyDescent="0.2">
      <c r="H18080" s="1"/>
      <c r="I18080" s="1"/>
    </row>
    <row r="18081" spans="8:9" x14ac:dyDescent="0.2">
      <c r="H18081" s="1"/>
      <c r="I18081" s="1"/>
    </row>
    <row r="18082" spans="8:9" x14ac:dyDescent="0.2">
      <c r="H18082" s="1"/>
      <c r="I18082" s="1"/>
    </row>
    <row r="18083" spans="8:9" x14ac:dyDescent="0.2">
      <c r="H18083" s="1"/>
      <c r="I18083" s="1"/>
    </row>
    <row r="18084" spans="8:9" x14ac:dyDescent="0.2">
      <c r="H18084" s="1"/>
      <c r="I18084" s="1"/>
    </row>
    <row r="18085" spans="8:9" x14ac:dyDescent="0.2">
      <c r="H18085" s="1"/>
      <c r="I18085" s="1"/>
    </row>
    <row r="18086" spans="8:9" x14ac:dyDescent="0.2">
      <c r="H18086" s="1"/>
      <c r="I18086" s="1"/>
    </row>
    <row r="18087" spans="8:9" x14ac:dyDescent="0.2">
      <c r="H18087" s="1"/>
      <c r="I18087" s="1"/>
    </row>
    <row r="18088" spans="8:9" x14ac:dyDescent="0.2">
      <c r="H18088" s="1"/>
      <c r="I18088" s="1"/>
    </row>
    <row r="18089" spans="8:9" x14ac:dyDescent="0.2">
      <c r="H18089" s="1"/>
      <c r="I18089" s="1"/>
    </row>
    <row r="18090" spans="8:9" x14ac:dyDescent="0.2">
      <c r="H18090" s="1"/>
      <c r="I18090" s="1"/>
    </row>
    <row r="18091" spans="8:9" x14ac:dyDescent="0.2">
      <c r="H18091" s="1"/>
      <c r="I18091" s="1"/>
    </row>
    <row r="18092" spans="8:9" x14ac:dyDescent="0.2">
      <c r="H18092" s="1"/>
      <c r="I18092" s="1"/>
    </row>
    <row r="18093" spans="8:9" x14ac:dyDescent="0.2">
      <c r="H18093" s="1"/>
      <c r="I18093" s="1"/>
    </row>
    <row r="18094" spans="8:9" x14ac:dyDescent="0.2">
      <c r="H18094" s="1"/>
      <c r="I18094" s="1"/>
    </row>
    <row r="18095" spans="8:9" x14ac:dyDescent="0.2">
      <c r="H18095" s="1"/>
      <c r="I18095" s="1"/>
    </row>
    <row r="18096" spans="8:9" x14ac:dyDescent="0.2">
      <c r="H18096" s="1"/>
      <c r="I18096" s="1"/>
    </row>
    <row r="18097" spans="8:9" x14ac:dyDescent="0.2">
      <c r="H18097" s="1"/>
      <c r="I18097" s="1"/>
    </row>
    <row r="18098" spans="8:9" x14ac:dyDescent="0.2">
      <c r="H18098" s="1"/>
      <c r="I18098" s="1"/>
    </row>
    <row r="18099" spans="8:9" x14ac:dyDescent="0.2">
      <c r="H18099" s="1"/>
      <c r="I18099" s="1"/>
    </row>
    <row r="18100" spans="8:9" x14ac:dyDescent="0.2">
      <c r="H18100" s="1"/>
      <c r="I18100" s="1"/>
    </row>
    <row r="18101" spans="8:9" x14ac:dyDescent="0.2">
      <c r="H18101" s="1"/>
      <c r="I18101" s="1"/>
    </row>
    <row r="18102" spans="8:9" x14ac:dyDescent="0.2">
      <c r="H18102" s="1"/>
      <c r="I18102" s="1"/>
    </row>
    <row r="18103" spans="8:9" x14ac:dyDescent="0.2">
      <c r="H18103" s="1"/>
      <c r="I18103" s="1"/>
    </row>
    <row r="18104" spans="8:9" x14ac:dyDescent="0.2">
      <c r="H18104" s="1"/>
      <c r="I18104" s="1"/>
    </row>
    <row r="18105" spans="8:9" x14ac:dyDescent="0.2">
      <c r="H18105" s="1"/>
      <c r="I18105" s="1"/>
    </row>
    <row r="18106" spans="8:9" x14ac:dyDescent="0.2">
      <c r="H18106" s="1"/>
      <c r="I18106" s="1"/>
    </row>
    <row r="18107" spans="8:9" x14ac:dyDescent="0.2">
      <c r="H18107" s="1"/>
      <c r="I18107" s="1"/>
    </row>
    <row r="18108" spans="8:9" x14ac:dyDescent="0.2">
      <c r="H18108" s="1"/>
      <c r="I18108" s="1"/>
    </row>
    <row r="18109" spans="8:9" x14ac:dyDescent="0.2">
      <c r="H18109" s="1"/>
      <c r="I18109" s="1"/>
    </row>
    <row r="18110" spans="8:9" x14ac:dyDescent="0.2">
      <c r="H18110" s="1"/>
      <c r="I18110" s="1"/>
    </row>
    <row r="18111" spans="8:9" x14ac:dyDescent="0.2">
      <c r="H18111" s="1"/>
      <c r="I18111" s="1"/>
    </row>
    <row r="18112" spans="8:9" x14ac:dyDescent="0.2">
      <c r="H18112" s="1"/>
      <c r="I18112" s="1"/>
    </row>
    <row r="18113" spans="8:9" x14ac:dyDescent="0.2">
      <c r="H18113" s="1"/>
      <c r="I18113" s="1"/>
    </row>
    <row r="18114" spans="8:9" x14ac:dyDescent="0.2">
      <c r="H18114" s="1"/>
      <c r="I18114" s="1"/>
    </row>
    <row r="18115" spans="8:9" x14ac:dyDescent="0.2">
      <c r="H18115" s="1"/>
      <c r="I18115" s="1"/>
    </row>
    <row r="18116" spans="8:9" x14ac:dyDescent="0.2">
      <c r="H18116" s="1"/>
      <c r="I18116" s="1"/>
    </row>
    <row r="18117" spans="8:9" x14ac:dyDescent="0.2">
      <c r="H18117" s="1"/>
      <c r="I18117" s="1"/>
    </row>
    <row r="18118" spans="8:9" x14ac:dyDescent="0.2">
      <c r="H18118" s="1"/>
      <c r="I18118" s="1"/>
    </row>
    <row r="18119" spans="8:9" x14ac:dyDescent="0.2">
      <c r="H18119" s="1"/>
      <c r="I18119" s="1"/>
    </row>
    <row r="18120" spans="8:9" x14ac:dyDescent="0.2">
      <c r="H18120" s="1"/>
      <c r="I18120" s="1"/>
    </row>
    <row r="18121" spans="8:9" x14ac:dyDescent="0.2">
      <c r="H18121" s="1"/>
      <c r="I18121" s="1"/>
    </row>
    <row r="18122" spans="8:9" x14ac:dyDescent="0.2">
      <c r="H18122" s="1"/>
      <c r="I18122" s="1"/>
    </row>
    <row r="18123" spans="8:9" x14ac:dyDescent="0.2">
      <c r="H18123" s="1"/>
      <c r="I18123" s="1"/>
    </row>
    <row r="18124" spans="8:9" x14ac:dyDescent="0.2">
      <c r="H18124" s="1"/>
      <c r="I18124" s="1"/>
    </row>
    <row r="18125" spans="8:9" x14ac:dyDescent="0.2">
      <c r="H18125" s="1"/>
      <c r="I18125" s="1"/>
    </row>
    <row r="18126" spans="8:9" x14ac:dyDescent="0.2">
      <c r="H18126" s="1"/>
      <c r="I18126" s="1"/>
    </row>
    <row r="18127" spans="8:9" x14ac:dyDescent="0.2">
      <c r="H18127" s="1"/>
      <c r="I18127" s="1"/>
    </row>
    <row r="18128" spans="8:9" x14ac:dyDescent="0.2">
      <c r="H18128" s="1"/>
      <c r="I18128" s="1"/>
    </row>
    <row r="18129" spans="8:9" x14ac:dyDescent="0.2">
      <c r="H18129" s="1"/>
      <c r="I18129" s="1"/>
    </row>
    <row r="18130" spans="8:9" x14ac:dyDescent="0.2">
      <c r="H18130" s="1"/>
      <c r="I18130" s="1"/>
    </row>
    <row r="18131" spans="8:9" x14ac:dyDescent="0.2">
      <c r="H18131" s="1"/>
      <c r="I18131" s="1"/>
    </row>
    <row r="18132" spans="8:9" x14ac:dyDescent="0.2">
      <c r="H18132" s="1"/>
      <c r="I18132" s="1"/>
    </row>
    <row r="18133" spans="8:9" x14ac:dyDescent="0.2">
      <c r="H18133" s="1"/>
      <c r="I18133" s="1"/>
    </row>
    <row r="18134" spans="8:9" x14ac:dyDescent="0.2">
      <c r="H18134" s="1"/>
      <c r="I18134" s="1"/>
    </row>
    <row r="18135" spans="8:9" x14ac:dyDescent="0.2">
      <c r="H18135" s="1"/>
      <c r="I18135" s="1"/>
    </row>
    <row r="18136" spans="8:9" x14ac:dyDescent="0.2">
      <c r="H18136" s="1"/>
      <c r="I18136" s="1"/>
    </row>
    <row r="18137" spans="8:9" x14ac:dyDescent="0.2">
      <c r="H18137" s="1"/>
      <c r="I18137" s="1"/>
    </row>
    <row r="18138" spans="8:9" x14ac:dyDescent="0.2">
      <c r="H18138" s="1"/>
      <c r="I18138" s="1"/>
    </row>
    <row r="18139" spans="8:9" x14ac:dyDescent="0.2">
      <c r="H18139" s="1"/>
      <c r="I18139" s="1"/>
    </row>
    <row r="18140" spans="8:9" x14ac:dyDescent="0.2">
      <c r="H18140" s="1"/>
      <c r="I18140" s="1"/>
    </row>
    <row r="18141" spans="8:9" x14ac:dyDescent="0.2">
      <c r="H18141" s="1"/>
      <c r="I18141" s="1"/>
    </row>
    <row r="18142" spans="8:9" x14ac:dyDescent="0.2">
      <c r="H18142" s="1"/>
      <c r="I18142" s="1"/>
    </row>
    <row r="18143" spans="8:9" x14ac:dyDescent="0.2">
      <c r="H18143" s="1"/>
      <c r="I18143" s="1"/>
    </row>
    <row r="18144" spans="8:9" x14ac:dyDescent="0.2">
      <c r="H18144" s="1"/>
      <c r="I18144" s="1"/>
    </row>
    <row r="18145" spans="8:9" x14ac:dyDescent="0.2">
      <c r="H18145" s="1"/>
      <c r="I18145" s="1"/>
    </row>
    <row r="18146" spans="8:9" x14ac:dyDescent="0.2">
      <c r="H18146" s="1"/>
      <c r="I18146" s="1"/>
    </row>
    <row r="18147" spans="8:9" x14ac:dyDescent="0.2">
      <c r="H18147" s="1"/>
      <c r="I18147" s="1"/>
    </row>
    <row r="18148" spans="8:9" x14ac:dyDescent="0.2">
      <c r="H18148" s="1"/>
      <c r="I18148" s="1"/>
    </row>
    <row r="18149" spans="8:9" x14ac:dyDescent="0.2">
      <c r="H18149" s="1"/>
      <c r="I18149" s="1"/>
    </row>
    <row r="18150" spans="8:9" x14ac:dyDescent="0.2">
      <c r="H18150" s="1"/>
      <c r="I18150" s="1"/>
    </row>
    <row r="18151" spans="8:9" x14ac:dyDescent="0.2">
      <c r="H18151" s="1"/>
      <c r="I18151" s="1"/>
    </row>
    <row r="18152" spans="8:9" x14ac:dyDescent="0.2">
      <c r="H18152" s="1"/>
      <c r="I18152" s="1"/>
    </row>
    <row r="18153" spans="8:9" x14ac:dyDescent="0.2">
      <c r="H18153" s="1"/>
      <c r="I18153" s="1"/>
    </row>
    <row r="18154" spans="8:9" x14ac:dyDescent="0.2">
      <c r="H18154" s="1"/>
      <c r="I18154" s="1"/>
    </row>
    <row r="18155" spans="8:9" x14ac:dyDescent="0.2">
      <c r="H18155" s="1"/>
      <c r="I18155" s="1"/>
    </row>
    <row r="18156" spans="8:9" x14ac:dyDescent="0.2">
      <c r="H18156" s="1"/>
      <c r="I18156" s="1"/>
    </row>
    <row r="18157" spans="8:9" x14ac:dyDescent="0.2">
      <c r="H18157" s="1"/>
      <c r="I18157" s="1"/>
    </row>
    <row r="18158" spans="8:9" x14ac:dyDescent="0.2">
      <c r="H18158" s="1"/>
      <c r="I18158" s="1"/>
    </row>
    <row r="18159" spans="8:9" x14ac:dyDescent="0.2">
      <c r="H18159" s="1"/>
      <c r="I18159" s="1"/>
    </row>
    <row r="18160" spans="8:9" x14ac:dyDescent="0.2">
      <c r="H18160" s="1"/>
      <c r="I18160" s="1"/>
    </row>
    <row r="18161" spans="8:9" x14ac:dyDescent="0.2">
      <c r="H18161" s="1"/>
      <c r="I18161" s="1"/>
    </row>
    <row r="18162" spans="8:9" x14ac:dyDescent="0.2">
      <c r="H18162" s="1"/>
      <c r="I18162" s="1"/>
    </row>
    <row r="18163" spans="8:9" x14ac:dyDescent="0.2">
      <c r="H18163" s="1"/>
      <c r="I18163" s="1"/>
    </row>
    <row r="18164" spans="8:9" x14ac:dyDescent="0.2">
      <c r="H18164" s="1"/>
      <c r="I18164" s="1"/>
    </row>
    <row r="18165" spans="8:9" x14ac:dyDescent="0.2">
      <c r="H18165" s="1"/>
      <c r="I18165" s="1"/>
    </row>
    <row r="18166" spans="8:9" x14ac:dyDescent="0.2">
      <c r="H18166" s="1"/>
      <c r="I18166" s="1"/>
    </row>
    <row r="18167" spans="8:9" x14ac:dyDescent="0.2">
      <c r="H18167" s="1"/>
      <c r="I18167" s="1"/>
    </row>
    <row r="18168" spans="8:9" x14ac:dyDescent="0.2">
      <c r="H18168" s="1"/>
      <c r="I18168" s="1"/>
    </row>
    <row r="18169" spans="8:9" x14ac:dyDescent="0.2">
      <c r="H18169" s="1"/>
      <c r="I18169" s="1"/>
    </row>
    <row r="18170" spans="8:9" x14ac:dyDescent="0.2">
      <c r="H18170" s="1"/>
      <c r="I18170" s="1"/>
    </row>
    <row r="18171" spans="8:9" x14ac:dyDescent="0.2">
      <c r="H18171" s="1"/>
      <c r="I18171" s="1"/>
    </row>
    <row r="18172" spans="8:9" x14ac:dyDescent="0.2">
      <c r="H18172" s="1"/>
      <c r="I18172" s="1"/>
    </row>
    <row r="18173" spans="8:9" x14ac:dyDescent="0.2">
      <c r="H18173" s="1"/>
      <c r="I18173" s="1"/>
    </row>
    <row r="18174" spans="8:9" x14ac:dyDescent="0.2">
      <c r="H18174" s="1"/>
      <c r="I18174" s="1"/>
    </row>
    <row r="18175" spans="8:9" x14ac:dyDescent="0.2">
      <c r="H18175" s="1"/>
      <c r="I18175" s="1"/>
    </row>
    <row r="18176" spans="8:9" x14ac:dyDescent="0.2">
      <c r="H18176" s="1"/>
      <c r="I18176" s="1"/>
    </row>
    <row r="18177" spans="8:9" x14ac:dyDescent="0.2">
      <c r="H18177" s="1"/>
      <c r="I18177" s="1"/>
    </row>
    <row r="18178" spans="8:9" x14ac:dyDescent="0.2">
      <c r="H18178" s="1"/>
      <c r="I18178" s="1"/>
    </row>
    <row r="18179" spans="8:9" x14ac:dyDescent="0.2">
      <c r="H18179" s="1"/>
      <c r="I18179" s="1"/>
    </row>
    <row r="18180" spans="8:9" x14ac:dyDescent="0.2">
      <c r="H18180" s="1"/>
      <c r="I18180" s="1"/>
    </row>
    <row r="18181" spans="8:9" x14ac:dyDescent="0.2">
      <c r="H18181" s="1"/>
      <c r="I18181" s="1"/>
    </row>
    <row r="18182" spans="8:9" x14ac:dyDescent="0.2">
      <c r="H18182" s="1"/>
      <c r="I18182" s="1"/>
    </row>
    <row r="18183" spans="8:9" x14ac:dyDescent="0.2">
      <c r="H18183" s="1"/>
      <c r="I18183" s="1"/>
    </row>
    <row r="18184" spans="8:9" x14ac:dyDescent="0.2">
      <c r="H18184" s="1"/>
      <c r="I18184" s="1"/>
    </row>
    <row r="18185" spans="8:9" x14ac:dyDescent="0.2">
      <c r="H18185" s="1"/>
      <c r="I18185" s="1"/>
    </row>
    <row r="18186" spans="8:9" x14ac:dyDescent="0.2">
      <c r="H18186" s="1"/>
      <c r="I18186" s="1"/>
    </row>
    <row r="18187" spans="8:9" x14ac:dyDescent="0.2">
      <c r="H18187" s="1"/>
      <c r="I18187" s="1"/>
    </row>
    <row r="18188" spans="8:9" x14ac:dyDescent="0.2">
      <c r="H18188" s="1"/>
      <c r="I18188" s="1"/>
    </row>
    <row r="18189" spans="8:9" x14ac:dyDescent="0.2">
      <c r="H18189" s="1"/>
      <c r="I18189" s="1"/>
    </row>
    <row r="18190" spans="8:9" x14ac:dyDescent="0.2">
      <c r="H18190" s="1"/>
      <c r="I18190" s="1"/>
    </row>
    <row r="18191" spans="8:9" x14ac:dyDescent="0.2">
      <c r="H18191" s="1"/>
      <c r="I18191" s="1"/>
    </row>
    <row r="18192" spans="8:9" x14ac:dyDescent="0.2">
      <c r="H18192" s="1"/>
      <c r="I18192" s="1"/>
    </row>
    <row r="18193" spans="8:9" x14ac:dyDescent="0.2">
      <c r="H18193" s="1"/>
      <c r="I18193" s="1"/>
    </row>
    <row r="18194" spans="8:9" x14ac:dyDescent="0.2">
      <c r="H18194" s="1"/>
      <c r="I18194" s="1"/>
    </row>
    <row r="18195" spans="8:9" x14ac:dyDescent="0.2">
      <c r="H18195" s="1"/>
      <c r="I18195" s="1"/>
    </row>
    <row r="18196" spans="8:9" x14ac:dyDescent="0.2">
      <c r="H18196" s="1"/>
      <c r="I18196" s="1"/>
    </row>
    <row r="18197" spans="8:9" x14ac:dyDescent="0.2">
      <c r="H18197" s="1"/>
      <c r="I18197" s="1"/>
    </row>
    <row r="18198" spans="8:9" x14ac:dyDescent="0.2">
      <c r="H18198" s="1"/>
      <c r="I18198" s="1"/>
    </row>
    <row r="18199" spans="8:9" x14ac:dyDescent="0.2">
      <c r="H18199" s="1"/>
      <c r="I18199" s="1"/>
    </row>
    <row r="18200" spans="8:9" x14ac:dyDescent="0.2">
      <c r="H18200" s="1"/>
      <c r="I18200" s="1"/>
    </row>
    <row r="18201" spans="8:9" x14ac:dyDescent="0.2">
      <c r="H18201" s="1"/>
      <c r="I18201" s="1"/>
    </row>
    <row r="18202" spans="8:9" x14ac:dyDescent="0.2">
      <c r="H18202" s="1"/>
      <c r="I18202" s="1"/>
    </row>
    <row r="18203" spans="8:9" x14ac:dyDescent="0.2">
      <c r="H18203" s="1"/>
      <c r="I18203" s="1"/>
    </row>
    <row r="18204" spans="8:9" x14ac:dyDescent="0.2">
      <c r="H18204" s="1"/>
      <c r="I18204" s="1"/>
    </row>
    <row r="18205" spans="8:9" x14ac:dyDescent="0.2">
      <c r="H18205" s="1"/>
      <c r="I18205" s="1"/>
    </row>
    <row r="18206" spans="8:9" x14ac:dyDescent="0.2">
      <c r="H18206" s="1"/>
      <c r="I18206" s="1"/>
    </row>
    <row r="18207" spans="8:9" x14ac:dyDescent="0.2">
      <c r="H18207" s="1"/>
      <c r="I18207" s="1"/>
    </row>
    <row r="18208" spans="8:9" x14ac:dyDescent="0.2">
      <c r="H18208" s="1"/>
      <c r="I18208" s="1"/>
    </row>
    <row r="18209" spans="8:9" x14ac:dyDescent="0.2">
      <c r="H18209" s="1"/>
      <c r="I18209" s="1"/>
    </row>
    <row r="18210" spans="8:9" x14ac:dyDescent="0.2">
      <c r="H18210" s="1"/>
      <c r="I18210" s="1"/>
    </row>
    <row r="18211" spans="8:9" x14ac:dyDescent="0.2">
      <c r="H18211" s="1"/>
      <c r="I18211" s="1"/>
    </row>
    <row r="18212" spans="8:9" x14ac:dyDescent="0.2">
      <c r="H18212" s="1"/>
      <c r="I18212" s="1"/>
    </row>
    <row r="18213" spans="8:9" x14ac:dyDescent="0.2">
      <c r="H18213" s="1"/>
      <c r="I18213" s="1"/>
    </row>
    <row r="18214" spans="8:9" x14ac:dyDescent="0.2">
      <c r="H18214" s="1"/>
      <c r="I18214" s="1"/>
    </row>
    <row r="18215" spans="8:9" x14ac:dyDescent="0.2">
      <c r="H18215" s="1"/>
      <c r="I18215" s="1"/>
    </row>
    <row r="18216" spans="8:9" x14ac:dyDescent="0.2">
      <c r="H18216" s="1"/>
      <c r="I18216" s="1"/>
    </row>
    <row r="18217" spans="8:9" x14ac:dyDescent="0.2">
      <c r="H18217" s="1"/>
      <c r="I18217" s="1"/>
    </row>
    <row r="18218" spans="8:9" x14ac:dyDescent="0.2">
      <c r="H18218" s="1"/>
      <c r="I18218" s="1"/>
    </row>
    <row r="18219" spans="8:9" x14ac:dyDescent="0.2">
      <c r="H18219" s="1"/>
      <c r="I18219" s="1"/>
    </row>
    <row r="18220" spans="8:9" x14ac:dyDescent="0.2">
      <c r="H18220" s="1"/>
      <c r="I18220" s="1"/>
    </row>
    <row r="18221" spans="8:9" x14ac:dyDescent="0.2">
      <c r="H18221" s="1"/>
      <c r="I18221" s="1"/>
    </row>
    <row r="18222" spans="8:9" x14ac:dyDescent="0.2">
      <c r="H18222" s="1"/>
      <c r="I18222" s="1"/>
    </row>
    <row r="18223" spans="8:9" x14ac:dyDescent="0.2">
      <c r="H18223" s="1"/>
      <c r="I18223" s="1"/>
    </row>
    <row r="18224" spans="8:9" x14ac:dyDescent="0.2">
      <c r="H18224" s="1"/>
      <c r="I18224" s="1"/>
    </row>
    <row r="18225" spans="8:9" x14ac:dyDescent="0.2">
      <c r="H18225" s="1"/>
      <c r="I18225" s="1"/>
    </row>
    <row r="18226" spans="8:9" x14ac:dyDescent="0.2">
      <c r="H18226" s="1"/>
      <c r="I18226" s="1"/>
    </row>
    <row r="18227" spans="8:9" x14ac:dyDescent="0.2">
      <c r="H18227" s="1"/>
      <c r="I18227" s="1"/>
    </row>
    <row r="18228" spans="8:9" x14ac:dyDescent="0.2">
      <c r="H18228" s="1"/>
      <c r="I18228" s="1"/>
    </row>
    <row r="18229" spans="8:9" x14ac:dyDescent="0.2">
      <c r="H18229" s="1"/>
      <c r="I18229" s="1"/>
    </row>
    <row r="18230" spans="8:9" x14ac:dyDescent="0.2">
      <c r="H18230" s="1"/>
      <c r="I18230" s="1"/>
    </row>
    <row r="18231" spans="8:9" x14ac:dyDescent="0.2">
      <c r="H18231" s="1"/>
      <c r="I18231" s="1"/>
    </row>
    <row r="18232" spans="8:9" x14ac:dyDescent="0.2">
      <c r="H18232" s="1"/>
      <c r="I18232" s="1"/>
    </row>
    <row r="18233" spans="8:9" x14ac:dyDescent="0.2">
      <c r="H18233" s="1"/>
      <c r="I18233" s="1"/>
    </row>
    <row r="18234" spans="8:9" x14ac:dyDescent="0.2">
      <c r="H18234" s="1"/>
      <c r="I18234" s="1"/>
    </row>
    <row r="18235" spans="8:9" x14ac:dyDescent="0.2">
      <c r="H18235" s="1"/>
      <c r="I18235" s="1"/>
    </row>
    <row r="18236" spans="8:9" x14ac:dyDescent="0.2">
      <c r="H18236" s="1"/>
      <c r="I18236" s="1"/>
    </row>
    <row r="18237" spans="8:9" x14ac:dyDescent="0.2">
      <c r="H18237" s="1"/>
      <c r="I18237" s="1"/>
    </row>
    <row r="18238" spans="8:9" x14ac:dyDescent="0.2">
      <c r="H18238" s="1"/>
      <c r="I18238" s="1"/>
    </row>
    <row r="18239" spans="8:9" x14ac:dyDescent="0.2">
      <c r="H18239" s="1"/>
      <c r="I18239" s="1"/>
    </row>
    <row r="18240" spans="8:9" x14ac:dyDescent="0.2">
      <c r="H18240" s="1"/>
      <c r="I18240" s="1"/>
    </row>
    <row r="18241" spans="8:9" x14ac:dyDescent="0.2">
      <c r="H18241" s="1"/>
      <c r="I18241" s="1"/>
    </row>
    <row r="18242" spans="8:9" x14ac:dyDescent="0.2">
      <c r="H18242" s="1"/>
      <c r="I18242" s="1"/>
    </row>
    <row r="18243" spans="8:9" x14ac:dyDescent="0.2">
      <c r="H18243" s="1"/>
      <c r="I18243" s="1"/>
    </row>
    <row r="18244" spans="8:9" x14ac:dyDescent="0.2">
      <c r="H18244" s="1"/>
      <c r="I18244" s="1"/>
    </row>
    <row r="18245" spans="8:9" x14ac:dyDescent="0.2">
      <c r="H18245" s="1"/>
      <c r="I18245" s="1"/>
    </row>
    <row r="18246" spans="8:9" x14ac:dyDescent="0.2">
      <c r="H18246" s="1"/>
      <c r="I18246" s="1"/>
    </row>
    <row r="18247" spans="8:9" x14ac:dyDescent="0.2">
      <c r="H18247" s="1"/>
      <c r="I18247" s="1"/>
    </row>
    <row r="18248" spans="8:9" x14ac:dyDescent="0.2">
      <c r="H18248" s="1"/>
      <c r="I18248" s="1"/>
    </row>
    <row r="18249" spans="8:9" x14ac:dyDescent="0.2">
      <c r="H18249" s="1"/>
      <c r="I18249" s="1"/>
    </row>
    <row r="18250" spans="8:9" x14ac:dyDescent="0.2">
      <c r="H18250" s="1"/>
      <c r="I18250" s="1"/>
    </row>
    <row r="18251" spans="8:9" x14ac:dyDescent="0.2">
      <c r="H18251" s="1"/>
      <c r="I18251" s="1"/>
    </row>
    <row r="18252" spans="8:9" x14ac:dyDescent="0.2">
      <c r="H18252" s="1"/>
      <c r="I18252" s="1"/>
    </row>
    <row r="18253" spans="8:9" x14ac:dyDescent="0.2">
      <c r="H18253" s="1"/>
      <c r="I18253" s="1"/>
    </row>
    <row r="18254" spans="8:9" x14ac:dyDescent="0.2">
      <c r="H18254" s="1"/>
      <c r="I18254" s="1"/>
    </row>
    <row r="18255" spans="8:9" x14ac:dyDescent="0.2">
      <c r="H18255" s="1"/>
      <c r="I18255" s="1"/>
    </row>
    <row r="18256" spans="8:9" x14ac:dyDescent="0.2">
      <c r="H18256" s="1"/>
      <c r="I18256" s="1"/>
    </row>
    <row r="18257" spans="8:9" x14ac:dyDescent="0.2">
      <c r="H18257" s="1"/>
      <c r="I18257" s="1"/>
    </row>
    <row r="18258" spans="8:9" x14ac:dyDescent="0.2">
      <c r="H18258" s="1"/>
      <c r="I18258" s="1"/>
    </row>
    <row r="18259" spans="8:9" x14ac:dyDescent="0.2">
      <c r="H18259" s="1"/>
      <c r="I18259" s="1"/>
    </row>
    <row r="18260" spans="8:9" x14ac:dyDescent="0.2">
      <c r="H18260" s="1"/>
      <c r="I18260" s="1"/>
    </row>
    <row r="18261" spans="8:9" x14ac:dyDescent="0.2">
      <c r="H18261" s="1"/>
      <c r="I18261" s="1"/>
    </row>
    <row r="18262" spans="8:9" x14ac:dyDescent="0.2">
      <c r="H18262" s="1"/>
      <c r="I18262" s="1"/>
    </row>
    <row r="18263" spans="8:9" x14ac:dyDescent="0.2">
      <c r="H18263" s="1"/>
      <c r="I18263" s="1"/>
    </row>
    <row r="18264" spans="8:9" x14ac:dyDescent="0.2">
      <c r="H18264" s="1"/>
      <c r="I18264" s="1"/>
    </row>
    <row r="18265" spans="8:9" x14ac:dyDescent="0.2">
      <c r="H18265" s="1"/>
      <c r="I18265" s="1"/>
    </row>
    <row r="18266" spans="8:9" x14ac:dyDescent="0.2">
      <c r="H18266" s="1"/>
      <c r="I18266" s="1"/>
    </row>
    <row r="18267" spans="8:9" x14ac:dyDescent="0.2">
      <c r="H18267" s="1"/>
      <c r="I18267" s="1"/>
    </row>
    <row r="18268" spans="8:9" x14ac:dyDescent="0.2">
      <c r="H18268" s="1"/>
      <c r="I18268" s="1"/>
    </row>
    <row r="18269" spans="8:9" x14ac:dyDescent="0.2">
      <c r="H18269" s="1"/>
      <c r="I18269" s="1"/>
    </row>
    <row r="18270" spans="8:9" x14ac:dyDescent="0.2">
      <c r="H18270" s="1"/>
      <c r="I18270" s="1"/>
    </row>
    <row r="18271" spans="8:9" x14ac:dyDescent="0.2">
      <c r="H18271" s="1"/>
      <c r="I18271" s="1"/>
    </row>
    <row r="18272" spans="8:9" x14ac:dyDescent="0.2">
      <c r="H18272" s="1"/>
      <c r="I18272" s="1"/>
    </row>
    <row r="18273" spans="8:9" x14ac:dyDescent="0.2">
      <c r="H18273" s="1"/>
      <c r="I18273" s="1"/>
    </row>
    <row r="18274" spans="8:9" x14ac:dyDescent="0.2">
      <c r="H18274" s="1"/>
      <c r="I18274" s="1"/>
    </row>
    <row r="18275" spans="8:9" x14ac:dyDescent="0.2">
      <c r="H18275" s="1"/>
      <c r="I18275" s="1"/>
    </row>
    <row r="18276" spans="8:9" x14ac:dyDescent="0.2">
      <c r="H18276" s="1"/>
      <c r="I18276" s="1"/>
    </row>
    <row r="18277" spans="8:9" x14ac:dyDescent="0.2">
      <c r="H18277" s="1"/>
      <c r="I18277" s="1"/>
    </row>
    <row r="18278" spans="8:9" x14ac:dyDescent="0.2">
      <c r="H18278" s="1"/>
      <c r="I18278" s="1"/>
    </row>
    <row r="18279" spans="8:9" x14ac:dyDescent="0.2">
      <c r="H18279" s="1"/>
      <c r="I18279" s="1"/>
    </row>
    <row r="18280" spans="8:9" x14ac:dyDescent="0.2">
      <c r="H18280" s="1"/>
      <c r="I18280" s="1"/>
    </row>
    <row r="18281" spans="8:9" x14ac:dyDescent="0.2">
      <c r="H18281" s="1"/>
      <c r="I18281" s="1"/>
    </row>
    <row r="18282" spans="8:9" x14ac:dyDescent="0.2">
      <c r="H18282" s="1"/>
      <c r="I18282" s="1"/>
    </row>
    <row r="18283" spans="8:9" x14ac:dyDescent="0.2">
      <c r="H18283" s="1"/>
      <c r="I18283" s="1"/>
    </row>
    <row r="18284" spans="8:9" x14ac:dyDescent="0.2">
      <c r="H18284" s="1"/>
      <c r="I18284" s="1"/>
    </row>
    <row r="18285" spans="8:9" x14ac:dyDescent="0.2">
      <c r="H18285" s="1"/>
      <c r="I18285" s="1"/>
    </row>
    <row r="18286" spans="8:9" x14ac:dyDescent="0.2">
      <c r="H18286" s="1"/>
      <c r="I18286" s="1"/>
    </row>
    <row r="18287" spans="8:9" x14ac:dyDescent="0.2">
      <c r="H18287" s="1"/>
      <c r="I18287" s="1"/>
    </row>
    <row r="18288" spans="8:9" x14ac:dyDescent="0.2">
      <c r="H18288" s="1"/>
      <c r="I18288" s="1"/>
    </row>
    <row r="18289" spans="8:9" x14ac:dyDescent="0.2">
      <c r="H18289" s="1"/>
      <c r="I18289" s="1"/>
    </row>
    <row r="18290" spans="8:9" x14ac:dyDescent="0.2">
      <c r="H18290" s="1"/>
      <c r="I18290" s="1"/>
    </row>
    <row r="18291" spans="8:9" x14ac:dyDescent="0.2">
      <c r="H18291" s="1"/>
      <c r="I18291" s="1"/>
    </row>
    <row r="18292" spans="8:9" x14ac:dyDescent="0.2">
      <c r="H18292" s="1"/>
      <c r="I18292" s="1"/>
    </row>
    <row r="18293" spans="8:9" x14ac:dyDescent="0.2">
      <c r="H18293" s="1"/>
      <c r="I18293" s="1"/>
    </row>
    <row r="18294" spans="8:9" x14ac:dyDescent="0.2">
      <c r="H18294" s="1"/>
      <c r="I18294" s="1"/>
    </row>
    <row r="18295" spans="8:9" x14ac:dyDescent="0.2">
      <c r="H18295" s="1"/>
      <c r="I18295" s="1"/>
    </row>
    <row r="18296" spans="8:9" x14ac:dyDescent="0.2">
      <c r="H18296" s="1"/>
      <c r="I18296" s="1"/>
    </row>
    <row r="18297" spans="8:9" x14ac:dyDescent="0.2">
      <c r="H18297" s="1"/>
      <c r="I18297" s="1"/>
    </row>
    <row r="18298" spans="8:9" x14ac:dyDescent="0.2">
      <c r="H18298" s="1"/>
      <c r="I18298" s="1"/>
    </row>
    <row r="18299" spans="8:9" x14ac:dyDescent="0.2">
      <c r="H18299" s="1"/>
      <c r="I18299" s="1"/>
    </row>
    <row r="18300" spans="8:9" x14ac:dyDescent="0.2">
      <c r="H18300" s="1"/>
      <c r="I18300" s="1"/>
    </row>
    <row r="18301" spans="8:9" x14ac:dyDescent="0.2">
      <c r="H18301" s="1"/>
      <c r="I18301" s="1"/>
    </row>
    <row r="18302" spans="8:9" x14ac:dyDescent="0.2">
      <c r="H18302" s="1"/>
      <c r="I18302" s="1"/>
    </row>
    <row r="18303" spans="8:9" x14ac:dyDescent="0.2">
      <c r="H18303" s="1"/>
      <c r="I18303" s="1"/>
    </row>
    <row r="18304" spans="8:9" x14ac:dyDescent="0.2">
      <c r="H18304" s="1"/>
      <c r="I18304" s="1"/>
    </row>
    <row r="18305" spans="8:9" x14ac:dyDescent="0.2">
      <c r="H18305" s="1"/>
      <c r="I18305" s="1"/>
    </row>
    <row r="18306" spans="8:9" x14ac:dyDescent="0.2">
      <c r="H18306" s="1"/>
      <c r="I18306" s="1"/>
    </row>
    <row r="18307" spans="8:9" x14ac:dyDescent="0.2">
      <c r="H18307" s="1"/>
      <c r="I18307" s="1"/>
    </row>
    <row r="18308" spans="8:9" x14ac:dyDescent="0.2">
      <c r="H18308" s="1"/>
      <c r="I18308" s="1"/>
    </row>
    <row r="18309" spans="8:9" x14ac:dyDescent="0.2">
      <c r="H18309" s="1"/>
      <c r="I18309" s="1"/>
    </row>
    <row r="18310" spans="8:9" x14ac:dyDescent="0.2">
      <c r="H18310" s="1"/>
      <c r="I18310" s="1"/>
    </row>
    <row r="18311" spans="8:9" x14ac:dyDescent="0.2">
      <c r="H18311" s="1"/>
      <c r="I18311" s="1"/>
    </row>
    <row r="18312" spans="8:9" x14ac:dyDescent="0.2">
      <c r="H18312" s="1"/>
      <c r="I18312" s="1"/>
    </row>
    <row r="18313" spans="8:9" x14ac:dyDescent="0.2">
      <c r="H18313" s="1"/>
      <c r="I18313" s="1"/>
    </row>
    <row r="18314" spans="8:9" x14ac:dyDescent="0.2">
      <c r="H18314" s="1"/>
      <c r="I18314" s="1"/>
    </row>
    <row r="18315" spans="8:9" x14ac:dyDescent="0.2">
      <c r="H18315" s="1"/>
      <c r="I18315" s="1"/>
    </row>
    <row r="18316" spans="8:9" x14ac:dyDescent="0.2">
      <c r="H18316" s="1"/>
      <c r="I18316" s="1"/>
    </row>
    <row r="18317" spans="8:9" x14ac:dyDescent="0.2">
      <c r="H18317" s="1"/>
      <c r="I18317" s="1"/>
    </row>
    <row r="18318" spans="8:9" x14ac:dyDescent="0.2">
      <c r="H18318" s="1"/>
      <c r="I18318" s="1"/>
    </row>
    <row r="18319" spans="8:9" x14ac:dyDescent="0.2">
      <c r="H18319" s="1"/>
      <c r="I18319" s="1"/>
    </row>
    <row r="18320" spans="8:9" x14ac:dyDescent="0.2">
      <c r="H18320" s="1"/>
      <c r="I18320" s="1"/>
    </row>
    <row r="18321" spans="8:9" x14ac:dyDescent="0.2">
      <c r="H18321" s="1"/>
      <c r="I18321" s="1"/>
    </row>
    <row r="18322" spans="8:9" x14ac:dyDescent="0.2">
      <c r="H18322" s="1"/>
      <c r="I18322" s="1"/>
    </row>
    <row r="18323" spans="8:9" x14ac:dyDescent="0.2">
      <c r="H18323" s="1"/>
      <c r="I18323" s="1"/>
    </row>
    <row r="18324" spans="8:9" x14ac:dyDescent="0.2">
      <c r="H18324" s="1"/>
      <c r="I18324" s="1"/>
    </row>
    <row r="18325" spans="8:9" x14ac:dyDescent="0.2">
      <c r="H18325" s="1"/>
      <c r="I18325" s="1"/>
    </row>
    <row r="18326" spans="8:9" x14ac:dyDescent="0.2">
      <c r="H18326" s="1"/>
      <c r="I18326" s="1"/>
    </row>
    <row r="18327" spans="8:9" x14ac:dyDescent="0.2">
      <c r="H18327" s="1"/>
      <c r="I18327" s="1"/>
    </row>
    <row r="18328" spans="8:9" x14ac:dyDescent="0.2">
      <c r="H18328" s="1"/>
      <c r="I18328" s="1"/>
    </row>
    <row r="18329" spans="8:9" x14ac:dyDescent="0.2">
      <c r="H18329" s="1"/>
      <c r="I18329" s="1"/>
    </row>
    <row r="18330" spans="8:9" x14ac:dyDescent="0.2">
      <c r="H18330" s="1"/>
      <c r="I18330" s="1"/>
    </row>
    <row r="18331" spans="8:9" x14ac:dyDescent="0.2">
      <c r="H18331" s="1"/>
      <c r="I18331" s="1"/>
    </row>
    <row r="18332" spans="8:9" x14ac:dyDescent="0.2">
      <c r="H18332" s="1"/>
      <c r="I18332" s="1"/>
    </row>
    <row r="18333" spans="8:9" x14ac:dyDescent="0.2">
      <c r="H18333" s="1"/>
      <c r="I18333" s="1"/>
    </row>
    <row r="18334" spans="8:9" x14ac:dyDescent="0.2">
      <c r="H18334" s="1"/>
      <c r="I18334" s="1"/>
    </row>
    <row r="18335" spans="8:9" x14ac:dyDescent="0.2">
      <c r="H18335" s="1"/>
      <c r="I18335" s="1"/>
    </row>
    <row r="18336" spans="8:9" x14ac:dyDescent="0.2">
      <c r="H18336" s="1"/>
      <c r="I18336" s="1"/>
    </row>
    <row r="18337" spans="8:9" x14ac:dyDescent="0.2">
      <c r="H18337" s="1"/>
      <c r="I18337" s="1"/>
    </row>
    <row r="18338" spans="8:9" x14ac:dyDescent="0.2">
      <c r="H18338" s="1"/>
      <c r="I18338" s="1"/>
    </row>
    <row r="18339" spans="8:9" x14ac:dyDescent="0.2">
      <c r="H18339" s="1"/>
      <c r="I18339" s="1"/>
    </row>
    <row r="18340" spans="8:9" x14ac:dyDescent="0.2">
      <c r="H18340" s="1"/>
      <c r="I18340" s="1"/>
    </row>
    <row r="18341" spans="8:9" x14ac:dyDescent="0.2">
      <c r="H18341" s="1"/>
      <c r="I18341" s="1"/>
    </row>
    <row r="18342" spans="8:9" x14ac:dyDescent="0.2">
      <c r="H18342" s="1"/>
      <c r="I18342" s="1"/>
    </row>
    <row r="18343" spans="8:9" x14ac:dyDescent="0.2">
      <c r="H18343" s="1"/>
      <c r="I18343" s="1"/>
    </row>
    <row r="18344" spans="8:9" x14ac:dyDescent="0.2">
      <c r="H18344" s="1"/>
      <c r="I18344" s="1"/>
    </row>
    <row r="18345" spans="8:9" x14ac:dyDescent="0.2">
      <c r="H18345" s="1"/>
      <c r="I18345" s="1"/>
    </row>
    <row r="18346" spans="8:9" x14ac:dyDescent="0.2">
      <c r="H18346" s="1"/>
      <c r="I18346" s="1"/>
    </row>
    <row r="18347" spans="8:9" x14ac:dyDescent="0.2">
      <c r="H18347" s="1"/>
      <c r="I18347" s="1"/>
    </row>
    <row r="18348" spans="8:9" x14ac:dyDescent="0.2">
      <c r="H18348" s="1"/>
      <c r="I18348" s="1"/>
    </row>
    <row r="18349" spans="8:9" x14ac:dyDescent="0.2">
      <c r="H18349" s="1"/>
      <c r="I18349" s="1"/>
    </row>
    <row r="18350" spans="8:9" x14ac:dyDescent="0.2">
      <c r="H18350" s="1"/>
      <c r="I18350" s="1"/>
    </row>
    <row r="18351" spans="8:9" x14ac:dyDescent="0.2">
      <c r="H18351" s="1"/>
      <c r="I18351" s="1"/>
    </row>
    <row r="18352" spans="8:9" x14ac:dyDescent="0.2">
      <c r="H18352" s="1"/>
      <c r="I18352" s="1"/>
    </row>
    <row r="18353" spans="8:9" x14ac:dyDescent="0.2">
      <c r="H18353" s="1"/>
      <c r="I18353" s="1"/>
    </row>
    <row r="18354" spans="8:9" x14ac:dyDescent="0.2">
      <c r="H18354" s="1"/>
      <c r="I18354" s="1"/>
    </row>
    <row r="18355" spans="8:9" x14ac:dyDescent="0.2">
      <c r="H18355" s="1"/>
      <c r="I18355" s="1"/>
    </row>
    <row r="18356" spans="8:9" x14ac:dyDescent="0.2">
      <c r="H18356" s="1"/>
      <c r="I18356" s="1"/>
    </row>
    <row r="18357" spans="8:9" x14ac:dyDescent="0.2">
      <c r="H18357" s="1"/>
      <c r="I18357" s="1"/>
    </row>
    <row r="18358" spans="8:9" x14ac:dyDescent="0.2">
      <c r="H18358" s="1"/>
      <c r="I18358" s="1"/>
    </row>
    <row r="18359" spans="8:9" x14ac:dyDescent="0.2">
      <c r="H18359" s="1"/>
      <c r="I18359" s="1"/>
    </row>
    <row r="18360" spans="8:9" x14ac:dyDescent="0.2">
      <c r="H18360" s="1"/>
      <c r="I18360" s="1"/>
    </row>
    <row r="18361" spans="8:9" x14ac:dyDescent="0.2">
      <c r="H18361" s="1"/>
      <c r="I18361" s="1"/>
    </row>
    <row r="18362" spans="8:9" x14ac:dyDescent="0.2">
      <c r="H18362" s="1"/>
      <c r="I18362" s="1"/>
    </row>
    <row r="18363" spans="8:9" x14ac:dyDescent="0.2">
      <c r="H18363" s="1"/>
      <c r="I18363" s="1"/>
    </row>
    <row r="18364" spans="8:9" x14ac:dyDescent="0.2">
      <c r="H18364" s="1"/>
      <c r="I18364" s="1"/>
    </row>
    <row r="18365" spans="8:9" x14ac:dyDescent="0.2">
      <c r="H18365" s="1"/>
      <c r="I18365" s="1"/>
    </row>
    <row r="18366" spans="8:9" x14ac:dyDescent="0.2">
      <c r="H18366" s="1"/>
      <c r="I18366" s="1"/>
    </row>
    <row r="18367" spans="8:9" x14ac:dyDescent="0.2">
      <c r="H18367" s="1"/>
      <c r="I18367" s="1"/>
    </row>
    <row r="18368" spans="8:9" x14ac:dyDescent="0.2">
      <c r="H18368" s="1"/>
      <c r="I18368" s="1"/>
    </row>
    <row r="18369" spans="8:9" x14ac:dyDescent="0.2">
      <c r="H18369" s="1"/>
      <c r="I18369" s="1"/>
    </row>
    <row r="18370" spans="8:9" x14ac:dyDescent="0.2">
      <c r="H18370" s="1"/>
      <c r="I18370" s="1"/>
    </row>
    <row r="18371" spans="8:9" x14ac:dyDescent="0.2">
      <c r="H18371" s="1"/>
      <c r="I18371" s="1"/>
    </row>
    <row r="18372" spans="8:9" x14ac:dyDescent="0.2">
      <c r="H18372" s="1"/>
      <c r="I18372" s="1"/>
    </row>
    <row r="18373" spans="8:9" x14ac:dyDescent="0.2">
      <c r="H18373" s="1"/>
      <c r="I18373" s="1"/>
    </row>
    <row r="18374" spans="8:9" x14ac:dyDescent="0.2">
      <c r="H18374" s="1"/>
      <c r="I18374" s="1"/>
    </row>
    <row r="18375" spans="8:9" x14ac:dyDescent="0.2">
      <c r="H18375" s="1"/>
      <c r="I18375" s="1"/>
    </row>
    <row r="18376" spans="8:9" x14ac:dyDescent="0.2">
      <c r="H18376" s="1"/>
      <c r="I18376" s="1"/>
    </row>
    <row r="18377" spans="8:9" x14ac:dyDescent="0.2">
      <c r="H18377" s="1"/>
      <c r="I18377" s="1"/>
    </row>
    <row r="18378" spans="8:9" x14ac:dyDescent="0.2">
      <c r="H18378" s="1"/>
      <c r="I18378" s="1"/>
    </row>
    <row r="18379" spans="8:9" x14ac:dyDescent="0.2">
      <c r="H18379" s="1"/>
      <c r="I18379" s="1"/>
    </row>
    <row r="18380" spans="8:9" x14ac:dyDescent="0.2">
      <c r="H18380" s="1"/>
      <c r="I18380" s="1"/>
    </row>
    <row r="18381" spans="8:9" x14ac:dyDescent="0.2">
      <c r="H18381" s="1"/>
      <c r="I18381" s="1"/>
    </row>
    <row r="18382" spans="8:9" x14ac:dyDescent="0.2">
      <c r="H18382" s="1"/>
      <c r="I18382" s="1"/>
    </row>
    <row r="18383" spans="8:9" x14ac:dyDescent="0.2">
      <c r="H18383" s="1"/>
      <c r="I18383" s="1"/>
    </row>
    <row r="18384" spans="8:9" x14ac:dyDescent="0.2">
      <c r="H18384" s="1"/>
      <c r="I18384" s="1"/>
    </row>
    <row r="18385" spans="8:9" x14ac:dyDescent="0.2">
      <c r="H18385" s="1"/>
      <c r="I18385" s="1"/>
    </row>
    <row r="18386" spans="8:9" x14ac:dyDescent="0.2">
      <c r="H18386" s="1"/>
      <c r="I18386" s="1"/>
    </row>
    <row r="18387" spans="8:9" x14ac:dyDescent="0.2">
      <c r="H18387" s="1"/>
      <c r="I18387" s="1"/>
    </row>
    <row r="18388" spans="8:9" x14ac:dyDescent="0.2">
      <c r="H18388" s="1"/>
      <c r="I18388" s="1"/>
    </row>
    <row r="18389" spans="8:9" x14ac:dyDescent="0.2">
      <c r="H18389" s="1"/>
      <c r="I18389" s="1"/>
    </row>
    <row r="18390" spans="8:9" x14ac:dyDescent="0.2">
      <c r="H18390" s="1"/>
      <c r="I18390" s="1"/>
    </row>
    <row r="18391" spans="8:9" x14ac:dyDescent="0.2">
      <c r="H18391" s="1"/>
      <c r="I18391" s="1"/>
    </row>
    <row r="18392" spans="8:9" x14ac:dyDescent="0.2">
      <c r="H18392" s="1"/>
      <c r="I18392" s="1"/>
    </row>
    <row r="18393" spans="8:9" x14ac:dyDescent="0.2">
      <c r="H18393" s="1"/>
      <c r="I18393" s="1"/>
    </row>
    <row r="18394" spans="8:9" x14ac:dyDescent="0.2">
      <c r="H18394" s="1"/>
      <c r="I18394" s="1"/>
    </row>
    <row r="18395" spans="8:9" x14ac:dyDescent="0.2">
      <c r="H18395" s="1"/>
      <c r="I18395" s="1"/>
    </row>
    <row r="18396" spans="8:9" x14ac:dyDescent="0.2">
      <c r="H18396" s="1"/>
      <c r="I18396" s="1"/>
    </row>
    <row r="18397" spans="8:9" x14ac:dyDescent="0.2">
      <c r="H18397" s="1"/>
      <c r="I18397" s="1"/>
    </row>
    <row r="18398" spans="8:9" x14ac:dyDescent="0.2">
      <c r="H18398" s="1"/>
      <c r="I18398" s="1"/>
    </row>
    <row r="18399" spans="8:9" x14ac:dyDescent="0.2">
      <c r="H18399" s="1"/>
      <c r="I18399" s="1"/>
    </row>
    <row r="18400" spans="8:9" x14ac:dyDescent="0.2">
      <c r="H18400" s="1"/>
      <c r="I18400" s="1"/>
    </row>
    <row r="18401" spans="8:9" x14ac:dyDescent="0.2">
      <c r="H18401" s="1"/>
      <c r="I18401" s="1"/>
    </row>
    <row r="18402" spans="8:9" x14ac:dyDescent="0.2">
      <c r="H18402" s="1"/>
      <c r="I18402" s="1"/>
    </row>
    <row r="18403" spans="8:9" x14ac:dyDescent="0.2">
      <c r="H18403" s="1"/>
      <c r="I18403" s="1"/>
    </row>
    <row r="18404" spans="8:9" x14ac:dyDescent="0.2">
      <c r="H18404" s="1"/>
      <c r="I18404" s="1"/>
    </row>
    <row r="18405" spans="8:9" x14ac:dyDescent="0.2">
      <c r="H18405" s="1"/>
      <c r="I18405" s="1"/>
    </row>
    <row r="18406" spans="8:9" x14ac:dyDescent="0.2">
      <c r="H18406" s="1"/>
      <c r="I18406" s="1"/>
    </row>
    <row r="18407" spans="8:9" x14ac:dyDescent="0.2">
      <c r="H18407" s="1"/>
      <c r="I18407" s="1"/>
    </row>
    <row r="18408" spans="8:9" x14ac:dyDescent="0.2">
      <c r="H18408" s="1"/>
      <c r="I18408" s="1"/>
    </row>
    <row r="18409" spans="8:9" x14ac:dyDescent="0.2">
      <c r="H18409" s="1"/>
      <c r="I18409" s="1"/>
    </row>
    <row r="18410" spans="8:9" x14ac:dyDescent="0.2">
      <c r="H18410" s="1"/>
      <c r="I18410" s="1"/>
    </row>
    <row r="18411" spans="8:9" x14ac:dyDescent="0.2">
      <c r="H18411" s="1"/>
      <c r="I18411" s="1"/>
    </row>
    <row r="18412" spans="8:9" x14ac:dyDescent="0.2">
      <c r="H18412" s="1"/>
      <c r="I18412" s="1"/>
    </row>
    <row r="18413" spans="8:9" x14ac:dyDescent="0.2">
      <c r="H18413" s="1"/>
      <c r="I18413" s="1"/>
    </row>
    <row r="18414" spans="8:9" x14ac:dyDescent="0.2">
      <c r="H18414" s="1"/>
      <c r="I18414" s="1"/>
    </row>
    <row r="18415" spans="8:9" x14ac:dyDescent="0.2">
      <c r="H18415" s="1"/>
      <c r="I18415" s="1"/>
    </row>
    <row r="18416" spans="8:9" x14ac:dyDescent="0.2">
      <c r="H18416" s="1"/>
      <c r="I18416" s="1"/>
    </row>
    <row r="18417" spans="8:9" x14ac:dyDescent="0.2">
      <c r="H18417" s="1"/>
      <c r="I18417" s="1"/>
    </row>
    <row r="18418" spans="8:9" x14ac:dyDescent="0.2">
      <c r="H18418" s="1"/>
      <c r="I18418" s="1"/>
    </row>
    <row r="18419" spans="8:9" x14ac:dyDescent="0.2">
      <c r="H18419" s="1"/>
      <c r="I18419" s="1"/>
    </row>
    <row r="18420" spans="8:9" x14ac:dyDescent="0.2">
      <c r="H18420" s="1"/>
      <c r="I18420" s="1"/>
    </row>
    <row r="18421" spans="8:9" x14ac:dyDescent="0.2">
      <c r="H18421" s="1"/>
      <c r="I18421" s="1"/>
    </row>
    <row r="18422" spans="8:9" x14ac:dyDescent="0.2">
      <c r="H18422" s="1"/>
      <c r="I18422" s="1"/>
    </row>
    <row r="18423" spans="8:9" x14ac:dyDescent="0.2">
      <c r="H18423" s="1"/>
      <c r="I18423" s="1"/>
    </row>
    <row r="18424" spans="8:9" x14ac:dyDescent="0.2">
      <c r="H18424" s="1"/>
      <c r="I18424" s="1"/>
    </row>
    <row r="18425" spans="8:9" x14ac:dyDescent="0.2">
      <c r="H18425" s="1"/>
      <c r="I18425" s="1"/>
    </row>
    <row r="18426" spans="8:9" x14ac:dyDescent="0.2">
      <c r="H18426" s="1"/>
      <c r="I18426" s="1"/>
    </row>
    <row r="18427" spans="8:9" x14ac:dyDescent="0.2">
      <c r="H18427" s="1"/>
      <c r="I18427" s="1"/>
    </row>
    <row r="18428" spans="8:9" x14ac:dyDescent="0.2">
      <c r="H18428" s="1"/>
      <c r="I18428" s="1"/>
    </row>
    <row r="18429" spans="8:9" x14ac:dyDescent="0.2">
      <c r="H18429" s="1"/>
      <c r="I18429" s="1"/>
    </row>
    <row r="18430" spans="8:9" x14ac:dyDescent="0.2">
      <c r="H18430" s="1"/>
      <c r="I18430" s="1"/>
    </row>
    <row r="18431" spans="8:9" x14ac:dyDescent="0.2">
      <c r="H18431" s="1"/>
      <c r="I18431" s="1"/>
    </row>
    <row r="18432" spans="8:9" x14ac:dyDescent="0.2">
      <c r="H18432" s="1"/>
      <c r="I18432" s="1"/>
    </row>
    <row r="18433" spans="8:9" x14ac:dyDescent="0.2">
      <c r="H18433" s="1"/>
      <c r="I18433" s="1"/>
    </row>
    <row r="18434" spans="8:9" x14ac:dyDescent="0.2">
      <c r="H18434" s="1"/>
      <c r="I18434" s="1"/>
    </row>
    <row r="18435" spans="8:9" x14ac:dyDescent="0.2">
      <c r="H18435" s="1"/>
      <c r="I18435" s="1"/>
    </row>
    <row r="18436" spans="8:9" x14ac:dyDescent="0.2">
      <c r="H18436" s="1"/>
      <c r="I18436" s="1"/>
    </row>
    <row r="18437" spans="8:9" x14ac:dyDescent="0.2">
      <c r="H18437" s="1"/>
      <c r="I18437" s="1"/>
    </row>
    <row r="18438" spans="8:9" x14ac:dyDescent="0.2">
      <c r="H18438" s="1"/>
      <c r="I18438" s="1"/>
    </row>
    <row r="18439" spans="8:9" x14ac:dyDescent="0.2">
      <c r="H18439" s="1"/>
      <c r="I18439" s="1"/>
    </row>
    <row r="18440" spans="8:9" x14ac:dyDescent="0.2">
      <c r="H18440" s="1"/>
      <c r="I18440" s="1"/>
    </row>
    <row r="18441" spans="8:9" x14ac:dyDescent="0.2">
      <c r="H18441" s="1"/>
      <c r="I18441" s="1"/>
    </row>
    <row r="18442" spans="8:9" x14ac:dyDescent="0.2">
      <c r="H18442" s="1"/>
      <c r="I18442" s="1"/>
    </row>
    <row r="18443" spans="8:9" x14ac:dyDescent="0.2">
      <c r="H18443" s="1"/>
      <c r="I18443" s="1"/>
    </row>
    <row r="18444" spans="8:9" x14ac:dyDescent="0.2">
      <c r="H18444" s="1"/>
      <c r="I18444" s="1"/>
    </row>
    <row r="18445" spans="8:9" x14ac:dyDescent="0.2">
      <c r="H18445" s="1"/>
      <c r="I18445" s="1"/>
    </row>
    <row r="18446" spans="8:9" x14ac:dyDescent="0.2">
      <c r="H18446" s="1"/>
      <c r="I18446" s="1"/>
    </row>
    <row r="18447" spans="8:9" x14ac:dyDescent="0.2">
      <c r="H18447" s="1"/>
      <c r="I18447" s="1"/>
    </row>
    <row r="18448" spans="8:9" x14ac:dyDescent="0.2">
      <c r="H18448" s="1"/>
      <c r="I18448" s="1"/>
    </row>
    <row r="18449" spans="8:9" x14ac:dyDescent="0.2">
      <c r="H18449" s="1"/>
      <c r="I18449" s="1"/>
    </row>
    <row r="18450" spans="8:9" x14ac:dyDescent="0.2">
      <c r="H18450" s="1"/>
      <c r="I18450" s="1"/>
    </row>
    <row r="18451" spans="8:9" x14ac:dyDescent="0.2">
      <c r="H18451" s="1"/>
      <c r="I18451" s="1"/>
    </row>
    <row r="18452" spans="8:9" x14ac:dyDescent="0.2">
      <c r="H18452" s="1"/>
      <c r="I18452" s="1"/>
    </row>
    <row r="18453" spans="8:9" x14ac:dyDescent="0.2">
      <c r="H18453" s="1"/>
      <c r="I18453" s="1"/>
    </row>
    <row r="18454" spans="8:9" x14ac:dyDescent="0.2">
      <c r="H18454" s="1"/>
      <c r="I18454" s="1"/>
    </row>
    <row r="18455" spans="8:9" x14ac:dyDescent="0.2">
      <c r="H18455" s="1"/>
      <c r="I18455" s="1"/>
    </row>
    <row r="18456" spans="8:9" x14ac:dyDescent="0.2">
      <c r="H18456" s="1"/>
      <c r="I18456" s="1"/>
    </row>
    <row r="18457" spans="8:9" x14ac:dyDescent="0.2">
      <c r="H18457" s="1"/>
      <c r="I18457" s="1"/>
    </row>
    <row r="18458" spans="8:9" x14ac:dyDescent="0.2">
      <c r="H18458" s="1"/>
      <c r="I18458" s="1"/>
    </row>
    <row r="18459" spans="8:9" x14ac:dyDescent="0.2">
      <c r="H18459" s="1"/>
      <c r="I18459" s="1"/>
    </row>
    <row r="18460" spans="8:9" x14ac:dyDescent="0.2">
      <c r="H18460" s="1"/>
      <c r="I18460" s="1"/>
    </row>
    <row r="18461" spans="8:9" x14ac:dyDescent="0.2">
      <c r="H18461" s="1"/>
      <c r="I18461" s="1"/>
    </row>
    <row r="18462" spans="8:9" x14ac:dyDescent="0.2">
      <c r="H18462" s="1"/>
      <c r="I18462" s="1"/>
    </row>
    <row r="18463" spans="8:9" x14ac:dyDescent="0.2">
      <c r="H18463" s="1"/>
      <c r="I18463" s="1"/>
    </row>
    <row r="18464" spans="8:9" x14ac:dyDescent="0.2">
      <c r="H18464" s="1"/>
      <c r="I18464" s="1"/>
    </row>
    <row r="18465" spans="8:9" x14ac:dyDescent="0.2">
      <c r="H18465" s="1"/>
      <c r="I18465" s="1"/>
    </row>
    <row r="18466" spans="8:9" x14ac:dyDescent="0.2">
      <c r="H18466" s="1"/>
      <c r="I18466" s="1"/>
    </row>
    <row r="18467" spans="8:9" x14ac:dyDescent="0.2">
      <c r="H18467" s="1"/>
      <c r="I18467" s="1"/>
    </row>
    <row r="18468" spans="8:9" x14ac:dyDescent="0.2">
      <c r="H18468" s="1"/>
      <c r="I18468" s="1"/>
    </row>
    <row r="18469" spans="8:9" x14ac:dyDescent="0.2">
      <c r="H18469" s="1"/>
      <c r="I18469" s="1"/>
    </row>
    <row r="18470" spans="8:9" x14ac:dyDescent="0.2">
      <c r="H18470" s="1"/>
      <c r="I18470" s="1"/>
    </row>
    <row r="18471" spans="8:9" x14ac:dyDescent="0.2">
      <c r="H18471" s="1"/>
      <c r="I18471" s="1"/>
    </row>
    <row r="18472" spans="8:9" x14ac:dyDescent="0.2">
      <c r="H18472" s="1"/>
      <c r="I18472" s="1"/>
    </row>
    <row r="18473" spans="8:9" x14ac:dyDescent="0.2">
      <c r="H18473" s="1"/>
      <c r="I18473" s="1"/>
    </row>
    <row r="18474" spans="8:9" x14ac:dyDescent="0.2">
      <c r="H18474" s="1"/>
      <c r="I18474" s="1"/>
    </row>
    <row r="18475" spans="8:9" x14ac:dyDescent="0.2">
      <c r="H18475" s="1"/>
      <c r="I18475" s="1"/>
    </row>
    <row r="18476" spans="8:9" x14ac:dyDescent="0.2">
      <c r="H18476" s="1"/>
      <c r="I18476" s="1"/>
    </row>
    <row r="18477" spans="8:9" x14ac:dyDescent="0.2">
      <c r="H18477" s="1"/>
      <c r="I18477" s="1"/>
    </row>
    <row r="18478" spans="8:9" x14ac:dyDescent="0.2">
      <c r="H18478" s="1"/>
      <c r="I18478" s="1"/>
    </row>
    <row r="18479" spans="8:9" x14ac:dyDescent="0.2">
      <c r="H18479" s="1"/>
      <c r="I18479" s="1"/>
    </row>
    <row r="18480" spans="8:9" x14ac:dyDescent="0.2">
      <c r="H18480" s="1"/>
      <c r="I18480" s="1"/>
    </row>
    <row r="18481" spans="8:9" x14ac:dyDescent="0.2">
      <c r="H18481" s="1"/>
      <c r="I18481" s="1"/>
    </row>
    <row r="18482" spans="8:9" x14ac:dyDescent="0.2">
      <c r="H18482" s="1"/>
      <c r="I18482" s="1"/>
    </row>
    <row r="18483" spans="8:9" x14ac:dyDescent="0.2">
      <c r="H18483" s="1"/>
      <c r="I18483" s="1"/>
    </row>
    <row r="18484" spans="8:9" x14ac:dyDescent="0.2">
      <c r="H18484" s="1"/>
      <c r="I18484" s="1"/>
    </row>
    <row r="18485" spans="8:9" x14ac:dyDescent="0.2">
      <c r="H18485" s="1"/>
      <c r="I18485" s="1"/>
    </row>
    <row r="18486" spans="8:9" x14ac:dyDescent="0.2">
      <c r="H18486" s="1"/>
      <c r="I18486" s="1"/>
    </row>
    <row r="18487" spans="8:9" x14ac:dyDescent="0.2">
      <c r="H18487" s="1"/>
      <c r="I18487" s="1"/>
    </row>
    <row r="18488" spans="8:9" x14ac:dyDescent="0.2">
      <c r="H18488" s="1"/>
      <c r="I18488" s="1"/>
    </row>
    <row r="18489" spans="8:9" x14ac:dyDescent="0.2">
      <c r="H18489" s="1"/>
      <c r="I18489" s="1"/>
    </row>
    <row r="18490" spans="8:9" x14ac:dyDescent="0.2">
      <c r="H18490" s="1"/>
      <c r="I18490" s="1"/>
    </row>
    <row r="18491" spans="8:9" x14ac:dyDescent="0.2">
      <c r="H18491" s="1"/>
      <c r="I18491" s="1"/>
    </row>
    <row r="18492" spans="8:9" x14ac:dyDescent="0.2">
      <c r="H18492" s="1"/>
      <c r="I18492" s="1"/>
    </row>
    <row r="18493" spans="8:9" x14ac:dyDescent="0.2">
      <c r="H18493" s="1"/>
      <c r="I18493" s="1"/>
    </row>
    <row r="18494" spans="8:9" x14ac:dyDescent="0.2">
      <c r="H18494" s="1"/>
      <c r="I18494" s="1"/>
    </row>
    <row r="18495" spans="8:9" x14ac:dyDescent="0.2">
      <c r="H18495" s="1"/>
      <c r="I18495" s="1"/>
    </row>
    <row r="18496" spans="8:9" x14ac:dyDescent="0.2">
      <c r="H18496" s="1"/>
      <c r="I18496" s="1"/>
    </row>
    <row r="18497" spans="8:9" x14ac:dyDescent="0.2">
      <c r="H18497" s="1"/>
      <c r="I18497" s="1"/>
    </row>
    <row r="18498" spans="8:9" x14ac:dyDescent="0.2">
      <c r="H18498" s="1"/>
      <c r="I18498" s="1"/>
    </row>
    <row r="18499" spans="8:9" x14ac:dyDescent="0.2">
      <c r="H18499" s="1"/>
      <c r="I18499" s="1"/>
    </row>
    <row r="18500" spans="8:9" x14ac:dyDescent="0.2">
      <c r="H18500" s="1"/>
      <c r="I18500" s="1"/>
    </row>
    <row r="18501" spans="8:9" x14ac:dyDescent="0.2">
      <c r="H18501" s="1"/>
      <c r="I18501" s="1"/>
    </row>
    <row r="18502" spans="8:9" x14ac:dyDescent="0.2">
      <c r="H18502" s="1"/>
      <c r="I18502" s="1"/>
    </row>
    <row r="18503" spans="8:9" x14ac:dyDescent="0.2">
      <c r="H18503" s="1"/>
      <c r="I18503" s="1"/>
    </row>
    <row r="18504" spans="8:9" x14ac:dyDescent="0.2">
      <c r="H18504" s="1"/>
      <c r="I18504" s="1"/>
    </row>
    <row r="18505" spans="8:9" x14ac:dyDescent="0.2">
      <c r="H18505" s="1"/>
      <c r="I18505" s="1"/>
    </row>
    <row r="18506" spans="8:9" x14ac:dyDescent="0.2">
      <c r="H18506" s="1"/>
      <c r="I18506" s="1"/>
    </row>
    <row r="18507" spans="8:9" x14ac:dyDescent="0.2">
      <c r="H18507" s="1"/>
      <c r="I18507" s="1"/>
    </row>
    <row r="18508" spans="8:9" x14ac:dyDescent="0.2">
      <c r="H18508" s="1"/>
      <c r="I18508" s="1"/>
    </row>
    <row r="18509" spans="8:9" x14ac:dyDescent="0.2">
      <c r="H18509" s="1"/>
      <c r="I18509" s="1"/>
    </row>
    <row r="18510" spans="8:9" x14ac:dyDescent="0.2">
      <c r="H18510" s="1"/>
      <c r="I18510" s="1"/>
    </row>
    <row r="18511" spans="8:9" x14ac:dyDescent="0.2">
      <c r="H18511" s="1"/>
      <c r="I18511" s="1"/>
    </row>
    <row r="18512" spans="8:9" x14ac:dyDescent="0.2">
      <c r="H18512" s="1"/>
      <c r="I18512" s="1"/>
    </row>
    <row r="18513" spans="8:9" x14ac:dyDescent="0.2">
      <c r="H18513" s="1"/>
      <c r="I18513" s="1"/>
    </row>
    <row r="18514" spans="8:9" x14ac:dyDescent="0.2">
      <c r="H18514" s="1"/>
      <c r="I18514" s="1"/>
    </row>
    <row r="18515" spans="8:9" x14ac:dyDescent="0.2">
      <c r="H18515" s="1"/>
      <c r="I18515" s="1"/>
    </row>
    <row r="18516" spans="8:9" x14ac:dyDescent="0.2">
      <c r="H18516" s="1"/>
      <c r="I18516" s="1"/>
    </row>
    <row r="18517" spans="8:9" x14ac:dyDescent="0.2">
      <c r="H18517" s="1"/>
      <c r="I18517" s="1"/>
    </row>
    <row r="18518" spans="8:9" x14ac:dyDescent="0.2">
      <c r="H18518" s="1"/>
      <c r="I18518" s="1"/>
    </row>
    <row r="18519" spans="8:9" x14ac:dyDescent="0.2">
      <c r="H18519" s="1"/>
      <c r="I18519" s="1"/>
    </row>
    <row r="18520" spans="8:9" x14ac:dyDescent="0.2">
      <c r="H18520" s="1"/>
      <c r="I18520" s="1"/>
    </row>
    <row r="18521" spans="8:9" x14ac:dyDescent="0.2">
      <c r="H18521" s="1"/>
      <c r="I18521" s="1"/>
    </row>
    <row r="18522" spans="8:9" x14ac:dyDescent="0.2">
      <c r="H18522" s="1"/>
      <c r="I18522" s="1"/>
    </row>
    <row r="18523" spans="8:9" x14ac:dyDescent="0.2">
      <c r="H18523" s="1"/>
      <c r="I18523" s="1"/>
    </row>
    <row r="18524" spans="8:9" x14ac:dyDescent="0.2">
      <c r="H18524" s="1"/>
      <c r="I18524" s="1"/>
    </row>
    <row r="18525" spans="8:9" x14ac:dyDescent="0.2">
      <c r="H18525" s="1"/>
      <c r="I18525" s="1"/>
    </row>
    <row r="18526" spans="8:9" x14ac:dyDescent="0.2">
      <c r="H18526" s="1"/>
      <c r="I18526" s="1"/>
    </row>
    <row r="18527" spans="8:9" x14ac:dyDescent="0.2">
      <c r="H18527" s="1"/>
      <c r="I18527" s="1"/>
    </row>
    <row r="18528" spans="8:9" x14ac:dyDescent="0.2">
      <c r="H18528" s="1"/>
      <c r="I18528" s="1"/>
    </row>
    <row r="18529" spans="8:9" x14ac:dyDescent="0.2">
      <c r="H18529" s="1"/>
      <c r="I18529" s="1"/>
    </row>
    <row r="18530" spans="8:9" x14ac:dyDescent="0.2">
      <c r="H18530" s="1"/>
      <c r="I18530" s="1"/>
    </row>
    <row r="18531" spans="8:9" x14ac:dyDescent="0.2">
      <c r="H18531" s="1"/>
      <c r="I18531" s="1"/>
    </row>
    <row r="18532" spans="8:9" x14ac:dyDescent="0.2">
      <c r="H18532" s="1"/>
      <c r="I18532" s="1"/>
    </row>
    <row r="18533" spans="8:9" x14ac:dyDescent="0.2">
      <c r="H18533" s="1"/>
      <c r="I18533" s="1"/>
    </row>
    <row r="18534" spans="8:9" x14ac:dyDescent="0.2">
      <c r="H18534" s="1"/>
      <c r="I18534" s="1"/>
    </row>
    <row r="18535" spans="8:9" x14ac:dyDescent="0.2">
      <c r="H18535" s="1"/>
      <c r="I18535" s="1"/>
    </row>
    <row r="18536" spans="8:9" x14ac:dyDescent="0.2">
      <c r="H18536" s="1"/>
      <c r="I18536" s="1"/>
    </row>
    <row r="18537" spans="8:9" x14ac:dyDescent="0.2">
      <c r="H18537" s="1"/>
      <c r="I18537" s="1"/>
    </row>
    <row r="18538" spans="8:9" x14ac:dyDescent="0.2">
      <c r="H18538" s="1"/>
      <c r="I18538" s="1"/>
    </row>
    <row r="18539" spans="8:9" x14ac:dyDescent="0.2">
      <c r="H18539" s="1"/>
      <c r="I18539" s="1"/>
    </row>
    <row r="18540" spans="8:9" x14ac:dyDescent="0.2">
      <c r="H18540" s="1"/>
      <c r="I18540" s="1"/>
    </row>
    <row r="18541" spans="8:9" x14ac:dyDescent="0.2">
      <c r="H18541" s="1"/>
      <c r="I18541" s="1"/>
    </row>
    <row r="18542" spans="8:9" x14ac:dyDescent="0.2">
      <c r="H18542" s="1"/>
      <c r="I18542" s="1"/>
    </row>
    <row r="18543" spans="8:9" x14ac:dyDescent="0.2">
      <c r="H18543" s="1"/>
      <c r="I18543" s="1"/>
    </row>
    <row r="18544" spans="8:9" x14ac:dyDescent="0.2">
      <c r="H18544" s="1"/>
      <c r="I18544" s="1"/>
    </row>
    <row r="18545" spans="8:9" x14ac:dyDescent="0.2">
      <c r="H18545" s="1"/>
      <c r="I18545" s="1"/>
    </row>
    <row r="18546" spans="8:9" x14ac:dyDescent="0.2">
      <c r="H18546" s="1"/>
      <c r="I18546" s="1"/>
    </row>
    <row r="18547" spans="8:9" x14ac:dyDescent="0.2">
      <c r="H18547" s="1"/>
      <c r="I18547" s="1"/>
    </row>
    <row r="18548" spans="8:9" x14ac:dyDescent="0.2">
      <c r="H18548" s="1"/>
      <c r="I18548" s="1"/>
    </row>
    <row r="18549" spans="8:9" x14ac:dyDescent="0.2">
      <c r="H18549" s="1"/>
      <c r="I18549" s="1"/>
    </row>
    <row r="18550" spans="8:9" x14ac:dyDescent="0.2">
      <c r="H18550" s="1"/>
      <c r="I18550" s="1"/>
    </row>
    <row r="18551" spans="8:9" x14ac:dyDescent="0.2">
      <c r="H18551" s="1"/>
      <c r="I18551" s="1"/>
    </row>
    <row r="18552" spans="8:9" x14ac:dyDescent="0.2">
      <c r="H18552" s="1"/>
      <c r="I18552" s="1"/>
    </row>
    <row r="18553" spans="8:9" x14ac:dyDescent="0.2">
      <c r="H18553" s="1"/>
      <c r="I18553" s="1"/>
    </row>
    <row r="18554" spans="8:9" x14ac:dyDescent="0.2">
      <c r="H18554" s="1"/>
      <c r="I18554" s="1"/>
    </row>
    <row r="18555" spans="8:9" x14ac:dyDescent="0.2">
      <c r="H18555" s="1"/>
      <c r="I18555" s="1"/>
    </row>
    <row r="18556" spans="8:9" x14ac:dyDescent="0.2">
      <c r="H18556" s="1"/>
      <c r="I18556" s="1"/>
    </row>
    <row r="18557" spans="8:9" x14ac:dyDescent="0.2">
      <c r="H18557" s="1"/>
      <c r="I18557" s="1"/>
    </row>
    <row r="18558" spans="8:9" x14ac:dyDescent="0.2">
      <c r="H18558" s="1"/>
      <c r="I18558" s="1"/>
    </row>
    <row r="18559" spans="8:9" x14ac:dyDescent="0.2">
      <c r="H18559" s="1"/>
      <c r="I18559" s="1"/>
    </row>
    <row r="18560" spans="8:9" x14ac:dyDescent="0.2">
      <c r="H18560" s="1"/>
      <c r="I18560" s="1"/>
    </row>
    <row r="18561" spans="8:9" x14ac:dyDescent="0.2">
      <c r="H18561" s="1"/>
      <c r="I18561" s="1"/>
    </row>
    <row r="18562" spans="8:9" x14ac:dyDescent="0.2">
      <c r="H18562" s="1"/>
      <c r="I18562" s="1"/>
    </row>
    <row r="18563" spans="8:9" x14ac:dyDescent="0.2">
      <c r="H18563" s="1"/>
      <c r="I18563" s="1"/>
    </row>
    <row r="18564" spans="8:9" x14ac:dyDescent="0.2">
      <c r="H18564" s="1"/>
      <c r="I18564" s="1"/>
    </row>
    <row r="18565" spans="8:9" x14ac:dyDescent="0.2">
      <c r="H18565" s="1"/>
      <c r="I18565" s="1"/>
    </row>
    <row r="18566" spans="8:9" x14ac:dyDescent="0.2">
      <c r="H18566" s="1"/>
      <c r="I18566" s="1"/>
    </row>
    <row r="18567" spans="8:9" x14ac:dyDescent="0.2">
      <c r="H18567" s="1"/>
      <c r="I18567" s="1"/>
    </row>
    <row r="18568" spans="8:9" x14ac:dyDescent="0.2">
      <c r="H18568" s="1"/>
      <c r="I18568" s="1"/>
    </row>
    <row r="18569" spans="8:9" x14ac:dyDescent="0.2">
      <c r="H18569" s="1"/>
      <c r="I18569" s="1"/>
    </row>
    <row r="18570" spans="8:9" x14ac:dyDescent="0.2">
      <c r="H18570" s="1"/>
      <c r="I18570" s="1"/>
    </row>
    <row r="18571" spans="8:9" x14ac:dyDescent="0.2">
      <c r="H18571" s="1"/>
      <c r="I18571" s="1"/>
    </row>
    <row r="18572" spans="8:9" x14ac:dyDescent="0.2">
      <c r="H18572" s="1"/>
      <c r="I18572" s="1"/>
    </row>
    <row r="18573" spans="8:9" x14ac:dyDescent="0.2">
      <c r="H18573" s="1"/>
      <c r="I18573" s="1"/>
    </row>
    <row r="18574" spans="8:9" x14ac:dyDescent="0.2">
      <c r="H18574" s="1"/>
      <c r="I18574" s="1"/>
    </row>
    <row r="18575" spans="8:9" x14ac:dyDescent="0.2">
      <c r="H18575" s="1"/>
      <c r="I18575" s="1"/>
    </row>
    <row r="18576" spans="8:9" x14ac:dyDescent="0.2">
      <c r="H18576" s="1"/>
      <c r="I18576" s="1"/>
    </row>
    <row r="18577" spans="8:9" x14ac:dyDescent="0.2">
      <c r="H18577" s="1"/>
      <c r="I18577" s="1"/>
    </row>
    <row r="18578" spans="8:9" x14ac:dyDescent="0.2">
      <c r="H18578" s="1"/>
      <c r="I18578" s="1"/>
    </row>
    <row r="18579" spans="8:9" x14ac:dyDescent="0.2">
      <c r="H18579" s="1"/>
      <c r="I18579" s="1"/>
    </row>
    <row r="18580" spans="8:9" x14ac:dyDescent="0.2">
      <c r="H18580" s="1"/>
      <c r="I18580" s="1"/>
    </row>
    <row r="18581" spans="8:9" x14ac:dyDescent="0.2">
      <c r="H18581" s="1"/>
      <c r="I18581" s="1"/>
    </row>
    <row r="18582" spans="8:9" x14ac:dyDescent="0.2">
      <c r="H18582" s="1"/>
      <c r="I18582" s="1"/>
    </row>
    <row r="18583" spans="8:9" x14ac:dyDescent="0.2">
      <c r="H18583" s="1"/>
      <c r="I18583" s="1"/>
    </row>
    <row r="18584" spans="8:9" x14ac:dyDescent="0.2">
      <c r="H18584" s="1"/>
      <c r="I18584" s="1"/>
    </row>
    <row r="18585" spans="8:9" x14ac:dyDescent="0.2">
      <c r="H18585" s="1"/>
      <c r="I18585" s="1"/>
    </row>
    <row r="18586" spans="8:9" x14ac:dyDescent="0.2">
      <c r="H18586" s="1"/>
      <c r="I18586" s="1"/>
    </row>
    <row r="18587" spans="8:9" x14ac:dyDescent="0.2">
      <c r="H18587" s="1"/>
      <c r="I18587" s="1"/>
    </row>
    <row r="18588" spans="8:9" x14ac:dyDescent="0.2">
      <c r="H18588" s="1"/>
      <c r="I18588" s="1"/>
    </row>
    <row r="18589" spans="8:9" x14ac:dyDescent="0.2">
      <c r="H18589" s="1"/>
      <c r="I18589" s="1"/>
    </row>
    <row r="18590" spans="8:9" x14ac:dyDescent="0.2">
      <c r="H18590" s="1"/>
      <c r="I18590" s="1"/>
    </row>
    <row r="18591" spans="8:9" x14ac:dyDescent="0.2">
      <c r="H18591" s="1"/>
      <c r="I18591" s="1"/>
    </row>
    <row r="18592" spans="8:9" x14ac:dyDescent="0.2">
      <c r="H18592" s="1"/>
      <c r="I18592" s="1"/>
    </row>
    <row r="18593" spans="8:9" x14ac:dyDescent="0.2">
      <c r="H18593" s="1"/>
      <c r="I18593" s="1"/>
    </row>
    <row r="18594" spans="8:9" x14ac:dyDescent="0.2">
      <c r="H18594" s="1"/>
      <c r="I18594" s="1"/>
    </row>
    <row r="18595" spans="8:9" x14ac:dyDescent="0.2">
      <c r="H18595" s="1"/>
      <c r="I18595" s="1"/>
    </row>
    <row r="18596" spans="8:9" x14ac:dyDescent="0.2">
      <c r="H18596" s="1"/>
      <c r="I18596" s="1"/>
    </row>
    <row r="18597" spans="8:9" x14ac:dyDescent="0.2">
      <c r="H18597" s="1"/>
      <c r="I18597" s="1"/>
    </row>
    <row r="18598" spans="8:9" x14ac:dyDescent="0.2">
      <c r="H18598" s="1"/>
      <c r="I18598" s="1"/>
    </row>
    <row r="18599" spans="8:9" x14ac:dyDescent="0.2">
      <c r="H18599" s="1"/>
      <c r="I18599" s="1"/>
    </row>
    <row r="18600" spans="8:9" x14ac:dyDescent="0.2">
      <c r="H18600" s="1"/>
      <c r="I18600" s="1"/>
    </row>
    <row r="18601" spans="8:9" x14ac:dyDescent="0.2">
      <c r="H18601" s="1"/>
      <c r="I18601" s="1"/>
    </row>
    <row r="18602" spans="8:9" x14ac:dyDescent="0.2">
      <c r="H18602" s="1"/>
      <c r="I18602" s="1"/>
    </row>
    <row r="18603" spans="8:9" x14ac:dyDescent="0.2">
      <c r="H18603" s="1"/>
      <c r="I18603" s="1"/>
    </row>
    <row r="18604" spans="8:9" x14ac:dyDescent="0.2">
      <c r="H18604" s="1"/>
      <c r="I18604" s="1"/>
    </row>
    <row r="18605" spans="8:9" x14ac:dyDescent="0.2">
      <c r="H18605" s="1"/>
      <c r="I18605" s="1"/>
    </row>
    <row r="18606" spans="8:9" x14ac:dyDescent="0.2">
      <c r="H18606" s="1"/>
      <c r="I18606" s="1"/>
    </row>
    <row r="18607" spans="8:9" x14ac:dyDescent="0.2">
      <c r="H18607" s="1"/>
      <c r="I18607" s="1"/>
    </row>
    <row r="18608" spans="8:9" x14ac:dyDescent="0.2">
      <c r="H18608" s="1"/>
      <c r="I18608" s="1"/>
    </row>
    <row r="18609" spans="8:9" x14ac:dyDescent="0.2">
      <c r="H18609" s="1"/>
      <c r="I18609" s="1"/>
    </row>
    <row r="18610" spans="8:9" x14ac:dyDescent="0.2">
      <c r="H18610" s="1"/>
      <c r="I18610" s="1"/>
    </row>
    <row r="18611" spans="8:9" x14ac:dyDescent="0.2">
      <c r="H18611" s="1"/>
      <c r="I18611" s="1"/>
    </row>
    <row r="18612" spans="8:9" x14ac:dyDescent="0.2">
      <c r="H18612" s="1"/>
      <c r="I18612" s="1"/>
    </row>
    <row r="18613" spans="8:9" x14ac:dyDescent="0.2">
      <c r="H18613" s="1"/>
      <c r="I18613" s="1"/>
    </row>
    <row r="18614" spans="8:9" x14ac:dyDescent="0.2">
      <c r="H18614" s="1"/>
      <c r="I18614" s="1"/>
    </row>
    <row r="18615" spans="8:9" x14ac:dyDescent="0.2">
      <c r="H18615" s="1"/>
      <c r="I18615" s="1"/>
    </row>
    <row r="18616" spans="8:9" x14ac:dyDescent="0.2">
      <c r="H18616" s="1"/>
      <c r="I18616" s="1"/>
    </row>
    <row r="18617" spans="8:9" x14ac:dyDescent="0.2">
      <c r="H18617" s="1"/>
      <c r="I18617" s="1"/>
    </row>
    <row r="18618" spans="8:9" x14ac:dyDescent="0.2">
      <c r="H18618" s="1"/>
      <c r="I18618" s="1"/>
    </row>
    <row r="18619" spans="8:9" x14ac:dyDescent="0.2">
      <c r="H18619" s="1"/>
      <c r="I18619" s="1"/>
    </row>
    <row r="18620" spans="8:9" x14ac:dyDescent="0.2">
      <c r="H18620" s="1"/>
      <c r="I18620" s="1"/>
    </row>
    <row r="18621" spans="8:9" x14ac:dyDescent="0.2">
      <c r="H18621" s="1"/>
      <c r="I18621" s="1"/>
    </row>
    <row r="18622" spans="8:9" x14ac:dyDescent="0.2">
      <c r="H18622" s="1"/>
      <c r="I18622" s="1"/>
    </row>
    <row r="18623" spans="8:9" x14ac:dyDescent="0.2">
      <c r="H18623" s="1"/>
      <c r="I18623" s="1"/>
    </row>
    <row r="18624" spans="8:9" x14ac:dyDescent="0.2">
      <c r="H18624" s="1"/>
      <c r="I18624" s="1"/>
    </row>
    <row r="18625" spans="8:9" x14ac:dyDescent="0.2">
      <c r="H18625" s="1"/>
      <c r="I18625" s="1"/>
    </row>
    <row r="18626" spans="8:9" x14ac:dyDescent="0.2">
      <c r="H18626" s="1"/>
      <c r="I18626" s="1"/>
    </row>
    <row r="18627" spans="8:9" x14ac:dyDescent="0.2">
      <c r="H18627" s="1"/>
      <c r="I18627" s="1"/>
    </row>
    <row r="18628" spans="8:9" x14ac:dyDescent="0.2">
      <c r="H18628" s="1"/>
      <c r="I18628" s="1"/>
    </row>
    <row r="18629" spans="8:9" x14ac:dyDescent="0.2">
      <c r="H18629" s="1"/>
      <c r="I18629" s="1"/>
    </row>
    <row r="18630" spans="8:9" x14ac:dyDescent="0.2">
      <c r="H18630" s="1"/>
      <c r="I18630" s="1"/>
    </row>
    <row r="18631" spans="8:9" x14ac:dyDescent="0.2">
      <c r="H18631" s="1"/>
      <c r="I18631" s="1"/>
    </row>
    <row r="18632" spans="8:9" x14ac:dyDescent="0.2">
      <c r="H18632" s="1"/>
      <c r="I18632" s="1"/>
    </row>
    <row r="18633" spans="8:9" x14ac:dyDescent="0.2">
      <c r="H18633" s="1"/>
      <c r="I18633" s="1"/>
    </row>
    <row r="18634" spans="8:9" x14ac:dyDescent="0.2">
      <c r="H18634" s="1"/>
      <c r="I18634" s="1"/>
    </row>
    <row r="18635" spans="8:9" x14ac:dyDescent="0.2">
      <c r="H18635" s="1"/>
      <c r="I18635" s="1"/>
    </row>
    <row r="18636" spans="8:9" x14ac:dyDescent="0.2">
      <c r="H18636" s="1"/>
      <c r="I18636" s="1"/>
    </row>
    <row r="18637" spans="8:9" x14ac:dyDescent="0.2">
      <c r="H18637" s="1"/>
      <c r="I18637" s="1"/>
    </row>
    <row r="18638" spans="8:9" x14ac:dyDescent="0.2">
      <c r="H18638" s="1"/>
      <c r="I18638" s="1"/>
    </row>
    <row r="18639" spans="8:9" x14ac:dyDescent="0.2">
      <c r="H18639" s="1"/>
      <c r="I18639" s="1"/>
    </row>
    <row r="18640" spans="8:9" x14ac:dyDescent="0.2">
      <c r="H18640" s="1"/>
      <c r="I18640" s="1"/>
    </row>
    <row r="18641" spans="8:9" x14ac:dyDescent="0.2">
      <c r="H18641" s="1"/>
      <c r="I18641" s="1"/>
    </row>
    <row r="18642" spans="8:9" x14ac:dyDescent="0.2">
      <c r="H18642" s="1"/>
      <c r="I18642" s="1"/>
    </row>
    <row r="18643" spans="8:9" x14ac:dyDescent="0.2">
      <c r="H18643" s="1"/>
      <c r="I18643" s="1"/>
    </row>
    <row r="18644" spans="8:9" x14ac:dyDescent="0.2">
      <c r="H18644" s="1"/>
      <c r="I18644" s="1"/>
    </row>
    <row r="18645" spans="8:9" x14ac:dyDescent="0.2">
      <c r="H18645" s="1"/>
      <c r="I18645" s="1"/>
    </row>
    <row r="18646" spans="8:9" x14ac:dyDescent="0.2">
      <c r="H18646" s="1"/>
      <c r="I18646" s="1"/>
    </row>
    <row r="18647" spans="8:9" x14ac:dyDescent="0.2">
      <c r="H18647" s="1"/>
      <c r="I18647" s="1"/>
    </row>
    <row r="18648" spans="8:9" x14ac:dyDescent="0.2">
      <c r="H18648" s="1"/>
      <c r="I18648" s="1"/>
    </row>
    <row r="18649" spans="8:9" x14ac:dyDescent="0.2">
      <c r="H18649" s="1"/>
      <c r="I18649" s="1"/>
    </row>
    <row r="18650" spans="8:9" x14ac:dyDescent="0.2">
      <c r="H18650" s="1"/>
      <c r="I18650" s="1"/>
    </row>
    <row r="18651" spans="8:9" x14ac:dyDescent="0.2">
      <c r="H18651" s="1"/>
      <c r="I18651" s="1"/>
    </row>
    <row r="18652" spans="8:9" x14ac:dyDescent="0.2">
      <c r="H18652" s="1"/>
      <c r="I18652" s="1"/>
    </row>
    <row r="18653" spans="8:9" x14ac:dyDescent="0.2">
      <c r="H18653" s="1"/>
      <c r="I18653" s="1"/>
    </row>
    <row r="18654" spans="8:9" x14ac:dyDescent="0.2">
      <c r="H18654" s="1"/>
      <c r="I18654" s="1"/>
    </row>
    <row r="18655" spans="8:9" x14ac:dyDescent="0.2">
      <c r="H18655" s="1"/>
      <c r="I18655" s="1"/>
    </row>
    <row r="18656" spans="8:9" x14ac:dyDescent="0.2">
      <c r="H18656" s="1"/>
      <c r="I18656" s="1"/>
    </row>
    <row r="18657" spans="8:9" x14ac:dyDescent="0.2">
      <c r="H18657" s="1"/>
      <c r="I18657" s="1"/>
    </row>
    <row r="18658" spans="8:9" x14ac:dyDescent="0.2">
      <c r="H18658" s="1"/>
      <c r="I18658" s="1"/>
    </row>
    <row r="18659" spans="8:9" x14ac:dyDescent="0.2">
      <c r="H18659" s="1"/>
      <c r="I18659" s="1"/>
    </row>
    <row r="18660" spans="8:9" x14ac:dyDescent="0.2">
      <c r="H18660" s="1"/>
      <c r="I18660" s="1"/>
    </row>
    <row r="18661" spans="8:9" x14ac:dyDescent="0.2">
      <c r="H18661" s="1"/>
      <c r="I18661" s="1"/>
    </row>
    <row r="18662" spans="8:9" x14ac:dyDescent="0.2">
      <c r="H18662" s="1"/>
      <c r="I18662" s="1"/>
    </row>
    <row r="18663" spans="8:9" x14ac:dyDescent="0.2">
      <c r="H18663" s="1"/>
      <c r="I18663" s="1"/>
    </row>
    <row r="18664" spans="8:9" x14ac:dyDescent="0.2">
      <c r="H18664" s="1"/>
      <c r="I18664" s="1"/>
    </row>
    <row r="18665" spans="8:9" x14ac:dyDescent="0.2">
      <c r="H18665" s="1"/>
      <c r="I18665" s="1"/>
    </row>
    <row r="18666" spans="8:9" x14ac:dyDescent="0.2">
      <c r="H18666" s="1"/>
      <c r="I18666" s="1"/>
    </row>
    <row r="18667" spans="8:9" x14ac:dyDescent="0.2">
      <c r="H18667" s="1"/>
      <c r="I18667" s="1"/>
    </row>
    <row r="18668" spans="8:9" x14ac:dyDescent="0.2">
      <c r="H18668" s="1"/>
      <c r="I18668" s="1"/>
    </row>
    <row r="18669" spans="8:9" x14ac:dyDescent="0.2">
      <c r="H18669" s="1"/>
      <c r="I18669" s="1"/>
    </row>
    <row r="18670" spans="8:9" x14ac:dyDescent="0.2">
      <c r="H18670" s="1"/>
      <c r="I18670" s="1"/>
    </row>
    <row r="18671" spans="8:9" x14ac:dyDescent="0.2">
      <c r="H18671" s="1"/>
      <c r="I18671" s="1"/>
    </row>
    <row r="18672" spans="8:9" x14ac:dyDescent="0.2">
      <c r="H18672" s="1"/>
      <c r="I18672" s="1"/>
    </row>
    <row r="18673" spans="8:9" x14ac:dyDescent="0.2">
      <c r="H18673" s="1"/>
      <c r="I18673" s="1"/>
    </row>
    <row r="18674" spans="8:9" x14ac:dyDescent="0.2">
      <c r="H18674" s="1"/>
      <c r="I18674" s="1"/>
    </row>
    <row r="18675" spans="8:9" x14ac:dyDescent="0.2">
      <c r="H18675" s="1"/>
      <c r="I18675" s="1"/>
    </row>
    <row r="18676" spans="8:9" x14ac:dyDescent="0.2">
      <c r="H18676" s="1"/>
      <c r="I18676" s="1"/>
    </row>
    <row r="18677" spans="8:9" x14ac:dyDescent="0.2">
      <c r="H18677" s="1"/>
      <c r="I18677" s="1"/>
    </row>
    <row r="18678" spans="8:9" x14ac:dyDescent="0.2">
      <c r="H18678" s="1"/>
      <c r="I18678" s="1"/>
    </row>
    <row r="18679" spans="8:9" x14ac:dyDescent="0.2">
      <c r="H18679" s="1"/>
      <c r="I18679" s="1"/>
    </row>
    <row r="18680" spans="8:9" x14ac:dyDescent="0.2">
      <c r="H18680" s="1"/>
      <c r="I18680" s="1"/>
    </row>
    <row r="18681" spans="8:9" x14ac:dyDescent="0.2">
      <c r="H18681" s="1"/>
      <c r="I18681" s="1"/>
    </row>
    <row r="18682" spans="8:9" x14ac:dyDescent="0.2">
      <c r="H18682" s="1"/>
      <c r="I18682" s="1"/>
    </row>
    <row r="18683" spans="8:9" x14ac:dyDescent="0.2">
      <c r="H18683" s="1"/>
      <c r="I18683" s="1"/>
    </row>
    <row r="18684" spans="8:9" x14ac:dyDescent="0.2">
      <c r="H18684" s="1"/>
      <c r="I18684" s="1"/>
    </row>
    <row r="18685" spans="8:9" x14ac:dyDescent="0.2">
      <c r="H18685" s="1"/>
      <c r="I18685" s="1"/>
    </row>
    <row r="18686" spans="8:9" x14ac:dyDescent="0.2">
      <c r="H18686" s="1"/>
      <c r="I18686" s="1"/>
    </row>
    <row r="18687" spans="8:9" x14ac:dyDescent="0.2">
      <c r="H18687" s="1"/>
      <c r="I18687" s="1"/>
    </row>
    <row r="18688" spans="8:9" x14ac:dyDescent="0.2">
      <c r="H18688" s="1"/>
      <c r="I18688" s="1"/>
    </row>
    <row r="18689" spans="8:9" x14ac:dyDescent="0.2">
      <c r="H18689" s="1"/>
      <c r="I18689" s="1"/>
    </row>
    <row r="18690" spans="8:9" x14ac:dyDescent="0.2">
      <c r="H18690" s="1"/>
      <c r="I18690" s="1"/>
    </row>
    <row r="18691" spans="8:9" x14ac:dyDescent="0.2">
      <c r="H18691" s="1"/>
      <c r="I18691" s="1"/>
    </row>
    <row r="18692" spans="8:9" x14ac:dyDescent="0.2">
      <c r="H18692" s="1"/>
      <c r="I18692" s="1"/>
    </row>
    <row r="18693" spans="8:9" x14ac:dyDescent="0.2">
      <c r="H18693" s="1"/>
      <c r="I18693" s="1"/>
    </row>
    <row r="18694" spans="8:9" x14ac:dyDescent="0.2">
      <c r="H18694" s="1"/>
      <c r="I18694" s="1"/>
    </row>
    <row r="18695" spans="8:9" x14ac:dyDescent="0.2">
      <c r="H18695" s="1"/>
      <c r="I18695" s="1"/>
    </row>
    <row r="18696" spans="8:9" x14ac:dyDescent="0.2">
      <c r="H18696" s="1"/>
      <c r="I18696" s="1"/>
    </row>
    <row r="18697" spans="8:9" x14ac:dyDescent="0.2">
      <c r="H18697" s="1"/>
      <c r="I18697" s="1"/>
    </row>
    <row r="18698" spans="8:9" x14ac:dyDescent="0.2">
      <c r="H18698" s="1"/>
      <c r="I18698" s="1"/>
    </row>
    <row r="18699" spans="8:9" x14ac:dyDescent="0.2">
      <c r="H18699" s="1"/>
      <c r="I18699" s="1"/>
    </row>
    <row r="18700" spans="8:9" x14ac:dyDescent="0.2">
      <c r="H18700" s="1"/>
      <c r="I18700" s="1"/>
    </row>
    <row r="18701" spans="8:9" x14ac:dyDescent="0.2">
      <c r="H18701" s="1"/>
      <c r="I18701" s="1"/>
    </row>
    <row r="18702" spans="8:9" x14ac:dyDescent="0.2">
      <c r="H18702" s="1"/>
      <c r="I18702" s="1"/>
    </row>
    <row r="18703" spans="8:9" x14ac:dyDescent="0.2">
      <c r="H18703" s="1"/>
      <c r="I18703" s="1"/>
    </row>
    <row r="18704" spans="8:9" x14ac:dyDescent="0.2">
      <c r="H18704" s="1"/>
      <c r="I18704" s="1"/>
    </row>
    <row r="18705" spans="8:9" x14ac:dyDescent="0.2">
      <c r="H18705" s="1"/>
      <c r="I18705" s="1"/>
    </row>
    <row r="18706" spans="8:9" x14ac:dyDescent="0.2">
      <c r="H18706" s="1"/>
      <c r="I18706" s="1"/>
    </row>
    <row r="18707" spans="8:9" x14ac:dyDescent="0.2">
      <c r="H18707" s="1"/>
      <c r="I18707" s="1"/>
    </row>
    <row r="18708" spans="8:9" x14ac:dyDescent="0.2">
      <c r="H18708" s="1"/>
      <c r="I18708" s="1"/>
    </row>
    <row r="18709" spans="8:9" x14ac:dyDescent="0.2">
      <c r="H18709" s="1"/>
      <c r="I18709" s="1"/>
    </row>
    <row r="18710" spans="8:9" x14ac:dyDescent="0.2">
      <c r="H18710" s="1"/>
      <c r="I18710" s="1"/>
    </row>
    <row r="18711" spans="8:9" x14ac:dyDescent="0.2">
      <c r="H18711" s="1"/>
      <c r="I18711" s="1"/>
    </row>
    <row r="18712" spans="8:9" x14ac:dyDescent="0.2">
      <c r="H18712" s="1"/>
      <c r="I18712" s="1"/>
    </row>
    <row r="18713" spans="8:9" x14ac:dyDescent="0.2">
      <c r="H18713" s="1"/>
      <c r="I18713" s="1"/>
    </row>
    <row r="18714" spans="8:9" x14ac:dyDescent="0.2">
      <c r="H18714" s="1"/>
      <c r="I18714" s="1"/>
    </row>
    <row r="18715" spans="8:9" x14ac:dyDescent="0.2">
      <c r="H18715" s="1"/>
      <c r="I18715" s="1"/>
    </row>
    <row r="18716" spans="8:9" x14ac:dyDescent="0.2">
      <c r="H18716" s="1"/>
      <c r="I18716" s="1"/>
    </row>
    <row r="18717" spans="8:9" x14ac:dyDescent="0.2">
      <c r="H18717" s="1"/>
      <c r="I18717" s="1"/>
    </row>
    <row r="18718" spans="8:9" x14ac:dyDescent="0.2">
      <c r="H18718" s="1"/>
      <c r="I18718" s="1"/>
    </row>
    <row r="18719" spans="8:9" x14ac:dyDescent="0.2">
      <c r="H18719" s="1"/>
      <c r="I18719" s="1"/>
    </row>
    <row r="18720" spans="8:9" x14ac:dyDescent="0.2">
      <c r="H18720" s="1"/>
      <c r="I18720" s="1"/>
    </row>
    <row r="18721" spans="8:9" x14ac:dyDescent="0.2">
      <c r="H18721" s="1"/>
      <c r="I18721" s="1"/>
    </row>
    <row r="18722" spans="8:9" x14ac:dyDescent="0.2">
      <c r="H18722" s="1"/>
      <c r="I18722" s="1"/>
    </row>
    <row r="18723" spans="8:9" x14ac:dyDescent="0.2">
      <c r="H18723" s="1"/>
      <c r="I18723" s="1"/>
    </row>
    <row r="18724" spans="8:9" x14ac:dyDescent="0.2">
      <c r="H18724" s="1"/>
      <c r="I18724" s="1"/>
    </row>
    <row r="18725" spans="8:9" x14ac:dyDescent="0.2">
      <c r="H18725" s="1"/>
      <c r="I18725" s="1"/>
    </row>
    <row r="18726" spans="8:9" x14ac:dyDescent="0.2">
      <c r="H18726" s="1"/>
      <c r="I18726" s="1"/>
    </row>
    <row r="18727" spans="8:9" x14ac:dyDescent="0.2">
      <c r="H18727" s="1"/>
      <c r="I18727" s="1"/>
    </row>
    <row r="18728" spans="8:9" x14ac:dyDescent="0.2">
      <c r="H18728" s="1"/>
      <c r="I18728" s="1"/>
    </row>
    <row r="18729" spans="8:9" x14ac:dyDescent="0.2">
      <c r="H18729" s="1"/>
      <c r="I18729" s="1"/>
    </row>
    <row r="18730" spans="8:9" x14ac:dyDescent="0.2">
      <c r="H18730" s="1"/>
      <c r="I18730" s="1"/>
    </row>
    <row r="18731" spans="8:9" x14ac:dyDescent="0.2">
      <c r="H18731" s="1"/>
      <c r="I18731" s="1"/>
    </row>
    <row r="18732" spans="8:9" x14ac:dyDescent="0.2">
      <c r="H18732" s="1"/>
      <c r="I18732" s="1"/>
    </row>
    <row r="18733" spans="8:9" x14ac:dyDescent="0.2">
      <c r="H18733" s="1"/>
      <c r="I18733" s="1"/>
    </row>
    <row r="18734" spans="8:9" x14ac:dyDescent="0.2">
      <c r="H18734" s="1"/>
      <c r="I18734" s="1"/>
    </row>
    <row r="18735" spans="8:9" x14ac:dyDescent="0.2">
      <c r="H18735" s="1"/>
      <c r="I18735" s="1"/>
    </row>
    <row r="18736" spans="8:9" x14ac:dyDescent="0.2">
      <c r="H18736" s="1"/>
      <c r="I18736" s="1"/>
    </row>
    <row r="18737" spans="8:9" x14ac:dyDescent="0.2">
      <c r="H18737" s="1"/>
      <c r="I18737" s="1"/>
    </row>
    <row r="18738" spans="8:9" x14ac:dyDescent="0.2">
      <c r="H18738" s="1"/>
      <c r="I18738" s="1"/>
    </row>
    <row r="18739" spans="8:9" x14ac:dyDescent="0.2">
      <c r="H18739" s="1"/>
      <c r="I18739" s="1"/>
    </row>
    <row r="18740" spans="8:9" x14ac:dyDescent="0.2">
      <c r="H18740" s="1"/>
      <c r="I18740" s="1"/>
    </row>
    <row r="18741" spans="8:9" x14ac:dyDescent="0.2">
      <c r="H18741" s="1"/>
      <c r="I18741" s="1"/>
    </row>
    <row r="18742" spans="8:9" x14ac:dyDescent="0.2">
      <c r="H18742" s="1"/>
      <c r="I18742" s="1"/>
    </row>
    <row r="18743" spans="8:9" x14ac:dyDescent="0.2">
      <c r="H18743" s="1"/>
      <c r="I18743" s="1"/>
    </row>
    <row r="18744" spans="8:9" x14ac:dyDescent="0.2">
      <c r="H18744" s="1"/>
      <c r="I18744" s="1"/>
    </row>
    <row r="18745" spans="8:9" x14ac:dyDescent="0.2">
      <c r="H18745" s="1"/>
      <c r="I18745" s="1"/>
    </row>
    <row r="18746" spans="8:9" x14ac:dyDescent="0.2">
      <c r="H18746" s="1"/>
      <c r="I18746" s="1"/>
    </row>
    <row r="18747" spans="8:9" x14ac:dyDescent="0.2">
      <c r="H18747" s="1"/>
      <c r="I18747" s="1"/>
    </row>
    <row r="18748" spans="8:9" x14ac:dyDescent="0.2">
      <c r="H18748" s="1"/>
      <c r="I18748" s="1"/>
    </row>
    <row r="18749" spans="8:9" x14ac:dyDescent="0.2">
      <c r="H18749" s="1"/>
      <c r="I18749" s="1"/>
    </row>
    <row r="18750" spans="8:9" x14ac:dyDescent="0.2">
      <c r="H18750" s="1"/>
      <c r="I18750" s="1"/>
    </row>
    <row r="18751" spans="8:9" x14ac:dyDescent="0.2">
      <c r="H18751" s="1"/>
      <c r="I18751" s="1"/>
    </row>
    <row r="18752" spans="8:9" x14ac:dyDescent="0.2">
      <c r="H18752" s="1"/>
      <c r="I18752" s="1"/>
    </row>
    <row r="18753" spans="8:9" x14ac:dyDescent="0.2">
      <c r="H18753" s="1"/>
      <c r="I18753" s="1"/>
    </row>
    <row r="18754" spans="8:9" x14ac:dyDescent="0.2">
      <c r="H18754" s="1"/>
      <c r="I18754" s="1"/>
    </row>
    <row r="18755" spans="8:9" x14ac:dyDescent="0.2">
      <c r="H18755" s="1"/>
      <c r="I18755" s="1"/>
    </row>
    <row r="18756" spans="8:9" x14ac:dyDescent="0.2">
      <c r="H18756" s="1"/>
      <c r="I18756" s="1"/>
    </row>
    <row r="18757" spans="8:9" x14ac:dyDescent="0.2">
      <c r="H18757" s="1"/>
      <c r="I18757" s="1"/>
    </row>
    <row r="18758" spans="8:9" x14ac:dyDescent="0.2">
      <c r="H18758" s="1"/>
      <c r="I18758" s="1"/>
    </row>
    <row r="18759" spans="8:9" x14ac:dyDescent="0.2">
      <c r="H18759" s="1"/>
      <c r="I18759" s="1"/>
    </row>
    <row r="18760" spans="8:9" x14ac:dyDescent="0.2">
      <c r="H18760" s="1"/>
      <c r="I18760" s="1"/>
    </row>
    <row r="18761" spans="8:9" x14ac:dyDescent="0.2">
      <c r="H18761" s="1"/>
      <c r="I18761" s="1"/>
    </row>
    <row r="18762" spans="8:9" x14ac:dyDescent="0.2">
      <c r="H18762" s="1"/>
      <c r="I18762" s="1"/>
    </row>
    <row r="18763" spans="8:9" x14ac:dyDescent="0.2">
      <c r="H18763" s="1"/>
      <c r="I18763" s="1"/>
    </row>
    <row r="18764" spans="8:9" x14ac:dyDescent="0.2">
      <c r="H18764" s="1"/>
      <c r="I18764" s="1"/>
    </row>
    <row r="18765" spans="8:9" x14ac:dyDescent="0.2">
      <c r="H18765" s="1"/>
      <c r="I18765" s="1"/>
    </row>
    <row r="18766" spans="8:9" x14ac:dyDescent="0.2">
      <c r="H18766" s="1"/>
      <c r="I18766" s="1"/>
    </row>
    <row r="18767" spans="8:9" x14ac:dyDescent="0.2">
      <c r="H18767" s="1"/>
      <c r="I18767" s="1"/>
    </row>
    <row r="18768" spans="8:9" x14ac:dyDescent="0.2">
      <c r="H18768" s="1"/>
      <c r="I18768" s="1"/>
    </row>
    <row r="18769" spans="8:9" x14ac:dyDescent="0.2">
      <c r="H18769" s="1"/>
      <c r="I18769" s="1"/>
    </row>
    <row r="18770" spans="8:9" x14ac:dyDescent="0.2">
      <c r="H18770" s="1"/>
      <c r="I18770" s="1"/>
    </row>
    <row r="18771" spans="8:9" x14ac:dyDescent="0.2">
      <c r="H18771" s="1"/>
      <c r="I18771" s="1"/>
    </row>
    <row r="18772" spans="8:9" x14ac:dyDescent="0.2">
      <c r="H18772" s="1"/>
      <c r="I18772" s="1"/>
    </row>
    <row r="18773" spans="8:9" x14ac:dyDescent="0.2">
      <c r="H18773" s="1"/>
      <c r="I18773" s="1"/>
    </row>
    <row r="18774" spans="8:9" x14ac:dyDescent="0.2">
      <c r="H18774" s="1"/>
      <c r="I18774" s="1"/>
    </row>
    <row r="18775" spans="8:9" x14ac:dyDescent="0.2">
      <c r="H18775" s="1"/>
      <c r="I18775" s="1"/>
    </row>
    <row r="18776" spans="8:9" x14ac:dyDescent="0.2">
      <c r="H18776" s="1"/>
      <c r="I18776" s="1"/>
    </row>
    <row r="18777" spans="8:9" x14ac:dyDescent="0.2">
      <c r="H18777" s="1"/>
      <c r="I18777" s="1"/>
    </row>
    <row r="18778" spans="8:9" x14ac:dyDescent="0.2">
      <c r="H18778" s="1"/>
      <c r="I18778" s="1"/>
    </row>
    <row r="18779" spans="8:9" x14ac:dyDescent="0.2">
      <c r="H18779" s="1"/>
      <c r="I18779" s="1"/>
    </row>
    <row r="18780" spans="8:9" x14ac:dyDescent="0.2">
      <c r="H18780" s="1"/>
      <c r="I18780" s="1"/>
    </row>
    <row r="18781" spans="8:9" x14ac:dyDescent="0.2">
      <c r="H18781" s="1"/>
      <c r="I18781" s="1"/>
    </row>
    <row r="18782" spans="8:9" x14ac:dyDescent="0.2">
      <c r="H18782" s="1"/>
      <c r="I18782" s="1"/>
    </row>
    <row r="18783" spans="8:9" x14ac:dyDescent="0.2">
      <c r="H18783" s="1"/>
      <c r="I18783" s="1"/>
    </row>
    <row r="18784" spans="8:9" x14ac:dyDescent="0.2">
      <c r="H18784" s="1"/>
      <c r="I18784" s="1"/>
    </row>
    <row r="18785" spans="8:9" x14ac:dyDescent="0.2">
      <c r="H18785" s="1"/>
      <c r="I18785" s="1"/>
    </row>
    <row r="18786" spans="8:9" x14ac:dyDescent="0.2">
      <c r="H18786" s="1"/>
      <c r="I18786" s="1"/>
    </row>
    <row r="18787" spans="8:9" x14ac:dyDescent="0.2">
      <c r="H18787" s="1"/>
      <c r="I18787" s="1"/>
    </row>
    <row r="18788" spans="8:9" x14ac:dyDescent="0.2">
      <c r="H18788" s="1"/>
      <c r="I18788" s="1"/>
    </row>
    <row r="18789" spans="8:9" x14ac:dyDescent="0.2">
      <c r="H18789" s="1"/>
      <c r="I18789" s="1"/>
    </row>
    <row r="18790" spans="8:9" x14ac:dyDescent="0.2">
      <c r="H18790" s="1"/>
      <c r="I18790" s="1"/>
    </row>
    <row r="18791" spans="8:9" x14ac:dyDescent="0.2">
      <c r="H18791" s="1"/>
      <c r="I18791" s="1"/>
    </row>
    <row r="18792" spans="8:9" x14ac:dyDescent="0.2">
      <c r="H18792" s="1"/>
      <c r="I18792" s="1"/>
    </row>
    <row r="18793" spans="8:9" x14ac:dyDescent="0.2">
      <c r="H18793" s="1"/>
      <c r="I18793" s="1"/>
    </row>
    <row r="18794" spans="8:9" x14ac:dyDescent="0.2">
      <c r="H18794" s="1"/>
      <c r="I18794" s="1"/>
    </row>
    <row r="18795" spans="8:9" x14ac:dyDescent="0.2">
      <c r="H18795" s="1"/>
      <c r="I18795" s="1"/>
    </row>
    <row r="18796" spans="8:9" x14ac:dyDescent="0.2">
      <c r="H18796" s="1"/>
      <c r="I18796" s="1"/>
    </row>
    <row r="18797" spans="8:9" x14ac:dyDescent="0.2">
      <c r="H18797" s="1"/>
      <c r="I18797" s="1"/>
    </row>
    <row r="18798" spans="8:9" x14ac:dyDescent="0.2">
      <c r="H18798" s="1"/>
      <c r="I18798" s="1"/>
    </row>
    <row r="18799" spans="8:9" x14ac:dyDescent="0.2">
      <c r="H18799" s="1"/>
      <c r="I18799" s="1"/>
    </row>
    <row r="18800" spans="8:9" x14ac:dyDescent="0.2">
      <c r="H18800" s="1"/>
      <c r="I18800" s="1"/>
    </row>
    <row r="18801" spans="8:9" x14ac:dyDescent="0.2">
      <c r="H18801" s="1"/>
      <c r="I18801" s="1"/>
    </row>
    <row r="18802" spans="8:9" x14ac:dyDescent="0.2">
      <c r="H18802" s="1"/>
      <c r="I18802" s="1"/>
    </row>
    <row r="18803" spans="8:9" x14ac:dyDescent="0.2">
      <c r="H18803" s="1"/>
      <c r="I18803" s="1"/>
    </row>
    <row r="18804" spans="8:9" x14ac:dyDescent="0.2">
      <c r="H18804" s="1"/>
      <c r="I18804" s="1"/>
    </row>
    <row r="18805" spans="8:9" x14ac:dyDescent="0.2">
      <c r="H18805" s="1"/>
      <c r="I18805" s="1"/>
    </row>
    <row r="18806" spans="8:9" x14ac:dyDescent="0.2">
      <c r="H18806" s="1"/>
      <c r="I18806" s="1"/>
    </row>
    <row r="18807" spans="8:9" x14ac:dyDescent="0.2">
      <c r="H18807" s="1"/>
      <c r="I18807" s="1"/>
    </row>
    <row r="18808" spans="8:9" x14ac:dyDescent="0.2">
      <c r="H18808" s="1"/>
      <c r="I18808" s="1"/>
    </row>
    <row r="18809" spans="8:9" x14ac:dyDescent="0.2">
      <c r="H18809" s="1"/>
      <c r="I18809" s="1"/>
    </row>
    <row r="18810" spans="8:9" x14ac:dyDescent="0.2">
      <c r="H18810" s="1"/>
      <c r="I18810" s="1"/>
    </row>
    <row r="18811" spans="8:9" x14ac:dyDescent="0.2">
      <c r="H18811" s="1"/>
      <c r="I18811" s="1"/>
    </row>
    <row r="18812" spans="8:9" x14ac:dyDescent="0.2">
      <c r="H18812" s="1"/>
      <c r="I18812" s="1"/>
    </row>
    <row r="18813" spans="8:9" x14ac:dyDescent="0.2">
      <c r="H18813" s="1"/>
      <c r="I18813" s="1"/>
    </row>
    <row r="18814" spans="8:9" x14ac:dyDescent="0.2">
      <c r="H18814" s="1"/>
      <c r="I18814" s="1"/>
    </row>
    <row r="18815" spans="8:9" x14ac:dyDescent="0.2">
      <c r="H18815" s="1"/>
      <c r="I18815" s="1"/>
    </row>
    <row r="18816" spans="8:9" x14ac:dyDescent="0.2">
      <c r="H18816" s="1"/>
      <c r="I18816" s="1"/>
    </row>
    <row r="18817" spans="8:9" x14ac:dyDescent="0.2">
      <c r="H18817" s="1"/>
      <c r="I18817" s="1"/>
    </row>
    <row r="18818" spans="8:9" x14ac:dyDescent="0.2">
      <c r="H18818" s="1"/>
      <c r="I18818" s="1"/>
    </row>
    <row r="18819" spans="8:9" x14ac:dyDescent="0.2">
      <c r="H18819" s="1"/>
      <c r="I18819" s="1"/>
    </row>
    <row r="18820" spans="8:9" x14ac:dyDescent="0.2">
      <c r="H18820" s="1"/>
      <c r="I18820" s="1"/>
    </row>
    <row r="18821" spans="8:9" x14ac:dyDescent="0.2">
      <c r="H18821" s="1"/>
      <c r="I18821" s="1"/>
    </row>
    <row r="18822" spans="8:9" x14ac:dyDescent="0.2">
      <c r="H18822" s="1"/>
      <c r="I18822" s="1"/>
    </row>
    <row r="18823" spans="8:9" x14ac:dyDescent="0.2">
      <c r="H18823" s="1"/>
      <c r="I18823" s="1"/>
    </row>
    <row r="18824" spans="8:9" x14ac:dyDescent="0.2">
      <c r="H18824" s="1"/>
      <c r="I18824" s="1"/>
    </row>
    <row r="18825" spans="8:9" x14ac:dyDescent="0.2">
      <c r="H18825" s="1"/>
      <c r="I18825" s="1"/>
    </row>
    <row r="18826" spans="8:9" x14ac:dyDescent="0.2">
      <c r="H18826" s="1"/>
      <c r="I18826" s="1"/>
    </row>
    <row r="18827" spans="8:9" x14ac:dyDescent="0.2">
      <c r="H18827" s="1"/>
      <c r="I18827" s="1"/>
    </row>
    <row r="18828" spans="8:9" x14ac:dyDescent="0.2">
      <c r="H18828" s="1"/>
      <c r="I18828" s="1"/>
    </row>
    <row r="18829" spans="8:9" x14ac:dyDescent="0.2">
      <c r="H18829" s="1"/>
      <c r="I18829" s="1"/>
    </row>
    <row r="18830" spans="8:9" x14ac:dyDescent="0.2">
      <c r="H18830" s="1"/>
      <c r="I18830" s="1"/>
    </row>
    <row r="18831" spans="8:9" x14ac:dyDescent="0.2">
      <c r="H18831" s="1"/>
      <c r="I18831" s="1"/>
    </row>
    <row r="18832" spans="8:9" x14ac:dyDescent="0.2">
      <c r="H18832" s="1"/>
      <c r="I18832" s="1"/>
    </row>
    <row r="18833" spans="8:9" x14ac:dyDescent="0.2">
      <c r="H18833" s="1"/>
      <c r="I18833" s="1"/>
    </row>
    <row r="18834" spans="8:9" x14ac:dyDescent="0.2">
      <c r="H18834" s="1"/>
      <c r="I18834" s="1"/>
    </row>
    <row r="18835" spans="8:9" x14ac:dyDescent="0.2">
      <c r="H18835" s="1"/>
      <c r="I18835" s="1"/>
    </row>
    <row r="18836" spans="8:9" x14ac:dyDescent="0.2">
      <c r="H18836" s="1"/>
      <c r="I18836" s="1"/>
    </row>
    <row r="18837" spans="8:9" x14ac:dyDescent="0.2">
      <c r="H18837" s="1"/>
      <c r="I18837" s="1"/>
    </row>
    <row r="18838" spans="8:9" x14ac:dyDescent="0.2">
      <c r="H18838" s="1"/>
      <c r="I18838" s="1"/>
    </row>
    <row r="18839" spans="8:9" x14ac:dyDescent="0.2">
      <c r="H18839" s="1"/>
      <c r="I18839" s="1"/>
    </row>
    <row r="18840" spans="8:9" x14ac:dyDescent="0.2">
      <c r="H18840" s="1"/>
      <c r="I18840" s="1"/>
    </row>
    <row r="18841" spans="8:9" x14ac:dyDescent="0.2">
      <c r="H18841" s="1"/>
      <c r="I18841" s="1"/>
    </row>
    <row r="18842" spans="8:9" x14ac:dyDescent="0.2">
      <c r="H18842" s="1"/>
      <c r="I18842" s="1"/>
    </row>
    <row r="18843" spans="8:9" x14ac:dyDescent="0.2">
      <c r="H18843" s="1"/>
      <c r="I18843" s="1"/>
    </row>
    <row r="18844" spans="8:9" x14ac:dyDescent="0.2">
      <c r="H18844" s="1"/>
      <c r="I18844" s="1"/>
    </row>
    <row r="18845" spans="8:9" x14ac:dyDescent="0.2">
      <c r="H18845" s="1"/>
      <c r="I18845" s="1"/>
    </row>
    <row r="18846" spans="8:9" x14ac:dyDescent="0.2">
      <c r="H18846" s="1"/>
      <c r="I18846" s="1"/>
    </row>
    <row r="18847" spans="8:9" x14ac:dyDescent="0.2">
      <c r="H18847" s="1"/>
      <c r="I18847" s="1"/>
    </row>
    <row r="18848" spans="8:9" x14ac:dyDescent="0.2">
      <c r="H18848" s="1"/>
      <c r="I18848" s="1"/>
    </row>
    <row r="18849" spans="8:9" x14ac:dyDescent="0.2">
      <c r="H18849" s="1"/>
      <c r="I18849" s="1"/>
    </row>
    <row r="18850" spans="8:9" x14ac:dyDescent="0.2">
      <c r="H18850" s="1"/>
      <c r="I18850" s="1"/>
    </row>
    <row r="18851" spans="8:9" x14ac:dyDescent="0.2">
      <c r="H18851" s="1"/>
      <c r="I18851" s="1"/>
    </row>
    <row r="18852" spans="8:9" x14ac:dyDescent="0.2">
      <c r="H18852" s="1"/>
      <c r="I18852" s="1"/>
    </row>
    <row r="18853" spans="8:9" x14ac:dyDescent="0.2">
      <c r="H18853" s="1"/>
      <c r="I18853" s="1"/>
    </row>
    <row r="18854" spans="8:9" x14ac:dyDescent="0.2">
      <c r="H18854" s="1"/>
      <c r="I18854" s="1"/>
    </row>
    <row r="18855" spans="8:9" x14ac:dyDescent="0.2">
      <c r="H18855" s="1"/>
      <c r="I18855" s="1"/>
    </row>
    <row r="18856" spans="8:9" x14ac:dyDescent="0.2">
      <c r="H18856" s="1"/>
      <c r="I18856" s="1"/>
    </row>
    <row r="18857" spans="8:9" x14ac:dyDescent="0.2">
      <c r="H18857" s="1"/>
      <c r="I18857" s="1"/>
    </row>
    <row r="18858" spans="8:9" x14ac:dyDescent="0.2">
      <c r="H18858" s="1"/>
      <c r="I18858" s="1"/>
    </row>
    <row r="18859" spans="8:9" x14ac:dyDescent="0.2">
      <c r="H18859" s="1"/>
      <c r="I18859" s="1"/>
    </row>
    <row r="18860" spans="8:9" x14ac:dyDescent="0.2">
      <c r="H18860" s="1"/>
      <c r="I18860" s="1"/>
    </row>
    <row r="18861" spans="8:9" x14ac:dyDescent="0.2">
      <c r="H18861" s="1"/>
      <c r="I18861" s="1"/>
    </row>
    <row r="18862" spans="8:9" x14ac:dyDescent="0.2">
      <c r="H18862" s="1"/>
      <c r="I18862" s="1"/>
    </row>
    <row r="18863" spans="8:9" x14ac:dyDescent="0.2">
      <c r="H18863" s="1"/>
      <c r="I18863" s="1"/>
    </row>
    <row r="18864" spans="8:9" x14ac:dyDescent="0.2">
      <c r="H18864" s="1"/>
      <c r="I18864" s="1"/>
    </row>
    <row r="18865" spans="8:9" x14ac:dyDescent="0.2">
      <c r="H18865" s="1"/>
      <c r="I18865" s="1"/>
    </row>
    <row r="18866" spans="8:9" x14ac:dyDescent="0.2">
      <c r="H18866" s="1"/>
      <c r="I18866" s="1"/>
    </row>
    <row r="18867" spans="8:9" x14ac:dyDescent="0.2">
      <c r="H18867" s="1"/>
      <c r="I18867" s="1"/>
    </row>
    <row r="18868" spans="8:9" x14ac:dyDescent="0.2">
      <c r="H18868" s="1"/>
      <c r="I18868" s="1"/>
    </row>
    <row r="18869" spans="8:9" x14ac:dyDescent="0.2">
      <c r="H18869" s="1"/>
      <c r="I18869" s="1"/>
    </row>
    <row r="18870" spans="8:9" x14ac:dyDescent="0.2">
      <c r="H18870" s="1"/>
      <c r="I18870" s="1"/>
    </row>
    <row r="18871" spans="8:9" x14ac:dyDescent="0.2">
      <c r="H18871" s="1"/>
      <c r="I18871" s="1"/>
    </row>
    <row r="18872" spans="8:9" x14ac:dyDescent="0.2">
      <c r="H18872" s="1"/>
      <c r="I18872" s="1"/>
    </row>
    <row r="18873" spans="8:9" x14ac:dyDescent="0.2">
      <c r="H18873" s="1"/>
      <c r="I18873" s="1"/>
    </row>
    <row r="18874" spans="8:9" x14ac:dyDescent="0.2">
      <c r="H18874" s="1"/>
      <c r="I18874" s="1"/>
    </row>
    <row r="18875" spans="8:9" x14ac:dyDescent="0.2">
      <c r="H18875" s="1"/>
      <c r="I18875" s="1"/>
    </row>
    <row r="18876" spans="8:9" x14ac:dyDescent="0.2">
      <c r="H18876" s="1"/>
      <c r="I18876" s="1"/>
    </row>
    <row r="18877" spans="8:9" x14ac:dyDescent="0.2">
      <c r="H18877" s="1"/>
      <c r="I18877" s="1"/>
    </row>
    <row r="18878" spans="8:9" x14ac:dyDescent="0.2">
      <c r="H18878" s="1"/>
      <c r="I18878" s="1"/>
    </row>
    <row r="18879" spans="8:9" x14ac:dyDescent="0.2">
      <c r="H18879" s="1"/>
      <c r="I18879" s="1"/>
    </row>
    <row r="18880" spans="8:9" x14ac:dyDescent="0.2">
      <c r="H18880" s="1"/>
      <c r="I18880" s="1"/>
    </row>
    <row r="18881" spans="8:9" x14ac:dyDescent="0.2">
      <c r="H18881" s="1"/>
      <c r="I18881" s="1"/>
    </row>
    <row r="18882" spans="8:9" x14ac:dyDescent="0.2">
      <c r="H18882" s="1"/>
      <c r="I18882" s="1"/>
    </row>
    <row r="18883" spans="8:9" x14ac:dyDescent="0.2">
      <c r="H18883" s="1"/>
      <c r="I18883" s="1"/>
    </row>
    <row r="18884" spans="8:9" x14ac:dyDescent="0.2">
      <c r="H18884" s="1"/>
      <c r="I18884" s="1"/>
    </row>
    <row r="18885" spans="8:9" x14ac:dyDescent="0.2">
      <c r="H18885" s="1"/>
      <c r="I18885" s="1"/>
    </row>
    <row r="18886" spans="8:9" x14ac:dyDescent="0.2">
      <c r="H18886" s="1"/>
      <c r="I18886" s="1"/>
    </row>
    <row r="18887" spans="8:9" x14ac:dyDescent="0.2">
      <c r="H18887" s="1"/>
      <c r="I18887" s="1"/>
    </row>
    <row r="18888" spans="8:9" x14ac:dyDescent="0.2">
      <c r="H18888" s="1"/>
      <c r="I18888" s="1"/>
    </row>
    <row r="18889" spans="8:9" x14ac:dyDescent="0.2">
      <c r="H18889" s="1"/>
      <c r="I18889" s="1"/>
    </row>
    <row r="18890" spans="8:9" x14ac:dyDescent="0.2">
      <c r="H18890" s="1"/>
      <c r="I18890" s="1"/>
    </row>
    <row r="18891" spans="8:9" x14ac:dyDescent="0.2">
      <c r="H18891" s="1"/>
      <c r="I18891" s="1"/>
    </row>
    <row r="18892" spans="8:9" x14ac:dyDescent="0.2">
      <c r="H18892" s="1"/>
      <c r="I18892" s="1"/>
    </row>
    <row r="18893" spans="8:9" x14ac:dyDescent="0.2">
      <c r="H18893" s="1"/>
      <c r="I18893" s="1"/>
    </row>
    <row r="18894" spans="8:9" x14ac:dyDescent="0.2">
      <c r="H18894" s="1"/>
      <c r="I18894" s="1"/>
    </row>
    <row r="18895" spans="8:9" x14ac:dyDescent="0.2">
      <c r="H18895" s="1"/>
      <c r="I18895" s="1"/>
    </row>
    <row r="18896" spans="8:9" x14ac:dyDescent="0.2">
      <c r="H18896" s="1"/>
      <c r="I18896" s="1"/>
    </row>
    <row r="18897" spans="8:9" x14ac:dyDescent="0.2">
      <c r="H18897" s="1"/>
      <c r="I18897" s="1"/>
    </row>
    <row r="18898" spans="8:9" x14ac:dyDescent="0.2">
      <c r="H18898" s="1"/>
      <c r="I18898" s="1"/>
    </row>
    <row r="18899" spans="8:9" x14ac:dyDescent="0.2">
      <c r="H18899" s="1"/>
      <c r="I18899" s="1"/>
    </row>
    <row r="18900" spans="8:9" x14ac:dyDescent="0.2">
      <c r="H18900" s="1"/>
      <c r="I18900" s="1"/>
    </row>
    <row r="18901" spans="8:9" x14ac:dyDescent="0.2">
      <c r="H18901" s="1"/>
      <c r="I18901" s="1"/>
    </row>
    <row r="18902" spans="8:9" x14ac:dyDescent="0.2">
      <c r="H18902" s="1"/>
      <c r="I18902" s="1"/>
    </row>
    <row r="18903" spans="8:9" x14ac:dyDescent="0.2">
      <c r="H18903" s="1"/>
      <c r="I18903" s="1"/>
    </row>
    <row r="18904" spans="8:9" x14ac:dyDescent="0.2">
      <c r="H18904" s="1"/>
      <c r="I18904" s="1"/>
    </row>
    <row r="18905" spans="8:9" x14ac:dyDescent="0.2">
      <c r="H18905" s="1"/>
      <c r="I18905" s="1"/>
    </row>
    <row r="18906" spans="8:9" x14ac:dyDescent="0.2">
      <c r="H18906" s="1"/>
      <c r="I18906" s="1"/>
    </row>
    <row r="18907" spans="8:9" x14ac:dyDescent="0.2">
      <c r="H18907" s="1"/>
      <c r="I18907" s="1"/>
    </row>
    <row r="18908" spans="8:9" x14ac:dyDescent="0.2">
      <c r="H18908" s="1"/>
      <c r="I18908" s="1"/>
    </row>
    <row r="18909" spans="8:9" x14ac:dyDescent="0.2">
      <c r="H18909" s="1"/>
      <c r="I18909" s="1"/>
    </row>
    <row r="18910" spans="8:9" x14ac:dyDescent="0.2">
      <c r="H18910" s="1"/>
      <c r="I18910" s="1"/>
    </row>
    <row r="18911" spans="8:9" x14ac:dyDescent="0.2">
      <c r="H18911" s="1"/>
      <c r="I18911" s="1"/>
    </row>
    <row r="18912" spans="8:9" x14ac:dyDescent="0.2">
      <c r="H18912" s="1"/>
      <c r="I18912" s="1"/>
    </row>
    <row r="18913" spans="8:9" x14ac:dyDescent="0.2">
      <c r="H18913" s="1"/>
      <c r="I18913" s="1"/>
    </row>
    <row r="18914" spans="8:9" x14ac:dyDescent="0.2">
      <c r="H18914" s="1"/>
      <c r="I18914" s="1"/>
    </row>
    <row r="18915" spans="8:9" x14ac:dyDescent="0.2">
      <c r="H18915" s="1"/>
      <c r="I18915" s="1"/>
    </row>
    <row r="18916" spans="8:9" x14ac:dyDescent="0.2">
      <c r="H18916" s="1"/>
      <c r="I18916" s="1"/>
    </row>
    <row r="18917" spans="8:9" x14ac:dyDescent="0.2">
      <c r="H18917" s="1"/>
      <c r="I18917" s="1"/>
    </row>
    <row r="18918" spans="8:9" x14ac:dyDescent="0.2">
      <c r="H18918" s="1"/>
      <c r="I18918" s="1"/>
    </row>
    <row r="18919" spans="8:9" x14ac:dyDescent="0.2">
      <c r="H18919" s="1"/>
      <c r="I18919" s="1"/>
    </row>
    <row r="18920" spans="8:9" x14ac:dyDescent="0.2">
      <c r="H18920" s="1"/>
      <c r="I18920" s="1"/>
    </row>
    <row r="18921" spans="8:9" x14ac:dyDescent="0.2">
      <c r="H18921" s="1"/>
      <c r="I18921" s="1"/>
    </row>
    <row r="18922" spans="8:9" x14ac:dyDescent="0.2">
      <c r="H18922" s="1"/>
      <c r="I18922" s="1"/>
    </row>
    <row r="18923" spans="8:9" x14ac:dyDescent="0.2">
      <c r="H18923" s="1"/>
      <c r="I18923" s="1"/>
    </row>
    <row r="18924" spans="8:9" x14ac:dyDescent="0.2">
      <c r="H18924" s="1"/>
      <c r="I18924" s="1"/>
    </row>
    <row r="18925" spans="8:9" x14ac:dyDescent="0.2">
      <c r="H18925" s="1"/>
      <c r="I18925" s="1"/>
    </row>
    <row r="18926" spans="8:9" x14ac:dyDescent="0.2">
      <c r="H18926" s="1"/>
      <c r="I18926" s="1"/>
    </row>
    <row r="18927" spans="8:9" x14ac:dyDescent="0.2">
      <c r="H18927" s="1"/>
      <c r="I18927" s="1"/>
    </row>
    <row r="18928" spans="8:9" x14ac:dyDescent="0.2">
      <c r="H18928" s="1"/>
      <c r="I18928" s="1"/>
    </row>
    <row r="18929" spans="8:9" x14ac:dyDescent="0.2">
      <c r="H18929" s="1"/>
      <c r="I18929" s="1"/>
    </row>
    <row r="18930" spans="8:9" x14ac:dyDescent="0.2">
      <c r="H18930" s="1"/>
      <c r="I18930" s="1"/>
    </row>
    <row r="18931" spans="8:9" x14ac:dyDescent="0.2">
      <c r="H18931" s="1"/>
      <c r="I18931" s="1"/>
    </row>
    <row r="18932" spans="8:9" x14ac:dyDescent="0.2">
      <c r="H18932" s="1"/>
      <c r="I18932" s="1"/>
    </row>
    <row r="18933" spans="8:9" x14ac:dyDescent="0.2">
      <c r="H18933" s="1"/>
      <c r="I18933" s="1"/>
    </row>
    <row r="18934" spans="8:9" x14ac:dyDescent="0.2">
      <c r="H18934" s="1"/>
      <c r="I18934" s="1"/>
    </row>
    <row r="18935" spans="8:9" x14ac:dyDescent="0.2">
      <c r="H18935" s="1"/>
      <c r="I18935" s="1"/>
    </row>
    <row r="18936" spans="8:9" x14ac:dyDescent="0.2">
      <c r="H18936" s="1"/>
      <c r="I18936" s="1"/>
    </row>
    <row r="18937" spans="8:9" x14ac:dyDescent="0.2">
      <c r="H18937" s="1"/>
      <c r="I18937" s="1"/>
    </row>
    <row r="18938" spans="8:9" x14ac:dyDescent="0.2">
      <c r="H18938" s="1"/>
      <c r="I18938" s="1"/>
    </row>
    <row r="18939" spans="8:9" x14ac:dyDescent="0.2">
      <c r="H18939" s="1"/>
      <c r="I18939" s="1"/>
    </row>
    <row r="18940" spans="8:9" x14ac:dyDescent="0.2">
      <c r="H18940" s="1"/>
      <c r="I18940" s="1"/>
    </row>
    <row r="18941" spans="8:9" x14ac:dyDescent="0.2">
      <c r="H18941" s="1"/>
      <c r="I18941" s="1"/>
    </row>
    <row r="18942" spans="8:9" x14ac:dyDescent="0.2">
      <c r="H18942" s="1"/>
      <c r="I18942" s="1"/>
    </row>
    <row r="18943" spans="8:9" x14ac:dyDescent="0.2">
      <c r="H18943" s="1"/>
      <c r="I18943" s="1"/>
    </row>
    <row r="18944" spans="8:9" x14ac:dyDescent="0.2">
      <c r="H18944" s="1"/>
      <c r="I18944" s="1"/>
    </row>
    <row r="18945" spans="8:9" x14ac:dyDescent="0.2">
      <c r="H18945" s="1"/>
      <c r="I18945" s="1"/>
    </row>
    <row r="18946" spans="8:9" x14ac:dyDescent="0.2">
      <c r="H18946" s="1"/>
      <c r="I18946" s="1"/>
    </row>
    <row r="18947" spans="8:9" x14ac:dyDescent="0.2">
      <c r="H18947" s="1"/>
      <c r="I18947" s="1"/>
    </row>
    <row r="18948" spans="8:9" x14ac:dyDescent="0.2">
      <c r="H18948" s="1"/>
      <c r="I18948" s="1"/>
    </row>
    <row r="18949" spans="8:9" x14ac:dyDescent="0.2">
      <c r="H18949" s="1"/>
      <c r="I18949" s="1"/>
    </row>
    <row r="18950" spans="8:9" x14ac:dyDescent="0.2">
      <c r="H18950" s="1"/>
      <c r="I18950" s="1"/>
    </row>
    <row r="18951" spans="8:9" x14ac:dyDescent="0.2">
      <c r="H18951" s="1"/>
      <c r="I18951" s="1"/>
    </row>
    <row r="18952" spans="8:9" x14ac:dyDescent="0.2">
      <c r="H18952" s="1"/>
      <c r="I18952" s="1"/>
    </row>
    <row r="18953" spans="8:9" x14ac:dyDescent="0.2">
      <c r="H18953" s="1"/>
      <c r="I18953" s="1"/>
    </row>
    <row r="18954" spans="8:9" x14ac:dyDescent="0.2">
      <c r="H18954" s="1"/>
      <c r="I18954" s="1"/>
    </row>
    <row r="18955" spans="8:9" x14ac:dyDescent="0.2">
      <c r="H18955" s="1"/>
      <c r="I18955" s="1"/>
    </row>
    <row r="18956" spans="8:9" x14ac:dyDescent="0.2">
      <c r="H18956" s="1"/>
      <c r="I18956" s="1"/>
    </row>
    <row r="18957" spans="8:9" x14ac:dyDescent="0.2">
      <c r="H18957" s="1"/>
      <c r="I18957" s="1"/>
    </row>
    <row r="18958" spans="8:9" x14ac:dyDescent="0.2">
      <c r="H18958" s="1"/>
      <c r="I18958" s="1"/>
    </row>
    <row r="18959" spans="8:9" x14ac:dyDescent="0.2">
      <c r="H18959" s="1"/>
      <c r="I18959" s="1"/>
    </row>
    <row r="18960" spans="8:9" x14ac:dyDescent="0.2">
      <c r="H18960" s="1"/>
      <c r="I18960" s="1"/>
    </row>
    <row r="18961" spans="8:9" x14ac:dyDescent="0.2">
      <c r="H18961" s="1"/>
      <c r="I18961" s="1"/>
    </row>
    <row r="18962" spans="8:9" x14ac:dyDescent="0.2">
      <c r="H18962" s="1"/>
      <c r="I18962" s="1"/>
    </row>
    <row r="18963" spans="8:9" x14ac:dyDescent="0.2">
      <c r="H18963" s="1"/>
      <c r="I18963" s="1"/>
    </row>
    <row r="18964" spans="8:9" x14ac:dyDescent="0.2">
      <c r="H18964" s="1"/>
      <c r="I18964" s="1"/>
    </row>
    <row r="18965" spans="8:9" x14ac:dyDescent="0.2">
      <c r="H18965" s="1"/>
      <c r="I18965" s="1"/>
    </row>
    <row r="18966" spans="8:9" x14ac:dyDescent="0.2">
      <c r="H18966" s="1"/>
      <c r="I18966" s="1"/>
    </row>
    <row r="18967" spans="8:9" x14ac:dyDescent="0.2">
      <c r="H18967" s="1"/>
      <c r="I18967" s="1"/>
    </row>
    <row r="18968" spans="8:9" x14ac:dyDescent="0.2">
      <c r="H18968" s="1"/>
      <c r="I18968" s="1"/>
    </row>
    <row r="18969" spans="8:9" x14ac:dyDescent="0.2">
      <c r="H18969" s="1"/>
      <c r="I18969" s="1"/>
    </row>
    <row r="18970" spans="8:9" x14ac:dyDescent="0.2">
      <c r="H18970" s="1"/>
      <c r="I18970" s="1"/>
    </row>
    <row r="18971" spans="8:9" x14ac:dyDescent="0.2">
      <c r="H18971" s="1"/>
      <c r="I18971" s="1"/>
    </row>
    <row r="18972" spans="8:9" x14ac:dyDescent="0.2">
      <c r="H18972" s="1"/>
      <c r="I18972" s="1"/>
    </row>
    <row r="18973" spans="8:9" x14ac:dyDescent="0.2">
      <c r="H18973" s="1"/>
      <c r="I18973" s="1"/>
    </row>
    <row r="18974" spans="8:9" x14ac:dyDescent="0.2">
      <c r="H18974" s="1"/>
      <c r="I18974" s="1"/>
    </row>
    <row r="18975" spans="8:9" x14ac:dyDescent="0.2">
      <c r="H18975" s="1"/>
      <c r="I18975" s="1"/>
    </row>
    <row r="18976" spans="8:9" x14ac:dyDescent="0.2">
      <c r="H18976" s="1"/>
      <c r="I18976" s="1"/>
    </row>
    <row r="18977" spans="8:9" x14ac:dyDescent="0.2">
      <c r="H18977" s="1"/>
      <c r="I18977" s="1"/>
    </row>
    <row r="18978" spans="8:9" x14ac:dyDescent="0.2">
      <c r="H18978" s="1"/>
      <c r="I18978" s="1"/>
    </row>
    <row r="18979" spans="8:9" x14ac:dyDescent="0.2">
      <c r="H18979" s="1"/>
      <c r="I18979" s="1"/>
    </row>
    <row r="18980" spans="8:9" x14ac:dyDescent="0.2">
      <c r="H18980" s="1"/>
      <c r="I18980" s="1"/>
    </row>
    <row r="18981" spans="8:9" x14ac:dyDescent="0.2">
      <c r="H18981" s="1"/>
      <c r="I18981" s="1"/>
    </row>
    <row r="18982" spans="8:9" x14ac:dyDescent="0.2">
      <c r="H18982" s="1"/>
      <c r="I18982" s="1"/>
    </row>
    <row r="18983" spans="8:9" x14ac:dyDescent="0.2">
      <c r="H18983" s="1"/>
      <c r="I18983" s="1"/>
    </row>
    <row r="18984" spans="8:9" x14ac:dyDescent="0.2">
      <c r="H18984" s="1"/>
      <c r="I18984" s="1"/>
    </row>
    <row r="18985" spans="8:9" x14ac:dyDescent="0.2">
      <c r="H18985" s="1"/>
      <c r="I18985" s="1"/>
    </row>
    <row r="18986" spans="8:9" x14ac:dyDescent="0.2">
      <c r="H18986" s="1"/>
      <c r="I18986" s="1"/>
    </row>
    <row r="18987" spans="8:9" x14ac:dyDescent="0.2">
      <c r="H18987" s="1"/>
      <c r="I18987" s="1"/>
    </row>
    <row r="18988" spans="8:9" x14ac:dyDescent="0.2">
      <c r="H18988" s="1"/>
      <c r="I18988" s="1"/>
    </row>
    <row r="18989" spans="8:9" x14ac:dyDescent="0.2">
      <c r="H18989" s="1"/>
      <c r="I18989" s="1"/>
    </row>
    <row r="18990" spans="8:9" x14ac:dyDescent="0.2">
      <c r="H18990" s="1"/>
      <c r="I18990" s="1"/>
    </row>
    <row r="18991" spans="8:9" x14ac:dyDescent="0.2">
      <c r="H18991" s="1"/>
      <c r="I18991" s="1"/>
    </row>
    <row r="18992" spans="8:9" x14ac:dyDescent="0.2">
      <c r="H18992" s="1"/>
      <c r="I18992" s="1"/>
    </row>
    <row r="18993" spans="8:9" x14ac:dyDescent="0.2">
      <c r="H18993" s="1"/>
      <c r="I18993" s="1"/>
    </row>
    <row r="18994" spans="8:9" x14ac:dyDescent="0.2">
      <c r="H18994" s="1"/>
      <c r="I18994" s="1"/>
    </row>
    <row r="18995" spans="8:9" x14ac:dyDescent="0.2">
      <c r="H18995" s="1"/>
      <c r="I18995" s="1"/>
    </row>
    <row r="18996" spans="8:9" x14ac:dyDescent="0.2">
      <c r="H18996" s="1"/>
      <c r="I18996" s="1"/>
    </row>
    <row r="18997" spans="8:9" x14ac:dyDescent="0.2">
      <c r="H18997" s="1"/>
      <c r="I18997" s="1"/>
    </row>
    <row r="18998" spans="8:9" x14ac:dyDescent="0.2">
      <c r="H18998" s="1"/>
      <c r="I18998" s="1"/>
    </row>
    <row r="18999" spans="8:9" x14ac:dyDescent="0.2">
      <c r="H18999" s="1"/>
      <c r="I18999" s="1"/>
    </row>
    <row r="19000" spans="8:9" x14ac:dyDescent="0.2">
      <c r="H19000" s="1"/>
      <c r="I19000" s="1"/>
    </row>
    <row r="19001" spans="8:9" x14ac:dyDescent="0.2">
      <c r="H19001" s="1"/>
      <c r="I19001" s="1"/>
    </row>
    <row r="19002" spans="8:9" x14ac:dyDescent="0.2">
      <c r="H19002" s="1"/>
      <c r="I19002" s="1"/>
    </row>
    <row r="19003" spans="8:9" x14ac:dyDescent="0.2">
      <c r="H19003" s="1"/>
      <c r="I19003" s="1"/>
    </row>
    <row r="19004" spans="8:9" x14ac:dyDescent="0.2">
      <c r="H19004" s="1"/>
      <c r="I19004" s="1"/>
    </row>
    <row r="19005" spans="8:9" x14ac:dyDescent="0.2">
      <c r="H19005" s="1"/>
      <c r="I19005" s="1"/>
    </row>
    <row r="19006" spans="8:9" x14ac:dyDescent="0.2">
      <c r="H19006" s="1"/>
      <c r="I19006" s="1"/>
    </row>
    <row r="19007" spans="8:9" x14ac:dyDescent="0.2">
      <c r="H19007" s="1"/>
      <c r="I19007" s="1"/>
    </row>
    <row r="19008" spans="8:9" x14ac:dyDescent="0.2">
      <c r="H19008" s="1"/>
      <c r="I19008" s="1"/>
    </row>
    <row r="19009" spans="8:9" x14ac:dyDescent="0.2">
      <c r="H19009" s="1"/>
      <c r="I19009" s="1"/>
    </row>
    <row r="19010" spans="8:9" x14ac:dyDescent="0.2">
      <c r="H19010" s="1"/>
      <c r="I19010" s="1"/>
    </row>
    <row r="19011" spans="8:9" x14ac:dyDescent="0.2">
      <c r="H19011" s="1"/>
      <c r="I19011" s="1"/>
    </row>
    <row r="19012" spans="8:9" x14ac:dyDescent="0.2">
      <c r="H19012" s="1"/>
      <c r="I19012" s="1"/>
    </row>
    <row r="19013" spans="8:9" x14ac:dyDescent="0.2">
      <c r="H19013" s="1"/>
      <c r="I19013" s="1"/>
    </row>
    <row r="19014" spans="8:9" x14ac:dyDescent="0.2">
      <c r="H19014" s="1"/>
      <c r="I19014" s="1"/>
    </row>
    <row r="19015" spans="8:9" x14ac:dyDescent="0.2">
      <c r="H19015" s="1"/>
      <c r="I19015" s="1"/>
    </row>
    <row r="19016" spans="8:9" x14ac:dyDescent="0.2">
      <c r="H19016" s="1"/>
      <c r="I19016" s="1"/>
    </row>
    <row r="19017" spans="8:9" x14ac:dyDescent="0.2">
      <c r="H19017" s="1"/>
      <c r="I19017" s="1"/>
    </row>
    <row r="19018" spans="8:9" x14ac:dyDescent="0.2">
      <c r="H19018" s="1"/>
      <c r="I19018" s="1"/>
    </row>
    <row r="19019" spans="8:9" x14ac:dyDescent="0.2">
      <c r="H19019" s="1"/>
      <c r="I19019" s="1"/>
    </row>
    <row r="19020" spans="8:9" x14ac:dyDescent="0.2">
      <c r="H19020" s="1"/>
      <c r="I19020" s="1"/>
    </row>
    <row r="19021" spans="8:9" x14ac:dyDescent="0.2">
      <c r="H19021" s="1"/>
      <c r="I19021" s="1"/>
    </row>
    <row r="19022" spans="8:9" x14ac:dyDescent="0.2">
      <c r="H19022" s="1"/>
      <c r="I19022" s="1"/>
    </row>
    <row r="19023" spans="8:9" x14ac:dyDescent="0.2">
      <c r="H19023" s="1"/>
      <c r="I19023" s="1"/>
    </row>
    <row r="19024" spans="8:9" x14ac:dyDescent="0.2">
      <c r="H19024" s="1"/>
      <c r="I19024" s="1"/>
    </row>
    <row r="19025" spans="8:9" x14ac:dyDescent="0.2">
      <c r="H19025" s="1"/>
      <c r="I19025" s="1"/>
    </row>
    <row r="19026" spans="8:9" x14ac:dyDescent="0.2">
      <c r="H19026" s="1"/>
      <c r="I19026" s="1"/>
    </row>
    <row r="19027" spans="8:9" x14ac:dyDescent="0.2">
      <c r="H19027" s="1"/>
      <c r="I19027" s="1"/>
    </row>
    <row r="19028" spans="8:9" x14ac:dyDescent="0.2">
      <c r="H19028" s="1"/>
      <c r="I19028" s="1"/>
    </row>
    <row r="19029" spans="8:9" x14ac:dyDescent="0.2">
      <c r="H19029" s="1"/>
      <c r="I19029" s="1"/>
    </row>
    <row r="19030" spans="8:9" x14ac:dyDescent="0.2">
      <c r="H19030" s="1"/>
      <c r="I19030" s="1"/>
    </row>
    <row r="19031" spans="8:9" x14ac:dyDescent="0.2">
      <c r="H19031" s="1"/>
      <c r="I19031" s="1"/>
    </row>
    <row r="19032" spans="8:9" x14ac:dyDescent="0.2">
      <c r="H19032" s="1"/>
      <c r="I19032" s="1"/>
    </row>
    <row r="19033" spans="8:9" x14ac:dyDescent="0.2">
      <c r="H19033" s="1"/>
      <c r="I19033" s="1"/>
    </row>
    <row r="19034" spans="8:9" x14ac:dyDescent="0.2">
      <c r="H19034" s="1"/>
      <c r="I19034" s="1"/>
    </row>
    <row r="19035" spans="8:9" x14ac:dyDescent="0.2">
      <c r="H19035" s="1"/>
      <c r="I19035" s="1"/>
    </row>
    <row r="19036" spans="8:9" x14ac:dyDescent="0.2">
      <c r="H19036" s="1"/>
      <c r="I19036" s="1"/>
    </row>
    <row r="19037" spans="8:9" x14ac:dyDescent="0.2">
      <c r="H19037" s="1"/>
      <c r="I19037" s="1"/>
    </row>
    <row r="19038" spans="8:9" x14ac:dyDescent="0.2">
      <c r="H19038" s="1"/>
      <c r="I19038" s="1"/>
    </row>
    <row r="19039" spans="8:9" x14ac:dyDescent="0.2">
      <c r="H19039" s="1"/>
      <c r="I19039" s="1"/>
    </row>
    <row r="19040" spans="8:9" x14ac:dyDescent="0.2">
      <c r="H19040" s="1"/>
      <c r="I19040" s="1"/>
    </row>
    <row r="19041" spans="8:9" x14ac:dyDescent="0.2">
      <c r="H19041" s="1"/>
      <c r="I19041" s="1"/>
    </row>
    <row r="19042" spans="8:9" x14ac:dyDescent="0.2">
      <c r="H19042" s="1"/>
      <c r="I19042" s="1"/>
    </row>
    <row r="19043" spans="8:9" x14ac:dyDescent="0.2">
      <c r="H19043" s="1"/>
      <c r="I19043" s="1"/>
    </row>
    <row r="19044" spans="8:9" x14ac:dyDescent="0.2">
      <c r="H19044" s="1"/>
      <c r="I19044" s="1"/>
    </row>
    <row r="19045" spans="8:9" x14ac:dyDescent="0.2">
      <c r="H19045" s="1"/>
      <c r="I19045" s="1"/>
    </row>
    <row r="19046" spans="8:9" x14ac:dyDescent="0.2">
      <c r="H19046" s="1"/>
      <c r="I19046" s="1"/>
    </row>
    <row r="19047" spans="8:9" x14ac:dyDescent="0.2">
      <c r="H19047" s="1"/>
      <c r="I19047" s="1"/>
    </row>
    <row r="19048" spans="8:9" x14ac:dyDescent="0.2">
      <c r="H19048" s="1"/>
      <c r="I19048" s="1"/>
    </row>
    <row r="19049" spans="8:9" x14ac:dyDescent="0.2">
      <c r="H19049" s="1"/>
      <c r="I19049" s="1"/>
    </row>
    <row r="19050" spans="8:9" x14ac:dyDescent="0.2">
      <c r="H19050" s="1"/>
      <c r="I19050" s="1"/>
    </row>
    <row r="19051" spans="8:9" x14ac:dyDescent="0.2">
      <c r="H19051" s="1"/>
      <c r="I19051" s="1"/>
    </row>
    <row r="19052" spans="8:9" x14ac:dyDescent="0.2">
      <c r="H19052" s="1"/>
      <c r="I19052" s="1"/>
    </row>
    <row r="19053" spans="8:9" x14ac:dyDescent="0.2">
      <c r="H19053" s="1"/>
      <c r="I19053" s="1"/>
    </row>
    <row r="19054" spans="8:9" x14ac:dyDescent="0.2">
      <c r="H19054" s="1"/>
      <c r="I19054" s="1"/>
    </row>
    <row r="19055" spans="8:9" x14ac:dyDescent="0.2">
      <c r="H19055" s="1"/>
      <c r="I19055" s="1"/>
    </row>
    <row r="19056" spans="8:9" x14ac:dyDescent="0.2">
      <c r="H19056" s="1"/>
      <c r="I19056" s="1"/>
    </row>
    <row r="19057" spans="8:9" x14ac:dyDescent="0.2">
      <c r="H19057" s="1"/>
      <c r="I19057" s="1"/>
    </row>
    <row r="19058" spans="8:9" x14ac:dyDescent="0.2">
      <c r="H19058" s="1"/>
      <c r="I19058" s="1"/>
    </row>
    <row r="19059" spans="8:9" x14ac:dyDescent="0.2">
      <c r="H19059" s="1"/>
      <c r="I19059" s="1"/>
    </row>
    <row r="19060" spans="8:9" x14ac:dyDescent="0.2">
      <c r="H19060" s="1"/>
      <c r="I19060" s="1"/>
    </row>
    <row r="19061" spans="8:9" x14ac:dyDescent="0.2">
      <c r="H19061" s="1"/>
      <c r="I19061" s="1"/>
    </row>
    <row r="19062" spans="8:9" x14ac:dyDescent="0.2">
      <c r="H19062" s="1"/>
      <c r="I19062" s="1"/>
    </row>
    <row r="19063" spans="8:9" x14ac:dyDescent="0.2">
      <c r="H19063" s="1"/>
      <c r="I19063" s="1"/>
    </row>
    <row r="19064" spans="8:9" x14ac:dyDescent="0.2">
      <c r="H19064" s="1"/>
      <c r="I19064" s="1"/>
    </row>
    <row r="19065" spans="8:9" x14ac:dyDescent="0.2">
      <c r="H19065" s="1"/>
      <c r="I19065" s="1"/>
    </row>
    <row r="19066" spans="8:9" x14ac:dyDescent="0.2">
      <c r="H19066" s="1"/>
      <c r="I19066" s="1"/>
    </row>
    <row r="19067" spans="8:9" x14ac:dyDescent="0.2">
      <c r="H19067" s="1"/>
      <c r="I19067" s="1"/>
    </row>
    <row r="19068" spans="8:9" x14ac:dyDescent="0.2">
      <c r="H19068" s="1"/>
      <c r="I19068" s="1"/>
    </row>
    <row r="19069" spans="8:9" x14ac:dyDescent="0.2">
      <c r="H19069" s="1"/>
      <c r="I19069" s="1"/>
    </row>
    <row r="19070" spans="8:9" x14ac:dyDescent="0.2">
      <c r="H19070" s="1"/>
      <c r="I19070" s="1"/>
    </row>
    <row r="19071" spans="8:9" x14ac:dyDescent="0.2">
      <c r="H19071" s="1"/>
      <c r="I19071" s="1"/>
    </row>
    <row r="19072" spans="8:9" x14ac:dyDescent="0.2">
      <c r="H19072" s="1"/>
      <c r="I19072" s="1"/>
    </row>
    <row r="19073" spans="8:9" x14ac:dyDescent="0.2">
      <c r="H19073" s="1"/>
      <c r="I19073" s="1"/>
    </row>
    <row r="19074" spans="8:9" x14ac:dyDescent="0.2">
      <c r="H19074" s="1"/>
      <c r="I19074" s="1"/>
    </row>
    <row r="19075" spans="8:9" x14ac:dyDescent="0.2">
      <c r="H19075" s="1"/>
      <c r="I19075" s="1"/>
    </row>
    <row r="19076" spans="8:9" x14ac:dyDescent="0.2">
      <c r="H19076" s="1"/>
      <c r="I19076" s="1"/>
    </row>
    <row r="19077" spans="8:9" x14ac:dyDescent="0.2">
      <c r="H19077" s="1"/>
      <c r="I19077" s="1"/>
    </row>
    <row r="19078" spans="8:9" x14ac:dyDescent="0.2">
      <c r="H19078" s="1"/>
      <c r="I19078" s="1"/>
    </row>
    <row r="19079" spans="8:9" x14ac:dyDescent="0.2">
      <c r="H19079" s="1"/>
      <c r="I19079" s="1"/>
    </row>
    <row r="19080" spans="8:9" x14ac:dyDescent="0.2">
      <c r="H19080" s="1"/>
      <c r="I19080" s="1"/>
    </row>
    <row r="19081" spans="8:9" x14ac:dyDescent="0.2">
      <c r="H19081" s="1"/>
      <c r="I19081" s="1"/>
    </row>
    <row r="19082" spans="8:9" x14ac:dyDescent="0.2">
      <c r="H19082" s="1"/>
      <c r="I19082" s="1"/>
    </row>
    <row r="19083" spans="8:9" x14ac:dyDescent="0.2">
      <c r="H19083" s="1"/>
      <c r="I19083" s="1"/>
    </row>
    <row r="19084" spans="8:9" x14ac:dyDescent="0.2">
      <c r="H19084" s="1"/>
      <c r="I19084" s="1"/>
    </row>
    <row r="19085" spans="8:9" x14ac:dyDescent="0.2">
      <c r="H19085" s="1"/>
      <c r="I19085" s="1"/>
    </row>
    <row r="19086" spans="8:9" x14ac:dyDescent="0.2">
      <c r="H19086" s="1"/>
      <c r="I19086" s="1"/>
    </row>
    <row r="19087" spans="8:9" x14ac:dyDescent="0.2">
      <c r="H19087" s="1"/>
      <c r="I19087" s="1"/>
    </row>
    <row r="19088" spans="8:9" x14ac:dyDescent="0.2">
      <c r="H19088" s="1"/>
      <c r="I19088" s="1"/>
    </row>
    <row r="19089" spans="8:9" x14ac:dyDescent="0.2">
      <c r="H19089" s="1"/>
      <c r="I19089" s="1"/>
    </row>
    <row r="19090" spans="8:9" x14ac:dyDescent="0.2">
      <c r="H19090" s="1"/>
      <c r="I19090" s="1"/>
    </row>
    <row r="19091" spans="8:9" x14ac:dyDescent="0.2">
      <c r="H19091" s="1"/>
      <c r="I19091" s="1"/>
    </row>
    <row r="19092" spans="8:9" x14ac:dyDescent="0.2">
      <c r="H19092" s="1"/>
      <c r="I19092" s="1"/>
    </row>
    <row r="19093" spans="8:9" x14ac:dyDescent="0.2">
      <c r="H19093" s="1"/>
      <c r="I19093" s="1"/>
    </row>
    <row r="19094" spans="8:9" x14ac:dyDescent="0.2">
      <c r="H19094" s="1"/>
      <c r="I19094" s="1"/>
    </row>
    <row r="19095" spans="8:9" x14ac:dyDescent="0.2">
      <c r="H19095" s="1"/>
      <c r="I19095" s="1"/>
    </row>
    <row r="19096" spans="8:9" x14ac:dyDescent="0.2">
      <c r="H19096" s="1"/>
      <c r="I19096" s="1"/>
    </row>
    <row r="19097" spans="8:9" x14ac:dyDescent="0.2">
      <c r="H19097" s="1"/>
      <c r="I19097" s="1"/>
    </row>
    <row r="19098" spans="8:9" x14ac:dyDescent="0.2">
      <c r="H19098" s="1"/>
      <c r="I19098" s="1"/>
    </row>
    <row r="19099" spans="8:9" x14ac:dyDescent="0.2">
      <c r="H19099" s="1"/>
      <c r="I19099" s="1"/>
    </row>
    <row r="19100" spans="8:9" x14ac:dyDescent="0.2">
      <c r="H19100" s="1"/>
      <c r="I19100" s="1"/>
    </row>
    <row r="19101" spans="8:9" x14ac:dyDescent="0.2">
      <c r="H19101" s="1"/>
      <c r="I19101" s="1"/>
    </row>
    <row r="19102" spans="8:9" x14ac:dyDescent="0.2">
      <c r="H19102" s="1"/>
      <c r="I19102" s="1"/>
    </row>
    <row r="19103" spans="8:9" x14ac:dyDescent="0.2">
      <c r="H19103" s="1"/>
      <c r="I19103" s="1"/>
    </row>
    <row r="19104" spans="8:9" x14ac:dyDescent="0.2">
      <c r="H19104" s="1"/>
      <c r="I19104" s="1"/>
    </row>
    <row r="19105" spans="8:9" x14ac:dyDescent="0.2">
      <c r="H19105" s="1"/>
      <c r="I19105" s="1"/>
    </row>
    <row r="19106" spans="8:9" x14ac:dyDescent="0.2">
      <c r="H19106" s="1"/>
      <c r="I19106" s="1"/>
    </row>
    <row r="19107" spans="8:9" x14ac:dyDescent="0.2">
      <c r="H19107" s="1"/>
      <c r="I19107" s="1"/>
    </row>
    <row r="19108" spans="8:9" x14ac:dyDescent="0.2">
      <c r="H19108" s="1"/>
      <c r="I19108" s="1"/>
    </row>
    <row r="19109" spans="8:9" x14ac:dyDescent="0.2">
      <c r="H19109" s="1"/>
      <c r="I19109" s="1"/>
    </row>
    <row r="19110" spans="8:9" x14ac:dyDescent="0.2">
      <c r="H19110" s="1"/>
      <c r="I19110" s="1"/>
    </row>
    <row r="19111" spans="8:9" x14ac:dyDescent="0.2">
      <c r="H19111" s="1"/>
      <c r="I19111" s="1"/>
    </row>
    <row r="19112" spans="8:9" x14ac:dyDescent="0.2">
      <c r="H19112" s="1"/>
      <c r="I19112" s="1"/>
    </row>
    <row r="19113" spans="8:9" x14ac:dyDescent="0.2">
      <c r="H19113" s="1"/>
      <c r="I19113" s="1"/>
    </row>
    <row r="19114" spans="8:9" x14ac:dyDescent="0.2">
      <c r="H19114" s="1"/>
      <c r="I19114" s="1"/>
    </row>
    <row r="19115" spans="8:9" x14ac:dyDescent="0.2">
      <c r="H19115" s="1"/>
      <c r="I19115" s="1"/>
    </row>
    <row r="19116" spans="8:9" x14ac:dyDescent="0.2">
      <c r="H19116" s="1"/>
      <c r="I19116" s="1"/>
    </row>
    <row r="19117" spans="8:9" x14ac:dyDescent="0.2">
      <c r="H19117" s="1"/>
      <c r="I19117" s="1"/>
    </row>
    <row r="19118" spans="8:9" x14ac:dyDescent="0.2">
      <c r="H19118" s="1"/>
      <c r="I19118" s="1"/>
    </row>
    <row r="19119" spans="8:9" x14ac:dyDescent="0.2">
      <c r="H19119" s="1"/>
      <c r="I19119" s="1"/>
    </row>
    <row r="19120" spans="8:9" x14ac:dyDescent="0.2">
      <c r="H19120" s="1"/>
      <c r="I19120" s="1"/>
    </row>
    <row r="19121" spans="8:9" x14ac:dyDescent="0.2">
      <c r="H19121" s="1"/>
      <c r="I19121" s="1"/>
    </row>
    <row r="19122" spans="8:9" x14ac:dyDescent="0.2">
      <c r="H19122" s="1"/>
      <c r="I19122" s="1"/>
    </row>
    <row r="19123" spans="8:9" x14ac:dyDescent="0.2">
      <c r="H19123" s="1"/>
      <c r="I19123" s="1"/>
    </row>
    <row r="19124" spans="8:9" x14ac:dyDescent="0.2">
      <c r="H19124" s="1"/>
      <c r="I19124" s="1"/>
    </row>
    <row r="19125" spans="8:9" x14ac:dyDescent="0.2">
      <c r="H19125" s="1"/>
      <c r="I19125" s="1"/>
    </row>
    <row r="19126" spans="8:9" x14ac:dyDescent="0.2">
      <c r="H19126" s="1"/>
      <c r="I19126" s="1"/>
    </row>
    <row r="19127" spans="8:9" x14ac:dyDescent="0.2">
      <c r="H19127" s="1"/>
      <c r="I19127" s="1"/>
    </row>
    <row r="19128" spans="8:9" x14ac:dyDescent="0.2">
      <c r="H19128" s="1"/>
      <c r="I19128" s="1"/>
    </row>
    <row r="19129" spans="8:9" x14ac:dyDescent="0.2">
      <c r="H19129" s="1"/>
      <c r="I19129" s="1"/>
    </row>
    <row r="19130" spans="8:9" x14ac:dyDescent="0.2">
      <c r="H19130" s="1"/>
      <c r="I19130" s="1"/>
    </row>
    <row r="19131" spans="8:9" x14ac:dyDescent="0.2">
      <c r="H19131" s="1"/>
      <c r="I19131" s="1"/>
    </row>
    <row r="19132" spans="8:9" x14ac:dyDescent="0.2">
      <c r="H19132" s="1"/>
      <c r="I19132" s="1"/>
    </row>
    <row r="19133" spans="8:9" x14ac:dyDescent="0.2">
      <c r="H19133" s="1"/>
      <c r="I19133" s="1"/>
    </row>
    <row r="19134" spans="8:9" x14ac:dyDescent="0.2">
      <c r="H19134" s="1"/>
      <c r="I19134" s="1"/>
    </row>
    <row r="19135" spans="8:9" x14ac:dyDescent="0.2">
      <c r="H19135" s="1"/>
      <c r="I19135" s="1"/>
    </row>
    <row r="19136" spans="8:9" x14ac:dyDescent="0.2">
      <c r="H19136" s="1"/>
      <c r="I19136" s="1"/>
    </row>
    <row r="19137" spans="8:9" x14ac:dyDescent="0.2">
      <c r="H19137" s="1"/>
      <c r="I19137" s="1"/>
    </row>
    <row r="19138" spans="8:9" x14ac:dyDescent="0.2">
      <c r="H19138" s="1"/>
      <c r="I19138" s="1"/>
    </row>
    <row r="19139" spans="8:9" x14ac:dyDescent="0.2">
      <c r="H19139" s="1"/>
      <c r="I19139" s="1"/>
    </row>
    <row r="19140" spans="8:9" x14ac:dyDescent="0.2">
      <c r="H19140" s="1"/>
      <c r="I19140" s="1"/>
    </row>
    <row r="19141" spans="8:9" x14ac:dyDescent="0.2">
      <c r="H19141" s="1"/>
      <c r="I19141" s="1"/>
    </row>
    <row r="19142" spans="8:9" x14ac:dyDescent="0.2">
      <c r="H19142" s="1"/>
      <c r="I19142" s="1"/>
    </row>
    <row r="19143" spans="8:9" x14ac:dyDescent="0.2">
      <c r="H19143" s="1"/>
      <c r="I19143" s="1"/>
    </row>
    <row r="19144" spans="8:9" x14ac:dyDescent="0.2">
      <c r="H19144" s="1"/>
      <c r="I19144" s="1"/>
    </row>
    <row r="19145" spans="8:9" x14ac:dyDescent="0.2">
      <c r="H19145" s="1"/>
      <c r="I19145" s="1"/>
    </row>
    <row r="19146" spans="8:9" x14ac:dyDescent="0.2">
      <c r="H19146" s="1"/>
      <c r="I19146" s="1"/>
    </row>
    <row r="19147" spans="8:9" x14ac:dyDescent="0.2">
      <c r="H19147" s="1"/>
      <c r="I19147" s="1"/>
    </row>
    <row r="19148" spans="8:9" x14ac:dyDescent="0.2">
      <c r="H19148" s="1"/>
      <c r="I19148" s="1"/>
    </row>
    <row r="19149" spans="8:9" x14ac:dyDescent="0.2">
      <c r="H19149" s="1"/>
      <c r="I19149" s="1"/>
    </row>
    <row r="19150" spans="8:9" x14ac:dyDescent="0.2">
      <c r="H19150" s="1"/>
      <c r="I19150" s="1"/>
    </row>
    <row r="19151" spans="8:9" x14ac:dyDescent="0.2">
      <c r="H19151" s="1"/>
      <c r="I19151" s="1"/>
    </row>
    <row r="19152" spans="8:9" x14ac:dyDescent="0.2">
      <c r="H19152" s="1"/>
      <c r="I19152" s="1"/>
    </row>
    <row r="19153" spans="8:9" x14ac:dyDescent="0.2">
      <c r="H19153" s="1"/>
      <c r="I19153" s="1"/>
    </row>
    <row r="19154" spans="8:9" x14ac:dyDescent="0.2">
      <c r="H19154" s="1"/>
      <c r="I19154" s="1"/>
    </row>
    <row r="19155" spans="8:9" x14ac:dyDescent="0.2">
      <c r="H19155" s="1"/>
      <c r="I19155" s="1"/>
    </row>
    <row r="19156" spans="8:9" x14ac:dyDescent="0.2">
      <c r="H19156" s="1"/>
      <c r="I19156" s="1"/>
    </row>
    <row r="19157" spans="8:9" x14ac:dyDescent="0.2">
      <c r="H19157" s="1"/>
      <c r="I19157" s="1"/>
    </row>
    <row r="19158" spans="8:9" x14ac:dyDescent="0.2">
      <c r="H19158" s="1"/>
      <c r="I19158" s="1"/>
    </row>
    <row r="19159" spans="8:9" x14ac:dyDescent="0.2">
      <c r="H19159" s="1"/>
      <c r="I19159" s="1"/>
    </row>
    <row r="19160" spans="8:9" x14ac:dyDescent="0.2">
      <c r="H19160" s="1"/>
      <c r="I19160" s="1"/>
    </row>
    <row r="19161" spans="8:9" x14ac:dyDescent="0.2">
      <c r="H19161" s="1"/>
      <c r="I19161" s="1"/>
    </row>
    <row r="19162" spans="8:9" x14ac:dyDescent="0.2">
      <c r="H19162" s="1"/>
      <c r="I19162" s="1"/>
    </row>
    <row r="19163" spans="8:9" x14ac:dyDescent="0.2">
      <c r="H19163" s="1"/>
      <c r="I19163" s="1"/>
    </row>
    <row r="19164" spans="8:9" x14ac:dyDescent="0.2">
      <c r="H19164" s="1"/>
      <c r="I19164" s="1"/>
    </row>
    <row r="19165" spans="8:9" x14ac:dyDescent="0.2">
      <c r="H19165" s="1"/>
      <c r="I19165" s="1"/>
    </row>
    <row r="19166" spans="8:9" x14ac:dyDescent="0.2">
      <c r="H19166" s="1"/>
      <c r="I19166" s="1"/>
    </row>
    <row r="19167" spans="8:9" x14ac:dyDescent="0.2">
      <c r="H19167" s="1"/>
      <c r="I19167" s="1"/>
    </row>
    <row r="19168" spans="8:9" x14ac:dyDescent="0.2">
      <c r="H19168" s="1"/>
      <c r="I19168" s="1"/>
    </row>
    <row r="19169" spans="8:9" x14ac:dyDescent="0.2">
      <c r="H19169" s="1"/>
      <c r="I19169" s="1"/>
    </row>
    <row r="19170" spans="8:9" x14ac:dyDescent="0.2">
      <c r="H19170" s="1"/>
      <c r="I19170" s="1"/>
    </row>
    <row r="19171" spans="8:9" x14ac:dyDescent="0.2">
      <c r="H19171" s="1"/>
      <c r="I19171" s="1"/>
    </row>
    <row r="19172" spans="8:9" x14ac:dyDescent="0.2">
      <c r="H19172" s="1"/>
      <c r="I19172" s="1"/>
    </row>
    <row r="19173" spans="8:9" x14ac:dyDescent="0.2">
      <c r="H19173" s="1"/>
      <c r="I19173" s="1"/>
    </row>
    <row r="19174" spans="8:9" x14ac:dyDescent="0.2">
      <c r="H19174" s="1"/>
      <c r="I19174" s="1"/>
    </row>
    <row r="19175" spans="8:9" x14ac:dyDescent="0.2">
      <c r="H19175" s="1"/>
      <c r="I19175" s="1"/>
    </row>
    <row r="19176" spans="8:9" x14ac:dyDescent="0.2">
      <c r="H19176" s="1"/>
      <c r="I19176" s="1"/>
    </row>
    <row r="19177" spans="8:9" x14ac:dyDescent="0.2">
      <c r="H19177" s="1"/>
      <c r="I19177" s="1"/>
    </row>
    <row r="19178" spans="8:9" x14ac:dyDescent="0.2">
      <c r="H19178" s="1"/>
      <c r="I19178" s="1"/>
    </row>
    <row r="19179" spans="8:9" x14ac:dyDescent="0.2">
      <c r="H19179" s="1"/>
      <c r="I19179" s="1"/>
    </row>
    <row r="19180" spans="8:9" x14ac:dyDescent="0.2">
      <c r="H19180" s="1"/>
      <c r="I19180" s="1"/>
    </row>
    <row r="19181" spans="8:9" x14ac:dyDescent="0.2">
      <c r="H19181" s="1"/>
      <c r="I19181" s="1"/>
    </row>
    <row r="19182" spans="8:9" x14ac:dyDescent="0.2">
      <c r="H19182" s="1"/>
      <c r="I19182" s="1"/>
    </row>
    <row r="19183" spans="8:9" x14ac:dyDescent="0.2">
      <c r="H19183" s="1"/>
      <c r="I19183" s="1"/>
    </row>
    <row r="19184" spans="8:9" x14ac:dyDescent="0.2">
      <c r="H19184" s="1"/>
      <c r="I19184" s="1"/>
    </row>
    <row r="19185" spans="8:9" x14ac:dyDescent="0.2">
      <c r="H19185" s="1"/>
      <c r="I19185" s="1"/>
    </row>
    <row r="19186" spans="8:9" x14ac:dyDescent="0.2">
      <c r="H19186" s="1"/>
      <c r="I19186" s="1"/>
    </row>
    <row r="19187" spans="8:9" x14ac:dyDescent="0.2">
      <c r="H19187" s="1"/>
      <c r="I19187" s="1"/>
    </row>
    <row r="19188" spans="8:9" x14ac:dyDescent="0.2">
      <c r="H19188" s="1"/>
      <c r="I19188" s="1"/>
    </row>
    <row r="19189" spans="8:9" x14ac:dyDescent="0.2">
      <c r="H19189" s="1"/>
      <c r="I19189" s="1"/>
    </row>
    <row r="19190" spans="8:9" x14ac:dyDescent="0.2">
      <c r="H19190" s="1"/>
      <c r="I19190" s="1"/>
    </row>
    <row r="19191" spans="8:9" x14ac:dyDescent="0.2">
      <c r="H19191" s="1"/>
      <c r="I19191" s="1"/>
    </row>
    <row r="19192" spans="8:9" x14ac:dyDescent="0.2">
      <c r="H19192" s="1"/>
      <c r="I19192" s="1"/>
    </row>
    <row r="19193" spans="8:9" x14ac:dyDescent="0.2">
      <c r="H19193" s="1"/>
      <c r="I19193" s="1"/>
    </row>
    <row r="19194" spans="8:9" x14ac:dyDescent="0.2">
      <c r="H19194" s="1"/>
      <c r="I19194" s="1"/>
    </row>
    <row r="19195" spans="8:9" x14ac:dyDescent="0.2">
      <c r="H19195" s="1"/>
      <c r="I19195" s="1"/>
    </row>
    <row r="19196" spans="8:9" x14ac:dyDescent="0.2">
      <c r="H19196" s="1"/>
      <c r="I19196" s="1"/>
    </row>
    <row r="19197" spans="8:9" x14ac:dyDescent="0.2">
      <c r="H19197" s="1"/>
      <c r="I19197" s="1"/>
    </row>
    <row r="19198" spans="8:9" x14ac:dyDescent="0.2">
      <c r="H19198" s="1"/>
      <c r="I19198" s="1"/>
    </row>
    <row r="19199" spans="8:9" x14ac:dyDescent="0.2">
      <c r="H19199" s="1"/>
      <c r="I19199" s="1"/>
    </row>
    <row r="19200" spans="8:9" x14ac:dyDescent="0.2">
      <c r="H19200" s="1"/>
      <c r="I19200" s="1"/>
    </row>
    <row r="19201" spans="8:9" x14ac:dyDescent="0.2">
      <c r="H19201" s="1"/>
      <c r="I19201" s="1"/>
    </row>
    <row r="19202" spans="8:9" x14ac:dyDescent="0.2">
      <c r="H19202" s="1"/>
      <c r="I19202" s="1"/>
    </row>
    <row r="19203" spans="8:9" x14ac:dyDescent="0.2">
      <c r="H19203" s="1"/>
      <c r="I19203" s="1"/>
    </row>
    <row r="19204" spans="8:9" x14ac:dyDescent="0.2">
      <c r="H19204" s="1"/>
      <c r="I19204" s="1"/>
    </row>
    <row r="19205" spans="8:9" x14ac:dyDescent="0.2">
      <c r="H19205" s="1"/>
      <c r="I19205" s="1"/>
    </row>
    <row r="19206" spans="8:9" x14ac:dyDescent="0.2">
      <c r="H19206" s="1"/>
      <c r="I19206" s="1"/>
    </row>
    <row r="19207" spans="8:9" x14ac:dyDescent="0.2">
      <c r="H19207" s="1"/>
      <c r="I19207" s="1"/>
    </row>
    <row r="19208" spans="8:9" x14ac:dyDescent="0.2">
      <c r="H19208" s="1"/>
      <c r="I19208" s="1"/>
    </row>
    <row r="19209" spans="8:9" x14ac:dyDescent="0.2">
      <c r="H19209" s="1"/>
      <c r="I19209" s="1"/>
    </row>
    <row r="19210" spans="8:9" x14ac:dyDescent="0.2">
      <c r="H19210" s="1"/>
      <c r="I19210" s="1"/>
    </row>
    <row r="19211" spans="8:9" x14ac:dyDescent="0.2">
      <c r="H19211" s="1"/>
      <c r="I19211" s="1"/>
    </row>
    <row r="19212" spans="8:9" x14ac:dyDescent="0.2">
      <c r="H19212" s="1"/>
      <c r="I19212" s="1"/>
    </row>
    <row r="19213" spans="8:9" x14ac:dyDescent="0.2">
      <c r="H19213" s="1"/>
      <c r="I19213" s="1"/>
    </row>
    <row r="19214" spans="8:9" x14ac:dyDescent="0.2">
      <c r="H19214" s="1"/>
      <c r="I19214" s="1"/>
    </row>
    <row r="19215" spans="8:9" x14ac:dyDescent="0.2">
      <c r="H19215" s="1"/>
      <c r="I19215" s="1"/>
    </row>
    <row r="19216" spans="8:9" x14ac:dyDescent="0.2">
      <c r="H19216" s="1"/>
      <c r="I19216" s="1"/>
    </row>
    <row r="19217" spans="8:9" x14ac:dyDescent="0.2">
      <c r="H19217" s="1"/>
      <c r="I19217" s="1"/>
    </row>
    <row r="19218" spans="8:9" x14ac:dyDescent="0.2">
      <c r="H19218" s="1"/>
      <c r="I19218" s="1"/>
    </row>
    <row r="19219" spans="8:9" x14ac:dyDescent="0.2">
      <c r="H19219" s="1"/>
      <c r="I19219" s="1"/>
    </row>
    <row r="19220" spans="8:9" x14ac:dyDescent="0.2">
      <c r="H19220" s="1"/>
      <c r="I19220" s="1"/>
    </row>
    <row r="19221" spans="8:9" x14ac:dyDescent="0.2">
      <c r="H19221" s="1"/>
      <c r="I19221" s="1"/>
    </row>
    <row r="19222" spans="8:9" x14ac:dyDescent="0.2">
      <c r="H19222" s="1"/>
      <c r="I19222" s="1"/>
    </row>
    <row r="19223" spans="8:9" x14ac:dyDescent="0.2">
      <c r="H19223" s="1"/>
      <c r="I19223" s="1"/>
    </row>
    <row r="19224" spans="8:9" x14ac:dyDescent="0.2">
      <c r="H19224" s="1"/>
      <c r="I19224" s="1"/>
    </row>
    <row r="19225" spans="8:9" x14ac:dyDescent="0.2">
      <c r="H19225" s="1"/>
      <c r="I19225" s="1"/>
    </row>
    <row r="19226" spans="8:9" x14ac:dyDescent="0.2">
      <c r="H19226" s="1"/>
      <c r="I19226" s="1"/>
    </row>
    <row r="19227" spans="8:9" x14ac:dyDescent="0.2">
      <c r="H19227" s="1"/>
      <c r="I19227" s="1"/>
    </row>
    <row r="19228" spans="8:9" x14ac:dyDescent="0.2">
      <c r="H19228" s="1"/>
      <c r="I19228" s="1"/>
    </row>
    <row r="19229" spans="8:9" x14ac:dyDescent="0.2">
      <c r="H19229" s="1"/>
      <c r="I19229" s="1"/>
    </row>
    <row r="19230" spans="8:9" x14ac:dyDescent="0.2">
      <c r="H19230" s="1"/>
      <c r="I19230" s="1"/>
    </row>
    <row r="19231" spans="8:9" x14ac:dyDescent="0.2">
      <c r="H19231" s="1"/>
      <c r="I19231" s="1"/>
    </row>
    <row r="19232" spans="8:9" x14ac:dyDescent="0.2">
      <c r="H19232" s="1"/>
      <c r="I19232" s="1"/>
    </row>
    <row r="19233" spans="8:9" x14ac:dyDescent="0.2">
      <c r="H19233" s="1"/>
      <c r="I19233" s="1"/>
    </row>
    <row r="19234" spans="8:9" x14ac:dyDescent="0.2">
      <c r="H19234" s="1"/>
      <c r="I19234" s="1"/>
    </row>
    <row r="19235" spans="8:9" x14ac:dyDescent="0.2">
      <c r="H19235" s="1"/>
      <c r="I19235" s="1"/>
    </row>
    <row r="19236" spans="8:9" x14ac:dyDescent="0.2">
      <c r="H19236" s="1"/>
      <c r="I19236" s="1"/>
    </row>
    <row r="19237" spans="8:9" x14ac:dyDescent="0.2">
      <c r="H19237" s="1"/>
      <c r="I19237" s="1"/>
    </row>
    <row r="19238" spans="8:9" x14ac:dyDescent="0.2">
      <c r="H19238" s="1"/>
      <c r="I19238" s="1"/>
    </row>
    <row r="19239" spans="8:9" x14ac:dyDescent="0.2">
      <c r="H19239" s="1"/>
      <c r="I19239" s="1"/>
    </row>
    <row r="19240" spans="8:9" x14ac:dyDescent="0.2">
      <c r="H19240" s="1"/>
      <c r="I19240" s="1"/>
    </row>
    <row r="19241" spans="8:9" x14ac:dyDescent="0.2">
      <c r="H19241" s="1"/>
      <c r="I19241" s="1"/>
    </row>
    <row r="19242" spans="8:9" x14ac:dyDescent="0.2">
      <c r="H19242" s="1"/>
      <c r="I19242" s="1"/>
    </row>
    <row r="19243" spans="8:9" x14ac:dyDescent="0.2">
      <c r="H19243" s="1"/>
      <c r="I19243" s="1"/>
    </row>
    <row r="19244" spans="8:9" x14ac:dyDescent="0.2">
      <c r="H19244" s="1"/>
      <c r="I19244" s="1"/>
    </row>
    <row r="19245" spans="8:9" x14ac:dyDescent="0.2">
      <c r="H19245" s="1"/>
      <c r="I19245" s="1"/>
    </row>
    <row r="19246" spans="8:9" x14ac:dyDescent="0.2">
      <c r="H19246" s="1"/>
      <c r="I19246" s="1"/>
    </row>
    <row r="19247" spans="8:9" x14ac:dyDescent="0.2">
      <c r="H19247" s="1"/>
      <c r="I19247" s="1"/>
    </row>
    <row r="19248" spans="8:9" x14ac:dyDescent="0.2">
      <c r="H19248" s="1"/>
      <c r="I19248" s="1"/>
    </row>
    <row r="19249" spans="8:9" x14ac:dyDescent="0.2">
      <c r="H19249" s="1"/>
      <c r="I19249" s="1"/>
    </row>
    <row r="19250" spans="8:9" x14ac:dyDescent="0.2">
      <c r="H19250" s="1"/>
      <c r="I19250" s="1"/>
    </row>
    <row r="19251" spans="8:9" x14ac:dyDescent="0.2">
      <c r="H19251" s="1"/>
      <c r="I19251" s="1"/>
    </row>
    <row r="19252" spans="8:9" x14ac:dyDescent="0.2">
      <c r="H19252" s="1"/>
      <c r="I19252" s="1"/>
    </row>
    <row r="19253" spans="8:9" x14ac:dyDescent="0.2">
      <c r="H19253" s="1"/>
      <c r="I19253" s="1"/>
    </row>
    <row r="19254" spans="8:9" x14ac:dyDescent="0.2">
      <c r="H19254" s="1"/>
      <c r="I19254" s="1"/>
    </row>
    <row r="19255" spans="8:9" x14ac:dyDescent="0.2">
      <c r="H19255" s="1"/>
      <c r="I19255" s="1"/>
    </row>
    <row r="19256" spans="8:9" x14ac:dyDescent="0.2">
      <c r="H19256" s="1"/>
      <c r="I19256" s="1"/>
    </row>
    <row r="19257" spans="8:9" x14ac:dyDescent="0.2">
      <c r="H19257" s="1"/>
      <c r="I19257" s="1"/>
    </row>
    <row r="19258" spans="8:9" x14ac:dyDescent="0.2">
      <c r="H19258" s="1"/>
      <c r="I19258" s="1"/>
    </row>
    <row r="19259" spans="8:9" x14ac:dyDescent="0.2">
      <c r="H19259" s="1"/>
      <c r="I19259" s="1"/>
    </row>
    <row r="19260" spans="8:9" x14ac:dyDescent="0.2">
      <c r="H19260" s="1"/>
      <c r="I19260" s="1"/>
    </row>
    <row r="19261" spans="8:9" x14ac:dyDescent="0.2">
      <c r="H19261" s="1"/>
      <c r="I19261" s="1"/>
    </row>
    <row r="19262" spans="8:9" x14ac:dyDescent="0.2">
      <c r="H19262" s="1"/>
      <c r="I19262" s="1"/>
    </row>
    <row r="19263" spans="8:9" x14ac:dyDescent="0.2">
      <c r="H19263" s="1"/>
      <c r="I19263" s="1"/>
    </row>
    <row r="19264" spans="8:9" x14ac:dyDescent="0.2">
      <c r="H19264" s="1"/>
      <c r="I19264" s="1"/>
    </row>
    <row r="19265" spans="8:9" x14ac:dyDescent="0.2">
      <c r="H19265" s="1"/>
      <c r="I19265" s="1"/>
    </row>
    <row r="19266" spans="8:9" x14ac:dyDescent="0.2">
      <c r="H19266" s="1"/>
      <c r="I19266" s="1"/>
    </row>
    <row r="19267" spans="8:9" x14ac:dyDescent="0.2">
      <c r="H19267" s="1"/>
      <c r="I19267" s="1"/>
    </row>
    <row r="19268" spans="8:9" x14ac:dyDescent="0.2">
      <c r="H19268" s="1"/>
      <c r="I19268" s="1"/>
    </row>
    <row r="19269" spans="8:9" x14ac:dyDescent="0.2">
      <c r="H19269" s="1"/>
      <c r="I19269" s="1"/>
    </row>
    <row r="19270" spans="8:9" x14ac:dyDescent="0.2">
      <c r="H19270" s="1"/>
      <c r="I19270" s="1"/>
    </row>
    <row r="19271" spans="8:9" x14ac:dyDescent="0.2">
      <c r="H19271" s="1"/>
      <c r="I19271" s="1"/>
    </row>
    <row r="19272" spans="8:9" x14ac:dyDescent="0.2">
      <c r="H19272" s="1"/>
      <c r="I19272" s="1"/>
    </row>
    <row r="19273" spans="8:9" x14ac:dyDescent="0.2">
      <c r="H19273" s="1"/>
      <c r="I19273" s="1"/>
    </row>
    <row r="19274" spans="8:9" x14ac:dyDescent="0.2">
      <c r="H19274" s="1"/>
      <c r="I19274" s="1"/>
    </row>
    <row r="19275" spans="8:9" x14ac:dyDescent="0.2">
      <c r="H19275" s="1"/>
      <c r="I19275" s="1"/>
    </row>
    <row r="19276" spans="8:9" x14ac:dyDescent="0.2">
      <c r="H19276" s="1"/>
      <c r="I19276" s="1"/>
    </row>
    <row r="19277" spans="8:9" x14ac:dyDescent="0.2">
      <c r="H19277" s="1"/>
      <c r="I19277" s="1"/>
    </row>
    <row r="19278" spans="8:9" x14ac:dyDescent="0.2">
      <c r="H19278" s="1"/>
      <c r="I19278" s="1"/>
    </row>
    <row r="19279" spans="8:9" x14ac:dyDescent="0.2">
      <c r="H19279" s="1"/>
      <c r="I19279" s="1"/>
    </row>
    <row r="19280" spans="8:9" x14ac:dyDescent="0.2">
      <c r="H19280" s="1"/>
      <c r="I19280" s="1"/>
    </row>
    <row r="19281" spans="8:9" x14ac:dyDescent="0.2">
      <c r="H19281" s="1"/>
      <c r="I19281" s="1"/>
    </row>
    <row r="19282" spans="8:9" x14ac:dyDescent="0.2">
      <c r="H19282" s="1"/>
      <c r="I19282" s="1"/>
    </row>
    <row r="19283" spans="8:9" x14ac:dyDescent="0.2">
      <c r="H19283" s="1"/>
      <c r="I19283" s="1"/>
    </row>
    <row r="19284" spans="8:9" x14ac:dyDescent="0.2">
      <c r="H19284" s="1"/>
      <c r="I19284" s="1"/>
    </row>
    <row r="19285" spans="8:9" x14ac:dyDescent="0.2">
      <c r="H19285" s="1"/>
      <c r="I19285" s="1"/>
    </row>
    <row r="19286" spans="8:9" x14ac:dyDescent="0.2">
      <c r="H19286" s="1"/>
      <c r="I19286" s="1"/>
    </row>
    <row r="19287" spans="8:9" x14ac:dyDescent="0.2">
      <c r="H19287" s="1"/>
      <c r="I19287" s="1"/>
    </row>
    <row r="19288" spans="8:9" x14ac:dyDescent="0.2">
      <c r="H19288" s="1"/>
      <c r="I19288" s="1"/>
    </row>
    <row r="19289" spans="8:9" x14ac:dyDescent="0.2">
      <c r="H19289" s="1"/>
      <c r="I19289" s="1"/>
    </row>
    <row r="19290" spans="8:9" x14ac:dyDescent="0.2">
      <c r="H19290" s="1"/>
      <c r="I19290" s="1"/>
    </row>
    <row r="19291" spans="8:9" x14ac:dyDescent="0.2">
      <c r="H19291" s="1"/>
      <c r="I19291" s="1"/>
    </row>
    <row r="19292" spans="8:9" x14ac:dyDescent="0.2">
      <c r="H19292" s="1"/>
      <c r="I19292" s="1"/>
    </row>
    <row r="19293" spans="8:9" x14ac:dyDescent="0.2">
      <c r="H19293" s="1"/>
      <c r="I19293" s="1"/>
    </row>
    <row r="19294" spans="8:9" x14ac:dyDescent="0.2">
      <c r="H19294" s="1"/>
      <c r="I19294" s="1"/>
    </row>
    <row r="19295" spans="8:9" x14ac:dyDescent="0.2">
      <c r="H19295" s="1"/>
      <c r="I19295" s="1"/>
    </row>
    <row r="19296" spans="8:9" x14ac:dyDescent="0.2">
      <c r="H19296" s="1"/>
      <c r="I19296" s="1"/>
    </row>
    <row r="19297" spans="8:9" x14ac:dyDescent="0.2">
      <c r="H19297" s="1"/>
      <c r="I19297" s="1"/>
    </row>
    <row r="19298" spans="8:9" x14ac:dyDescent="0.2">
      <c r="H19298" s="1"/>
      <c r="I19298" s="1"/>
    </row>
    <row r="19299" spans="8:9" x14ac:dyDescent="0.2">
      <c r="H19299" s="1"/>
      <c r="I19299" s="1"/>
    </row>
    <row r="19300" spans="8:9" x14ac:dyDescent="0.2">
      <c r="H19300" s="1"/>
      <c r="I19300" s="1"/>
    </row>
    <row r="19301" spans="8:9" x14ac:dyDescent="0.2">
      <c r="H19301" s="1"/>
      <c r="I19301" s="1"/>
    </row>
    <row r="19302" spans="8:9" x14ac:dyDescent="0.2">
      <c r="H19302" s="1"/>
      <c r="I19302" s="1"/>
    </row>
    <row r="19303" spans="8:9" x14ac:dyDescent="0.2">
      <c r="H19303" s="1"/>
      <c r="I19303" s="1"/>
    </row>
    <row r="19304" spans="8:9" x14ac:dyDescent="0.2">
      <c r="H19304" s="1"/>
      <c r="I19304" s="1"/>
    </row>
    <row r="19305" spans="8:9" x14ac:dyDescent="0.2">
      <c r="H19305" s="1"/>
      <c r="I19305" s="1"/>
    </row>
    <row r="19306" spans="8:9" x14ac:dyDescent="0.2">
      <c r="H19306" s="1"/>
      <c r="I19306" s="1"/>
    </row>
    <row r="19307" spans="8:9" x14ac:dyDescent="0.2">
      <c r="H19307" s="1"/>
      <c r="I19307" s="1"/>
    </row>
    <row r="19308" spans="8:9" x14ac:dyDescent="0.2">
      <c r="H19308" s="1"/>
      <c r="I19308" s="1"/>
    </row>
    <row r="19309" spans="8:9" x14ac:dyDescent="0.2">
      <c r="H19309" s="1"/>
      <c r="I19309" s="1"/>
    </row>
    <row r="19310" spans="8:9" x14ac:dyDescent="0.2">
      <c r="H19310" s="1"/>
      <c r="I19310" s="1"/>
    </row>
    <row r="19311" spans="8:9" x14ac:dyDescent="0.2">
      <c r="H19311" s="1"/>
      <c r="I19311" s="1"/>
    </row>
    <row r="19312" spans="8:9" x14ac:dyDescent="0.2">
      <c r="H19312" s="1"/>
      <c r="I19312" s="1"/>
    </row>
    <row r="19313" spans="8:9" x14ac:dyDescent="0.2">
      <c r="H19313" s="1"/>
      <c r="I19313" s="1"/>
    </row>
    <row r="19314" spans="8:9" x14ac:dyDescent="0.2">
      <c r="H19314" s="1"/>
      <c r="I19314" s="1"/>
    </row>
    <row r="19315" spans="8:9" x14ac:dyDescent="0.2">
      <c r="H19315" s="1"/>
      <c r="I19315" s="1"/>
    </row>
    <row r="19316" spans="8:9" x14ac:dyDescent="0.2">
      <c r="H19316" s="1"/>
      <c r="I19316" s="1"/>
    </row>
    <row r="19317" spans="8:9" x14ac:dyDescent="0.2">
      <c r="H19317" s="1"/>
      <c r="I19317" s="1"/>
    </row>
    <row r="19318" spans="8:9" x14ac:dyDescent="0.2">
      <c r="H19318" s="1"/>
      <c r="I19318" s="1"/>
    </row>
    <row r="19319" spans="8:9" x14ac:dyDescent="0.2">
      <c r="H19319" s="1"/>
      <c r="I19319" s="1"/>
    </row>
    <row r="19320" spans="8:9" x14ac:dyDescent="0.2">
      <c r="H19320" s="1"/>
      <c r="I19320" s="1"/>
    </row>
    <row r="19321" spans="8:9" x14ac:dyDescent="0.2">
      <c r="H19321" s="1"/>
      <c r="I19321" s="1"/>
    </row>
    <row r="19322" spans="8:9" x14ac:dyDescent="0.2">
      <c r="H19322" s="1"/>
      <c r="I19322" s="1"/>
    </row>
    <row r="19323" spans="8:9" x14ac:dyDescent="0.2">
      <c r="H19323" s="1"/>
      <c r="I19323" s="1"/>
    </row>
    <row r="19324" spans="8:9" x14ac:dyDescent="0.2">
      <c r="H19324" s="1"/>
      <c r="I19324" s="1"/>
    </row>
    <row r="19325" spans="8:9" x14ac:dyDescent="0.2">
      <c r="H19325" s="1"/>
      <c r="I19325" s="1"/>
    </row>
    <row r="19326" spans="8:9" x14ac:dyDescent="0.2">
      <c r="H19326" s="1"/>
      <c r="I19326" s="1"/>
    </row>
    <row r="19327" spans="8:9" x14ac:dyDescent="0.2">
      <c r="H19327" s="1"/>
      <c r="I19327" s="1"/>
    </row>
    <row r="19328" spans="8:9" x14ac:dyDescent="0.2">
      <c r="H19328" s="1"/>
      <c r="I19328" s="1"/>
    </row>
    <row r="19329" spans="8:9" x14ac:dyDescent="0.2">
      <c r="H19329" s="1"/>
      <c r="I19329" s="1"/>
    </row>
    <row r="19330" spans="8:9" x14ac:dyDescent="0.2">
      <c r="H19330" s="1"/>
      <c r="I19330" s="1"/>
    </row>
    <row r="19331" spans="8:9" x14ac:dyDescent="0.2">
      <c r="H19331" s="1"/>
      <c r="I19331" s="1"/>
    </row>
    <row r="19332" spans="8:9" x14ac:dyDescent="0.2">
      <c r="H19332" s="1"/>
      <c r="I19332" s="1"/>
    </row>
    <row r="19333" spans="8:9" x14ac:dyDescent="0.2">
      <c r="H19333" s="1"/>
      <c r="I19333" s="1"/>
    </row>
    <row r="19334" spans="8:9" x14ac:dyDescent="0.2">
      <c r="H19334" s="1"/>
      <c r="I19334" s="1"/>
    </row>
    <row r="19335" spans="8:9" x14ac:dyDescent="0.2">
      <c r="H19335" s="1"/>
      <c r="I19335" s="1"/>
    </row>
    <row r="19336" spans="8:9" x14ac:dyDescent="0.2">
      <c r="H19336" s="1"/>
      <c r="I19336" s="1"/>
    </row>
    <row r="19337" spans="8:9" x14ac:dyDescent="0.2">
      <c r="H19337" s="1"/>
      <c r="I19337" s="1"/>
    </row>
    <row r="19338" spans="8:9" x14ac:dyDescent="0.2">
      <c r="H19338" s="1"/>
      <c r="I19338" s="1"/>
    </row>
    <row r="19339" spans="8:9" x14ac:dyDescent="0.2">
      <c r="H19339" s="1"/>
      <c r="I19339" s="1"/>
    </row>
    <row r="19340" spans="8:9" x14ac:dyDescent="0.2">
      <c r="H19340" s="1"/>
      <c r="I19340" s="1"/>
    </row>
    <row r="19341" spans="8:9" x14ac:dyDescent="0.2">
      <c r="H19341" s="1"/>
      <c r="I19341" s="1"/>
    </row>
    <row r="19342" spans="8:9" x14ac:dyDescent="0.2">
      <c r="H19342" s="1"/>
      <c r="I19342" s="1"/>
    </row>
    <row r="19343" spans="8:9" x14ac:dyDescent="0.2">
      <c r="H19343" s="1"/>
      <c r="I19343" s="1"/>
    </row>
    <row r="19344" spans="8:9" x14ac:dyDescent="0.2">
      <c r="H19344" s="1"/>
      <c r="I19344" s="1"/>
    </row>
    <row r="19345" spans="8:9" x14ac:dyDescent="0.2">
      <c r="H19345" s="1"/>
      <c r="I19345" s="1"/>
    </row>
    <row r="19346" spans="8:9" x14ac:dyDescent="0.2">
      <c r="H19346" s="1"/>
      <c r="I19346" s="1"/>
    </row>
    <row r="19347" spans="8:9" x14ac:dyDescent="0.2">
      <c r="H19347" s="1"/>
      <c r="I19347" s="1"/>
    </row>
    <row r="19348" spans="8:9" x14ac:dyDescent="0.2">
      <c r="H19348" s="1"/>
      <c r="I19348" s="1"/>
    </row>
    <row r="19349" spans="8:9" x14ac:dyDescent="0.2">
      <c r="H19349" s="1"/>
      <c r="I19349" s="1"/>
    </row>
    <row r="19350" spans="8:9" x14ac:dyDescent="0.2">
      <c r="H19350" s="1"/>
      <c r="I19350" s="1"/>
    </row>
    <row r="19351" spans="8:9" x14ac:dyDescent="0.2">
      <c r="H19351" s="1"/>
      <c r="I19351" s="1"/>
    </row>
    <row r="19352" spans="8:9" x14ac:dyDescent="0.2">
      <c r="H19352" s="1"/>
      <c r="I19352" s="1"/>
    </row>
    <row r="19353" spans="8:9" x14ac:dyDescent="0.2">
      <c r="H19353" s="1"/>
      <c r="I19353" s="1"/>
    </row>
    <row r="19354" spans="8:9" x14ac:dyDescent="0.2">
      <c r="H19354" s="1"/>
      <c r="I19354" s="1"/>
    </row>
    <row r="19355" spans="8:9" x14ac:dyDescent="0.2">
      <c r="H19355" s="1"/>
      <c r="I19355" s="1"/>
    </row>
    <row r="19356" spans="8:9" x14ac:dyDescent="0.2">
      <c r="H19356" s="1"/>
      <c r="I19356" s="1"/>
    </row>
    <row r="19357" spans="8:9" x14ac:dyDescent="0.2">
      <c r="H19357" s="1"/>
      <c r="I19357" s="1"/>
    </row>
    <row r="19358" spans="8:9" x14ac:dyDescent="0.2">
      <c r="H19358" s="1"/>
      <c r="I19358" s="1"/>
    </row>
    <row r="19359" spans="8:9" x14ac:dyDescent="0.2">
      <c r="H19359" s="1"/>
      <c r="I19359" s="1"/>
    </row>
    <row r="19360" spans="8:9" x14ac:dyDescent="0.2">
      <c r="H19360" s="1"/>
      <c r="I19360" s="1"/>
    </row>
    <row r="19361" spans="8:9" x14ac:dyDescent="0.2">
      <c r="H19361" s="1"/>
      <c r="I19361" s="1"/>
    </row>
    <row r="19362" spans="8:9" x14ac:dyDescent="0.2">
      <c r="H19362" s="1"/>
      <c r="I19362" s="1"/>
    </row>
    <row r="19363" spans="8:9" x14ac:dyDescent="0.2">
      <c r="H19363" s="1"/>
      <c r="I19363" s="1"/>
    </row>
    <row r="19364" spans="8:9" x14ac:dyDescent="0.2">
      <c r="H19364" s="1"/>
      <c r="I19364" s="1"/>
    </row>
    <row r="19365" spans="8:9" x14ac:dyDescent="0.2">
      <c r="H19365" s="1"/>
      <c r="I19365" s="1"/>
    </row>
    <row r="19366" spans="8:9" x14ac:dyDescent="0.2">
      <c r="H19366" s="1"/>
      <c r="I19366" s="1"/>
    </row>
    <row r="19367" spans="8:9" x14ac:dyDescent="0.2">
      <c r="H19367" s="1"/>
      <c r="I19367" s="1"/>
    </row>
    <row r="19368" spans="8:9" x14ac:dyDescent="0.2">
      <c r="H19368" s="1"/>
      <c r="I19368" s="1"/>
    </row>
    <row r="19369" spans="8:9" x14ac:dyDescent="0.2">
      <c r="H19369" s="1"/>
      <c r="I19369" s="1"/>
    </row>
    <row r="19370" spans="8:9" x14ac:dyDescent="0.2">
      <c r="H19370" s="1"/>
      <c r="I19370" s="1"/>
    </row>
    <row r="19371" spans="8:9" x14ac:dyDescent="0.2">
      <c r="H19371" s="1"/>
      <c r="I19371" s="1"/>
    </row>
    <row r="19372" spans="8:9" x14ac:dyDescent="0.2">
      <c r="H19372" s="1"/>
      <c r="I19372" s="1"/>
    </row>
    <row r="19373" spans="8:9" x14ac:dyDescent="0.2">
      <c r="H19373" s="1"/>
      <c r="I19373" s="1"/>
    </row>
    <row r="19374" spans="8:9" x14ac:dyDescent="0.2">
      <c r="H19374" s="1"/>
      <c r="I19374" s="1"/>
    </row>
    <row r="19375" spans="8:9" x14ac:dyDescent="0.2">
      <c r="H19375" s="1"/>
      <c r="I19375" s="1"/>
    </row>
    <row r="19376" spans="8:9" x14ac:dyDescent="0.2">
      <c r="H19376" s="1"/>
      <c r="I19376" s="1"/>
    </row>
    <row r="19377" spans="8:9" x14ac:dyDescent="0.2">
      <c r="H19377" s="1"/>
      <c r="I19377" s="1"/>
    </row>
    <row r="19378" spans="8:9" x14ac:dyDescent="0.2">
      <c r="H19378" s="1"/>
      <c r="I19378" s="1"/>
    </row>
    <row r="19379" spans="8:9" x14ac:dyDescent="0.2">
      <c r="H19379" s="1"/>
      <c r="I19379" s="1"/>
    </row>
    <row r="19380" spans="8:9" x14ac:dyDescent="0.2">
      <c r="H19380" s="1"/>
      <c r="I19380" s="1"/>
    </row>
    <row r="19381" spans="8:9" x14ac:dyDescent="0.2">
      <c r="H19381" s="1"/>
      <c r="I19381" s="1"/>
    </row>
    <row r="19382" spans="8:9" x14ac:dyDescent="0.2">
      <c r="H19382" s="1"/>
      <c r="I19382" s="1"/>
    </row>
    <row r="19383" spans="8:9" x14ac:dyDescent="0.2">
      <c r="H19383" s="1"/>
      <c r="I19383" s="1"/>
    </row>
    <row r="19384" spans="8:9" x14ac:dyDescent="0.2">
      <c r="H19384" s="1"/>
      <c r="I19384" s="1"/>
    </row>
    <row r="19385" spans="8:9" x14ac:dyDescent="0.2">
      <c r="H19385" s="1"/>
      <c r="I19385" s="1"/>
    </row>
    <row r="19386" spans="8:9" x14ac:dyDescent="0.2">
      <c r="H19386" s="1"/>
      <c r="I19386" s="1"/>
    </row>
    <row r="19387" spans="8:9" x14ac:dyDescent="0.2">
      <c r="H19387" s="1"/>
      <c r="I19387" s="1"/>
    </row>
    <row r="19388" spans="8:9" x14ac:dyDescent="0.2">
      <c r="H19388" s="1"/>
      <c r="I19388" s="1"/>
    </row>
    <row r="19389" spans="8:9" x14ac:dyDescent="0.2">
      <c r="H19389" s="1"/>
      <c r="I19389" s="1"/>
    </row>
    <row r="19390" spans="8:9" x14ac:dyDescent="0.2">
      <c r="H19390" s="1"/>
      <c r="I19390" s="1"/>
    </row>
    <row r="19391" spans="8:9" x14ac:dyDescent="0.2">
      <c r="H19391" s="1"/>
      <c r="I19391" s="1"/>
    </row>
    <row r="19392" spans="8:9" x14ac:dyDescent="0.2">
      <c r="H19392" s="1"/>
      <c r="I19392" s="1"/>
    </row>
    <row r="19393" spans="8:9" x14ac:dyDescent="0.2">
      <c r="H19393" s="1"/>
      <c r="I19393" s="1"/>
    </row>
    <row r="19394" spans="8:9" x14ac:dyDescent="0.2">
      <c r="H19394" s="1"/>
      <c r="I19394" s="1"/>
    </row>
    <row r="19395" spans="8:9" x14ac:dyDescent="0.2">
      <c r="H19395" s="1"/>
      <c r="I19395" s="1"/>
    </row>
    <row r="19396" spans="8:9" x14ac:dyDescent="0.2">
      <c r="H19396" s="1"/>
      <c r="I19396" s="1"/>
    </row>
    <row r="19397" spans="8:9" x14ac:dyDescent="0.2">
      <c r="H19397" s="1"/>
      <c r="I19397" s="1"/>
    </row>
    <row r="19398" spans="8:9" x14ac:dyDescent="0.2">
      <c r="H19398" s="1"/>
      <c r="I19398" s="1"/>
    </row>
    <row r="19399" spans="8:9" x14ac:dyDescent="0.2">
      <c r="H19399" s="1"/>
      <c r="I19399" s="1"/>
    </row>
    <row r="19400" spans="8:9" x14ac:dyDescent="0.2">
      <c r="H19400" s="1"/>
      <c r="I19400" s="1"/>
    </row>
    <row r="19401" spans="8:9" x14ac:dyDescent="0.2">
      <c r="H19401" s="1"/>
      <c r="I19401" s="1"/>
    </row>
    <row r="19402" spans="8:9" x14ac:dyDescent="0.2">
      <c r="H19402" s="1"/>
      <c r="I19402" s="1"/>
    </row>
    <row r="19403" spans="8:9" x14ac:dyDescent="0.2">
      <c r="H19403" s="1"/>
      <c r="I19403" s="1"/>
    </row>
    <row r="19404" spans="8:9" x14ac:dyDescent="0.2">
      <c r="H19404" s="1"/>
      <c r="I19404" s="1"/>
    </row>
    <row r="19405" spans="8:9" x14ac:dyDescent="0.2">
      <c r="H19405" s="1"/>
      <c r="I19405" s="1"/>
    </row>
    <row r="19406" spans="8:9" x14ac:dyDescent="0.2">
      <c r="H19406" s="1"/>
      <c r="I19406" s="1"/>
    </row>
    <row r="19407" spans="8:9" x14ac:dyDescent="0.2">
      <c r="H19407" s="1"/>
      <c r="I19407" s="1"/>
    </row>
    <row r="19408" spans="8:9" x14ac:dyDescent="0.2">
      <c r="H19408" s="1"/>
      <c r="I19408" s="1"/>
    </row>
    <row r="19409" spans="8:9" x14ac:dyDescent="0.2">
      <c r="H19409" s="1"/>
      <c r="I19409" s="1"/>
    </row>
    <row r="19410" spans="8:9" x14ac:dyDescent="0.2">
      <c r="H19410" s="1"/>
      <c r="I19410" s="1"/>
    </row>
    <row r="19411" spans="8:9" x14ac:dyDescent="0.2">
      <c r="H19411" s="1"/>
      <c r="I19411" s="1"/>
    </row>
    <row r="19412" spans="8:9" x14ac:dyDescent="0.2">
      <c r="H19412" s="1"/>
      <c r="I19412" s="1"/>
    </row>
    <row r="19413" spans="8:9" x14ac:dyDescent="0.2">
      <c r="H19413" s="1"/>
      <c r="I19413" s="1"/>
    </row>
    <row r="19414" spans="8:9" x14ac:dyDescent="0.2">
      <c r="H19414" s="1"/>
      <c r="I19414" s="1"/>
    </row>
    <row r="19415" spans="8:9" x14ac:dyDescent="0.2">
      <c r="H19415" s="1"/>
      <c r="I19415" s="1"/>
    </row>
    <row r="19416" spans="8:9" x14ac:dyDescent="0.2">
      <c r="H19416" s="1"/>
      <c r="I19416" s="1"/>
    </row>
    <row r="19417" spans="8:9" x14ac:dyDescent="0.2">
      <c r="H19417" s="1"/>
      <c r="I19417" s="1"/>
    </row>
    <row r="19418" spans="8:9" x14ac:dyDescent="0.2">
      <c r="H19418" s="1"/>
      <c r="I19418" s="1"/>
    </row>
    <row r="19419" spans="8:9" x14ac:dyDescent="0.2">
      <c r="H19419" s="1"/>
      <c r="I19419" s="1"/>
    </row>
    <row r="19420" spans="8:9" x14ac:dyDescent="0.2">
      <c r="H19420" s="1"/>
      <c r="I19420" s="1"/>
    </row>
    <row r="19421" spans="8:9" x14ac:dyDescent="0.2">
      <c r="H19421" s="1"/>
      <c r="I19421" s="1"/>
    </row>
    <row r="19422" spans="8:9" x14ac:dyDescent="0.2">
      <c r="H19422" s="1"/>
      <c r="I19422" s="1"/>
    </row>
    <row r="19423" spans="8:9" x14ac:dyDescent="0.2">
      <c r="H19423" s="1"/>
      <c r="I19423" s="1"/>
    </row>
    <row r="19424" spans="8:9" x14ac:dyDescent="0.2">
      <c r="H19424" s="1"/>
      <c r="I19424" s="1"/>
    </row>
    <row r="19425" spans="8:9" x14ac:dyDescent="0.2">
      <c r="H19425" s="1"/>
      <c r="I19425" s="1"/>
    </row>
    <row r="19426" spans="8:9" x14ac:dyDescent="0.2">
      <c r="H19426" s="1"/>
      <c r="I19426" s="1"/>
    </row>
    <row r="19427" spans="8:9" x14ac:dyDescent="0.2">
      <c r="H19427" s="1"/>
      <c r="I19427" s="1"/>
    </row>
    <row r="19428" spans="8:9" x14ac:dyDescent="0.2">
      <c r="H19428" s="1"/>
      <c r="I19428" s="1"/>
    </row>
    <row r="19429" spans="8:9" x14ac:dyDescent="0.2">
      <c r="H19429" s="1"/>
      <c r="I19429" s="1"/>
    </row>
    <row r="19430" spans="8:9" x14ac:dyDescent="0.2">
      <c r="H19430" s="1"/>
      <c r="I19430" s="1"/>
    </row>
    <row r="19431" spans="8:9" x14ac:dyDescent="0.2">
      <c r="H19431" s="1"/>
      <c r="I19431" s="1"/>
    </row>
    <row r="19432" spans="8:9" x14ac:dyDescent="0.2">
      <c r="H19432" s="1"/>
      <c r="I19432" s="1"/>
    </row>
    <row r="19433" spans="8:9" x14ac:dyDescent="0.2">
      <c r="H19433" s="1"/>
      <c r="I19433" s="1"/>
    </row>
    <row r="19434" spans="8:9" x14ac:dyDescent="0.2">
      <c r="H19434" s="1"/>
      <c r="I19434" s="1"/>
    </row>
    <row r="19435" spans="8:9" x14ac:dyDescent="0.2">
      <c r="H19435" s="1"/>
      <c r="I19435" s="1"/>
    </row>
    <row r="19436" spans="8:9" x14ac:dyDescent="0.2">
      <c r="H19436" s="1"/>
      <c r="I19436" s="1"/>
    </row>
    <row r="19437" spans="8:9" x14ac:dyDescent="0.2">
      <c r="H19437" s="1"/>
      <c r="I19437" s="1"/>
    </row>
    <row r="19438" spans="8:9" x14ac:dyDescent="0.2">
      <c r="H19438" s="1"/>
      <c r="I19438" s="1"/>
    </row>
    <row r="19439" spans="8:9" x14ac:dyDescent="0.2">
      <c r="H19439" s="1"/>
      <c r="I19439" s="1"/>
    </row>
    <row r="19440" spans="8:9" x14ac:dyDescent="0.2">
      <c r="H19440" s="1"/>
      <c r="I19440" s="1"/>
    </row>
    <row r="19441" spans="8:9" x14ac:dyDescent="0.2">
      <c r="H19441" s="1"/>
      <c r="I19441" s="1"/>
    </row>
    <row r="19442" spans="8:9" x14ac:dyDescent="0.2">
      <c r="H19442" s="1"/>
      <c r="I19442" s="1"/>
    </row>
    <row r="19443" spans="8:9" x14ac:dyDescent="0.2">
      <c r="H19443" s="1"/>
      <c r="I19443" s="1"/>
    </row>
    <row r="19444" spans="8:9" x14ac:dyDescent="0.2">
      <c r="H19444" s="1"/>
      <c r="I19444" s="1"/>
    </row>
    <row r="19445" spans="8:9" x14ac:dyDescent="0.2">
      <c r="H19445" s="1"/>
      <c r="I19445" s="1"/>
    </row>
    <row r="19446" spans="8:9" x14ac:dyDescent="0.2">
      <c r="H19446" s="1"/>
      <c r="I19446" s="1"/>
    </row>
    <row r="19447" spans="8:9" x14ac:dyDescent="0.2">
      <c r="H19447" s="1"/>
      <c r="I19447" s="1"/>
    </row>
    <row r="19448" spans="8:9" x14ac:dyDescent="0.2">
      <c r="H19448" s="1"/>
      <c r="I19448" s="1"/>
    </row>
    <row r="19449" spans="8:9" x14ac:dyDescent="0.2">
      <c r="H19449" s="1"/>
      <c r="I19449" s="1"/>
    </row>
    <row r="19450" spans="8:9" x14ac:dyDescent="0.2">
      <c r="H19450" s="1"/>
      <c r="I19450" s="1"/>
    </row>
    <row r="19451" spans="8:9" x14ac:dyDescent="0.2">
      <c r="H19451" s="1"/>
      <c r="I19451" s="1"/>
    </row>
    <row r="19452" spans="8:9" x14ac:dyDescent="0.2">
      <c r="H19452" s="1"/>
      <c r="I19452" s="1"/>
    </row>
    <row r="19453" spans="8:9" x14ac:dyDescent="0.2">
      <c r="H19453" s="1"/>
      <c r="I19453" s="1"/>
    </row>
    <row r="19454" spans="8:9" x14ac:dyDescent="0.2">
      <c r="H19454" s="1"/>
      <c r="I19454" s="1"/>
    </row>
    <row r="19455" spans="8:9" x14ac:dyDescent="0.2">
      <c r="H19455" s="1"/>
      <c r="I19455" s="1"/>
    </row>
    <row r="19456" spans="8:9" x14ac:dyDescent="0.2">
      <c r="H19456" s="1"/>
      <c r="I19456" s="1"/>
    </row>
    <row r="19457" spans="8:9" x14ac:dyDescent="0.2">
      <c r="H19457" s="1"/>
      <c r="I19457" s="1"/>
    </row>
    <row r="19458" spans="8:9" x14ac:dyDescent="0.2">
      <c r="H19458" s="1"/>
      <c r="I19458" s="1"/>
    </row>
    <row r="19459" spans="8:9" x14ac:dyDescent="0.2">
      <c r="H19459" s="1"/>
      <c r="I19459" s="1"/>
    </row>
    <row r="19460" spans="8:9" x14ac:dyDescent="0.2">
      <c r="H19460" s="1"/>
      <c r="I19460" s="1"/>
    </row>
    <row r="19461" spans="8:9" x14ac:dyDescent="0.2">
      <c r="H19461" s="1"/>
      <c r="I19461" s="1"/>
    </row>
    <row r="19462" spans="8:9" x14ac:dyDescent="0.2">
      <c r="H19462" s="1"/>
      <c r="I19462" s="1"/>
    </row>
    <row r="19463" spans="8:9" x14ac:dyDescent="0.2">
      <c r="H19463" s="1"/>
      <c r="I19463" s="1"/>
    </row>
    <row r="19464" spans="8:9" x14ac:dyDescent="0.2">
      <c r="H19464" s="1"/>
      <c r="I19464" s="1"/>
    </row>
    <row r="19465" spans="8:9" x14ac:dyDescent="0.2">
      <c r="H19465" s="1"/>
      <c r="I19465" s="1"/>
    </row>
    <row r="19466" spans="8:9" x14ac:dyDescent="0.2">
      <c r="H19466" s="1"/>
      <c r="I19466" s="1"/>
    </row>
    <row r="19467" spans="8:9" x14ac:dyDescent="0.2">
      <c r="H19467" s="1"/>
      <c r="I19467" s="1"/>
    </row>
    <row r="19468" spans="8:9" x14ac:dyDescent="0.2">
      <c r="H19468" s="1"/>
      <c r="I19468" s="1"/>
    </row>
    <row r="19469" spans="8:9" x14ac:dyDescent="0.2">
      <c r="H19469" s="1"/>
      <c r="I19469" s="1"/>
    </row>
    <row r="19470" spans="8:9" x14ac:dyDescent="0.2">
      <c r="H19470" s="1"/>
      <c r="I19470" s="1"/>
    </row>
    <row r="19471" spans="8:9" x14ac:dyDescent="0.2">
      <c r="H19471" s="1"/>
      <c r="I19471" s="1"/>
    </row>
    <row r="19472" spans="8:9" x14ac:dyDescent="0.2">
      <c r="H19472" s="1"/>
      <c r="I19472" s="1"/>
    </row>
    <row r="19473" spans="8:9" x14ac:dyDescent="0.2">
      <c r="H19473" s="1"/>
      <c r="I19473" s="1"/>
    </row>
    <row r="19474" spans="8:9" x14ac:dyDescent="0.2">
      <c r="H19474" s="1"/>
      <c r="I19474" s="1"/>
    </row>
    <row r="19475" spans="8:9" x14ac:dyDescent="0.2">
      <c r="H19475" s="1"/>
      <c r="I19475" s="1"/>
    </row>
    <row r="19476" spans="8:9" x14ac:dyDescent="0.2">
      <c r="H19476" s="1"/>
      <c r="I19476" s="1"/>
    </row>
    <row r="19477" spans="8:9" x14ac:dyDescent="0.2">
      <c r="H19477" s="1"/>
      <c r="I19477" s="1"/>
    </row>
    <row r="19478" spans="8:9" x14ac:dyDescent="0.2">
      <c r="H19478" s="1"/>
      <c r="I19478" s="1"/>
    </row>
    <row r="19479" spans="8:9" x14ac:dyDescent="0.2">
      <c r="H19479" s="1"/>
      <c r="I19479" s="1"/>
    </row>
    <row r="19480" spans="8:9" x14ac:dyDescent="0.2">
      <c r="H19480" s="1"/>
      <c r="I19480" s="1"/>
    </row>
    <row r="19481" spans="8:9" x14ac:dyDescent="0.2">
      <c r="H19481" s="1"/>
      <c r="I19481" s="1"/>
    </row>
    <row r="19482" spans="8:9" x14ac:dyDescent="0.2">
      <c r="H19482" s="1"/>
      <c r="I19482" s="1"/>
    </row>
    <row r="19483" spans="8:9" x14ac:dyDescent="0.2">
      <c r="H19483" s="1"/>
      <c r="I19483" s="1"/>
    </row>
    <row r="19484" spans="8:9" x14ac:dyDescent="0.2">
      <c r="H19484" s="1"/>
      <c r="I19484" s="1"/>
    </row>
    <row r="19485" spans="8:9" x14ac:dyDescent="0.2">
      <c r="H19485" s="1"/>
      <c r="I19485" s="1"/>
    </row>
    <row r="19486" spans="8:9" x14ac:dyDescent="0.2">
      <c r="H19486" s="1"/>
      <c r="I19486" s="1"/>
    </row>
    <row r="19487" spans="8:9" x14ac:dyDescent="0.2">
      <c r="H19487" s="1"/>
      <c r="I19487" s="1"/>
    </row>
    <row r="19488" spans="8:9" x14ac:dyDescent="0.2">
      <c r="H19488" s="1"/>
      <c r="I19488" s="1"/>
    </row>
    <row r="19489" spans="8:9" x14ac:dyDescent="0.2">
      <c r="H19489" s="1"/>
      <c r="I19489" s="1"/>
    </row>
    <row r="19490" spans="8:9" x14ac:dyDescent="0.2">
      <c r="H19490" s="1"/>
      <c r="I19490" s="1"/>
    </row>
    <row r="19491" spans="8:9" x14ac:dyDescent="0.2">
      <c r="H19491" s="1"/>
      <c r="I19491" s="1"/>
    </row>
    <row r="19492" spans="8:9" x14ac:dyDescent="0.2">
      <c r="H19492" s="1"/>
      <c r="I19492" s="1"/>
    </row>
    <row r="19493" spans="8:9" x14ac:dyDescent="0.2">
      <c r="H19493" s="1"/>
      <c r="I19493" s="1"/>
    </row>
    <row r="19494" spans="8:9" x14ac:dyDescent="0.2">
      <c r="H19494" s="1"/>
      <c r="I19494" s="1"/>
    </row>
    <row r="19495" spans="8:9" x14ac:dyDescent="0.2">
      <c r="H19495" s="1"/>
      <c r="I19495" s="1"/>
    </row>
    <row r="19496" spans="8:9" x14ac:dyDescent="0.2">
      <c r="H19496" s="1"/>
      <c r="I19496" s="1"/>
    </row>
    <row r="19497" spans="8:9" x14ac:dyDescent="0.2">
      <c r="H19497" s="1"/>
      <c r="I19497" s="1"/>
    </row>
    <row r="19498" spans="8:9" x14ac:dyDescent="0.2">
      <c r="H19498" s="1"/>
      <c r="I19498" s="1"/>
    </row>
    <row r="19499" spans="8:9" x14ac:dyDescent="0.2">
      <c r="H19499" s="1"/>
      <c r="I19499" s="1"/>
    </row>
    <row r="19500" spans="8:9" x14ac:dyDescent="0.2">
      <c r="H19500" s="1"/>
      <c r="I19500" s="1"/>
    </row>
    <row r="19501" spans="8:9" x14ac:dyDescent="0.2">
      <c r="H19501" s="1"/>
      <c r="I19501" s="1"/>
    </row>
    <row r="19502" spans="8:9" x14ac:dyDescent="0.2">
      <c r="H19502" s="1"/>
      <c r="I19502" s="1"/>
    </row>
    <row r="19503" spans="8:9" x14ac:dyDescent="0.2">
      <c r="H19503" s="1"/>
      <c r="I19503" s="1"/>
    </row>
    <row r="19504" spans="8:9" x14ac:dyDescent="0.2">
      <c r="H19504" s="1"/>
      <c r="I19504" s="1"/>
    </row>
    <row r="19505" spans="8:9" x14ac:dyDescent="0.2">
      <c r="H19505" s="1"/>
      <c r="I19505" s="1"/>
    </row>
    <row r="19506" spans="8:9" x14ac:dyDescent="0.2">
      <c r="H19506" s="1"/>
      <c r="I19506" s="1"/>
    </row>
    <row r="19507" spans="8:9" x14ac:dyDescent="0.2">
      <c r="H19507" s="1"/>
      <c r="I19507" s="1"/>
    </row>
    <row r="19508" spans="8:9" x14ac:dyDescent="0.2">
      <c r="H19508" s="1"/>
      <c r="I19508" s="1"/>
    </row>
    <row r="19509" spans="8:9" x14ac:dyDescent="0.2">
      <c r="H19509" s="1"/>
      <c r="I19509" s="1"/>
    </row>
    <row r="19510" spans="8:9" x14ac:dyDescent="0.2">
      <c r="H19510" s="1"/>
      <c r="I19510" s="1"/>
    </row>
    <row r="19511" spans="8:9" x14ac:dyDescent="0.2">
      <c r="H19511" s="1"/>
      <c r="I19511" s="1"/>
    </row>
    <row r="19512" spans="8:9" x14ac:dyDescent="0.2">
      <c r="H19512" s="1"/>
      <c r="I19512" s="1"/>
    </row>
    <row r="19513" spans="8:9" x14ac:dyDescent="0.2">
      <c r="H19513" s="1"/>
      <c r="I19513" s="1"/>
    </row>
    <row r="19514" spans="8:9" x14ac:dyDescent="0.2">
      <c r="H19514" s="1"/>
      <c r="I19514" s="1"/>
    </row>
    <row r="19515" spans="8:9" x14ac:dyDescent="0.2">
      <c r="H19515" s="1"/>
      <c r="I19515" s="1"/>
    </row>
    <row r="19516" spans="8:9" x14ac:dyDescent="0.2">
      <c r="H19516" s="1"/>
      <c r="I19516" s="1"/>
    </row>
    <row r="19517" spans="8:9" x14ac:dyDescent="0.2">
      <c r="H19517" s="1"/>
      <c r="I19517" s="1"/>
    </row>
    <row r="19518" spans="8:9" x14ac:dyDescent="0.2">
      <c r="H19518" s="1"/>
      <c r="I19518" s="1"/>
    </row>
    <row r="19519" spans="8:9" x14ac:dyDescent="0.2">
      <c r="H19519" s="1"/>
      <c r="I19519" s="1"/>
    </row>
    <row r="19520" spans="8:9" x14ac:dyDescent="0.2">
      <c r="H19520" s="1"/>
      <c r="I19520" s="1"/>
    </row>
    <row r="19521" spans="8:9" x14ac:dyDescent="0.2">
      <c r="H19521" s="1"/>
      <c r="I19521" s="1"/>
    </row>
    <row r="19522" spans="8:9" x14ac:dyDescent="0.2">
      <c r="H19522" s="1"/>
      <c r="I19522" s="1"/>
    </row>
    <row r="19523" spans="8:9" x14ac:dyDescent="0.2">
      <c r="H19523" s="1"/>
      <c r="I19523" s="1"/>
    </row>
    <row r="19524" spans="8:9" x14ac:dyDescent="0.2">
      <c r="H19524" s="1"/>
      <c r="I19524" s="1"/>
    </row>
    <row r="19525" spans="8:9" x14ac:dyDescent="0.2">
      <c r="H19525" s="1"/>
      <c r="I19525" s="1"/>
    </row>
    <row r="19526" spans="8:9" x14ac:dyDescent="0.2">
      <c r="H19526" s="1"/>
      <c r="I19526" s="1"/>
    </row>
    <row r="19527" spans="8:9" x14ac:dyDescent="0.2">
      <c r="H19527" s="1"/>
      <c r="I19527" s="1"/>
    </row>
    <row r="19528" spans="8:9" x14ac:dyDescent="0.2">
      <c r="H19528" s="1"/>
      <c r="I19528" s="1"/>
    </row>
    <row r="19529" spans="8:9" x14ac:dyDescent="0.2">
      <c r="H19529" s="1"/>
      <c r="I19529" s="1"/>
    </row>
    <row r="19530" spans="8:9" x14ac:dyDescent="0.2">
      <c r="H19530" s="1"/>
      <c r="I19530" s="1"/>
    </row>
    <row r="19531" spans="8:9" x14ac:dyDescent="0.2">
      <c r="H19531" s="1"/>
      <c r="I19531" s="1"/>
    </row>
    <row r="19532" spans="8:9" x14ac:dyDescent="0.2">
      <c r="H19532" s="1"/>
      <c r="I19532" s="1"/>
    </row>
    <row r="19533" spans="8:9" x14ac:dyDescent="0.2">
      <c r="H19533" s="1"/>
      <c r="I19533" s="1"/>
    </row>
    <row r="19534" spans="8:9" x14ac:dyDescent="0.2">
      <c r="H19534" s="1"/>
      <c r="I19534" s="1"/>
    </row>
    <row r="19535" spans="8:9" x14ac:dyDescent="0.2">
      <c r="H19535" s="1"/>
      <c r="I19535" s="1"/>
    </row>
    <row r="19536" spans="8:9" x14ac:dyDescent="0.2">
      <c r="H19536" s="1"/>
      <c r="I19536" s="1"/>
    </row>
    <row r="19537" spans="8:9" x14ac:dyDescent="0.2">
      <c r="H19537" s="1"/>
      <c r="I19537" s="1"/>
    </row>
    <row r="19538" spans="8:9" x14ac:dyDescent="0.2">
      <c r="H19538" s="1"/>
      <c r="I19538" s="1"/>
    </row>
    <row r="19539" spans="8:9" x14ac:dyDescent="0.2">
      <c r="H19539" s="1"/>
      <c r="I19539" s="1"/>
    </row>
    <row r="19540" spans="8:9" x14ac:dyDescent="0.2">
      <c r="H19540" s="1"/>
      <c r="I19540" s="1"/>
    </row>
    <row r="19541" spans="8:9" x14ac:dyDescent="0.2">
      <c r="H19541" s="1"/>
      <c r="I19541" s="1"/>
    </row>
    <row r="19542" spans="8:9" x14ac:dyDescent="0.2">
      <c r="H19542" s="1"/>
      <c r="I19542" s="1"/>
    </row>
    <row r="19543" spans="8:9" x14ac:dyDescent="0.2">
      <c r="H19543" s="1"/>
      <c r="I19543" s="1"/>
    </row>
    <row r="19544" spans="8:9" x14ac:dyDescent="0.2">
      <c r="H19544" s="1"/>
      <c r="I19544" s="1"/>
    </row>
    <row r="19545" spans="8:9" x14ac:dyDescent="0.2">
      <c r="H19545" s="1"/>
      <c r="I19545" s="1"/>
    </row>
    <row r="19546" spans="8:9" x14ac:dyDescent="0.2">
      <c r="H19546" s="1"/>
      <c r="I19546" s="1"/>
    </row>
    <row r="19547" spans="8:9" x14ac:dyDescent="0.2">
      <c r="H19547" s="1"/>
      <c r="I19547" s="1"/>
    </row>
    <row r="19548" spans="8:9" x14ac:dyDescent="0.2">
      <c r="H19548" s="1"/>
      <c r="I19548" s="1"/>
    </row>
    <row r="19549" spans="8:9" x14ac:dyDescent="0.2">
      <c r="H19549" s="1"/>
      <c r="I19549" s="1"/>
    </row>
    <row r="19550" spans="8:9" x14ac:dyDescent="0.2">
      <c r="H19550" s="1"/>
      <c r="I19550" s="1"/>
    </row>
    <row r="19551" spans="8:9" x14ac:dyDescent="0.2">
      <c r="H19551" s="1"/>
      <c r="I19551" s="1"/>
    </row>
    <row r="19552" spans="8:9" x14ac:dyDescent="0.2">
      <c r="H19552" s="1"/>
      <c r="I19552" s="1"/>
    </row>
    <row r="19553" spans="8:9" x14ac:dyDescent="0.2">
      <c r="H19553" s="1"/>
      <c r="I19553" s="1"/>
    </row>
    <row r="19554" spans="8:9" x14ac:dyDescent="0.2">
      <c r="H19554" s="1"/>
      <c r="I19554" s="1"/>
    </row>
    <row r="19555" spans="8:9" x14ac:dyDescent="0.2">
      <c r="H19555" s="1"/>
      <c r="I19555" s="1"/>
    </row>
    <row r="19556" spans="8:9" x14ac:dyDescent="0.2">
      <c r="H19556" s="1"/>
      <c r="I19556" s="1"/>
    </row>
    <row r="19557" spans="8:9" x14ac:dyDescent="0.2">
      <c r="H19557" s="1"/>
      <c r="I19557" s="1"/>
    </row>
    <row r="19558" spans="8:9" x14ac:dyDescent="0.2">
      <c r="H19558" s="1"/>
      <c r="I19558" s="1"/>
    </row>
    <row r="19559" spans="8:9" x14ac:dyDescent="0.2">
      <c r="H19559" s="1"/>
      <c r="I19559" s="1"/>
    </row>
    <row r="19560" spans="8:9" x14ac:dyDescent="0.2">
      <c r="H19560" s="1"/>
      <c r="I19560" s="1"/>
    </row>
    <row r="19561" spans="8:9" x14ac:dyDescent="0.2">
      <c r="H19561" s="1"/>
      <c r="I19561" s="1"/>
    </row>
    <row r="19562" spans="8:9" x14ac:dyDescent="0.2">
      <c r="H19562" s="1"/>
      <c r="I19562" s="1"/>
    </row>
    <row r="19563" spans="8:9" x14ac:dyDescent="0.2">
      <c r="H19563" s="1"/>
      <c r="I19563" s="1"/>
    </row>
    <row r="19564" spans="8:9" x14ac:dyDescent="0.2">
      <c r="H19564" s="1"/>
      <c r="I19564" s="1"/>
    </row>
    <row r="19565" spans="8:9" x14ac:dyDescent="0.2">
      <c r="H19565" s="1"/>
      <c r="I19565" s="1"/>
    </row>
    <row r="19566" spans="8:9" x14ac:dyDescent="0.2">
      <c r="H19566" s="1"/>
      <c r="I19566" s="1"/>
    </row>
    <row r="19567" spans="8:9" x14ac:dyDescent="0.2">
      <c r="H19567" s="1"/>
      <c r="I19567" s="1"/>
    </row>
    <row r="19568" spans="8:9" x14ac:dyDescent="0.2">
      <c r="H19568" s="1"/>
      <c r="I19568" s="1"/>
    </row>
    <row r="19569" spans="8:9" x14ac:dyDescent="0.2">
      <c r="H19569" s="1"/>
      <c r="I19569" s="1"/>
    </row>
    <row r="19570" spans="8:9" x14ac:dyDescent="0.2">
      <c r="H19570" s="1"/>
      <c r="I19570" s="1"/>
    </row>
    <row r="19571" spans="8:9" x14ac:dyDescent="0.2">
      <c r="H19571" s="1"/>
      <c r="I19571" s="1"/>
    </row>
    <row r="19572" spans="8:9" x14ac:dyDescent="0.2">
      <c r="H19572" s="1"/>
      <c r="I19572" s="1"/>
    </row>
    <row r="19573" spans="8:9" x14ac:dyDescent="0.2">
      <c r="H19573" s="1"/>
      <c r="I19573" s="1"/>
    </row>
    <row r="19574" spans="8:9" x14ac:dyDescent="0.2">
      <c r="H19574" s="1"/>
      <c r="I19574" s="1"/>
    </row>
    <row r="19575" spans="8:9" x14ac:dyDescent="0.2">
      <c r="H19575" s="1"/>
      <c r="I19575" s="1"/>
    </row>
    <row r="19576" spans="8:9" x14ac:dyDescent="0.2">
      <c r="H19576" s="1"/>
      <c r="I19576" s="1"/>
    </row>
    <row r="19577" spans="8:9" x14ac:dyDescent="0.2">
      <c r="H19577" s="1"/>
      <c r="I19577" s="1"/>
    </row>
    <row r="19578" spans="8:9" x14ac:dyDescent="0.2">
      <c r="H19578" s="1"/>
      <c r="I19578" s="1"/>
    </row>
    <row r="19579" spans="8:9" x14ac:dyDescent="0.2">
      <c r="H19579" s="1"/>
      <c r="I19579" s="1"/>
    </row>
    <row r="19580" spans="8:9" x14ac:dyDescent="0.2">
      <c r="H19580" s="1"/>
      <c r="I19580" s="1"/>
    </row>
    <row r="19581" spans="8:9" x14ac:dyDescent="0.2">
      <c r="H19581" s="1"/>
      <c r="I19581" s="1"/>
    </row>
    <row r="19582" spans="8:9" x14ac:dyDescent="0.2">
      <c r="H19582" s="1"/>
      <c r="I19582" s="1"/>
    </row>
    <row r="19583" spans="8:9" x14ac:dyDescent="0.2">
      <c r="H19583" s="1"/>
      <c r="I19583" s="1"/>
    </row>
    <row r="19584" spans="8:9" x14ac:dyDescent="0.2">
      <c r="H19584" s="1"/>
      <c r="I19584" s="1"/>
    </row>
    <row r="19585" spans="8:9" x14ac:dyDescent="0.2">
      <c r="H19585" s="1"/>
      <c r="I19585" s="1"/>
    </row>
    <row r="19586" spans="8:9" x14ac:dyDescent="0.2">
      <c r="H19586" s="1"/>
      <c r="I19586" s="1"/>
    </row>
    <row r="19587" spans="8:9" x14ac:dyDescent="0.2">
      <c r="H19587" s="1"/>
      <c r="I19587" s="1"/>
    </row>
    <row r="19588" spans="8:9" x14ac:dyDescent="0.2">
      <c r="H19588" s="1"/>
      <c r="I19588" s="1"/>
    </row>
    <row r="19589" spans="8:9" x14ac:dyDescent="0.2">
      <c r="H19589" s="1"/>
      <c r="I19589" s="1"/>
    </row>
    <row r="19590" spans="8:9" x14ac:dyDescent="0.2">
      <c r="H19590" s="1"/>
      <c r="I19590" s="1"/>
    </row>
    <row r="19591" spans="8:9" x14ac:dyDescent="0.2">
      <c r="H19591" s="1"/>
      <c r="I19591" s="1"/>
    </row>
    <row r="19592" spans="8:9" x14ac:dyDescent="0.2">
      <c r="H19592" s="1"/>
      <c r="I19592" s="1"/>
    </row>
    <row r="19593" spans="8:9" x14ac:dyDescent="0.2">
      <c r="H19593" s="1"/>
      <c r="I19593" s="1"/>
    </row>
    <row r="19594" spans="8:9" x14ac:dyDescent="0.2">
      <c r="H19594" s="1"/>
      <c r="I19594" s="1"/>
    </row>
    <row r="19595" spans="8:9" x14ac:dyDescent="0.2">
      <c r="H19595" s="1"/>
      <c r="I19595" s="1"/>
    </row>
    <row r="19596" spans="8:9" x14ac:dyDescent="0.2">
      <c r="H19596" s="1"/>
      <c r="I19596" s="1"/>
    </row>
    <row r="19597" spans="8:9" x14ac:dyDescent="0.2">
      <c r="H19597" s="1"/>
      <c r="I19597" s="1"/>
    </row>
    <row r="19598" spans="8:9" x14ac:dyDescent="0.2">
      <c r="H19598" s="1"/>
      <c r="I19598" s="1"/>
    </row>
    <row r="19599" spans="8:9" x14ac:dyDescent="0.2">
      <c r="H19599" s="1"/>
      <c r="I19599" s="1"/>
    </row>
    <row r="19600" spans="8:9" x14ac:dyDescent="0.2">
      <c r="H19600" s="1"/>
      <c r="I19600" s="1"/>
    </row>
    <row r="19601" spans="8:9" x14ac:dyDescent="0.2">
      <c r="H19601" s="1"/>
      <c r="I19601" s="1"/>
    </row>
    <row r="19602" spans="8:9" x14ac:dyDescent="0.2">
      <c r="H19602" s="1"/>
      <c r="I19602" s="1"/>
    </row>
    <row r="19603" spans="8:9" x14ac:dyDescent="0.2">
      <c r="H19603" s="1"/>
      <c r="I19603" s="1"/>
    </row>
    <row r="19604" spans="8:9" x14ac:dyDescent="0.2">
      <c r="H19604" s="1"/>
      <c r="I19604" s="1"/>
    </row>
    <row r="19605" spans="8:9" x14ac:dyDescent="0.2">
      <c r="H19605" s="1"/>
      <c r="I19605" s="1"/>
    </row>
    <row r="19606" spans="8:9" x14ac:dyDescent="0.2">
      <c r="H19606" s="1"/>
      <c r="I19606" s="1"/>
    </row>
    <row r="19607" spans="8:9" x14ac:dyDescent="0.2">
      <c r="H19607" s="1"/>
      <c r="I19607" s="1"/>
    </row>
    <row r="19608" spans="8:9" x14ac:dyDescent="0.2">
      <c r="H19608" s="1"/>
      <c r="I19608" s="1"/>
    </row>
    <row r="19609" spans="8:9" x14ac:dyDescent="0.2">
      <c r="H19609" s="1"/>
      <c r="I19609" s="1"/>
    </row>
    <row r="19610" spans="8:9" x14ac:dyDescent="0.2">
      <c r="H19610" s="1"/>
      <c r="I19610" s="1"/>
    </row>
    <row r="19611" spans="8:9" x14ac:dyDescent="0.2">
      <c r="H19611" s="1"/>
      <c r="I19611" s="1"/>
    </row>
    <row r="19612" spans="8:9" x14ac:dyDescent="0.2">
      <c r="H19612" s="1"/>
      <c r="I19612" s="1"/>
    </row>
    <row r="19613" spans="8:9" x14ac:dyDescent="0.2">
      <c r="H19613" s="1"/>
      <c r="I19613" s="1"/>
    </row>
    <row r="19614" spans="8:9" x14ac:dyDescent="0.2">
      <c r="H19614" s="1"/>
      <c r="I19614" s="1"/>
    </row>
    <row r="19615" spans="8:9" x14ac:dyDescent="0.2">
      <c r="H19615" s="1"/>
      <c r="I19615" s="1"/>
    </row>
    <row r="19616" spans="8:9" x14ac:dyDescent="0.2">
      <c r="H19616" s="1"/>
      <c r="I19616" s="1"/>
    </row>
    <row r="19617" spans="8:9" x14ac:dyDescent="0.2">
      <c r="H19617" s="1"/>
      <c r="I19617" s="1"/>
    </row>
    <row r="19618" spans="8:9" x14ac:dyDescent="0.2">
      <c r="H19618" s="1"/>
      <c r="I19618" s="1"/>
    </row>
    <row r="19619" spans="8:9" x14ac:dyDescent="0.2">
      <c r="H19619" s="1"/>
      <c r="I19619" s="1"/>
    </row>
    <row r="19620" spans="8:9" x14ac:dyDescent="0.2">
      <c r="H19620" s="1"/>
      <c r="I19620" s="1"/>
    </row>
    <row r="19621" spans="8:9" x14ac:dyDescent="0.2">
      <c r="H19621" s="1"/>
      <c r="I19621" s="1"/>
    </row>
    <row r="19622" spans="8:9" x14ac:dyDescent="0.2">
      <c r="H19622" s="1"/>
      <c r="I19622" s="1"/>
    </row>
    <row r="19623" spans="8:9" x14ac:dyDescent="0.2">
      <c r="H19623" s="1"/>
      <c r="I19623" s="1"/>
    </row>
    <row r="19624" spans="8:9" x14ac:dyDescent="0.2">
      <c r="H19624" s="1"/>
      <c r="I19624" s="1"/>
    </row>
    <row r="19625" spans="8:9" x14ac:dyDescent="0.2">
      <c r="H19625" s="1"/>
      <c r="I19625" s="1"/>
    </row>
    <row r="19626" spans="8:9" x14ac:dyDescent="0.2">
      <c r="H19626" s="1"/>
      <c r="I19626" s="1"/>
    </row>
    <row r="19627" spans="8:9" x14ac:dyDescent="0.2">
      <c r="H19627" s="1"/>
      <c r="I19627" s="1"/>
    </row>
    <row r="19628" spans="8:9" x14ac:dyDescent="0.2">
      <c r="H19628" s="1"/>
      <c r="I19628" s="1"/>
    </row>
    <row r="19629" spans="8:9" x14ac:dyDescent="0.2">
      <c r="H19629" s="1"/>
      <c r="I19629" s="1"/>
    </row>
    <row r="19630" spans="8:9" x14ac:dyDescent="0.2">
      <c r="H19630" s="1"/>
      <c r="I19630" s="1"/>
    </row>
    <row r="19631" spans="8:9" x14ac:dyDescent="0.2">
      <c r="H19631" s="1"/>
      <c r="I19631" s="1"/>
    </row>
    <row r="19632" spans="8:9" x14ac:dyDescent="0.2">
      <c r="H19632" s="1"/>
      <c r="I19632" s="1"/>
    </row>
    <row r="19633" spans="8:9" x14ac:dyDescent="0.2">
      <c r="H19633" s="1"/>
      <c r="I19633" s="1"/>
    </row>
    <row r="19634" spans="8:9" x14ac:dyDescent="0.2">
      <c r="H19634" s="1"/>
      <c r="I19634" s="1"/>
    </row>
    <row r="19635" spans="8:9" x14ac:dyDescent="0.2">
      <c r="H19635" s="1"/>
      <c r="I19635" s="1"/>
    </row>
    <row r="19636" spans="8:9" x14ac:dyDescent="0.2">
      <c r="H19636" s="1"/>
      <c r="I19636" s="1"/>
    </row>
    <row r="19637" spans="8:9" x14ac:dyDescent="0.2">
      <c r="H19637" s="1"/>
      <c r="I19637" s="1"/>
    </row>
    <row r="19638" spans="8:9" x14ac:dyDescent="0.2">
      <c r="H19638" s="1"/>
      <c r="I19638" s="1"/>
    </row>
    <row r="19639" spans="8:9" x14ac:dyDescent="0.2">
      <c r="H19639" s="1"/>
      <c r="I19639" s="1"/>
    </row>
    <row r="19640" spans="8:9" x14ac:dyDescent="0.2">
      <c r="H19640" s="1"/>
      <c r="I19640" s="1"/>
    </row>
    <row r="19641" spans="8:9" x14ac:dyDescent="0.2">
      <c r="H19641" s="1"/>
      <c r="I19641" s="1"/>
    </row>
    <row r="19642" spans="8:9" x14ac:dyDescent="0.2">
      <c r="H19642" s="1"/>
      <c r="I19642" s="1"/>
    </row>
    <row r="19643" spans="8:9" x14ac:dyDescent="0.2">
      <c r="H19643" s="1"/>
      <c r="I19643" s="1"/>
    </row>
    <row r="19644" spans="8:9" x14ac:dyDescent="0.2">
      <c r="H19644" s="1"/>
      <c r="I19644" s="1"/>
    </row>
    <row r="19645" spans="8:9" x14ac:dyDescent="0.2">
      <c r="H19645" s="1"/>
      <c r="I19645" s="1"/>
    </row>
    <row r="19646" spans="8:9" x14ac:dyDescent="0.2">
      <c r="H19646" s="1"/>
      <c r="I19646" s="1"/>
    </row>
    <row r="19647" spans="8:9" x14ac:dyDescent="0.2">
      <c r="H19647" s="1"/>
      <c r="I19647" s="1"/>
    </row>
    <row r="19648" spans="8:9" x14ac:dyDescent="0.2">
      <c r="H19648" s="1"/>
      <c r="I19648" s="1"/>
    </row>
    <row r="19649" spans="8:9" x14ac:dyDescent="0.2">
      <c r="H19649" s="1"/>
      <c r="I19649" s="1"/>
    </row>
    <row r="19650" spans="8:9" x14ac:dyDescent="0.2">
      <c r="H19650" s="1"/>
      <c r="I19650" s="1"/>
    </row>
    <row r="19651" spans="8:9" x14ac:dyDescent="0.2">
      <c r="H19651" s="1"/>
      <c r="I19651" s="1"/>
    </row>
    <row r="19652" spans="8:9" x14ac:dyDescent="0.2">
      <c r="H19652" s="1"/>
      <c r="I19652" s="1"/>
    </row>
    <row r="19653" spans="8:9" x14ac:dyDescent="0.2">
      <c r="H19653" s="1"/>
      <c r="I19653" s="1"/>
    </row>
    <row r="19654" spans="8:9" x14ac:dyDescent="0.2">
      <c r="H19654" s="1"/>
      <c r="I19654" s="1"/>
    </row>
    <row r="19655" spans="8:9" x14ac:dyDescent="0.2">
      <c r="H19655" s="1"/>
      <c r="I19655" s="1"/>
    </row>
    <row r="19656" spans="8:9" x14ac:dyDescent="0.2">
      <c r="H19656" s="1"/>
      <c r="I19656" s="1"/>
    </row>
    <row r="19657" spans="8:9" x14ac:dyDescent="0.2">
      <c r="H19657" s="1"/>
      <c r="I19657" s="1"/>
    </row>
    <row r="19658" spans="8:9" x14ac:dyDescent="0.2">
      <c r="H19658" s="1"/>
      <c r="I19658" s="1"/>
    </row>
    <row r="19659" spans="8:9" x14ac:dyDescent="0.2">
      <c r="H19659" s="1"/>
      <c r="I19659" s="1"/>
    </row>
    <row r="19660" spans="8:9" x14ac:dyDescent="0.2">
      <c r="H19660" s="1"/>
      <c r="I19660" s="1"/>
    </row>
    <row r="19661" spans="8:9" x14ac:dyDescent="0.2">
      <c r="H19661" s="1"/>
      <c r="I19661" s="1"/>
    </row>
    <row r="19662" spans="8:9" x14ac:dyDescent="0.2">
      <c r="H19662" s="1"/>
      <c r="I19662" s="1"/>
    </row>
    <row r="19663" spans="8:9" x14ac:dyDescent="0.2">
      <c r="H19663" s="1"/>
      <c r="I19663" s="1"/>
    </row>
    <row r="19664" spans="8:9" x14ac:dyDescent="0.2">
      <c r="H19664" s="1"/>
      <c r="I19664" s="1"/>
    </row>
    <row r="19665" spans="8:9" x14ac:dyDescent="0.2">
      <c r="H19665" s="1"/>
      <c r="I19665" s="1"/>
    </row>
    <row r="19666" spans="8:9" x14ac:dyDescent="0.2">
      <c r="H19666" s="1"/>
      <c r="I19666" s="1"/>
    </row>
    <row r="19667" spans="8:9" x14ac:dyDescent="0.2">
      <c r="H19667" s="1"/>
      <c r="I19667" s="1"/>
    </row>
    <row r="19668" spans="8:9" x14ac:dyDescent="0.2">
      <c r="H19668" s="1"/>
      <c r="I19668" s="1"/>
    </row>
    <row r="19669" spans="8:9" x14ac:dyDescent="0.2">
      <c r="H19669" s="1"/>
      <c r="I19669" s="1"/>
    </row>
    <row r="19670" spans="8:9" x14ac:dyDescent="0.2">
      <c r="H19670" s="1"/>
      <c r="I19670" s="1"/>
    </row>
    <row r="19671" spans="8:9" x14ac:dyDescent="0.2">
      <c r="H19671" s="1"/>
      <c r="I19671" s="1"/>
    </row>
    <row r="19672" spans="8:9" x14ac:dyDescent="0.2">
      <c r="H19672" s="1"/>
      <c r="I19672" s="1"/>
    </row>
    <row r="19673" spans="8:9" x14ac:dyDescent="0.2">
      <c r="H19673" s="1"/>
      <c r="I19673" s="1"/>
    </row>
    <row r="19674" spans="8:9" x14ac:dyDescent="0.2">
      <c r="H19674" s="1"/>
      <c r="I19674" s="1"/>
    </row>
    <row r="19675" spans="8:9" x14ac:dyDescent="0.2">
      <c r="H19675" s="1"/>
      <c r="I19675" s="1"/>
    </row>
    <row r="19676" spans="8:9" x14ac:dyDescent="0.2">
      <c r="H19676" s="1"/>
      <c r="I19676" s="1"/>
    </row>
    <row r="19677" spans="8:9" x14ac:dyDescent="0.2">
      <c r="H19677" s="1"/>
      <c r="I19677" s="1"/>
    </row>
    <row r="19678" spans="8:9" x14ac:dyDescent="0.2">
      <c r="H19678" s="1"/>
      <c r="I19678" s="1"/>
    </row>
    <row r="19679" spans="8:9" x14ac:dyDescent="0.2">
      <c r="H19679" s="1"/>
      <c r="I19679" s="1"/>
    </row>
    <row r="19680" spans="8:9" x14ac:dyDescent="0.2">
      <c r="H19680" s="1"/>
      <c r="I19680" s="1"/>
    </row>
    <row r="19681" spans="8:9" x14ac:dyDescent="0.2">
      <c r="H19681" s="1"/>
      <c r="I19681" s="1"/>
    </row>
    <row r="19682" spans="8:9" x14ac:dyDescent="0.2">
      <c r="H19682" s="1"/>
      <c r="I19682" s="1"/>
    </row>
    <row r="19683" spans="8:9" x14ac:dyDescent="0.2">
      <c r="H19683" s="1"/>
      <c r="I19683" s="1"/>
    </row>
    <row r="19684" spans="8:9" x14ac:dyDescent="0.2">
      <c r="H19684" s="1"/>
      <c r="I19684" s="1"/>
    </row>
    <row r="19685" spans="8:9" x14ac:dyDescent="0.2">
      <c r="H19685" s="1"/>
      <c r="I19685" s="1"/>
    </row>
    <row r="19686" spans="8:9" x14ac:dyDescent="0.2">
      <c r="H19686" s="1"/>
      <c r="I19686" s="1"/>
    </row>
    <row r="19687" spans="8:9" x14ac:dyDescent="0.2">
      <c r="H19687" s="1"/>
      <c r="I19687" s="1"/>
    </row>
    <row r="19688" spans="8:9" x14ac:dyDescent="0.2">
      <c r="H19688" s="1"/>
      <c r="I19688" s="1"/>
    </row>
    <row r="19689" spans="8:9" x14ac:dyDescent="0.2">
      <c r="H19689" s="1"/>
      <c r="I19689" s="1"/>
    </row>
    <row r="19690" spans="8:9" x14ac:dyDescent="0.2">
      <c r="H19690" s="1"/>
      <c r="I19690" s="1"/>
    </row>
    <row r="19691" spans="8:9" x14ac:dyDescent="0.2">
      <c r="H19691" s="1"/>
      <c r="I19691" s="1"/>
    </row>
    <row r="19692" spans="8:9" x14ac:dyDescent="0.2">
      <c r="H19692" s="1"/>
      <c r="I19692" s="1"/>
    </row>
    <row r="19693" spans="8:9" x14ac:dyDescent="0.2">
      <c r="H19693" s="1"/>
      <c r="I19693" s="1"/>
    </row>
    <row r="19694" spans="8:9" x14ac:dyDescent="0.2">
      <c r="H19694" s="1"/>
      <c r="I19694" s="1"/>
    </row>
    <row r="19695" spans="8:9" x14ac:dyDescent="0.2">
      <c r="H19695" s="1"/>
      <c r="I19695" s="1"/>
    </row>
    <row r="19696" spans="8:9" x14ac:dyDescent="0.2">
      <c r="H19696" s="1"/>
      <c r="I19696" s="1"/>
    </row>
    <row r="19697" spans="8:9" x14ac:dyDescent="0.2">
      <c r="H19697" s="1"/>
      <c r="I19697" s="1"/>
    </row>
    <row r="19698" spans="8:9" x14ac:dyDescent="0.2">
      <c r="H19698" s="1"/>
      <c r="I19698" s="1"/>
    </row>
    <row r="19699" spans="8:9" x14ac:dyDescent="0.2">
      <c r="H19699" s="1"/>
      <c r="I19699" s="1"/>
    </row>
    <row r="19700" spans="8:9" x14ac:dyDescent="0.2">
      <c r="H19700" s="1"/>
      <c r="I19700" s="1"/>
    </row>
    <row r="19701" spans="8:9" x14ac:dyDescent="0.2">
      <c r="H19701" s="1"/>
      <c r="I19701" s="1"/>
    </row>
    <row r="19702" spans="8:9" x14ac:dyDescent="0.2">
      <c r="H19702" s="1"/>
      <c r="I19702" s="1"/>
    </row>
    <row r="19703" spans="8:9" x14ac:dyDescent="0.2">
      <c r="H19703" s="1"/>
      <c r="I19703" s="1"/>
    </row>
    <row r="19704" spans="8:9" x14ac:dyDescent="0.2">
      <c r="H19704" s="1"/>
      <c r="I19704" s="1"/>
    </row>
    <row r="19705" spans="8:9" x14ac:dyDescent="0.2">
      <c r="H19705" s="1"/>
      <c r="I19705" s="1"/>
    </row>
    <row r="19706" spans="8:9" x14ac:dyDescent="0.2">
      <c r="H19706" s="1"/>
      <c r="I19706" s="1"/>
    </row>
    <row r="19707" spans="8:9" x14ac:dyDescent="0.2">
      <c r="H19707" s="1"/>
      <c r="I19707" s="1"/>
    </row>
    <row r="19708" spans="8:9" x14ac:dyDescent="0.2">
      <c r="H19708" s="1"/>
      <c r="I19708" s="1"/>
    </row>
    <row r="19709" spans="8:9" x14ac:dyDescent="0.2">
      <c r="H19709" s="1"/>
      <c r="I19709" s="1"/>
    </row>
    <row r="19710" spans="8:9" x14ac:dyDescent="0.2">
      <c r="H19710" s="1"/>
      <c r="I19710" s="1"/>
    </row>
    <row r="19711" spans="8:9" x14ac:dyDescent="0.2">
      <c r="H19711" s="1"/>
      <c r="I19711" s="1"/>
    </row>
    <row r="19712" spans="8:9" x14ac:dyDescent="0.2">
      <c r="H19712" s="1"/>
      <c r="I19712" s="1"/>
    </row>
    <row r="19713" spans="8:9" x14ac:dyDescent="0.2">
      <c r="H19713" s="1"/>
      <c r="I19713" s="1"/>
    </row>
    <row r="19714" spans="8:9" x14ac:dyDescent="0.2">
      <c r="H19714" s="1"/>
      <c r="I19714" s="1"/>
    </row>
    <row r="19715" spans="8:9" x14ac:dyDescent="0.2">
      <c r="H19715" s="1"/>
      <c r="I19715" s="1"/>
    </row>
    <row r="19716" spans="8:9" x14ac:dyDescent="0.2">
      <c r="H19716" s="1"/>
      <c r="I19716" s="1"/>
    </row>
    <row r="19717" spans="8:9" x14ac:dyDescent="0.2">
      <c r="H19717" s="1"/>
      <c r="I19717" s="1"/>
    </row>
    <row r="19718" spans="8:9" x14ac:dyDescent="0.2">
      <c r="H19718" s="1"/>
      <c r="I19718" s="1"/>
    </row>
    <row r="19719" spans="8:9" x14ac:dyDescent="0.2">
      <c r="H19719" s="1"/>
      <c r="I19719" s="1"/>
    </row>
    <row r="19720" spans="8:9" x14ac:dyDescent="0.2">
      <c r="H19720" s="1"/>
      <c r="I19720" s="1"/>
    </row>
    <row r="19721" spans="8:9" x14ac:dyDescent="0.2">
      <c r="H19721" s="1"/>
      <c r="I19721" s="1"/>
    </row>
    <row r="19722" spans="8:9" x14ac:dyDescent="0.2">
      <c r="H19722" s="1"/>
      <c r="I19722" s="1"/>
    </row>
    <row r="19723" spans="8:9" x14ac:dyDescent="0.2">
      <c r="H19723" s="1"/>
      <c r="I19723" s="1"/>
    </row>
    <row r="19724" spans="8:9" x14ac:dyDescent="0.2">
      <c r="H19724" s="1"/>
      <c r="I19724" s="1"/>
    </row>
    <row r="19725" spans="8:9" x14ac:dyDescent="0.2">
      <c r="H19725" s="1"/>
      <c r="I19725" s="1"/>
    </row>
    <row r="19726" spans="8:9" x14ac:dyDescent="0.2">
      <c r="H19726" s="1"/>
      <c r="I19726" s="1"/>
    </row>
    <row r="19727" spans="8:9" x14ac:dyDescent="0.2">
      <c r="H19727" s="1"/>
      <c r="I19727" s="1"/>
    </row>
    <row r="19728" spans="8:9" x14ac:dyDescent="0.2">
      <c r="H19728" s="1"/>
      <c r="I19728" s="1"/>
    </row>
    <row r="19729" spans="8:9" x14ac:dyDescent="0.2">
      <c r="H19729" s="1"/>
      <c r="I19729" s="1"/>
    </row>
    <row r="19730" spans="8:9" x14ac:dyDescent="0.2">
      <c r="H19730" s="1"/>
      <c r="I19730" s="1"/>
    </row>
    <row r="19731" spans="8:9" x14ac:dyDescent="0.2">
      <c r="H19731" s="1"/>
      <c r="I19731" s="1"/>
    </row>
    <row r="19732" spans="8:9" x14ac:dyDescent="0.2">
      <c r="H19732" s="1"/>
      <c r="I19732" s="1"/>
    </row>
    <row r="19733" spans="8:9" x14ac:dyDescent="0.2">
      <c r="H19733" s="1"/>
      <c r="I19733" s="1"/>
    </row>
    <row r="19734" spans="8:9" x14ac:dyDescent="0.2">
      <c r="H19734" s="1"/>
      <c r="I19734" s="1"/>
    </row>
    <row r="19735" spans="8:9" x14ac:dyDescent="0.2">
      <c r="H19735" s="1"/>
      <c r="I19735" s="1"/>
    </row>
    <row r="19736" spans="8:9" x14ac:dyDescent="0.2">
      <c r="H19736" s="1"/>
      <c r="I19736" s="1"/>
    </row>
    <row r="19737" spans="8:9" x14ac:dyDescent="0.2">
      <c r="H19737" s="1"/>
      <c r="I19737" s="1"/>
    </row>
    <row r="19738" spans="8:9" x14ac:dyDescent="0.2">
      <c r="H19738" s="1"/>
      <c r="I19738" s="1"/>
    </row>
    <row r="19739" spans="8:9" x14ac:dyDescent="0.2">
      <c r="H19739" s="1"/>
      <c r="I19739" s="1"/>
    </row>
    <row r="19740" spans="8:9" x14ac:dyDescent="0.2">
      <c r="H19740" s="1"/>
      <c r="I19740" s="1"/>
    </row>
    <row r="19741" spans="8:9" x14ac:dyDescent="0.2">
      <c r="H19741" s="1"/>
      <c r="I19741" s="1"/>
    </row>
    <row r="19742" spans="8:9" x14ac:dyDescent="0.2">
      <c r="H19742" s="1"/>
      <c r="I19742" s="1"/>
    </row>
    <row r="19743" spans="8:9" x14ac:dyDescent="0.2">
      <c r="H19743" s="1"/>
      <c r="I19743" s="1"/>
    </row>
    <row r="19744" spans="8:9" x14ac:dyDescent="0.2">
      <c r="H19744" s="1"/>
      <c r="I19744" s="1"/>
    </row>
    <row r="19745" spans="8:9" x14ac:dyDescent="0.2">
      <c r="H19745" s="1"/>
      <c r="I19745" s="1"/>
    </row>
    <row r="19746" spans="8:9" x14ac:dyDescent="0.2">
      <c r="H19746" s="1"/>
      <c r="I19746" s="1"/>
    </row>
    <row r="19747" spans="8:9" x14ac:dyDescent="0.2">
      <c r="H19747" s="1"/>
      <c r="I19747" s="1"/>
    </row>
    <row r="19748" spans="8:9" x14ac:dyDescent="0.2">
      <c r="H19748" s="1"/>
      <c r="I19748" s="1"/>
    </row>
    <row r="19749" spans="8:9" x14ac:dyDescent="0.2">
      <c r="H19749" s="1"/>
      <c r="I19749" s="1"/>
    </row>
    <row r="19750" spans="8:9" x14ac:dyDescent="0.2">
      <c r="H19750" s="1"/>
      <c r="I19750" s="1"/>
    </row>
    <row r="19751" spans="8:9" x14ac:dyDescent="0.2">
      <c r="H19751" s="1"/>
      <c r="I19751" s="1"/>
    </row>
    <row r="19752" spans="8:9" x14ac:dyDescent="0.2">
      <c r="H19752" s="1"/>
      <c r="I19752" s="1"/>
    </row>
    <row r="19753" spans="8:9" x14ac:dyDescent="0.2">
      <c r="H19753" s="1"/>
      <c r="I19753" s="1"/>
    </row>
    <row r="19754" spans="8:9" x14ac:dyDescent="0.2">
      <c r="H19754" s="1"/>
      <c r="I19754" s="1"/>
    </row>
    <row r="19755" spans="8:9" x14ac:dyDescent="0.2">
      <c r="H19755" s="1"/>
      <c r="I19755" s="1"/>
    </row>
    <row r="19756" spans="8:9" x14ac:dyDescent="0.2">
      <c r="H19756" s="1"/>
      <c r="I19756" s="1"/>
    </row>
    <row r="19757" spans="8:9" x14ac:dyDescent="0.2">
      <c r="H19757" s="1"/>
      <c r="I19757" s="1"/>
    </row>
    <row r="19758" spans="8:9" x14ac:dyDescent="0.2">
      <c r="H19758" s="1"/>
      <c r="I19758" s="1"/>
    </row>
    <row r="19759" spans="8:9" x14ac:dyDescent="0.2">
      <c r="H19759" s="1"/>
      <c r="I19759" s="1"/>
    </row>
    <row r="19760" spans="8:9" x14ac:dyDescent="0.2">
      <c r="H19760" s="1"/>
      <c r="I19760" s="1"/>
    </row>
    <row r="19761" spans="8:9" x14ac:dyDescent="0.2">
      <c r="H19761" s="1"/>
      <c r="I19761" s="1"/>
    </row>
    <row r="19762" spans="8:9" x14ac:dyDescent="0.2">
      <c r="H19762" s="1"/>
      <c r="I19762" s="1"/>
    </row>
    <row r="19763" spans="8:9" x14ac:dyDescent="0.2">
      <c r="H19763" s="1"/>
      <c r="I19763" s="1"/>
    </row>
    <row r="19764" spans="8:9" x14ac:dyDescent="0.2">
      <c r="H19764" s="1"/>
      <c r="I19764" s="1"/>
    </row>
    <row r="19765" spans="8:9" x14ac:dyDescent="0.2">
      <c r="H19765" s="1"/>
      <c r="I19765" s="1"/>
    </row>
    <row r="19766" spans="8:9" x14ac:dyDescent="0.2">
      <c r="H19766" s="1"/>
      <c r="I19766" s="1"/>
    </row>
    <row r="19767" spans="8:9" x14ac:dyDescent="0.2">
      <c r="H19767" s="1"/>
      <c r="I19767" s="1"/>
    </row>
    <row r="19768" spans="8:9" x14ac:dyDescent="0.2">
      <c r="H19768" s="1"/>
      <c r="I19768" s="1"/>
    </row>
    <row r="19769" spans="8:9" x14ac:dyDescent="0.2">
      <c r="H19769" s="1"/>
      <c r="I19769" s="1"/>
    </row>
    <row r="19770" spans="8:9" x14ac:dyDescent="0.2">
      <c r="H19770" s="1"/>
      <c r="I19770" s="1"/>
    </row>
    <row r="19771" spans="8:9" x14ac:dyDescent="0.2">
      <c r="H19771" s="1"/>
      <c r="I19771" s="1"/>
    </row>
    <row r="19772" spans="8:9" x14ac:dyDescent="0.2">
      <c r="H19772" s="1"/>
      <c r="I19772" s="1"/>
    </row>
    <row r="19773" spans="8:9" x14ac:dyDescent="0.2">
      <c r="H19773" s="1"/>
      <c r="I19773" s="1"/>
    </row>
    <row r="19774" spans="8:9" x14ac:dyDescent="0.2">
      <c r="H19774" s="1"/>
      <c r="I19774" s="1"/>
    </row>
    <row r="19775" spans="8:9" x14ac:dyDescent="0.2">
      <c r="H19775" s="1"/>
      <c r="I19775" s="1"/>
    </row>
    <row r="19776" spans="8:9" x14ac:dyDescent="0.2">
      <c r="H19776" s="1"/>
      <c r="I19776" s="1"/>
    </row>
    <row r="19777" spans="8:9" x14ac:dyDescent="0.2">
      <c r="H19777" s="1"/>
      <c r="I19777" s="1"/>
    </row>
    <row r="19778" spans="8:9" x14ac:dyDescent="0.2">
      <c r="H19778" s="1"/>
      <c r="I19778" s="1"/>
    </row>
    <row r="19779" spans="8:9" x14ac:dyDescent="0.2">
      <c r="H19779" s="1"/>
      <c r="I19779" s="1"/>
    </row>
    <row r="19780" spans="8:9" x14ac:dyDescent="0.2">
      <c r="H19780" s="1"/>
      <c r="I19780" s="1"/>
    </row>
    <row r="19781" spans="8:9" x14ac:dyDescent="0.2">
      <c r="H19781" s="1"/>
      <c r="I19781" s="1"/>
    </row>
    <row r="19782" spans="8:9" x14ac:dyDescent="0.2">
      <c r="H19782" s="1"/>
      <c r="I19782" s="1"/>
    </row>
    <row r="19783" spans="8:9" x14ac:dyDescent="0.2">
      <c r="H19783" s="1"/>
      <c r="I19783" s="1"/>
    </row>
    <row r="19784" spans="8:9" x14ac:dyDescent="0.2">
      <c r="H19784" s="1"/>
      <c r="I19784" s="1"/>
    </row>
    <row r="19785" spans="8:9" x14ac:dyDescent="0.2">
      <c r="H19785" s="1"/>
      <c r="I19785" s="1"/>
    </row>
    <row r="19786" spans="8:9" x14ac:dyDescent="0.2">
      <c r="H19786" s="1"/>
      <c r="I19786" s="1"/>
    </row>
    <row r="19787" spans="8:9" x14ac:dyDescent="0.2">
      <c r="H19787" s="1"/>
      <c r="I19787" s="1"/>
    </row>
    <row r="19788" spans="8:9" x14ac:dyDescent="0.2">
      <c r="H19788" s="1"/>
      <c r="I19788" s="1"/>
    </row>
    <row r="19789" spans="8:9" x14ac:dyDescent="0.2">
      <c r="H19789" s="1"/>
      <c r="I19789" s="1"/>
    </row>
    <row r="19790" spans="8:9" x14ac:dyDescent="0.2">
      <c r="H19790" s="1"/>
      <c r="I19790" s="1"/>
    </row>
    <row r="19791" spans="8:9" x14ac:dyDescent="0.2">
      <c r="H19791" s="1"/>
      <c r="I19791" s="1"/>
    </row>
    <row r="19792" spans="8:9" x14ac:dyDescent="0.2">
      <c r="H19792" s="1"/>
      <c r="I19792" s="1"/>
    </row>
    <row r="19793" spans="8:9" x14ac:dyDescent="0.2">
      <c r="H19793" s="1"/>
      <c r="I19793" s="1"/>
    </row>
    <row r="19794" spans="8:9" x14ac:dyDescent="0.2">
      <c r="H19794" s="1"/>
      <c r="I19794" s="1"/>
    </row>
    <row r="19795" spans="8:9" x14ac:dyDescent="0.2">
      <c r="H19795" s="1"/>
      <c r="I19795" s="1"/>
    </row>
    <row r="19796" spans="8:9" x14ac:dyDescent="0.2">
      <c r="H19796" s="1"/>
      <c r="I19796" s="1"/>
    </row>
    <row r="19797" spans="8:9" x14ac:dyDescent="0.2">
      <c r="H19797" s="1"/>
      <c r="I19797" s="1"/>
    </row>
    <row r="19798" spans="8:9" x14ac:dyDescent="0.2">
      <c r="H19798" s="1"/>
      <c r="I19798" s="1"/>
    </row>
    <row r="19799" spans="8:9" x14ac:dyDescent="0.2">
      <c r="H19799" s="1"/>
      <c r="I19799" s="1"/>
    </row>
    <row r="19800" spans="8:9" x14ac:dyDescent="0.2">
      <c r="H19800" s="1"/>
      <c r="I19800" s="1"/>
    </row>
    <row r="19801" spans="8:9" x14ac:dyDescent="0.2">
      <c r="H19801" s="1"/>
      <c r="I19801" s="1"/>
    </row>
    <row r="19802" spans="8:9" x14ac:dyDescent="0.2">
      <c r="H19802" s="1"/>
      <c r="I19802" s="1"/>
    </row>
    <row r="19803" spans="8:9" x14ac:dyDescent="0.2">
      <c r="H19803" s="1"/>
      <c r="I19803" s="1"/>
    </row>
    <row r="19804" spans="8:9" x14ac:dyDescent="0.2">
      <c r="H19804" s="1"/>
      <c r="I19804" s="1"/>
    </row>
    <row r="19805" spans="8:9" x14ac:dyDescent="0.2">
      <c r="H19805" s="1"/>
      <c r="I19805" s="1"/>
    </row>
    <row r="19806" spans="8:9" x14ac:dyDescent="0.2">
      <c r="H19806" s="1"/>
      <c r="I19806" s="1"/>
    </row>
    <row r="19807" spans="8:9" x14ac:dyDescent="0.2">
      <c r="H19807" s="1"/>
      <c r="I19807" s="1"/>
    </row>
    <row r="19808" spans="8:9" x14ac:dyDescent="0.2">
      <c r="H19808" s="1"/>
      <c r="I19808" s="1"/>
    </row>
    <row r="19809" spans="8:9" x14ac:dyDescent="0.2">
      <c r="H19809" s="1"/>
      <c r="I19809" s="1"/>
    </row>
    <row r="19810" spans="8:9" x14ac:dyDescent="0.2">
      <c r="H19810" s="1"/>
      <c r="I19810" s="1"/>
    </row>
    <row r="19811" spans="8:9" x14ac:dyDescent="0.2">
      <c r="H19811" s="1"/>
      <c r="I19811" s="1"/>
    </row>
    <row r="19812" spans="8:9" x14ac:dyDescent="0.2">
      <c r="H19812" s="1"/>
      <c r="I19812" s="1"/>
    </row>
    <row r="19813" spans="8:9" x14ac:dyDescent="0.2">
      <c r="H19813" s="1"/>
      <c r="I19813" s="1"/>
    </row>
    <row r="19814" spans="8:9" x14ac:dyDescent="0.2">
      <c r="H19814" s="1"/>
      <c r="I19814" s="1"/>
    </row>
    <row r="19815" spans="8:9" x14ac:dyDescent="0.2">
      <c r="H19815" s="1"/>
      <c r="I19815" s="1"/>
    </row>
    <row r="19816" spans="8:9" x14ac:dyDescent="0.2">
      <c r="H19816" s="1"/>
      <c r="I19816" s="1"/>
    </row>
    <row r="19817" spans="8:9" x14ac:dyDescent="0.2">
      <c r="H19817" s="1"/>
      <c r="I19817" s="1"/>
    </row>
    <row r="19818" spans="8:9" x14ac:dyDescent="0.2">
      <c r="H19818" s="1"/>
      <c r="I19818" s="1"/>
    </row>
    <row r="19819" spans="8:9" x14ac:dyDescent="0.2">
      <c r="H19819" s="1"/>
      <c r="I19819" s="1"/>
    </row>
    <row r="19820" spans="8:9" x14ac:dyDescent="0.2">
      <c r="H19820" s="1"/>
      <c r="I19820" s="1"/>
    </row>
    <row r="19821" spans="8:9" x14ac:dyDescent="0.2">
      <c r="H19821" s="1"/>
      <c r="I19821" s="1"/>
    </row>
    <row r="19822" spans="8:9" x14ac:dyDescent="0.2">
      <c r="H19822" s="1"/>
      <c r="I19822" s="1"/>
    </row>
    <row r="19823" spans="8:9" x14ac:dyDescent="0.2">
      <c r="H19823" s="1"/>
      <c r="I19823" s="1"/>
    </row>
    <row r="19824" spans="8:9" x14ac:dyDescent="0.2">
      <c r="H19824" s="1"/>
      <c r="I19824" s="1"/>
    </row>
    <row r="19825" spans="8:9" x14ac:dyDescent="0.2">
      <c r="H19825" s="1"/>
      <c r="I19825" s="1"/>
    </row>
    <row r="19826" spans="8:9" x14ac:dyDescent="0.2">
      <c r="H19826" s="1"/>
      <c r="I19826" s="1"/>
    </row>
    <row r="19827" spans="8:9" x14ac:dyDescent="0.2">
      <c r="H19827" s="1"/>
      <c r="I19827" s="1"/>
    </row>
    <row r="19828" spans="8:9" x14ac:dyDescent="0.2">
      <c r="H19828" s="1"/>
      <c r="I19828" s="1"/>
    </row>
    <row r="19829" spans="8:9" x14ac:dyDescent="0.2">
      <c r="H19829" s="1"/>
      <c r="I19829" s="1"/>
    </row>
    <row r="19830" spans="8:9" x14ac:dyDescent="0.2">
      <c r="H19830" s="1"/>
      <c r="I19830" s="1"/>
    </row>
    <row r="19831" spans="8:9" x14ac:dyDescent="0.2">
      <c r="H19831" s="1"/>
      <c r="I19831" s="1"/>
    </row>
    <row r="19832" spans="8:9" x14ac:dyDescent="0.2">
      <c r="H19832" s="1"/>
      <c r="I19832" s="1"/>
    </row>
    <row r="19833" spans="8:9" x14ac:dyDescent="0.2">
      <c r="H19833" s="1"/>
      <c r="I19833" s="1"/>
    </row>
    <row r="19834" spans="8:9" x14ac:dyDescent="0.2">
      <c r="H19834" s="1"/>
      <c r="I19834" s="1"/>
    </row>
    <row r="19835" spans="8:9" x14ac:dyDescent="0.2">
      <c r="H19835" s="1"/>
      <c r="I19835" s="1"/>
    </row>
    <row r="19836" spans="8:9" x14ac:dyDescent="0.2">
      <c r="H19836" s="1"/>
      <c r="I19836" s="1"/>
    </row>
    <row r="19837" spans="8:9" x14ac:dyDescent="0.2">
      <c r="H19837" s="1"/>
      <c r="I19837" s="1"/>
    </row>
    <row r="19838" spans="8:9" x14ac:dyDescent="0.2">
      <c r="H19838" s="1"/>
      <c r="I19838" s="1"/>
    </row>
    <row r="19839" spans="8:9" x14ac:dyDescent="0.2">
      <c r="H19839" s="1"/>
      <c r="I19839" s="1"/>
    </row>
    <row r="19840" spans="8:9" x14ac:dyDescent="0.2">
      <c r="H19840" s="1"/>
      <c r="I19840" s="1"/>
    </row>
    <row r="19841" spans="8:9" x14ac:dyDescent="0.2">
      <c r="H19841" s="1"/>
      <c r="I19841" s="1"/>
    </row>
    <row r="19842" spans="8:9" x14ac:dyDescent="0.2">
      <c r="H19842" s="1"/>
      <c r="I19842" s="1"/>
    </row>
    <row r="19843" spans="8:9" x14ac:dyDescent="0.2">
      <c r="H19843" s="1"/>
      <c r="I19843" s="1"/>
    </row>
    <row r="19844" spans="8:9" x14ac:dyDescent="0.2">
      <c r="H19844" s="1"/>
      <c r="I19844" s="1"/>
    </row>
    <row r="19845" spans="8:9" x14ac:dyDescent="0.2">
      <c r="H19845" s="1"/>
      <c r="I19845" s="1"/>
    </row>
    <row r="19846" spans="8:9" x14ac:dyDescent="0.2">
      <c r="H19846" s="1"/>
      <c r="I19846" s="1"/>
    </row>
    <row r="19847" spans="8:9" x14ac:dyDescent="0.2">
      <c r="H19847" s="1"/>
      <c r="I19847" s="1"/>
    </row>
    <row r="19848" spans="8:9" x14ac:dyDescent="0.2">
      <c r="H19848" s="1"/>
      <c r="I19848" s="1"/>
    </row>
    <row r="19849" spans="8:9" x14ac:dyDescent="0.2">
      <c r="H19849" s="1"/>
      <c r="I19849" s="1"/>
    </row>
    <row r="19850" spans="8:9" x14ac:dyDescent="0.2">
      <c r="H19850" s="1"/>
      <c r="I19850" s="1"/>
    </row>
    <row r="19851" spans="8:9" x14ac:dyDescent="0.2">
      <c r="H19851" s="1"/>
      <c r="I19851" s="1"/>
    </row>
    <row r="19852" spans="8:9" x14ac:dyDescent="0.2">
      <c r="H19852" s="1"/>
      <c r="I19852" s="1"/>
    </row>
    <row r="19853" spans="8:9" x14ac:dyDescent="0.2">
      <c r="H19853" s="1"/>
      <c r="I19853" s="1"/>
    </row>
    <row r="19854" spans="8:9" x14ac:dyDescent="0.2">
      <c r="H19854" s="1"/>
      <c r="I19854" s="1"/>
    </row>
    <row r="19855" spans="8:9" x14ac:dyDescent="0.2">
      <c r="H19855" s="1"/>
      <c r="I19855" s="1"/>
    </row>
    <row r="19856" spans="8:9" x14ac:dyDescent="0.2">
      <c r="H19856" s="1"/>
      <c r="I19856" s="1"/>
    </row>
    <row r="19857" spans="8:9" x14ac:dyDescent="0.2">
      <c r="H19857" s="1"/>
      <c r="I19857" s="1"/>
    </row>
    <row r="19858" spans="8:9" x14ac:dyDescent="0.2">
      <c r="H19858" s="1"/>
      <c r="I19858" s="1"/>
    </row>
    <row r="19859" spans="8:9" x14ac:dyDescent="0.2">
      <c r="H19859" s="1"/>
      <c r="I19859" s="1"/>
    </row>
    <row r="19860" spans="8:9" x14ac:dyDescent="0.2">
      <c r="H19860" s="1"/>
      <c r="I19860" s="1"/>
    </row>
    <row r="19861" spans="8:9" x14ac:dyDescent="0.2">
      <c r="H19861" s="1"/>
      <c r="I19861" s="1"/>
    </row>
    <row r="19862" spans="8:9" x14ac:dyDescent="0.2">
      <c r="H19862" s="1"/>
      <c r="I19862" s="1"/>
    </row>
    <row r="19863" spans="8:9" x14ac:dyDescent="0.2">
      <c r="H19863" s="1"/>
      <c r="I19863" s="1"/>
    </row>
    <row r="19864" spans="8:9" x14ac:dyDescent="0.2">
      <c r="H19864" s="1"/>
      <c r="I19864" s="1"/>
    </row>
    <row r="19865" spans="8:9" x14ac:dyDescent="0.2">
      <c r="H19865" s="1"/>
      <c r="I19865" s="1"/>
    </row>
    <row r="19866" spans="8:9" x14ac:dyDescent="0.2">
      <c r="H19866" s="1"/>
      <c r="I19866" s="1"/>
    </row>
    <row r="19867" spans="8:9" x14ac:dyDescent="0.2">
      <c r="H19867" s="1"/>
      <c r="I19867" s="1"/>
    </row>
    <row r="19868" spans="8:9" x14ac:dyDescent="0.2">
      <c r="H19868" s="1"/>
      <c r="I19868" s="1"/>
    </row>
    <row r="19869" spans="8:9" x14ac:dyDescent="0.2">
      <c r="H19869" s="1"/>
      <c r="I19869" s="1"/>
    </row>
    <row r="19870" spans="8:9" x14ac:dyDescent="0.2">
      <c r="H19870" s="1"/>
      <c r="I19870" s="1"/>
    </row>
    <row r="19871" spans="8:9" x14ac:dyDescent="0.2">
      <c r="H19871" s="1"/>
      <c r="I19871" s="1"/>
    </row>
    <row r="19872" spans="8:9" x14ac:dyDescent="0.2">
      <c r="H19872" s="1"/>
      <c r="I19872" s="1"/>
    </row>
    <row r="19873" spans="8:9" x14ac:dyDescent="0.2">
      <c r="H19873" s="1"/>
      <c r="I19873" s="1"/>
    </row>
    <row r="19874" spans="8:9" x14ac:dyDescent="0.2">
      <c r="H19874" s="1"/>
      <c r="I19874" s="1"/>
    </row>
    <row r="19875" spans="8:9" x14ac:dyDescent="0.2">
      <c r="H19875" s="1"/>
      <c r="I19875" s="1"/>
    </row>
    <row r="19876" spans="8:9" x14ac:dyDescent="0.2">
      <c r="H19876" s="1"/>
      <c r="I19876" s="1"/>
    </row>
    <row r="19877" spans="8:9" x14ac:dyDescent="0.2">
      <c r="H19877" s="1"/>
      <c r="I19877" s="1"/>
    </row>
    <row r="19878" spans="8:9" x14ac:dyDescent="0.2">
      <c r="H19878" s="1"/>
      <c r="I19878" s="1"/>
    </row>
    <row r="19879" spans="8:9" x14ac:dyDescent="0.2">
      <c r="H19879" s="1"/>
      <c r="I19879" s="1"/>
    </row>
    <row r="19880" spans="8:9" x14ac:dyDescent="0.2">
      <c r="H19880" s="1"/>
      <c r="I19880" s="1"/>
    </row>
    <row r="19881" spans="8:9" x14ac:dyDescent="0.2">
      <c r="H19881" s="1"/>
      <c r="I19881" s="1"/>
    </row>
    <row r="19882" spans="8:9" x14ac:dyDescent="0.2">
      <c r="H19882" s="1"/>
      <c r="I19882" s="1"/>
    </row>
    <row r="19883" spans="8:9" x14ac:dyDescent="0.2">
      <c r="H19883" s="1"/>
      <c r="I19883" s="1"/>
    </row>
    <row r="19884" spans="8:9" x14ac:dyDescent="0.2">
      <c r="H19884" s="1"/>
      <c r="I19884" s="1"/>
    </row>
    <row r="19885" spans="8:9" x14ac:dyDescent="0.2">
      <c r="H19885" s="1"/>
      <c r="I19885" s="1"/>
    </row>
    <row r="19886" spans="8:9" x14ac:dyDescent="0.2">
      <c r="H19886" s="1"/>
      <c r="I19886" s="1"/>
    </row>
    <row r="19887" spans="8:9" x14ac:dyDescent="0.2">
      <c r="H19887" s="1"/>
      <c r="I19887" s="1"/>
    </row>
    <row r="19888" spans="8:9" x14ac:dyDescent="0.2">
      <c r="H19888" s="1"/>
      <c r="I19888" s="1"/>
    </row>
    <row r="19889" spans="8:9" x14ac:dyDescent="0.2">
      <c r="H19889" s="1"/>
      <c r="I19889" s="1"/>
    </row>
    <row r="19890" spans="8:9" x14ac:dyDescent="0.2">
      <c r="H19890" s="1"/>
      <c r="I19890" s="1"/>
    </row>
    <row r="19891" spans="8:9" x14ac:dyDescent="0.2">
      <c r="H19891" s="1"/>
      <c r="I19891" s="1"/>
    </row>
    <row r="19892" spans="8:9" x14ac:dyDescent="0.2">
      <c r="H19892" s="1"/>
      <c r="I19892" s="1"/>
    </row>
    <row r="19893" spans="8:9" x14ac:dyDescent="0.2">
      <c r="H19893" s="1"/>
      <c r="I19893" s="1"/>
    </row>
    <row r="19894" spans="8:9" x14ac:dyDescent="0.2">
      <c r="H19894" s="1"/>
      <c r="I19894" s="1"/>
    </row>
    <row r="19895" spans="8:9" x14ac:dyDescent="0.2">
      <c r="H19895" s="1"/>
      <c r="I19895" s="1"/>
    </row>
    <row r="19896" spans="8:9" x14ac:dyDescent="0.2">
      <c r="H19896" s="1"/>
      <c r="I19896" s="1"/>
    </row>
    <row r="19897" spans="8:9" x14ac:dyDescent="0.2">
      <c r="H19897" s="1"/>
      <c r="I19897" s="1"/>
    </row>
    <row r="19898" spans="8:9" x14ac:dyDescent="0.2">
      <c r="H19898" s="1"/>
      <c r="I19898" s="1"/>
    </row>
    <row r="19899" spans="8:9" x14ac:dyDescent="0.2">
      <c r="H19899" s="1"/>
      <c r="I19899" s="1"/>
    </row>
    <row r="19900" spans="8:9" x14ac:dyDescent="0.2">
      <c r="H19900" s="1"/>
      <c r="I19900" s="1"/>
    </row>
    <row r="19901" spans="8:9" x14ac:dyDescent="0.2">
      <c r="H19901" s="1"/>
      <c r="I19901" s="1"/>
    </row>
    <row r="19902" spans="8:9" x14ac:dyDescent="0.2">
      <c r="H19902" s="1"/>
      <c r="I19902" s="1"/>
    </row>
    <row r="19903" spans="8:9" x14ac:dyDescent="0.2">
      <c r="H19903" s="1"/>
      <c r="I19903" s="1"/>
    </row>
    <row r="19904" spans="8:9" x14ac:dyDescent="0.2">
      <c r="H19904" s="1"/>
      <c r="I19904" s="1"/>
    </row>
    <row r="19905" spans="8:9" x14ac:dyDescent="0.2">
      <c r="H19905" s="1"/>
      <c r="I19905" s="1"/>
    </row>
    <row r="19906" spans="8:9" x14ac:dyDescent="0.2">
      <c r="H19906" s="1"/>
      <c r="I19906" s="1"/>
    </row>
    <row r="19907" spans="8:9" x14ac:dyDescent="0.2">
      <c r="H19907" s="1"/>
      <c r="I19907" s="1"/>
    </row>
    <row r="19908" spans="8:9" x14ac:dyDescent="0.2">
      <c r="H19908" s="1"/>
      <c r="I19908" s="1"/>
    </row>
    <row r="19909" spans="8:9" x14ac:dyDescent="0.2">
      <c r="H19909" s="1"/>
      <c r="I19909" s="1"/>
    </row>
    <row r="19910" spans="8:9" x14ac:dyDescent="0.2">
      <c r="H19910" s="1"/>
      <c r="I19910" s="1"/>
    </row>
    <row r="19911" spans="8:9" x14ac:dyDescent="0.2">
      <c r="H19911" s="1"/>
      <c r="I19911" s="1"/>
    </row>
    <row r="19912" spans="8:9" x14ac:dyDescent="0.2">
      <c r="H19912" s="1"/>
      <c r="I19912" s="1"/>
    </row>
    <row r="19913" spans="8:9" x14ac:dyDescent="0.2">
      <c r="H19913" s="1"/>
      <c r="I19913" s="1"/>
    </row>
    <row r="19914" spans="8:9" x14ac:dyDescent="0.2">
      <c r="H19914" s="1"/>
      <c r="I19914" s="1"/>
    </row>
    <row r="19915" spans="8:9" x14ac:dyDescent="0.2">
      <c r="H19915" s="1"/>
      <c r="I19915" s="1"/>
    </row>
    <row r="19916" spans="8:9" x14ac:dyDescent="0.2">
      <c r="H19916" s="1"/>
      <c r="I19916" s="1"/>
    </row>
    <row r="19917" spans="8:9" x14ac:dyDescent="0.2">
      <c r="H19917" s="1"/>
      <c r="I19917" s="1"/>
    </row>
    <row r="19918" spans="8:9" x14ac:dyDescent="0.2">
      <c r="H19918" s="1"/>
      <c r="I19918" s="1"/>
    </row>
    <row r="19919" spans="8:9" x14ac:dyDescent="0.2">
      <c r="H19919" s="1"/>
      <c r="I19919" s="1"/>
    </row>
    <row r="19920" spans="8:9" x14ac:dyDescent="0.2">
      <c r="H19920" s="1"/>
      <c r="I19920" s="1"/>
    </row>
    <row r="19921" spans="8:9" x14ac:dyDescent="0.2">
      <c r="H19921" s="1"/>
      <c r="I19921" s="1"/>
    </row>
    <row r="19922" spans="8:9" x14ac:dyDescent="0.2">
      <c r="H19922" s="1"/>
      <c r="I19922" s="1"/>
    </row>
    <row r="19923" spans="8:9" x14ac:dyDescent="0.2">
      <c r="H19923" s="1"/>
      <c r="I19923" s="1"/>
    </row>
    <row r="19924" spans="8:9" x14ac:dyDescent="0.2">
      <c r="H19924" s="1"/>
      <c r="I19924" s="1"/>
    </row>
    <row r="19925" spans="8:9" x14ac:dyDescent="0.2">
      <c r="H19925" s="1"/>
      <c r="I19925" s="1"/>
    </row>
    <row r="19926" spans="8:9" x14ac:dyDescent="0.2">
      <c r="H19926" s="1"/>
      <c r="I19926" s="1"/>
    </row>
    <row r="19927" spans="8:9" x14ac:dyDescent="0.2">
      <c r="H19927" s="1"/>
      <c r="I19927" s="1"/>
    </row>
    <row r="19928" spans="8:9" x14ac:dyDescent="0.2">
      <c r="H19928" s="1"/>
      <c r="I19928" s="1"/>
    </row>
    <row r="19929" spans="8:9" x14ac:dyDescent="0.2">
      <c r="H19929" s="1"/>
      <c r="I19929" s="1"/>
    </row>
    <row r="19930" spans="8:9" x14ac:dyDescent="0.2">
      <c r="H19930" s="1"/>
      <c r="I19930" s="1"/>
    </row>
    <row r="19931" spans="8:9" x14ac:dyDescent="0.2">
      <c r="H19931" s="1"/>
      <c r="I19931" s="1"/>
    </row>
    <row r="19932" spans="8:9" x14ac:dyDescent="0.2">
      <c r="H19932" s="1"/>
      <c r="I19932" s="1"/>
    </row>
    <row r="19933" spans="8:9" x14ac:dyDescent="0.2">
      <c r="H19933" s="1"/>
      <c r="I19933" s="1"/>
    </row>
    <row r="19934" spans="8:9" x14ac:dyDescent="0.2">
      <c r="H19934" s="1"/>
      <c r="I19934" s="1"/>
    </row>
    <row r="19935" spans="8:9" x14ac:dyDescent="0.2">
      <c r="H19935" s="1"/>
      <c r="I19935" s="1"/>
    </row>
    <row r="19936" spans="8:9" x14ac:dyDescent="0.2">
      <c r="H19936" s="1"/>
      <c r="I19936" s="1"/>
    </row>
    <row r="19937" spans="8:9" x14ac:dyDescent="0.2">
      <c r="H19937" s="1"/>
      <c r="I19937" s="1"/>
    </row>
    <row r="19938" spans="8:9" x14ac:dyDescent="0.2">
      <c r="H19938" s="1"/>
      <c r="I19938" s="1"/>
    </row>
    <row r="19939" spans="8:9" x14ac:dyDescent="0.2">
      <c r="H19939" s="1"/>
      <c r="I19939" s="1"/>
    </row>
    <row r="19940" spans="8:9" x14ac:dyDescent="0.2">
      <c r="H19940" s="1"/>
      <c r="I19940" s="1"/>
    </row>
    <row r="19941" spans="8:9" x14ac:dyDescent="0.2">
      <c r="H19941" s="1"/>
      <c r="I19941" s="1"/>
    </row>
    <row r="19942" spans="8:9" x14ac:dyDescent="0.2">
      <c r="H19942" s="1"/>
      <c r="I19942" s="1"/>
    </row>
    <row r="19943" spans="8:9" x14ac:dyDescent="0.2">
      <c r="H19943" s="1"/>
      <c r="I19943" s="1"/>
    </row>
    <row r="19944" spans="8:9" x14ac:dyDescent="0.2">
      <c r="H19944" s="1"/>
      <c r="I19944" s="1"/>
    </row>
    <row r="19945" spans="8:9" x14ac:dyDescent="0.2">
      <c r="H19945" s="1"/>
      <c r="I19945" s="1"/>
    </row>
    <row r="19946" spans="8:9" x14ac:dyDescent="0.2">
      <c r="H19946" s="1"/>
      <c r="I19946" s="1"/>
    </row>
    <row r="19947" spans="8:9" x14ac:dyDescent="0.2">
      <c r="H19947" s="1"/>
      <c r="I19947" s="1"/>
    </row>
    <row r="19948" spans="8:9" x14ac:dyDescent="0.2">
      <c r="H19948" s="1"/>
      <c r="I19948" s="1"/>
    </row>
    <row r="19949" spans="8:9" x14ac:dyDescent="0.2">
      <c r="H19949" s="1"/>
      <c r="I19949" s="1"/>
    </row>
    <row r="19950" spans="8:9" x14ac:dyDescent="0.2">
      <c r="H19950" s="1"/>
      <c r="I19950" s="1"/>
    </row>
    <row r="19951" spans="8:9" x14ac:dyDescent="0.2">
      <c r="H19951" s="1"/>
      <c r="I19951" s="1"/>
    </row>
    <row r="19952" spans="8:9" x14ac:dyDescent="0.2">
      <c r="H19952" s="1"/>
      <c r="I19952" s="1"/>
    </row>
    <row r="19953" spans="8:9" x14ac:dyDescent="0.2">
      <c r="H19953" s="1"/>
      <c r="I19953" s="1"/>
    </row>
    <row r="19954" spans="8:9" x14ac:dyDescent="0.2">
      <c r="H19954" s="1"/>
      <c r="I19954" s="1"/>
    </row>
    <row r="19955" spans="8:9" x14ac:dyDescent="0.2">
      <c r="H19955" s="1"/>
      <c r="I19955" s="1"/>
    </row>
    <row r="19956" spans="8:9" x14ac:dyDescent="0.2">
      <c r="H19956" s="1"/>
      <c r="I19956" s="1"/>
    </row>
    <row r="19957" spans="8:9" x14ac:dyDescent="0.2">
      <c r="H19957" s="1"/>
      <c r="I19957" s="1"/>
    </row>
    <row r="19958" spans="8:9" x14ac:dyDescent="0.2">
      <c r="H19958" s="1"/>
      <c r="I19958" s="1"/>
    </row>
    <row r="19959" spans="8:9" x14ac:dyDescent="0.2">
      <c r="H19959" s="1"/>
      <c r="I19959" s="1"/>
    </row>
    <row r="19960" spans="8:9" x14ac:dyDescent="0.2">
      <c r="H19960" s="1"/>
      <c r="I19960" s="1"/>
    </row>
    <row r="19961" spans="8:9" x14ac:dyDescent="0.2">
      <c r="H19961" s="1"/>
      <c r="I19961" s="1"/>
    </row>
    <row r="19962" spans="8:9" x14ac:dyDescent="0.2">
      <c r="H19962" s="1"/>
      <c r="I19962" s="1"/>
    </row>
    <row r="19963" spans="8:9" x14ac:dyDescent="0.2">
      <c r="H19963" s="1"/>
      <c r="I19963" s="1"/>
    </row>
    <row r="19964" spans="8:9" x14ac:dyDescent="0.2">
      <c r="H19964" s="1"/>
      <c r="I19964" s="1"/>
    </row>
    <row r="19965" spans="8:9" x14ac:dyDescent="0.2">
      <c r="H19965" s="1"/>
      <c r="I19965" s="1"/>
    </row>
    <row r="19966" spans="8:9" x14ac:dyDescent="0.2">
      <c r="H19966" s="1"/>
      <c r="I19966" s="1"/>
    </row>
    <row r="19967" spans="8:9" x14ac:dyDescent="0.2">
      <c r="H19967" s="1"/>
      <c r="I19967" s="1"/>
    </row>
    <row r="19968" spans="8:9" x14ac:dyDescent="0.2">
      <c r="H19968" s="1"/>
      <c r="I19968" s="1"/>
    </row>
    <row r="19969" spans="8:9" x14ac:dyDescent="0.2">
      <c r="H19969" s="1"/>
      <c r="I19969" s="1"/>
    </row>
    <row r="19970" spans="8:9" x14ac:dyDescent="0.2">
      <c r="H19970" s="1"/>
      <c r="I19970" s="1"/>
    </row>
    <row r="19971" spans="8:9" x14ac:dyDescent="0.2">
      <c r="H19971" s="1"/>
      <c r="I19971" s="1"/>
    </row>
    <row r="19972" spans="8:9" x14ac:dyDescent="0.2">
      <c r="H19972" s="1"/>
      <c r="I19972" s="1"/>
    </row>
    <row r="19973" spans="8:9" x14ac:dyDescent="0.2">
      <c r="H19973" s="1"/>
      <c r="I19973" s="1"/>
    </row>
    <row r="19974" spans="8:9" x14ac:dyDescent="0.2">
      <c r="H19974" s="1"/>
      <c r="I19974" s="1"/>
    </row>
    <row r="19975" spans="8:9" x14ac:dyDescent="0.2">
      <c r="H19975" s="1"/>
      <c r="I19975" s="1"/>
    </row>
    <row r="19976" spans="8:9" x14ac:dyDescent="0.2">
      <c r="H19976" s="1"/>
      <c r="I19976" s="1"/>
    </row>
    <row r="19977" spans="8:9" x14ac:dyDescent="0.2">
      <c r="H19977" s="1"/>
      <c r="I19977" s="1"/>
    </row>
    <row r="19978" spans="8:9" x14ac:dyDescent="0.2">
      <c r="H19978" s="1"/>
      <c r="I19978" s="1"/>
    </row>
    <row r="19979" spans="8:9" x14ac:dyDescent="0.2">
      <c r="H19979" s="1"/>
      <c r="I19979" s="1"/>
    </row>
    <row r="19980" spans="8:9" x14ac:dyDescent="0.2">
      <c r="H19980" s="1"/>
      <c r="I19980" s="1"/>
    </row>
    <row r="19981" spans="8:9" x14ac:dyDescent="0.2">
      <c r="H19981" s="1"/>
      <c r="I19981" s="1"/>
    </row>
    <row r="19982" spans="8:9" x14ac:dyDescent="0.2">
      <c r="H19982" s="1"/>
      <c r="I19982" s="1"/>
    </row>
    <row r="19983" spans="8:9" x14ac:dyDescent="0.2">
      <c r="H19983" s="1"/>
      <c r="I19983" s="1"/>
    </row>
    <row r="19984" spans="8:9" x14ac:dyDescent="0.2">
      <c r="H19984" s="1"/>
      <c r="I19984" s="1"/>
    </row>
    <row r="19985" spans="8:9" x14ac:dyDescent="0.2">
      <c r="H19985" s="1"/>
      <c r="I19985" s="1"/>
    </row>
    <row r="19986" spans="8:9" x14ac:dyDescent="0.2">
      <c r="H19986" s="1"/>
      <c r="I19986" s="1"/>
    </row>
    <row r="19987" spans="8:9" x14ac:dyDescent="0.2">
      <c r="H19987" s="1"/>
      <c r="I19987" s="1"/>
    </row>
    <row r="19988" spans="8:9" x14ac:dyDescent="0.2">
      <c r="H19988" s="1"/>
      <c r="I19988" s="1"/>
    </row>
    <row r="19989" spans="8:9" x14ac:dyDescent="0.2">
      <c r="H19989" s="1"/>
      <c r="I19989" s="1"/>
    </row>
    <row r="19990" spans="8:9" x14ac:dyDescent="0.2">
      <c r="H19990" s="1"/>
      <c r="I19990" s="1"/>
    </row>
    <row r="19991" spans="8:9" x14ac:dyDescent="0.2">
      <c r="H19991" s="1"/>
      <c r="I19991" s="1"/>
    </row>
    <row r="19992" spans="8:9" x14ac:dyDescent="0.2">
      <c r="H19992" s="1"/>
      <c r="I19992" s="1"/>
    </row>
    <row r="19993" spans="8:9" x14ac:dyDescent="0.2">
      <c r="H19993" s="1"/>
      <c r="I19993" s="1"/>
    </row>
    <row r="19994" spans="8:9" x14ac:dyDescent="0.2">
      <c r="H19994" s="1"/>
      <c r="I19994" s="1"/>
    </row>
    <row r="19995" spans="8:9" x14ac:dyDescent="0.2">
      <c r="H19995" s="1"/>
      <c r="I19995" s="1"/>
    </row>
    <row r="19996" spans="8:9" x14ac:dyDescent="0.2">
      <c r="H19996" s="1"/>
      <c r="I19996" s="1"/>
    </row>
    <row r="19997" spans="8:9" x14ac:dyDescent="0.2">
      <c r="H19997" s="1"/>
      <c r="I19997" s="1"/>
    </row>
    <row r="19998" spans="8:9" x14ac:dyDescent="0.2">
      <c r="H19998" s="1"/>
      <c r="I19998" s="1"/>
    </row>
    <row r="19999" spans="8:9" x14ac:dyDescent="0.2">
      <c r="H19999" s="1"/>
      <c r="I19999" s="1"/>
    </row>
    <row r="20000" spans="8:9" x14ac:dyDescent="0.2">
      <c r="H20000" s="1"/>
      <c r="I20000" s="1"/>
    </row>
    <row r="20001" spans="8:9" x14ac:dyDescent="0.2">
      <c r="H20001" s="1"/>
      <c r="I20001" s="1"/>
    </row>
    <row r="20002" spans="8:9" x14ac:dyDescent="0.2">
      <c r="H20002" s="1"/>
      <c r="I20002" s="1"/>
    </row>
    <row r="20003" spans="8:9" x14ac:dyDescent="0.2">
      <c r="H20003" s="1"/>
      <c r="I20003" s="1"/>
    </row>
    <row r="20004" spans="8:9" x14ac:dyDescent="0.2">
      <c r="H20004" s="1"/>
      <c r="I20004" s="1"/>
    </row>
    <row r="20005" spans="8:9" x14ac:dyDescent="0.2">
      <c r="H20005" s="1"/>
      <c r="I20005" s="1"/>
    </row>
    <row r="20006" spans="8:9" x14ac:dyDescent="0.2">
      <c r="H20006" s="1"/>
      <c r="I20006" s="1"/>
    </row>
    <row r="20007" spans="8:9" x14ac:dyDescent="0.2">
      <c r="H20007" s="1"/>
      <c r="I20007" s="1"/>
    </row>
    <row r="20008" spans="8:9" x14ac:dyDescent="0.2">
      <c r="H20008" s="1"/>
      <c r="I20008" s="1"/>
    </row>
    <row r="20009" spans="8:9" x14ac:dyDescent="0.2">
      <c r="H20009" s="1"/>
      <c r="I20009" s="1"/>
    </row>
    <row r="20010" spans="8:9" x14ac:dyDescent="0.2">
      <c r="H20010" s="1"/>
      <c r="I20010" s="1"/>
    </row>
    <row r="20011" spans="8:9" x14ac:dyDescent="0.2">
      <c r="H20011" s="1"/>
      <c r="I20011" s="1"/>
    </row>
    <row r="20012" spans="8:9" x14ac:dyDescent="0.2">
      <c r="H20012" s="1"/>
      <c r="I20012" s="1"/>
    </row>
    <row r="20013" spans="8:9" x14ac:dyDescent="0.2">
      <c r="H20013" s="1"/>
      <c r="I20013" s="1"/>
    </row>
    <row r="20014" spans="8:9" x14ac:dyDescent="0.2">
      <c r="H20014" s="1"/>
      <c r="I20014" s="1"/>
    </row>
    <row r="20015" spans="8:9" x14ac:dyDescent="0.2">
      <c r="H20015" s="1"/>
      <c r="I20015" s="1"/>
    </row>
    <row r="20016" spans="8:9" x14ac:dyDescent="0.2">
      <c r="H20016" s="1"/>
      <c r="I20016" s="1"/>
    </row>
    <row r="20017" spans="8:9" x14ac:dyDescent="0.2">
      <c r="H20017" s="1"/>
      <c r="I20017" s="1"/>
    </row>
    <row r="20018" spans="8:9" x14ac:dyDescent="0.2">
      <c r="H20018" s="1"/>
      <c r="I20018" s="1"/>
    </row>
    <row r="20019" spans="8:9" x14ac:dyDescent="0.2">
      <c r="H20019" s="1"/>
      <c r="I20019" s="1"/>
    </row>
    <row r="20020" spans="8:9" x14ac:dyDescent="0.2">
      <c r="H20020" s="1"/>
      <c r="I20020" s="1"/>
    </row>
    <row r="20021" spans="8:9" x14ac:dyDescent="0.2">
      <c r="H20021" s="1"/>
      <c r="I20021" s="1"/>
    </row>
    <row r="20022" spans="8:9" x14ac:dyDescent="0.2">
      <c r="H20022" s="1"/>
      <c r="I20022" s="1"/>
    </row>
    <row r="20023" spans="8:9" x14ac:dyDescent="0.2">
      <c r="H20023" s="1"/>
      <c r="I20023" s="1"/>
    </row>
    <row r="20024" spans="8:9" x14ac:dyDescent="0.2">
      <c r="H20024" s="1"/>
      <c r="I20024" s="1"/>
    </row>
    <row r="20025" spans="8:9" x14ac:dyDescent="0.2">
      <c r="H20025" s="1"/>
      <c r="I20025" s="1"/>
    </row>
    <row r="20026" spans="8:9" x14ac:dyDescent="0.2">
      <c r="H20026" s="1"/>
      <c r="I20026" s="1"/>
    </row>
    <row r="20027" spans="8:9" x14ac:dyDescent="0.2">
      <c r="H20027" s="1"/>
      <c r="I20027" s="1"/>
    </row>
    <row r="20028" spans="8:9" x14ac:dyDescent="0.2">
      <c r="H20028" s="1"/>
      <c r="I20028" s="1"/>
    </row>
    <row r="20029" spans="8:9" x14ac:dyDescent="0.2">
      <c r="H20029" s="1"/>
      <c r="I20029" s="1"/>
    </row>
    <row r="20030" spans="8:9" x14ac:dyDescent="0.2">
      <c r="H20030" s="1"/>
      <c r="I20030" s="1"/>
    </row>
    <row r="20031" spans="8:9" x14ac:dyDescent="0.2">
      <c r="H20031" s="1"/>
      <c r="I20031" s="1"/>
    </row>
    <row r="20032" spans="8:9" x14ac:dyDescent="0.2">
      <c r="H20032" s="1"/>
      <c r="I20032" s="1"/>
    </row>
    <row r="20033" spans="8:9" x14ac:dyDescent="0.2">
      <c r="H20033" s="1"/>
      <c r="I20033" s="1"/>
    </row>
    <row r="20034" spans="8:9" x14ac:dyDescent="0.2">
      <c r="H20034" s="1"/>
      <c r="I20034" s="1"/>
    </row>
    <row r="20035" spans="8:9" x14ac:dyDescent="0.2">
      <c r="H20035" s="1"/>
      <c r="I20035" s="1"/>
    </row>
    <row r="20036" spans="8:9" x14ac:dyDescent="0.2">
      <c r="H20036" s="1"/>
      <c r="I20036" s="1"/>
    </row>
    <row r="20037" spans="8:9" x14ac:dyDescent="0.2">
      <c r="H20037" s="1"/>
      <c r="I20037" s="1"/>
    </row>
    <row r="20038" spans="8:9" x14ac:dyDescent="0.2">
      <c r="H20038" s="1"/>
      <c r="I20038" s="1"/>
    </row>
    <row r="20039" spans="8:9" x14ac:dyDescent="0.2">
      <c r="H20039" s="1"/>
      <c r="I20039" s="1"/>
    </row>
    <row r="20040" spans="8:9" x14ac:dyDescent="0.2">
      <c r="H20040" s="1"/>
      <c r="I20040" s="1"/>
    </row>
    <row r="20041" spans="8:9" x14ac:dyDescent="0.2">
      <c r="H20041" s="1"/>
      <c r="I20041" s="1"/>
    </row>
    <row r="20042" spans="8:9" x14ac:dyDescent="0.2">
      <c r="H20042" s="1"/>
      <c r="I20042" s="1"/>
    </row>
    <row r="20043" spans="8:9" x14ac:dyDescent="0.2">
      <c r="H20043" s="1"/>
      <c r="I20043" s="1"/>
    </row>
    <row r="20044" spans="8:9" x14ac:dyDescent="0.2">
      <c r="H20044" s="1"/>
      <c r="I20044" s="1"/>
    </row>
    <row r="20045" spans="8:9" x14ac:dyDescent="0.2">
      <c r="H20045" s="1"/>
      <c r="I20045" s="1"/>
    </row>
    <row r="20046" spans="8:9" x14ac:dyDescent="0.2">
      <c r="H20046" s="1"/>
      <c r="I20046" s="1"/>
    </row>
    <row r="20047" spans="8:9" x14ac:dyDescent="0.2">
      <c r="H20047" s="1"/>
      <c r="I20047" s="1"/>
    </row>
    <row r="20048" spans="8:9" x14ac:dyDescent="0.2">
      <c r="H20048" s="1"/>
      <c r="I20048" s="1"/>
    </row>
    <row r="20049" spans="8:9" x14ac:dyDescent="0.2">
      <c r="H20049" s="1"/>
      <c r="I20049" s="1"/>
    </row>
    <row r="20050" spans="8:9" x14ac:dyDescent="0.2">
      <c r="H20050" s="1"/>
      <c r="I20050" s="1"/>
    </row>
    <row r="20051" spans="8:9" x14ac:dyDescent="0.2">
      <c r="H20051" s="1"/>
      <c r="I20051" s="1"/>
    </row>
    <row r="20052" spans="8:9" x14ac:dyDescent="0.2">
      <c r="H20052" s="1"/>
      <c r="I20052" s="1"/>
    </row>
    <row r="20053" spans="8:9" x14ac:dyDescent="0.2">
      <c r="H20053" s="1"/>
      <c r="I20053" s="1"/>
    </row>
    <row r="20054" spans="8:9" x14ac:dyDescent="0.2">
      <c r="H20054" s="1"/>
      <c r="I20054" s="1"/>
    </row>
    <row r="20055" spans="8:9" x14ac:dyDescent="0.2">
      <c r="H20055" s="1"/>
      <c r="I20055" s="1"/>
    </row>
    <row r="20056" spans="8:9" x14ac:dyDescent="0.2">
      <c r="H20056" s="1"/>
      <c r="I20056" s="1"/>
    </row>
    <row r="20057" spans="8:9" x14ac:dyDescent="0.2">
      <c r="H20057" s="1"/>
      <c r="I20057" s="1"/>
    </row>
    <row r="20058" spans="8:9" x14ac:dyDescent="0.2">
      <c r="H20058" s="1"/>
      <c r="I20058" s="1"/>
    </row>
    <row r="20059" spans="8:9" x14ac:dyDescent="0.2">
      <c r="H20059" s="1"/>
      <c r="I20059" s="1"/>
    </row>
    <row r="20060" spans="8:9" x14ac:dyDescent="0.2">
      <c r="H20060" s="1"/>
      <c r="I20060" s="1"/>
    </row>
    <row r="20061" spans="8:9" x14ac:dyDescent="0.2">
      <c r="H20061" s="1"/>
      <c r="I20061" s="1"/>
    </row>
    <row r="20062" spans="8:9" x14ac:dyDescent="0.2">
      <c r="H20062" s="1"/>
      <c r="I20062" s="1"/>
    </row>
    <row r="20063" spans="8:9" x14ac:dyDescent="0.2">
      <c r="H20063" s="1"/>
      <c r="I20063" s="1"/>
    </row>
    <row r="20064" spans="8:9" x14ac:dyDescent="0.2">
      <c r="H20064" s="1"/>
      <c r="I20064" s="1"/>
    </row>
    <row r="20065" spans="8:9" x14ac:dyDescent="0.2">
      <c r="H20065" s="1"/>
      <c r="I20065" s="1"/>
    </row>
    <row r="20066" spans="8:9" x14ac:dyDescent="0.2">
      <c r="H20066" s="1"/>
      <c r="I20066" s="1"/>
    </row>
    <row r="20067" spans="8:9" x14ac:dyDescent="0.2">
      <c r="H20067" s="1"/>
      <c r="I20067" s="1"/>
    </row>
    <row r="20068" spans="8:9" x14ac:dyDescent="0.2">
      <c r="H20068" s="1"/>
      <c r="I20068" s="1"/>
    </row>
    <row r="20069" spans="8:9" x14ac:dyDescent="0.2">
      <c r="H20069" s="1"/>
      <c r="I20069" s="1"/>
    </row>
    <row r="20070" spans="8:9" x14ac:dyDescent="0.2">
      <c r="H20070" s="1"/>
      <c r="I20070" s="1"/>
    </row>
    <row r="20071" spans="8:9" x14ac:dyDescent="0.2">
      <c r="H20071" s="1"/>
      <c r="I20071" s="1"/>
    </row>
    <row r="20072" spans="8:9" x14ac:dyDescent="0.2">
      <c r="H20072" s="1"/>
      <c r="I20072" s="1"/>
    </row>
    <row r="20073" spans="8:9" x14ac:dyDescent="0.2">
      <c r="H20073" s="1"/>
      <c r="I20073" s="1"/>
    </row>
    <row r="20074" spans="8:9" x14ac:dyDescent="0.2">
      <c r="H20074" s="1"/>
      <c r="I20074" s="1"/>
    </row>
    <row r="20075" spans="8:9" x14ac:dyDescent="0.2">
      <c r="H20075" s="1"/>
      <c r="I20075" s="1"/>
    </row>
    <row r="20076" spans="8:9" x14ac:dyDescent="0.2">
      <c r="H20076" s="1"/>
      <c r="I20076" s="1"/>
    </row>
    <row r="20077" spans="8:9" x14ac:dyDescent="0.2">
      <c r="H20077" s="1"/>
      <c r="I20077" s="1"/>
    </row>
    <row r="20078" spans="8:9" x14ac:dyDescent="0.2">
      <c r="H20078" s="1"/>
      <c r="I20078" s="1"/>
    </row>
    <row r="20079" spans="8:9" x14ac:dyDescent="0.2">
      <c r="H20079" s="1"/>
      <c r="I20079" s="1"/>
    </row>
    <row r="20080" spans="8:9" x14ac:dyDescent="0.2">
      <c r="H20080" s="1"/>
      <c r="I20080" s="1"/>
    </row>
    <row r="20081" spans="8:9" x14ac:dyDescent="0.2">
      <c r="H20081" s="1"/>
      <c r="I20081" s="1"/>
    </row>
    <row r="20082" spans="8:9" x14ac:dyDescent="0.2">
      <c r="H20082" s="1"/>
      <c r="I20082" s="1"/>
    </row>
    <row r="20083" spans="8:9" x14ac:dyDescent="0.2">
      <c r="H20083" s="1"/>
      <c r="I20083" s="1"/>
    </row>
    <row r="20084" spans="8:9" x14ac:dyDescent="0.2">
      <c r="H20084" s="1"/>
      <c r="I20084" s="1"/>
    </row>
    <row r="20085" spans="8:9" x14ac:dyDescent="0.2">
      <c r="H20085" s="1"/>
      <c r="I20085" s="1"/>
    </row>
    <row r="20086" spans="8:9" x14ac:dyDescent="0.2">
      <c r="H20086" s="1"/>
      <c r="I20086" s="1"/>
    </row>
    <row r="20087" spans="8:9" x14ac:dyDescent="0.2">
      <c r="H20087" s="1"/>
      <c r="I20087" s="1"/>
    </row>
    <row r="20088" spans="8:9" x14ac:dyDescent="0.2">
      <c r="H20088" s="1"/>
      <c r="I20088" s="1"/>
    </row>
    <row r="20089" spans="8:9" x14ac:dyDescent="0.2">
      <c r="H20089" s="1"/>
      <c r="I20089" s="1"/>
    </row>
    <row r="20090" spans="8:9" x14ac:dyDescent="0.2">
      <c r="H20090" s="1"/>
      <c r="I20090" s="1"/>
    </row>
    <row r="20091" spans="8:9" x14ac:dyDescent="0.2">
      <c r="H20091" s="1"/>
      <c r="I20091" s="1"/>
    </row>
    <row r="20092" spans="8:9" x14ac:dyDescent="0.2">
      <c r="H20092" s="1"/>
      <c r="I20092" s="1"/>
    </row>
    <row r="20093" spans="8:9" x14ac:dyDescent="0.2">
      <c r="H20093" s="1"/>
      <c r="I20093" s="1"/>
    </row>
    <row r="20094" spans="8:9" x14ac:dyDescent="0.2">
      <c r="H20094" s="1"/>
      <c r="I20094" s="1"/>
    </row>
    <row r="20095" spans="8:9" x14ac:dyDescent="0.2">
      <c r="H20095" s="1"/>
      <c r="I20095" s="1"/>
    </row>
    <row r="20096" spans="8:9" x14ac:dyDescent="0.2">
      <c r="H20096" s="1"/>
      <c r="I20096" s="1"/>
    </row>
    <row r="20097" spans="8:9" x14ac:dyDescent="0.2">
      <c r="H20097" s="1"/>
      <c r="I20097" s="1"/>
    </row>
    <row r="20098" spans="8:9" x14ac:dyDescent="0.2">
      <c r="H20098" s="1"/>
      <c r="I20098" s="1"/>
    </row>
    <row r="20099" spans="8:9" x14ac:dyDescent="0.2">
      <c r="H20099" s="1"/>
      <c r="I20099" s="1"/>
    </row>
    <row r="20100" spans="8:9" x14ac:dyDescent="0.2">
      <c r="H20100" s="1"/>
      <c r="I20100" s="1"/>
    </row>
    <row r="20101" spans="8:9" x14ac:dyDescent="0.2">
      <c r="H20101" s="1"/>
      <c r="I20101" s="1"/>
    </row>
    <row r="20102" spans="8:9" x14ac:dyDescent="0.2">
      <c r="H20102" s="1"/>
      <c r="I20102" s="1"/>
    </row>
    <row r="20103" spans="8:9" x14ac:dyDescent="0.2">
      <c r="H20103" s="1"/>
      <c r="I20103" s="1"/>
    </row>
    <row r="20104" spans="8:9" x14ac:dyDescent="0.2">
      <c r="H20104" s="1"/>
      <c r="I20104" s="1"/>
    </row>
    <row r="20105" spans="8:9" x14ac:dyDescent="0.2">
      <c r="H20105" s="1"/>
      <c r="I20105" s="1"/>
    </row>
    <row r="20106" spans="8:9" x14ac:dyDescent="0.2">
      <c r="H20106" s="1"/>
      <c r="I20106" s="1"/>
    </row>
    <row r="20107" spans="8:9" x14ac:dyDescent="0.2">
      <c r="H20107" s="1"/>
      <c r="I20107" s="1"/>
    </row>
    <row r="20108" spans="8:9" x14ac:dyDescent="0.2">
      <c r="H20108" s="1"/>
      <c r="I20108" s="1"/>
    </row>
    <row r="20109" spans="8:9" x14ac:dyDescent="0.2">
      <c r="H20109" s="1"/>
      <c r="I20109" s="1"/>
    </row>
    <row r="20110" spans="8:9" x14ac:dyDescent="0.2">
      <c r="H20110" s="1"/>
      <c r="I20110" s="1"/>
    </row>
    <row r="20111" spans="8:9" x14ac:dyDescent="0.2">
      <c r="H20111" s="1"/>
      <c r="I20111" s="1"/>
    </row>
    <row r="20112" spans="8:9" x14ac:dyDescent="0.2">
      <c r="H20112" s="1"/>
      <c r="I20112" s="1"/>
    </row>
    <row r="20113" spans="8:9" x14ac:dyDescent="0.2">
      <c r="H20113" s="1"/>
      <c r="I20113" s="1"/>
    </row>
    <row r="20114" spans="8:9" x14ac:dyDescent="0.2">
      <c r="H20114" s="1"/>
      <c r="I20114" s="1"/>
    </row>
    <row r="20115" spans="8:9" x14ac:dyDescent="0.2">
      <c r="H20115" s="1"/>
      <c r="I20115" s="1"/>
    </row>
    <row r="20116" spans="8:9" x14ac:dyDescent="0.2">
      <c r="H20116" s="1"/>
      <c r="I20116" s="1"/>
    </row>
    <row r="20117" spans="8:9" x14ac:dyDescent="0.2">
      <c r="H20117" s="1"/>
      <c r="I20117" s="1"/>
    </row>
    <row r="20118" spans="8:9" x14ac:dyDescent="0.2">
      <c r="H20118" s="1"/>
      <c r="I20118" s="1"/>
    </row>
    <row r="20119" spans="8:9" x14ac:dyDescent="0.2">
      <c r="H20119" s="1"/>
      <c r="I20119" s="1"/>
    </row>
    <row r="20120" spans="8:9" x14ac:dyDescent="0.2">
      <c r="H20120" s="1"/>
      <c r="I20120" s="1"/>
    </row>
    <row r="20121" spans="8:9" x14ac:dyDescent="0.2">
      <c r="H20121" s="1"/>
      <c r="I20121" s="1"/>
    </row>
    <row r="20122" spans="8:9" x14ac:dyDescent="0.2">
      <c r="H20122" s="1"/>
      <c r="I20122" s="1"/>
    </row>
    <row r="20123" spans="8:9" x14ac:dyDescent="0.2">
      <c r="H20123" s="1"/>
      <c r="I20123" s="1"/>
    </row>
    <row r="20124" spans="8:9" x14ac:dyDescent="0.2">
      <c r="H20124" s="1"/>
      <c r="I20124" s="1"/>
    </row>
    <row r="20125" spans="8:9" x14ac:dyDescent="0.2">
      <c r="H20125" s="1"/>
      <c r="I20125" s="1"/>
    </row>
    <row r="20126" spans="8:9" x14ac:dyDescent="0.2">
      <c r="H20126" s="1"/>
      <c r="I20126" s="1"/>
    </row>
    <row r="20127" spans="8:9" x14ac:dyDescent="0.2">
      <c r="H20127" s="1"/>
      <c r="I20127" s="1"/>
    </row>
    <row r="20128" spans="8:9" x14ac:dyDescent="0.2">
      <c r="H20128" s="1"/>
      <c r="I20128" s="1"/>
    </row>
    <row r="20129" spans="8:9" x14ac:dyDescent="0.2">
      <c r="H20129" s="1"/>
      <c r="I20129" s="1"/>
    </row>
    <row r="20130" spans="8:9" x14ac:dyDescent="0.2">
      <c r="H20130" s="1"/>
      <c r="I20130" s="1"/>
    </row>
    <row r="20131" spans="8:9" x14ac:dyDescent="0.2">
      <c r="H20131" s="1"/>
      <c r="I20131" s="1"/>
    </row>
    <row r="20132" spans="8:9" x14ac:dyDescent="0.2">
      <c r="H20132" s="1"/>
      <c r="I20132" s="1"/>
    </row>
    <row r="20133" spans="8:9" x14ac:dyDescent="0.2">
      <c r="H20133" s="1"/>
      <c r="I20133" s="1"/>
    </row>
    <row r="20134" spans="8:9" x14ac:dyDescent="0.2">
      <c r="H20134" s="1"/>
      <c r="I20134" s="1"/>
    </row>
    <row r="20135" spans="8:9" x14ac:dyDescent="0.2">
      <c r="H20135" s="1"/>
      <c r="I20135" s="1"/>
    </row>
    <row r="20136" spans="8:9" x14ac:dyDescent="0.2">
      <c r="H20136" s="1"/>
      <c r="I20136" s="1"/>
    </row>
    <row r="20137" spans="8:9" x14ac:dyDescent="0.2">
      <c r="H20137" s="1"/>
      <c r="I20137" s="1"/>
    </row>
    <row r="20138" spans="8:9" x14ac:dyDescent="0.2">
      <c r="H20138" s="1"/>
      <c r="I20138" s="1"/>
    </row>
    <row r="20139" spans="8:9" x14ac:dyDescent="0.2">
      <c r="H20139" s="1"/>
      <c r="I20139" s="1"/>
    </row>
    <row r="20140" spans="8:9" x14ac:dyDescent="0.2">
      <c r="H20140" s="1"/>
      <c r="I20140" s="1"/>
    </row>
    <row r="20141" spans="8:9" x14ac:dyDescent="0.2">
      <c r="H20141" s="1"/>
      <c r="I20141" s="1"/>
    </row>
    <row r="20142" spans="8:9" x14ac:dyDescent="0.2">
      <c r="H20142" s="1"/>
      <c r="I20142" s="1"/>
    </row>
    <row r="20143" spans="8:9" x14ac:dyDescent="0.2">
      <c r="H20143" s="1"/>
      <c r="I20143" s="1"/>
    </row>
    <row r="20144" spans="8:9" x14ac:dyDescent="0.2">
      <c r="H20144" s="1"/>
      <c r="I20144" s="1"/>
    </row>
    <row r="20145" spans="8:9" x14ac:dyDescent="0.2">
      <c r="H20145" s="1"/>
      <c r="I20145" s="1"/>
    </row>
    <row r="20146" spans="8:9" x14ac:dyDescent="0.2">
      <c r="H20146" s="1"/>
      <c r="I20146" s="1"/>
    </row>
    <row r="20147" spans="8:9" x14ac:dyDescent="0.2">
      <c r="H20147" s="1"/>
      <c r="I20147" s="1"/>
    </row>
    <row r="20148" spans="8:9" x14ac:dyDescent="0.2">
      <c r="H20148" s="1"/>
      <c r="I20148" s="1"/>
    </row>
    <row r="20149" spans="8:9" x14ac:dyDescent="0.2">
      <c r="H20149" s="1"/>
      <c r="I20149" s="1"/>
    </row>
    <row r="20150" spans="8:9" x14ac:dyDescent="0.2">
      <c r="H20150" s="1"/>
      <c r="I20150" s="1"/>
    </row>
    <row r="20151" spans="8:9" x14ac:dyDescent="0.2">
      <c r="H20151" s="1"/>
      <c r="I20151" s="1"/>
    </row>
    <row r="20152" spans="8:9" x14ac:dyDescent="0.2">
      <c r="H20152" s="1"/>
      <c r="I20152" s="1"/>
    </row>
    <row r="20153" spans="8:9" x14ac:dyDescent="0.2">
      <c r="H20153" s="1"/>
      <c r="I20153" s="1"/>
    </row>
    <row r="20154" spans="8:9" x14ac:dyDescent="0.2">
      <c r="H20154" s="1"/>
      <c r="I20154" s="1"/>
    </row>
    <row r="20155" spans="8:9" x14ac:dyDescent="0.2">
      <c r="H20155" s="1"/>
      <c r="I20155" s="1"/>
    </row>
    <row r="20156" spans="8:9" x14ac:dyDescent="0.2">
      <c r="H20156" s="1"/>
      <c r="I20156" s="1"/>
    </row>
    <row r="20157" spans="8:9" x14ac:dyDescent="0.2">
      <c r="H20157" s="1"/>
      <c r="I20157" s="1"/>
    </row>
    <row r="20158" spans="8:9" x14ac:dyDescent="0.2">
      <c r="H20158" s="1"/>
      <c r="I20158" s="1"/>
    </row>
    <row r="20159" spans="8:9" x14ac:dyDescent="0.2">
      <c r="H20159" s="1"/>
      <c r="I20159" s="1"/>
    </row>
    <row r="20160" spans="8:9" x14ac:dyDescent="0.2">
      <c r="H20160" s="1"/>
      <c r="I20160" s="1"/>
    </row>
    <row r="20161" spans="8:9" x14ac:dyDescent="0.2">
      <c r="H20161" s="1"/>
      <c r="I20161" s="1"/>
    </row>
    <row r="20162" spans="8:9" x14ac:dyDescent="0.2">
      <c r="H20162" s="1"/>
      <c r="I20162" s="1"/>
    </row>
    <row r="20163" spans="8:9" x14ac:dyDescent="0.2">
      <c r="H20163" s="1"/>
      <c r="I20163" s="1"/>
    </row>
    <row r="20164" spans="8:9" x14ac:dyDescent="0.2">
      <c r="H20164" s="1"/>
      <c r="I20164" s="1"/>
    </row>
    <row r="20165" spans="8:9" x14ac:dyDescent="0.2">
      <c r="H20165" s="1"/>
      <c r="I20165" s="1"/>
    </row>
    <row r="20166" spans="8:9" x14ac:dyDescent="0.2">
      <c r="H20166" s="1"/>
      <c r="I20166" s="1"/>
    </row>
    <row r="20167" spans="8:9" x14ac:dyDescent="0.2">
      <c r="H20167" s="1"/>
      <c r="I20167" s="1"/>
    </row>
    <row r="20168" spans="8:9" x14ac:dyDescent="0.2">
      <c r="H20168" s="1"/>
      <c r="I20168" s="1"/>
    </row>
    <row r="20169" spans="8:9" x14ac:dyDescent="0.2">
      <c r="H20169" s="1"/>
      <c r="I20169" s="1"/>
    </row>
    <row r="20170" spans="8:9" x14ac:dyDescent="0.2">
      <c r="H20170" s="1"/>
      <c r="I20170" s="1"/>
    </row>
    <row r="20171" spans="8:9" x14ac:dyDescent="0.2">
      <c r="H20171" s="1"/>
      <c r="I20171" s="1"/>
    </row>
    <row r="20172" spans="8:9" x14ac:dyDescent="0.2">
      <c r="H20172" s="1"/>
      <c r="I20172" s="1"/>
    </row>
    <row r="20173" spans="8:9" x14ac:dyDescent="0.2">
      <c r="H20173" s="1"/>
      <c r="I20173" s="1"/>
    </row>
    <row r="20174" spans="8:9" x14ac:dyDescent="0.2">
      <c r="H20174" s="1"/>
      <c r="I20174" s="1"/>
    </row>
    <row r="20175" spans="8:9" x14ac:dyDescent="0.2">
      <c r="H20175" s="1"/>
      <c r="I20175" s="1"/>
    </row>
    <row r="20176" spans="8:9" x14ac:dyDescent="0.2">
      <c r="H20176" s="1"/>
      <c r="I20176" s="1"/>
    </row>
    <row r="20177" spans="8:9" x14ac:dyDescent="0.2">
      <c r="H20177" s="1"/>
      <c r="I20177" s="1"/>
    </row>
    <row r="20178" spans="8:9" x14ac:dyDescent="0.2">
      <c r="H20178" s="1"/>
      <c r="I20178" s="1"/>
    </row>
    <row r="20179" spans="8:9" x14ac:dyDescent="0.2">
      <c r="H20179" s="1"/>
      <c r="I20179" s="1"/>
    </row>
    <row r="20180" spans="8:9" x14ac:dyDescent="0.2">
      <c r="H20180" s="1"/>
      <c r="I20180" s="1"/>
    </row>
    <row r="20181" spans="8:9" x14ac:dyDescent="0.2">
      <c r="H20181" s="1"/>
      <c r="I20181" s="1"/>
    </row>
    <row r="20182" spans="8:9" x14ac:dyDescent="0.2">
      <c r="H20182" s="1"/>
      <c r="I20182" s="1"/>
    </row>
    <row r="20183" spans="8:9" x14ac:dyDescent="0.2">
      <c r="H20183" s="1"/>
      <c r="I20183" s="1"/>
    </row>
    <row r="20184" spans="8:9" x14ac:dyDescent="0.2">
      <c r="H20184" s="1"/>
      <c r="I20184" s="1"/>
    </row>
    <row r="20185" spans="8:9" x14ac:dyDescent="0.2">
      <c r="H20185" s="1"/>
      <c r="I20185" s="1"/>
    </row>
    <row r="20186" spans="8:9" x14ac:dyDescent="0.2">
      <c r="H20186" s="1"/>
      <c r="I20186" s="1"/>
    </row>
    <row r="20187" spans="8:9" x14ac:dyDescent="0.2">
      <c r="H20187" s="1"/>
      <c r="I20187" s="1"/>
    </row>
    <row r="20188" spans="8:9" x14ac:dyDescent="0.2">
      <c r="H20188" s="1"/>
      <c r="I20188" s="1"/>
    </row>
    <row r="20189" spans="8:9" x14ac:dyDescent="0.2">
      <c r="H20189" s="1"/>
      <c r="I20189" s="1"/>
    </row>
    <row r="20190" spans="8:9" x14ac:dyDescent="0.2">
      <c r="H20190" s="1"/>
      <c r="I20190" s="1"/>
    </row>
    <row r="20191" spans="8:9" x14ac:dyDescent="0.2">
      <c r="H20191" s="1"/>
      <c r="I20191" s="1"/>
    </row>
    <row r="20192" spans="8:9" x14ac:dyDescent="0.2">
      <c r="H20192" s="1"/>
      <c r="I20192" s="1"/>
    </row>
    <row r="20193" spans="8:9" x14ac:dyDescent="0.2">
      <c r="H20193" s="1"/>
      <c r="I20193" s="1"/>
    </row>
    <row r="20194" spans="8:9" x14ac:dyDescent="0.2">
      <c r="H20194" s="1"/>
      <c r="I20194" s="1"/>
    </row>
    <row r="20195" spans="8:9" x14ac:dyDescent="0.2">
      <c r="H20195" s="1"/>
      <c r="I20195" s="1"/>
    </row>
    <row r="20196" spans="8:9" x14ac:dyDescent="0.2">
      <c r="H20196" s="1"/>
      <c r="I20196" s="1"/>
    </row>
    <row r="20197" spans="8:9" x14ac:dyDescent="0.2">
      <c r="H20197" s="1"/>
      <c r="I20197" s="1"/>
    </row>
    <row r="20198" spans="8:9" x14ac:dyDescent="0.2">
      <c r="H20198" s="1"/>
      <c r="I20198" s="1"/>
    </row>
    <row r="20199" spans="8:9" x14ac:dyDescent="0.2">
      <c r="H20199" s="1"/>
      <c r="I20199" s="1"/>
    </row>
    <row r="20200" spans="8:9" x14ac:dyDescent="0.2">
      <c r="H20200" s="1"/>
      <c r="I20200" s="1"/>
    </row>
    <row r="20201" spans="8:9" x14ac:dyDescent="0.2">
      <c r="H20201" s="1"/>
      <c r="I20201" s="1"/>
    </row>
    <row r="20202" spans="8:9" x14ac:dyDescent="0.2">
      <c r="H20202" s="1"/>
      <c r="I20202" s="1"/>
    </row>
    <row r="20203" spans="8:9" x14ac:dyDescent="0.2">
      <c r="H20203" s="1"/>
      <c r="I20203" s="1"/>
    </row>
    <row r="20204" spans="8:9" x14ac:dyDescent="0.2">
      <c r="H20204" s="1"/>
      <c r="I20204" s="1"/>
    </row>
    <row r="20205" spans="8:9" x14ac:dyDescent="0.2">
      <c r="H20205" s="1"/>
      <c r="I20205" s="1"/>
    </row>
    <row r="20206" spans="8:9" x14ac:dyDescent="0.2">
      <c r="H20206" s="1"/>
      <c r="I20206" s="1"/>
    </row>
    <row r="20207" spans="8:9" x14ac:dyDescent="0.2">
      <c r="H20207" s="1"/>
      <c r="I20207" s="1"/>
    </row>
    <row r="20208" spans="8:9" x14ac:dyDescent="0.2">
      <c r="H20208" s="1"/>
      <c r="I20208" s="1"/>
    </row>
    <row r="20209" spans="8:9" x14ac:dyDescent="0.2">
      <c r="H20209" s="1"/>
      <c r="I20209" s="1"/>
    </row>
    <row r="20210" spans="8:9" x14ac:dyDescent="0.2">
      <c r="H20210" s="1"/>
      <c r="I20210" s="1"/>
    </row>
    <row r="20211" spans="8:9" x14ac:dyDescent="0.2">
      <c r="H20211" s="1"/>
      <c r="I20211" s="1"/>
    </row>
    <row r="20212" spans="8:9" x14ac:dyDescent="0.2">
      <c r="H20212" s="1"/>
      <c r="I20212" s="1"/>
    </row>
    <row r="20213" spans="8:9" x14ac:dyDescent="0.2">
      <c r="H20213" s="1"/>
      <c r="I20213" s="1"/>
    </row>
    <row r="20214" spans="8:9" x14ac:dyDescent="0.2">
      <c r="H20214" s="1"/>
      <c r="I20214" s="1"/>
    </row>
    <row r="20215" spans="8:9" x14ac:dyDescent="0.2">
      <c r="H20215" s="1"/>
      <c r="I20215" s="1"/>
    </row>
    <row r="20216" spans="8:9" x14ac:dyDescent="0.2">
      <c r="H20216" s="1"/>
      <c r="I20216" s="1"/>
    </row>
    <row r="20217" spans="8:9" x14ac:dyDescent="0.2">
      <c r="H20217" s="1"/>
      <c r="I20217" s="1"/>
    </row>
    <row r="20218" spans="8:9" x14ac:dyDescent="0.2">
      <c r="H20218" s="1"/>
      <c r="I20218" s="1"/>
    </row>
    <row r="20219" spans="8:9" x14ac:dyDescent="0.2">
      <c r="H20219" s="1"/>
      <c r="I20219" s="1"/>
    </row>
    <row r="20220" spans="8:9" x14ac:dyDescent="0.2">
      <c r="H20220" s="1"/>
      <c r="I20220" s="1"/>
    </row>
    <row r="20221" spans="8:9" x14ac:dyDescent="0.2">
      <c r="H20221" s="1"/>
      <c r="I20221" s="1"/>
    </row>
    <row r="20222" spans="8:9" x14ac:dyDescent="0.2">
      <c r="H20222" s="1"/>
      <c r="I20222" s="1"/>
    </row>
    <row r="20223" spans="8:9" x14ac:dyDescent="0.2">
      <c r="H20223" s="1"/>
      <c r="I20223" s="1"/>
    </row>
    <row r="20224" spans="8:9" x14ac:dyDescent="0.2">
      <c r="H20224" s="1"/>
      <c r="I20224" s="1"/>
    </row>
    <row r="20225" spans="8:9" x14ac:dyDescent="0.2">
      <c r="H20225" s="1"/>
      <c r="I20225" s="1"/>
    </row>
    <row r="20226" spans="8:9" x14ac:dyDescent="0.2">
      <c r="H20226" s="1"/>
      <c r="I20226" s="1"/>
    </row>
    <row r="20227" spans="8:9" x14ac:dyDescent="0.2">
      <c r="H20227" s="1"/>
      <c r="I20227" s="1"/>
    </row>
    <row r="20228" spans="8:9" x14ac:dyDescent="0.2">
      <c r="H20228" s="1"/>
      <c r="I20228" s="1"/>
    </row>
    <row r="20229" spans="8:9" x14ac:dyDescent="0.2">
      <c r="H20229" s="1"/>
      <c r="I20229" s="1"/>
    </row>
    <row r="20230" spans="8:9" x14ac:dyDescent="0.2">
      <c r="H20230" s="1"/>
      <c r="I20230" s="1"/>
    </row>
    <row r="20231" spans="8:9" x14ac:dyDescent="0.2">
      <c r="H20231" s="1"/>
      <c r="I20231" s="1"/>
    </row>
    <row r="20232" spans="8:9" x14ac:dyDescent="0.2">
      <c r="H20232" s="1"/>
      <c r="I20232" s="1"/>
    </row>
    <row r="20233" spans="8:9" x14ac:dyDescent="0.2">
      <c r="H20233" s="1"/>
      <c r="I20233" s="1"/>
    </row>
    <row r="20234" spans="8:9" x14ac:dyDescent="0.2">
      <c r="H20234" s="1"/>
      <c r="I20234" s="1"/>
    </row>
    <row r="20235" spans="8:9" x14ac:dyDescent="0.2">
      <c r="H20235" s="1"/>
      <c r="I20235" s="1"/>
    </row>
    <row r="20236" spans="8:9" x14ac:dyDescent="0.2">
      <c r="H20236" s="1"/>
      <c r="I20236" s="1"/>
    </row>
    <row r="20237" spans="8:9" x14ac:dyDescent="0.2">
      <c r="H20237" s="1"/>
      <c r="I20237" s="1"/>
    </row>
    <row r="20238" spans="8:9" x14ac:dyDescent="0.2">
      <c r="H20238" s="1"/>
      <c r="I20238" s="1"/>
    </row>
    <row r="20239" spans="8:9" x14ac:dyDescent="0.2">
      <c r="H20239" s="1"/>
      <c r="I20239" s="1"/>
    </row>
    <row r="20240" spans="8:9" x14ac:dyDescent="0.2">
      <c r="H20240" s="1"/>
      <c r="I20240" s="1"/>
    </row>
    <row r="20241" spans="8:9" x14ac:dyDescent="0.2">
      <c r="H20241" s="1"/>
      <c r="I20241" s="1"/>
    </row>
    <row r="20242" spans="8:9" x14ac:dyDescent="0.2">
      <c r="H20242" s="1"/>
      <c r="I20242" s="1"/>
    </row>
    <row r="20243" spans="8:9" x14ac:dyDescent="0.2">
      <c r="H20243" s="1"/>
      <c r="I20243" s="1"/>
    </row>
    <row r="20244" spans="8:9" x14ac:dyDescent="0.2">
      <c r="H20244" s="1"/>
      <c r="I20244" s="1"/>
    </row>
    <row r="20245" spans="8:9" x14ac:dyDescent="0.2">
      <c r="H20245" s="1"/>
      <c r="I20245" s="1"/>
    </row>
    <row r="20246" spans="8:9" x14ac:dyDescent="0.2">
      <c r="H20246" s="1"/>
      <c r="I20246" s="1"/>
    </row>
    <row r="20247" spans="8:9" x14ac:dyDescent="0.2">
      <c r="H20247" s="1"/>
      <c r="I20247" s="1"/>
    </row>
    <row r="20248" spans="8:9" x14ac:dyDescent="0.2">
      <c r="H20248" s="1"/>
      <c r="I20248" s="1"/>
    </row>
    <row r="20249" spans="8:9" x14ac:dyDescent="0.2">
      <c r="H20249" s="1"/>
      <c r="I20249" s="1"/>
    </row>
    <row r="20250" spans="8:9" x14ac:dyDescent="0.2">
      <c r="H20250" s="1"/>
      <c r="I20250" s="1"/>
    </row>
    <row r="20251" spans="8:9" x14ac:dyDescent="0.2">
      <c r="H20251" s="1"/>
      <c r="I20251" s="1"/>
    </row>
    <row r="20252" spans="8:9" x14ac:dyDescent="0.2">
      <c r="H20252" s="1"/>
      <c r="I20252" s="1"/>
    </row>
    <row r="20253" spans="8:9" x14ac:dyDescent="0.2">
      <c r="H20253" s="1"/>
      <c r="I20253" s="1"/>
    </row>
    <row r="20254" spans="8:9" x14ac:dyDescent="0.2">
      <c r="H20254" s="1"/>
      <c r="I20254" s="1"/>
    </row>
    <row r="20255" spans="8:9" x14ac:dyDescent="0.2">
      <c r="H20255" s="1"/>
      <c r="I20255" s="1"/>
    </row>
    <row r="20256" spans="8:9" x14ac:dyDescent="0.2">
      <c r="H20256" s="1"/>
      <c r="I20256" s="1"/>
    </row>
    <row r="20257" spans="8:9" x14ac:dyDescent="0.2">
      <c r="H20257" s="1"/>
      <c r="I20257" s="1"/>
    </row>
    <row r="20258" spans="8:9" x14ac:dyDescent="0.2">
      <c r="H20258" s="1"/>
      <c r="I20258" s="1"/>
    </row>
    <row r="20259" spans="8:9" x14ac:dyDescent="0.2">
      <c r="H20259" s="1"/>
      <c r="I20259" s="1"/>
    </row>
    <row r="20260" spans="8:9" x14ac:dyDescent="0.2">
      <c r="H20260" s="1"/>
      <c r="I20260" s="1"/>
    </row>
    <row r="20261" spans="8:9" x14ac:dyDescent="0.2">
      <c r="H20261" s="1"/>
      <c r="I20261" s="1"/>
    </row>
    <row r="20262" spans="8:9" x14ac:dyDescent="0.2">
      <c r="H20262" s="1"/>
      <c r="I20262" s="1"/>
    </row>
    <row r="20263" spans="8:9" x14ac:dyDescent="0.2">
      <c r="H20263" s="1"/>
      <c r="I20263" s="1"/>
    </row>
    <row r="20264" spans="8:9" x14ac:dyDescent="0.2">
      <c r="H20264" s="1"/>
      <c r="I20264" s="1"/>
    </row>
    <row r="20265" spans="8:9" x14ac:dyDescent="0.2">
      <c r="H20265" s="1"/>
      <c r="I20265" s="1"/>
    </row>
    <row r="20266" spans="8:9" x14ac:dyDescent="0.2">
      <c r="H20266" s="1"/>
      <c r="I20266" s="1"/>
    </row>
    <row r="20267" spans="8:9" x14ac:dyDescent="0.2">
      <c r="H20267" s="1"/>
      <c r="I20267" s="1"/>
    </row>
    <row r="20268" spans="8:9" x14ac:dyDescent="0.2">
      <c r="H20268" s="1"/>
      <c r="I20268" s="1"/>
    </row>
    <row r="20269" spans="8:9" x14ac:dyDescent="0.2">
      <c r="H20269" s="1"/>
      <c r="I20269" s="1"/>
    </row>
    <row r="20270" spans="8:9" x14ac:dyDescent="0.2">
      <c r="H20270" s="1"/>
      <c r="I20270" s="1"/>
    </row>
    <row r="20271" spans="8:9" x14ac:dyDescent="0.2">
      <c r="H20271" s="1"/>
      <c r="I20271" s="1"/>
    </row>
    <row r="20272" spans="8:9" x14ac:dyDescent="0.2">
      <c r="H20272" s="1"/>
      <c r="I20272" s="1"/>
    </row>
    <row r="20273" spans="8:9" x14ac:dyDescent="0.2">
      <c r="H20273" s="1"/>
      <c r="I20273" s="1"/>
    </row>
    <row r="20274" spans="8:9" x14ac:dyDescent="0.2">
      <c r="H20274" s="1"/>
      <c r="I20274" s="1"/>
    </row>
    <row r="20275" spans="8:9" x14ac:dyDescent="0.2">
      <c r="H20275" s="1"/>
      <c r="I20275" s="1"/>
    </row>
    <row r="20276" spans="8:9" x14ac:dyDescent="0.2">
      <c r="H20276" s="1"/>
      <c r="I20276" s="1"/>
    </row>
    <row r="20277" spans="8:9" x14ac:dyDescent="0.2">
      <c r="H20277" s="1"/>
      <c r="I20277" s="1"/>
    </row>
    <row r="20278" spans="8:9" x14ac:dyDescent="0.2">
      <c r="H20278" s="1"/>
      <c r="I20278" s="1"/>
    </row>
    <row r="20279" spans="8:9" x14ac:dyDescent="0.2">
      <c r="H20279" s="1"/>
      <c r="I20279" s="1"/>
    </row>
    <row r="20280" spans="8:9" x14ac:dyDescent="0.2">
      <c r="H20280" s="1"/>
      <c r="I20280" s="1"/>
    </row>
    <row r="20281" spans="8:9" x14ac:dyDescent="0.2">
      <c r="H20281" s="1"/>
      <c r="I20281" s="1"/>
    </row>
    <row r="20282" spans="8:9" x14ac:dyDescent="0.2">
      <c r="H20282" s="1"/>
      <c r="I20282" s="1"/>
    </row>
    <row r="20283" spans="8:9" x14ac:dyDescent="0.2">
      <c r="H20283" s="1"/>
      <c r="I20283" s="1"/>
    </row>
    <row r="20284" spans="8:9" x14ac:dyDescent="0.2">
      <c r="H20284" s="1"/>
      <c r="I20284" s="1"/>
    </row>
    <row r="20285" spans="8:9" x14ac:dyDescent="0.2">
      <c r="H20285" s="1"/>
      <c r="I20285" s="1"/>
    </row>
    <row r="20286" spans="8:9" x14ac:dyDescent="0.2">
      <c r="H20286" s="1"/>
      <c r="I20286" s="1"/>
    </row>
    <row r="20287" spans="8:9" x14ac:dyDescent="0.2">
      <c r="H20287" s="1"/>
      <c r="I20287" s="1"/>
    </row>
    <row r="20288" spans="8:9" x14ac:dyDescent="0.2">
      <c r="H20288" s="1"/>
      <c r="I20288" s="1"/>
    </row>
    <row r="20289" spans="8:9" x14ac:dyDescent="0.2">
      <c r="H20289" s="1"/>
      <c r="I20289" s="1"/>
    </row>
    <row r="20290" spans="8:9" x14ac:dyDescent="0.2">
      <c r="H20290" s="1"/>
      <c r="I20290" s="1"/>
    </row>
    <row r="20291" spans="8:9" x14ac:dyDescent="0.2">
      <c r="H20291" s="1"/>
      <c r="I20291" s="1"/>
    </row>
    <row r="20292" spans="8:9" x14ac:dyDescent="0.2">
      <c r="H20292" s="1"/>
      <c r="I20292" s="1"/>
    </row>
    <row r="20293" spans="8:9" x14ac:dyDescent="0.2">
      <c r="H20293" s="1"/>
      <c r="I20293" s="1"/>
    </row>
    <row r="20294" spans="8:9" x14ac:dyDescent="0.2">
      <c r="H20294" s="1"/>
      <c r="I20294" s="1"/>
    </row>
    <row r="20295" spans="8:9" x14ac:dyDescent="0.2">
      <c r="H20295" s="1"/>
      <c r="I20295" s="1"/>
    </row>
    <row r="20296" spans="8:9" x14ac:dyDescent="0.2">
      <c r="H20296" s="1"/>
      <c r="I20296" s="1"/>
    </row>
    <row r="20297" spans="8:9" x14ac:dyDescent="0.2">
      <c r="H20297" s="1"/>
      <c r="I20297" s="1"/>
    </row>
    <row r="20298" spans="8:9" x14ac:dyDescent="0.2">
      <c r="H20298" s="1"/>
      <c r="I20298" s="1"/>
    </row>
    <row r="20299" spans="8:9" x14ac:dyDescent="0.2">
      <c r="H20299" s="1"/>
      <c r="I20299" s="1"/>
    </row>
    <row r="20300" spans="8:9" x14ac:dyDescent="0.2">
      <c r="H20300" s="1"/>
      <c r="I20300" s="1"/>
    </row>
    <row r="20301" spans="8:9" x14ac:dyDescent="0.2">
      <c r="H20301" s="1"/>
      <c r="I20301" s="1"/>
    </row>
    <row r="20302" spans="8:9" x14ac:dyDescent="0.2">
      <c r="H20302" s="1"/>
      <c r="I20302" s="1"/>
    </row>
    <row r="20303" spans="8:9" x14ac:dyDescent="0.2">
      <c r="H20303" s="1"/>
      <c r="I20303" s="1"/>
    </row>
    <row r="20304" spans="8:9" x14ac:dyDescent="0.2">
      <c r="H20304" s="1"/>
      <c r="I20304" s="1"/>
    </row>
    <row r="20305" spans="8:9" x14ac:dyDescent="0.2">
      <c r="H20305" s="1"/>
      <c r="I20305" s="1"/>
    </row>
    <row r="20306" spans="8:9" x14ac:dyDescent="0.2">
      <c r="H20306" s="1"/>
      <c r="I20306" s="1"/>
    </row>
    <row r="20307" spans="8:9" x14ac:dyDescent="0.2">
      <c r="H20307" s="1"/>
      <c r="I20307" s="1"/>
    </row>
    <row r="20308" spans="8:9" x14ac:dyDescent="0.2">
      <c r="H20308" s="1"/>
      <c r="I20308" s="1"/>
    </row>
    <row r="20309" spans="8:9" x14ac:dyDescent="0.2">
      <c r="H20309" s="1"/>
      <c r="I20309" s="1"/>
    </row>
    <row r="20310" spans="8:9" x14ac:dyDescent="0.2">
      <c r="H20310" s="1"/>
      <c r="I20310" s="1"/>
    </row>
    <row r="20311" spans="8:9" x14ac:dyDescent="0.2">
      <c r="H20311" s="1"/>
      <c r="I20311" s="1"/>
    </row>
    <row r="20312" spans="8:9" x14ac:dyDescent="0.2">
      <c r="H20312" s="1"/>
      <c r="I20312" s="1"/>
    </row>
    <row r="20313" spans="8:9" x14ac:dyDescent="0.2">
      <c r="H20313" s="1"/>
      <c r="I20313" s="1"/>
    </row>
    <row r="20314" spans="8:9" x14ac:dyDescent="0.2">
      <c r="H20314" s="1"/>
      <c r="I20314" s="1"/>
    </row>
    <row r="20315" spans="8:9" x14ac:dyDescent="0.2">
      <c r="H20315" s="1"/>
      <c r="I20315" s="1"/>
    </row>
    <row r="20316" spans="8:9" x14ac:dyDescent="0.2">
      <c r="H20316" s="1"/>
      <c r="I20316" s="1"/>
    </row>
    <row r="20317" spans="8:9" x14ac:dyDescent="0.2">
      <c r="H20317" s="1"/>
      <c r="I20317" s="1"/>
    </row>
    <row r="20318" spans="8:9" x14ac:dyDescent="0.2">
      <c r="H20318" s="1"/>
      <c r="I20318" s="1"/>
    </row>
    <row r="20319" spans="8:9" x14ac:dyDescent="0.2">
      <c r="H20319" s="1"/>
      <c r="I20319" s="1"/>
    </row>
    <row r="20320" spans="8:9" x14ac:dyDescent="0.2">
      <c r="H20320" s="1"/>
      <c r="I20320" s="1"/>
    </row>
    <row r="20321" spans="8:9" x14ac:dyDescent="0.2">
      <c r="H20321" s="1"/>
      <c r="I20321" s="1"/>
    </row>
    <row r="20322" spans="8:9" x14ac:dyDescent="0.2">
      <c r="H20322" s="1"/>
      <c r="I20322" s="1"/>
    </row>
    <row r="20323" spans="8:9" x14ac:dyDescent="0.2">
      <c r="H20323" s="1"/>
      <c r="I20323" s="1"/>
    </row>
    <row r="20324" spans="8:9" x14ac:dyDescent="0.2">
      <c r="H20324" s="1"/>
      <c r="I20324" s="1"/>
    </row>
    <row r="20325" spans="8:9" x14ac:dyDescent="0.2">
      <c r="H20325" s="1"/>
      <c r="I20325" s="1"/>
    </row>
    <row r="20326" spans="8:9" x14ac:dyDescent="0.2">
      <c r="H20326" s="1"/>
      <c r="I20326" s="1"/>
    </row>
    <row r="20327" spans="8:9" x14ac:dyDescent="0.2">
      <c r="H20327" s="1"/>
      <c r="I20327" s="1"/>
    </row>
    <row r="20328" spans="8:9" x14ac:dyDescent="0.2">
      <c r="H20328" s="1"/>
      <c r="I20328" s="1"/>
    </row>
    <row r="20329" spans="8:9" x14ac:dyDescent="0.2">
      <c r="H20329" s="1"/>
      <c r="I20329" s="1"/>
    </row>
    <row r="20330" spans="8:9" x14ac:dyDescent="0.2">
      <c r="H20330" s="1"/>
      <c r="I20330" s="1"/>
    </row>
    <row r="20331" spans="8:9" x14ac:dyDescent="0.2">
      <c r="H20331" s="1"/>
      <c r="I20331" s="1"/>
    </row>
    <row r="20332" spans="8:9" x14ac:dyDescent="0.2">
      <c r="H20332" s="1"/>
      <c r="I20332" s="1"/>
    </row>
    <row r="20333" spans="8:9" x14ac:dyDescent="0.2">
      <c r="H20333" s="1"/>
      <c r="I20333" s="1"/>
    </row>
    <row r="20334" spans="8:9" x14ac:dyDescent="0.2">
      <c r="H20334" s="1"/>
      <c r="I20334" s="1"/>
    </row>
    <row r="20335" spans="8:9" x14ac:dyDescent="0.2">
      <c r="H20335" s="1"/>
      <c r="I20335" s="1"/>
    </row>
    <row r="20336" spans="8:9" x14ac:dyDescent="0.2">
      <c r="H20336" s="1"/>
      <c r="I20336" s="1"/>
    </row>
    <row r="20337" spans="8:9" x14ac:dyDescent="0.2">
      <c r="H20337" s="1"/>
      <c r="I20337" s="1"/>
    </row>
    <row r="20338" spans="8:9" x14ac:dyDescent="0.2">
      <c r="H20338" s="1"/>
      <c r="I20338" s="1"/>
    </row>
    <row r="20339" spans="8:9" x14ac:dyDescent="0.2">
      <c r="H20339" s="1"/>
      <c r="I20339" s="1"/>
    </row>
    <row r="20340" spans="8:9" x14ac:dyDescent="0.2">
      <c r="H20340" s="1"/>
      <c r="I20340" s="1"/>
    </row>
    <row r="20341" spans="8:9" x14ac:dyDescent="0.2">
      <c r="H20341" s="1"/>
      <c r="I20341" s="1"/>
    </row>
    <row r="20342" spans="8:9" x14ac:dyDescent="0.2">
      <c r="H20342" s="1"/>
      <c r="I20342" s="1"/>
    </row>
    <row r="20343" spans="8:9" x14ac:dyDescent="0.2">
      <c r="H20343" s="1"/>
      <c r="I20343" s="1"/>
    </row>
    <row r="20344" spans="8:9" x14ac:dyDescent="0.2">
      <c r="H20344" s="1"/>
      <c r="I20344" s="1"/>
    </row>
    <row r="20345" spans="8:9" x14ac:dyDescent="0.2">
      <c r="H20345" s="1"/>
      <c r="I20345" s="1"/>
    </row>
    <row r="20346" spans="8:9" x14ac:dyDescent="0.2">
      <c r="H20346" s="1"/>
      <c r="I20346" s="1"/>
    </row>
    <row r="20347" spans="8:9" x14ac:dyDescent="0.2">
      <c r="H20347" s="1"/>
      <c r="I20347" s="1"/>
    </row>
    <row r="20348" spans="8:9" x14ac:dyDescent="0.2">
      <c r="H20348" s="1"/>
      <c r="I20348" s="1"/>
    </row>
    <row r="20349" spans="8:9" x14ac:dyDescent="0.2">
      <c r="H20349" s="1"/>
      <c r="I20349" s="1"/>
    </row>
    <row r="20350" spans="8:9" x14ac:dyDescent="0.2">
      <c r="H20350" s="1"/>
      <c r="I20350" s="1"/>
    </row>
    <row r="20351" spans="8:9" x14ac:dyDescent="0.2">
      <c r="H20351" s="1"/>
      <c r="I20351" s="1"/>
    </row>
    <row r="20352" spans="8:9" x14ac:dyDescent="0.2">
      <c r="H20352" s="1"/>
      <c r="I20352" s="1"/>
    </row>
    <row r="20353" spans="8:9" x14ac:dyDescent="0.2">
      <c r="H20353" s="1"/>
      <c r="I20353" s="1"/>
    </row>
    <row r="20354" spans="8:9" x14ac:dyDescent="0.2">
      <c r="H20354" s="1"/>
      <c r="I20354" s="1"/>
    </row>
    <row r="20355" spans="8:9" x14ac:dyDescent="0.2">
      <c r="H20355" s="1"/>
      <c r="I20355" s="1"/>
    </row>
    <row r="20356" spans="8:9" x14ac:dyDescent="0.2">
      <c r="H20356" s="1"/>
      <c r="I20356" s="1"/>
    </row>
    <row r="20357" spans="8:9" x14ac:dyDescent="0.2">
      <c r="H20357" s="1"/>
      <c r="I20357" s="1"/>
    </row>
    <row r="20358" spans="8:9" x14ac:dyDescent="0.2">
      <c r="H20358" s="1"/>
      <c r="I20358" s="1"/>
    </row>
    <row r="20359" spans="8:9" x14ac:dyDescent="0.2">
      <c r="H20359" s="1"/>
      <c r="I20359" s="1"/>
    </row>
    <row r="20360" spans="8:9" x14ac:dyDescent="0.2">
      <c r="H20360" s="1"/>
      <c r="I20360" s="1"/>
    </row>
    <row r="20361" spans="8:9" x14ac:dyDescent="0.2">
      <c r="H20361" s="1"/>
      <c r="I20361" s="1"/>
    </row>
    <row r="20362" spans="8:9" x14ac:dyDescent="0.2">
      <c r="H20362" s="1"/>
      <c r="I20362" s="1"/>
    </row>
    <row r="20363" spans="8:9" x14ac:dyDescent="0.2">
      <c r="H20363" s="1"/>
      <c r="I20363" s="1"/>
    </row>
    <row r="20364" spans="8:9" x14ac:dyDescent="0.2">
      <c r="H20364" s="1"/>
      <c r="I20364" s="1"/>
    </row>
    <row r="20365" spans="8:9" x14ac:dyDescent="0.2">
      <c r="H20365" s="1"/>
      <c r="I20365" s="1"/>
    </row>
    <row r="20366" spans="8:9" x14ac:dyDescent="0.2">
      <c r="H20366" s="1"/>
      <c r="I20366" s="1"/>
    </row>
    <row r="20367" spans="8:9" x14ac:dyDescent="0.2">
      <c r="H20367" s="1"/>
      <c r="I20367" s="1"/>
    </row>
    <row r="20368" spans="8:9" x14ac:dyDescent="0.2">
      <c r="H20368" s="1"/>
      <c r="I20368" s="1"/>
    </row>
    <row r="20369" spans="8:9" x14ac:dyDescent="0.2">
      <c r="H20369" s="1"/>
      <c r="I20369" s="1"/>
    </row>
    <row r="20370" spans="8:9" x14ac:dyDescent="0.2">
      <c r="H20370" s="1"/>
      <c r="I20370" s="1"/>
    </row>
    <row r="20371" spans="8:9" x14ac:dyDescent="0.2">
      <c r="H20371" s="1"/>
      <c r="I20371" s="1"/>
    </row>
    <row r="20372" spans="8:9" x14ac:dyDescent="0.2">
      <c r="H20372" s="1"/>
      <c r="I20372" s="1"/>
    </row>
    <row r="20373" spans="8:9" x14ac:dyDescent="0.2">
      <c r="H20373" s="1"/>
      <c r="I20373" s="1"/>
    </row>
    <row r="20374" spans="8:9" x14ac:dyDescent="0.2">
      <c r="H20374" s="1"/>
      <c r="I20374" s="1"/>
    </row>
    <row r="20375" spans="8:9" x14ac:dyDescent="0.2">
      <c r="H20375" s="1"/>
      <c r="I20375" s="1"/>
    </row>
    <row r="20376" spans="8:9" x14ac:dyDescent="0.2">
      <c r="H20376" s="1"/>
      <c r="I20376" s="1"/>
    </row>
    <row r="20377" spans="8:9" x14ac:dyDescent="0.2">
      <c r="H20377" s="1"/>
      <c r="I20377" s="1"/>
    </row>
    <row r="20378" spans="8:9" x14ac:dyDescent="0.2">
      <c r="H20378" s="1"/>
      <c r="I20378" s="1"/>
    </row>
    <row r="20379" spans="8:9" x14ac:dyDescent="0.2">
      <c r="H20379" s="1"/>
      <c r="I20379" s="1"/>
    </row>
    <row r="20380" spans="8:9" x14ac:dyDescent="0.2">
      <c r="H20380" s="1"/>
      <c r="I20380" s="1"/>
    </row>
    <row r="20381" spans="8:9" x14ac:dyDescent="0.2">
      <c r="H20381" s="1"/>
      <c r="I20381" s="1"/>
    </row>
    <row r="20382" spans="8:9" x14ac:dyDescent="0.2">
      <c r="H20382" s="1"/>
      <c r="I20382" s="1"/>
    </row>
    <row r="20383" spans="8:9" x14ac:dyDescent="0.2">
      <c r="H20383" s="1"/>
      <c r="I20383" s="1"/>
    </row>
    <row r="20384" spans="8:9" x14ac:dyDescent="0.2">
      <c r="H20384" s="1"/>
      <c r="I20384" s="1"/>
    </row>
    <row r="20385" spans="8:9" x14ac:dyDescent="0.2">
      <c r="H20385" s="1"/>
      <c r="I20385" s="1"/>
    </row>
    <row r="20386" spans="8:9" x14ac:dyDescent="0.2">
      <c r="H20386" s="1"/>
      <c r="I20386" s="1"/>
    </row>
    <row r="20387" spans="8:9" x14ac:dyDescent="0.2">
      <c r="H20387" s="1"/>
      <c r="I20387" s="1"/>
    </row>
    <row r="20388" spans="8:9" x14ac:dyDescent="0.2">
      <c r="H20388" s="1"/>
      <c r="I20388" s="1"/>
    </row>
    <row r="20389" spans="8:9" x14ac:dyDescent="0.2">
      <c r="H20389" s="1"/>
      <c r="I20389" s="1"/>
    </row>
    <row r="20390" spans="8:9" x14ac:dyDescent="0.2">
      <c r="H20390" s="1"/>
      <c r="I20390" s="1"/>
    </row>
    <row r="20391" spans="8:9" x14ac:dyDescent="0.2">
      <c r="H20391" s="1"/>
      <c r="I20391" s="1"/>
    </row>
    <row r="20392" spans="8:9" x14ac:dyDescent="0.2">
      <c r="H20392" s="1"/>
      <c r="I20392" s="1"/>
    </row>
    <row r="20393" spans="8:9" x14ac:dyDescent="0.2">
      <c r="H20393" s="1"/>
      <c r="I20393" s="1"/>
    </row>
    <row r="20394" spans="8:9" x14ac:dyDescent="0.2">
      <c r="H20394" s="1"/>
      <c r="I20394" s="1"/>
    </row>
    <row r="20395" spans="8:9" x14ac:dyDescent="0.2">
      <c r="H20395" s="1"/>
      <c r="I20395" s="1"/>
    </row>
    <row r="20396" spans="8:9" x14ac:dyDescent="0.2">
      <c r="H20396" s="1"/>
      <c r="I20396" s="1"/>
    </row>
    <row r="20397" spans="8:9" x14ac:dyDescent="0.2">
      <c r="H20397" s="1"/>
      <c r="I20397" s="1"/>
    </row>
    <row r="20398" spans="8:9" x14ac:dyDescent="0.2">
      <c r="H20398" s="1"/>
      <c r="I20398" s="1"/>
    </row>
    <row r="20399" spans="8:9" x14ac:dyDescent="0.2">
      <c r="H20399" s="1"/>
      <c r="I20399" s="1"/>
    </row>
    <row r="20400" spans="8:9" x14ac:dyDescent="0.2">
      <c r="H20400" s="1"/>
      <c r="I20400" s="1"/>
    </row>
    <row r="20401" spans="8:9" x14ac:dyDescent="0.2">
      <c r="H20401" s="1"/>
      <c r="I20401" s="1"/>
    </row>
    <row r="20402" spans="8:9" x14ac:dyDescent="0.2">
      <c r="H20402" s="1"/>
      <c r="I20402" s="1"/>
    </row>
    <row r="20403" spans="8:9" x14ac:dyDescent="0.2">
      <c r="H20403" s="1"/>
      <c r="I20403" s="1"/>
    </row>
    <row r="20404" spans="8:9" x14ac:dyDescent="0.2">
      <c r="H20404" s="1"/>
      <c r="I20404" s="1"/>
    </row>
    <row r="20405" spans="8:9" x14ac:dyDescent="0.2">
      <c r="H20405" s="1"/>
      <c r="I20405" s="1"/>
    </row>
    <row r="20406" spans="8:9" x14ac:dyDescent="0.2">
      <c r="H20406" s="1"/>
      <c r="I20406" s="1"/>
    </row>
    <row r="20407" spans="8:9" x14ac:dyDescent="0.2">
      <c r="H20407" s="1"/>
      <c r="I20407" s="1"/>
    </row>
    <row r="20408" spans="8:9" x14ac:dyDescent="0.2">
      <c r="H20408" s="1"/>
      <c r="I20408" s="1"/>
    </row>
    <row r="20409" spans="8:9" x14ac:dyDescent="0.2">
      <c r="H20409" s="1"/>
      <c r="I20409" s="1"/>
    </row>
    <row r="20410" spans="8:9" x14ac:dyDescent="0.2">
      <c r="H20410" s="1"/>
      <c r="I20410" s="1"/>
    </row>
    <row r="20411" spans="8:9" x14ac:dyDescent="0.2">
      <c r="H20411" s="1"/>
      <c r="I20411" s="1"/>
    </row>
    <row r="20412" spans="8:9" x14ac:dyDescent="0.2">
      <c r="H20412" s="1"/>
      <c r="I20412" s="1"/>
    </row>
    <row r="20413" spans="8:9" x14ac:dyDescent="0.2">
      <c r="H20413" s="1"/>
      <c r="I20413" s="1"/>
    </row>
    <row r="20414" spans="8:9" x14ac:dyDescent="0.2">
      <c r="H20414" s="1"/>
      <c r="I20414" s="1"/>
    </row>
    <row r="20415" spans="8:9" x14ac:dyDescent="0.2">
      <c r="H20415" s="1"/>
      <c r="I20415" s="1"/>
    </row>
    <row r="20416" spans="8:9" x14ac:dyDescent="0.2">
      <c r="H20416" s="1"/>
      <c r="I20416" s="1"/>
    </row>
    <row r="20417" spans="8:9" x14ac:dyDescent="0.2">
      <c r="H20417" s="1"/>
      <c r="I20417" s="1"/>
    </row>
    <row r="20418" spans="8:9" x14ac:dyDescent="0.2">
      <c r="H20418" s="1"/>
      <c r="I20418" s="1"/>
    </row>
    <row r="20419" spans="8:9" x14ac:dyDescent="0.2">
      <c r="H20419" s="1"/>
      <c r="I20419" s="1"/>
    </row>
    <row r="20420" spans="8:9" x14ac:dyDescent="0.2">
      <c r="H20420" s="1"/>
      <c r="I20420" s="1"/>
    </row>
    <row r="20421" spans="8:9" x14ac:dyDescent="0.2">
      <c r="H20421" s="1"/>
      <c r="I20421" s="1"/>
    </row>
    <row r="20422" spans="8:9" x14ac:dyDescent="0.2">
      <c r="H20422" s="1"/>
      <c r="I20422" s="1"/>
    </row>
    <row r="20423" spans="8:9" x14ac:dyDescent="0.2">
      <c r="H20423" s="1"/>
      <c r="I20423" s="1"/>
    </row>
    <row r="20424" spans="8:9" x14ac:dyDescent="0.2">
      <c r="H20424" s="1"/>
      <c r="I20424" s="1"/>
    </row>
    <row r="20425" spans="8:9" x14ac:dyDescent="0.2">
      <c r="H20425" s="1"/>
      <c r="I20425" s="1"/>
    </row>
    <row r="20426" spans="8:9" x14ac:dyDescent="0.2">
      <c r="H20426" s="1"/>
      <c r="I20426" s="1"/>
    </row>
    <row r="20427" spans="8:9" x14ac:dyDescent="0.2">
      <c r="H20427" s="1"/>
      <c r="I20427" s="1"/>
    </row>
    <row r="20428" spans="8:9" x14ac:dyDescent="0.2">
      <c r="H20428" s="1"/>
      <c r="I20428" s="1"/>
    </row>
    <row r="20429" spans="8:9" x14ac:dyDescent="0.2">
      <c r="H20429" s="1"/>
      <c r="I20429" s="1"/>
    </row>
    <row r="20430" spans="8:9" x14ac:dyDescent="0.2">
      <c r="H20430" s="1"/>
      <c r="I20430" s="1"/>
    </row>
    <row r="20431" spans="8:9" x14ac:dyDescent="0.2">
      <c r="H20431" s="1"/>
      <c r="I20431" s="1"/>
    </row>
    <row r="20432" spans="8:9" x14ac:dyDescent="0.2">
      <c r="H20432" s="1"/>
      <c r="I20432" s="1"/>
    </row>
    <row r="20433" spans="8:9" x14ac:dyDescent="0.2">
      <c r="H20433" s="1"/>
      <c r="I20433" s="1"/>
    </row>
    <row r="20434" spans="8:9" x14ac:dyDescent="0.2">
      <c r="H20434" s="1"/>
      <c r="I20434" s="1"/>
    </row>
    <row r="20435" spans="8:9" x14ac:dyDescent="0.2">
      <c r="H20435" s="1"/>
      <c r="I20435" s="1"/>
    </row>
    <row r="20436" spans="8:9" x14ac:dyDescent="0.2">
      <c r="H20436" s="1"/>
      <c r="I20436" s="1"/>
    </row>
    <row r="20437" spans="8:9" x14ac:dyDescent="0.2">
      <c r="H20437" s="1"/>
      <c r="I20437" s="1"/>
    </row>
    <row r="20438" spans="8:9" x14ac:dyDescent="0.2">
      <c r="H20438" s="1"/>
      <c r="I20438" s="1"/>
    </row>
    <row r="20439" spans="8:9" x14ac:dyDescent="0.2">
      <c r="H20439" s="1"/>
      <c r="I20439" s="1"/>
    </row>
    <row r="20440" spans="8:9" x14ac:dyDescent="0.2">
      <c r="H20440" s="1"/>
      <c r="I20440" s="1"/>
    </row>
    <row r="20441" spans="8:9" x14ac:dyDescent="0.2">
      <c r="H20441" s="1"/>
      <c r="I20441" s="1"/>
    </row>
    <row r="20442" spans="8:9" x14ac:dyDescent="0.2">
      <c r="H20442" s="1"/>
      <c r="I20442" s="1"/>
    </row>
    <row r="20443" spans="8:9" x14ac:dyDescent="0.2">
      <c r="H20443" s="1"/>
      <c r="I20443" s="1"/>
    </row>
    <row r="20444" spans="8:9" x14ac:dyDescent="0.2">
      <c r="H20444" s="1"/>
      <c r="I20444" s="1"/>
    </row>
    <row r="20445" spans="8:9" x14ac:dyDescent="0.2">
      <c r="H20445" s="1"/>
      <c r="I20445" s="1"/>
    </row>
    <row r="20446" spans="8:9" x14ac:dyDescent="0.2">
      <c r="H20446" s="1"/>
      <c r="I20446" s="1"/>
    </row>
    <row r="20447" spans="8:9" x14ac:dyDescent="0.2">
      <c r="H20447" s="1"/>
      <c r="I20447" s="1"/>
    </row>
    <row r="20448" spans="8:9" x14ac:dyDescent="0.2">
      <c r="H20448" s="1"/>
      <c r="I20448" s="1"/>
    </row>
    <row r="20449" spans="8:9" x14ac:dyDescent="0.2">
      <c r="H20449" s="1"/>
      <c r="I20449" s="1"/>
    </row>
    <row r="20450" spans="8:9" x14ac:dyDescent="0.2">
      <c r="H20450" s="1"/>
      <c r="I20450" s="1"/>
    </row>
    <row r="20451" spans="8:9" x14ac:dyDescent="0.2">
      <c r="H20451" s="1"/>
      <c r="I20451" s="1"/>
    </row>
    <row r="20452" spans="8:9" x14ac:dyDescent="0.2">
      <c r="H20452" s="1"/>
      <c r="I20452" s="1"/>
    </row>
    <row r="20453" spans="8:9" x14ac:dyDescent="0.2">
      <c r="H20453" s="1"/>
      <c r="I20453" s="1"/>
    </row>
    <row r="20454" spans="8:9" x14ac:dyDescent="0.2">
      <c r="H20454" s="1"/>
      <c r="I20454" s="1"/>
    </row>
    <row r="20455" spans="8:9" x14ac:dyDescent="0.2">
      <c r="H20455" s="1"/>
      <c r="I20455" s="1"/>
    </row>
    <row r="20456" spans="8:9" x14ac:dyDescent="0.2">
      <c r="H20456" s="1"/>
      <c r="I20456" s="1"/>
    </row>
    <row r="20457" spans="8:9" x14ac:dyDescent="0.2">
      <c r="H20457" s="1"/>
      <c r="I20457" s="1"/>
    </row>
    <row r="20458" spans="8:9" x14ac:dyDescent="0.2">
      <c r="H20458" s="1"/>
      <c r="I20458" s="1"/>
    </row>
    <row r="20459" spans="8:9" x14ac:dyDescent="0.2">
      <c r="H20459" s="1"/>
      <c r="I20459" s="1"/>
    </row>
    <row r="20460" spans="8:9" x14ac:dyDescent="0.2">
      <c r="H20460" s="1"/>
      <c r="I20460" s="1"/>
    </row>
    <row r="20461" spans="8:9" x14ac:dyDescent="0.2">
      <c r="H20461" s="1"/>
      <c r="I20461" s="1"/>
    </row>
    <row r="20462" spans="8:9" x14ac:dyDescent="0.2">
      <c r="H20462" s="1"/>
      <c r="I20462" s="1"/>
    </row>
    <row r="20463" spans="8:9" x14ac:dyDescent="0.2">
      <c r="H20463" s="1"/>
      <c r="I20463" s="1"/>
    </row>
    <row r="20464" spans="8:9" x14ac:dyDescent="0.2">
      <c r="H20464" s="1"/>
      <c r="I20464" s="1"/>
    </row>
    <row r="20465" spans="8:9" x14ac:dyDescent="0.2">
      <c r="H20465" s="1"/>
      <c r="I20465" s="1"/>
    </row>
    <row r="20466" spans="8:9" x14ac:dyDescent="0.2">
      <c r="H20466" s="1"/>
      <c r="I20466" s="1"/>
    </row>
    <row r="20467" spans="8:9" x14ac:dyDescent="0.2">
      <c r="H20467" s="1"/>
      <c r="I20467" s="1"/>
    </row>
    <row r="20468" spans="8:9" x14ac:dyDescent="0.2">
      <c r="H20468" s="1"/>
      <c r="I20468" s="1"/>
    </row>
    <row r="20469" spans="8:9" x14ac:dyDescent="0.2">
      <c r="H20469" s="1"/>
      <c r="I20469" s="1"/>
    </row>
    <row r="20470" spans="8:9" x14ac:dyDescent="0.2">
      <c r="H20470" s="1"/>
      <c r="I20470" s="1"/>
    </row>
    <row r="20471" spans="8:9" x14ac:dyDescent="0.2">
      <c r="H20471" s="1"/>
      <c r="I20471" s="1"/>
    </row>
    <row r="20472" spans="8:9" x14ac:dyDescent="0.2">
      <c r="H20472" s="1"/>
      <c r="I20472" s="1"/>
    </row>
    <row r="20473" spans="8:9" x14ac:dyDescent="0.2">
      <c r="H20473" s="1"/>
      <c r="I20473" s="1"/>
    </row>
    <row r="20474" spans="8:9" x14ac:dyDescent="0.2">
      <c r="H20474" s="1"/>
      <c r="I20474" s="1"/>
    </row>
    <row r="20475" spans="8:9" x14ac:dyDescent="0.2">
      <c r="H20475" s="1"/>
      <c r="I20475" s="1"/>
    </row>
    <row r="20476" spans="8:9" x14ac:dyDescent="0.2">
      <c r="H20476" s="1"/>
      <c r="I20476" s="1"/>
    </row>
    <row r="20477" spans="8:9" x14ac:dyDescent="0.2">
      <c r="H20477" s="1"/>
      <c r="I20477" s="1"/>
    </row>
    <row r="20478" spans="8:9" x14ac:dyDescent="0.2">
      <c r="H20478" s="1"/>
      <c r="I20478" s="1"/>
    </row>
    <row r="20479" spans="8:9" x14ac:dyDescent="0.2">
      <c r="H20479" s="1"/>
      <c r="I20479" s="1"/>
    </row>
    <row r="20480" spans="8:9" x14ac:dyDescent="0.2">
      <c r="H20480" s="1"/>
      <c r="I20480" s="1"/>
    </row>
    <row r="20481" spans="8:9" x14ac:dyDescent="0.2">
      <c r="H20481" s="1"/>
      <c r="I20481" s="1"/>
    </row>
    <row r="20482" spans="8:9" x14ac:dyDescent="0.2">
      <c r="H20482" s="1"/>
      <c r="I20482" s="1"/>
    </row>
    <row r="20483" spans="8:9" x14ac:dyDescent="0.2">
      <c r="H20483" s="1"/>
      <c r="I20483" s="1"/>
    </row>
    <row r="20484" spans="8:9" x14ac:dyDescent="0.2">
      <c r="H20484" s="1"/>
      <c r="I20484" s="1"/>
    </row>
    <row r="20485" spans="8:9" x14ac:dyDescent="0.2">
      <c r="H20485" s="1"/>
      <c r="I20485" s="1"/>
    </row>
    <row r="20486" spans="8:9" x14ac:dyDescent="0.2">
      <c r="H20486" s="1"/>
      <c r="I20486" s="1"/>
    </row>
    <row r="20487" spans="8:9" x14ac:dyDescent="0.2">
      <c r="H20487" s="1"/>
      <c r="I20487" s="1"/>
    </row>
    <row r="20488" spans="8:9" x14ac:dyDescent="0.2">
      <c r="H20488" s="1"/>
      <c r="I20488" s="1"/>
    </row>
    <row r="20489" spans="8:9" x14ac:dyDescent="0.2">
      <c r="H20489" s="1"/>
      <c r="I20489" s="1"/>
    </row>
    <row r="20490" spans="8:9" x14ac:dyDescent="0.2">
      <c r="H20490" s="1"/>
      <c r="I20490" s="1"/>
    </row>
    <row r="20491" spans="8:9" x14ac:dyDescent="0.2">
      <c r="H20491" s="1"/>
      <c r="I20491" s="1"/>
    </row>
    <row r="20492" spans="8:9" x14ac:dyDescent="0.2">
      <c r="H20492" s="1"/>
      <c r="I20492" s="1"/>
    </row>
    <row r="20493" spans="8:9" x14ac:dyDescent="0.2">
      <c r="H20493" s="1"/>
      <c r="I20493" s="1"/>
    </row>
    <row r="20494" spans="8:9" x14ac:dyDescent="0.2">
      <c r="H20494" s="1"/>
      <c r="I20494" s="1"/>
    </row>
    <row r="20495" spans="8:9" x14ac:dyDescent="0.2">
      <c r="H20495" s="1"/>
      <c r="I20495" s="1"/>
    </row>
    <row r="20496" spans="8:9" x14ac:dyDescent="0.2">
      <c r="H20496" s="1"/>
      <c r="I20496" s="1"/>
    </row>
    <row r="20497" spans="8:9" x14ac:dyDescent="0.2">
      <c r="H20497" s="1"/>
      <c r="I20497" s="1"/>
    </row>
    <row r="20498" spans="8:9" x14ac:dyDescent="0.2">
      <c r="H20498" s="1"/>
      <c r="I20498" s="1"/>
    </row>
    <row r="20499" spans="8:9" x14ac:dyDescent="0.2">
      <c r="H20499" s="1"/>
      <c r="I20499" s="1"/>
    </row>
    <row r="20500" spans="8:9" x14ac:dyDescent="0.2">
      <c r="H20500" s="1"/>
      <c r="I20500" s="1"/>
    </row>
    <row r="20501" spans="8:9" x14ac:dyDescent="0.2">
      <c r="H20501" s="1"/>
      <c r="I20501" s="1"/>
    </row>
    <row r="20502" spans="8:9" x14ac:dyDescent="0.2">
      <c r="H20502" s="1"/>
      <c r="I20502" s="1"/>
    </row>
    <row r="20503" spans="8:9" x14ac:dyDescent="0.2">
      <c r="H20503" s="1"/>
      <c r="I20503" s="1"/>
    </row>
    <row r="20504" spans="8:9" x14ac:dyDescent="0.2">
      <c r="H20504" s="1"/>
      <c r="I20504" s="1"/>
    </row>
    <row r="20505" spans="8:9" x14ac:dyDescent="0.2">
      <c r="H20505" s="1"/>
      <c r="I20505" s="1"/>
    </row>
    <row r="20506" spans="8:9" x14ac:dyDescent="0.2">
      <c r="H20506" s="1"/>
      <c r="I20506" s="1"/>
    </row>
    <row r="20507" spans="8:9" x14ac:dyDescent="0.2">
      <c r="H20507" s="1"/>
      <c r="I20507" s="1"/>
    </row>
    <row r="20508" spans="8:9" x14ac:dyDescent="0.2">
      <c r="H20508" s="1"/>
      <c r="I20508" s="1"/>
    </row>
    <row r="20509" spans="8:9" x14ac:dyDescent="0.2">
      <c r="H20509" s="1"/>
      <c r="I20509" s="1"/>
    </row>
    <row r="20510" spans="8:9" x14ac:dyDescent="0.2">
      <c r="H20510" s="1"/>
      <c r="I20510" s="1"/>
    </row>
    <row r="20511" spans="8:9" x14ac:dyDescent="0.2">
      <c r="H20511" s="1"/>
      <c r="I20511" s="1"/>
    </row>
    <row r="20512" spans="8:9" x14ac:dyDescent="0.2">
      <c r="H20512" s="1"/>
      <c r="I20512" s="1"/>
    </row>
    <row r="20513" spans="8:9" x14ac:dyDescent="0.2">
      <c r="H20513" s="1"/>
      <c r="I20513" s="1"/>
    </row>
    <row r="20514" spans="8:9" x14ac:dyDescent="0.2">
      <c r="H20514" s="1"/>
      <c r="I20514" s="1"/>
    </row>
    <row r="20515" spans="8:9" x14ac:dyDescent="0.2">
      <c r="H20515" s="1"/>
      <c r="I20515" s="1"/>
    </row>
    <row r="20516" spans="8:9" x14ac:dyDescent="0.2">
      <c r="H20516" s="1"/>
      <c r="I20516" s="1"/>
    </row>
    <row r="20517" spans="8:9" x14ac:dyDescent="0.2">
      <c r="H20517" s="1"/>
      <c r="I20517" s="1"/>
    </row>
    <row r="20518" spans="8:9" x14ac:dyDescent="0.2">
      <c r="H20518" s="1"/>
      <c r="I20518" s="1"/>
    </row>
    <row r="20519" spans="8:9" x14ac:dyDescent="0.2">
      <c r="H20519" s="1"/>
      <c r="I20519" s="1"/>
    </row>
    <row r="20520" spans="8:9" x14ac:dyDescent="0.2">
      <c r="H20520" s="1"/>
      <c r="I20520" s="1"/>
    </row>
    <row r="20521" spans="8:9" x14ac:dyDescent="0.2">
      <c r="H20521" s="1"/>
      <c r="I20521" s="1"/>
    </row>
    <row r="20522" spans="8:9" x14ac:dyDescent="0.2">
      <c r="H20522" s="1"/>
      <c r="I20522" s="1"/>
    </row>
    <row r="20523" spans="8:9" x14ac:dyDescent="0.2">
      <c r="H20523" s="1"/>
      <c r="I20523" s="1"/>
    </row>
    <row r="20524" spans="8:9" x14ac:dyDescent="0.2">
      <c r="H20524" s="1"/>
      <c r="I20524" s="1"/>
    </row>
    <row r="20525" spans="8:9" x14ac:dyDescent="0.2">
      <c r="H20525" s="1"/>
      <c r="I20525" s="1"/>
    </row>
    <row r="20526" spans="8:9" x14ac:dyDescent="0.2">
      <c r="H20526" s="1"/>
      <c r="I20526" s="1"/>
    </row>
    <row r="20527" spans="8:9" x14ac:dyDescent="0.2">
      <c r="H20527" s="1"/>
      <c r="I20527" s="1"/>
    </row>
    <row r="20528" spans="8:9" x14ac:dyDescent="0.2">
      <c r="H20528" s="1"/>
      <c r="I20528" s="1"/>
    </row>
    <row r="20529" spans="8:9" x14ac:dyDescent="0.2">
      <c r="H20529" s="1"/>
      <c r="I20529" s="1"/>
    </row>
    <row r="20530" spans="8:9" x14ac:dyDescent="0.2">
      <c r="H20530" s="1"/>
      <c r="I20530" s="1"/>
    </row>
    <row r="20531" spans="8:9" x14ac:dyDescent="0.2">
      <c r="H20531" s="1"/>
      <c r="I20531" s="1"/>
    </row>
    <row r="20532" spans="8:9" x14ac:dyDescent="0.2">
      <c r="H20532" s="1"/>
      <c r="I20532" s="1"/>
    </row>
    <row r="20533" spans="8:9" x14ac:dyDescent="0.2">
      <c r="H20533" s="1"/>
      <c r="I20533" s="1"/>
    </row>
    <row r="20534" spans="8:9" x14ac:dyDescent="0.2">
      <c r="H20534" s="1"/>
      <c r="I20534" s="1"/>
    </row>
    <row r="20535" spans="8:9" x14ac:dyDescent="0.2">
      <c r="H20535" s="1"/>
      <c r="I20535" s="1"/>
    </row>
    <row r="20536" spans="8:9" x14ac:dyDescent="0.2">
      <c r="H20536" s="1"/>
      <c r="I20536" s="1"/>
    </row>
    <row r="20537" spans="8:9" x14ac:dyDescent="0.2">
      <c r="H20537" s="1"/>
      <c r="I20537" s="1"/>
    </row>
    <row r="20538" spans="8:9" x14ac:dyDescent="0.2">
      <c r="H20538" s="1"/>
      <c r="I20538" s="1"/>
    </row>
    <row r="20539" spans="8:9" x14ac:dyDescent="0.2">
      <c r="H20539" s="1"/>
      <c r="I20539" s="1"/>
    </row>
    <row r="20540" spans="8:9" x14ac:dyDescent="0.2">
      <c r="H20540" s="1"/>
      <c r="I20540" s="1"/>
    </row>
    <row r="20541" spans="8:9" x14ac:dyDescent="0.2">
      <c r="H20541" s="1"/>
      <c r="I20541" s="1"/>
    </row>
    <row r="20542" spans="8:9" x14ac:dyDescent="0.2">
      <c r="H20542" s="1"/>
      <c r="I20542" s="1"/>
    </row>
    <row r="20543" spans="8:9" x14ac:dyDescent="0.2">
      <c r="H20543" s="1"/>
      <c r="I20543" s="1"/>
    </row>
    <row r="20544" spans="8:9" x14ac:dyDescent="0.2">
      <c r="H20544" s="1"/>
      <c r="I20544" s="1"/>
    </row>
    <row r="20545" spans="8:9" x14ac:dyDescent="0.2">
      <c r="H20545" s="1"/>
      <c r="I20545" s="1"/>
    </row>
    <row r="20546" spans="8:9" x14ac:dyDescent="0.2">
      <c r="H20546" s="1"/>
      <c r="I20546" s="1"/>
    </row>
    <row r="20547" spans="8:9" x14ac:dyDescent="0.2">
      <c r="H20547" s="1"/>
      <c r="I20547" s="1"/>
    </row>
    <row r="20548" spans="8:9" x14ac:dyDescent="0.2">
      <c r="H20548" s="1"/>
      <c r="I20548" s="1"/>
    </row>
    <row r="20549" spans="8:9" x14ac:dyDescent="0.2">
      <c r="H20549" s="1"/>
      <c r="I20549" s="1"/>
    </row>
    <row r="20550" spans="8:9" x14ac:dyDescent="0.2">
      <c r="H20550" s="1"/>
      <c r="I20550" s="1"/>
    </row>
    <row r="20551" spans="8:9" x14ac:dyDescent="0.2">
      <c r="H20551" s="1"/>
      <c r="I20551" s="1"/>
    </row>
    <row r="20552" spans="8:9" x14ac:dyDescent="0.2">
      <c r="H20552" s="1"/>
      <c r="I20552" s="1"/>
    </row>
    <row r="20553" spans="8:9" x14ac:dyDescent="0.2">
      <c r="H20553" s="1"/>
      <c r="I20553" s="1"/>
    </row>
    <row r="20554" spans="8:9" x14ac:dyDescent="0.2">
      <c r="H20554" s="1"/>
      <c r="I20554" s="1"/>
    </row>
    <row r="20555" spans="8:9" x14ac:dyDescent="0.2">
      <c r="H20555" s="1"/>
      <c r="I20555" s="1"/>
    </row>
    <row r="20556" spans="8:9" x14ac:dyDescent="0.2">
      <c r="H20556" s="1"/>
      <c r="I20556" s="1"/>
    </row>
    <row r="20557" spans="8:9" x14ac:dyDescent="0.2">
      <c r="H20557" s="1"/>
      <c r="I20557" s="1"/>
    </row>
    <row r="20558" spans="8:9" x14ac:dyDescent="0.2">
      <c r="H20558" s="1"/>
      <c r="I20558" s="1"/>
    </row>
    <row r="20559" spans="8:9" x14ac:dyDescent="0.2">
      <c r="H20559" s="1"/>
      <c r="I20559" s="1"/>
    </row>
    <row r="20560" spans="8:9" x14ac:dyDescent="0.2">
      <c r="H20560" s="1"/>
      <c r="I20560" s="1"/>
    </row>
    <row r="20561" spans="8:9" x14ac:dyDescent="0.2">
      <c r="H20561" s="1"/>
      <c r="I20561" s="1"/>
    </row>
    <row r="20562" spans="8:9" x14ac:dyDescent="0.2">
      <c r="H20562" s="1"/>
      <c r="I20562" s="1"/>
    </row>
    <row r="20563" spans="8:9" x14ac:dyDescent="0.2">
      <c r="H20563" s="1"/>
      <c r="I20563" s="1"/>
    </row>
    <row r="20564" spans="8:9" x14ac:dyDescent="0.2">
      <c r="H20564" s="1"/>
      <c r="I20564" s="1"/>
    </row>
    <row r="20565" spans="8:9" x14ac:dyDescent="0.2">
      <c r="H20565" s="1"/>
      <c r="I20565" s="1"/>
    </row>
    <row r="20566" spans="8:9" x14ac:dyDescent="0.2">
      <c r="H20566" s="1"/>
      <c r="I20566" s="1"/>
    </row>
    <row r="20567" spans="8:9" x14ac:dyDescent="0.2">
      <c r="H20567" s="1"/>
      <c r="I20567" s="1"/>
    </row>
    <row r="20568" spans="8:9" x14ac:dyDescent="0.2">
      <c r="H20568" s="1"/>
      <c r="I20568" s="1"/>
    </row>
    <row r="20569" spans="8:9" x14ac:dyDescent="0.2">
      <c r="H20569" s="1"/>
      <c r="I20569" s="1"/>
    </row>
    <row r="20570" spans="8:9" x14ac:dyDescent="0.2">
      <c r="H20570" s="1"/>
      <c r="I20570" s="1"/>
    </row>
    <row r="20571" spans="8:9" x14ac:dyDescent="0.2">
      <c r="H20571" s="1"/>
      <c r="I20571" s="1"/>
    </row>
    <row r="20572" spans="8:9" x14ac:dyDescent="0.2">
      <c r="H20572" s="1"/>
      <c r="I20572" s="1"/>
    </row>
    <row r="20573" spans="8:9" x14ac:dyDescent="0.2">
      <c r="H20573" s="1"/>
      <c r="I20573" s="1"/>
    </row>
    <row r="20574" spans="8:9" x14ac:dyDescent="0.2">
      <c r="H20574" s="1"/>
      <c r="I20574" s="1"/>
    </row>
    <row r="20575" spans="8:9" x14ac:dyDescent="0.2">
      <c r="H20575" s="1"/>
      <c r="I20575" s="1"/>
    </row>
    <row r="20576" spans="8:9" x14ac:dyDescent="0.2">
      <c r="H20576" s="1"/>
      <c r="I20576" s="1"/>
    </row>
    <row r="20577" spans="8:9" x14ac:dyDescent="0.2">
      <c r="H20577" s="1"/>
      <c r="I20577" s="1"/>
    </row>
    <row r="20578" spans="8:9" x14ac:dyDescent="0.2">
      <c r="H20578" s="1"/>
      <c r="I20578" s="1"/>
    </row>
    <row r="20579" spans="8:9" x14ac:dyDescent="0.2">
      <c r="H20579" s="1"/>
      <c r="I20579" s="1"/>
    </row>
    <row r="20580" spans="8:9" x14ac:dyDescent="0.2">
      <c r="H20580" s="1"/>
      <c r="I20580" s="1"/>
    </row>
    <row r="20581" spans="8:9" x14ac:dyDescent="0.2">
      <c r="H20581" s="1"/>
      <c r="I20581" s="1"/>
    </row>
    <row r="20582" spans="8:9" x14ac:dyDescent="0.2">
      <c r="H20582" s="1"/>
      <c r="I20582" s="1"/>
    </row>
    <row r="20583" spans="8:9" x14ac:dyDescent="0.2">
      <c r="H20583" s="1"/>
      <c r="I20583" s="1"/>
    </row>
    <row r="20584" spans="8:9" x14ac:dyDescent="0.2">
      <c r="H20584" s="1"/>
      <c r="I20584" s="1"/>
    </row>
    <row r="20585" spans="8:9" x14ac:dyDescent="0.2">
      <c r="H20585" s="1"/>
      <c r="I20585" s="1"/>
    </row>
    <row r="20586" spans="8:9" x14ac:dyDescent="0.2">
      <c r="H20586" s="1"/>
      <c r="I20586" s="1"/>
    </row>
    <row r="20587" spans="8:9" x14ac:dyDescent="0.2">
      <c r="H20587" s="1"/>
      <c r="I20587" s="1"/>
    </row>
    <row r="20588" spans="8:9" x14ac:dyDescent="0.2">
      <c r="H20588" s="1"/>
      <c r="I20588" s="1"/>
    </row>
    <row r="20589" spans="8:9" x14ac:dyDescent="0.2">
      <c r="H20589" s="1"/>
      <c r="I20589" s="1"/>
    </row>
    <row r="20590" spans="8:9" x14ac:dyDescent="0.2">
      <c r="H20590" s="1"/>
      <c r="I20590" s="1"/>
    </row>
    <row r="20591" spans="8:9" x14ac:dyDescent="0.2">
      <c r="H20591" s="1"/>
      <c r="I20591" s="1"/>
    </row>
    <row r="20592" spans="8:9" x14ac:dyDescent="0.2">
      <c r="H20592" s="1"/>
      <c r="I20592" s="1"/>
    </row>
    <row r="20593" spans="8:9" x14ac:dyDescent="0.2">
      <c r="H20593" s="1"/>
      <c r="I20593" s="1"/>
    </row>
    <row r="20594" spans="8:9" x14ac:dyDescent="0.2">
      <c r="H20594" s="1"/>
      <c r="I20594" s="1"/>
    </row>
    <row r="20595" spans="8:9" x14ac:dyDescent="0.2">
      <c r="H20595" s="1"/>
      <c r="I20595" s="1"/>
    </row>
    <row r="20596" spans="8:9" x14ac:dyDescent="0.2">
      <c r="H20596" s="1"/>
      <c r="I20596" s="1"/>
    </row>
    <row r="20597" spans="8:9" x14ac:dyDescent="0.2">
      <c r="H20597" s="1"/>
      <c r="I20597" s="1"/>
    </row>
    <row r="20598" spans="8:9" x14ac:dyDescent="0.2">
      <c r="H20598" s="1"/>
      <c r="I20598" s="1"/>
    </row>
    <row r="20599" spans="8:9" x14ac:dyDescent="0.2">
      <c r="H20599" s="1"/>
      <c r="I20599" s="1"/>
    </row>
    <row r="20600" spans="8:9" x14ac:dyDescent="0.2">
      <c r="H20600" s="1"/>
      <c r="I20600" s="1"/>
    </row>
    <row r="20601" spans="8:9" x14ac:dyDescent="0.2">
      <c r="H20601" s="1"/>
      <c r="I20601" s="1"/>
    </row>
    <row r="20602" spans="8:9" x14ac:dyDescent="0.2">
      <c r="H20602" s="1"/>
      <c r="I20602" s="1"/>
    </row>
    <row r="20603" spans="8:9" x14ac:dyDescent="0.2">
      <c r="H20603" s="1"/>
      <c r="I20603" s="1"/>
    </row>
    <row r="20604" spans="8:9" x14ac:dyDescent="0.2">
      <c r="H20604" s="1"/>
      <c r="I20604" s="1"/>
    </row>
    <row r="20605" spans="8:9" x14ac:dyDescent="0.2">
      <c r="H20605" s="1"/>
      <c r="I20605" s="1"/>
    </row>
    <row r="20606" spans="8:9" x14ac:dyDescent="0.2">
      <c r="H20606" s="1"/>
      <c r="I20606" s="1"/>
    </row>
    <row r="20607" spans="8:9" x14ac:dyDescent="0.2">
      <c r="H20607" s="1"/>
      <c r="I20607" s="1"/>
    </row>
    <row r="20608" spans="8:9" x14ac:dyDescent="0.2">
      <c r="H20608" s="1"/>
      <c r="I20608" s="1"/>
    </row>
    <row r="20609" spans="8:9" x14ac:dyDescent="0.2">
      <c r="H20609" s="1"/>
      <c r="I20609" s="1"/>
    </row>
    <row r="20610" spans="8:9" x14ac:dyDescent="0.2">
      <c r="H20610" s="1"/>
      <c r="I20610" s="1"/>
    </row>
    <row r="20611" spans="8:9" x14ac:dyDescent="0.2">
      <c r="H20611" s="1"/>
      <c r="I20611" s="1"/>
    </row>
    <row r="20612" spans="8:9" x14ac:dyDescent="0.2">
      <c r="H20612" s="1"/>
      <c r="I20612" s="1"/>
    </row>
    <row r="20613" spans="8:9" x14ac:dyDescent="0.2">
      <c r="H20613" s="1"/>
      <c r="I20613" s="1"/>
    </row>
    <row r="20614" spans="8:9" x14ac:dyDescent="0.2">
      <c r="H20614" s="1"/>
      <c r="I20614" s="1"/>
    </row>
    <row r="20615" spans="8:9" x14ac:dyDescent="0.2">
      <c r="H20615" s="1"/>
      <c r="I20615" s="1"/>
    </row>
    <row r="20616" spans="8:9" x14ac:dyDescent="0.2">
      <c r="H20616" s="1"/>
      <c r="I20616" s="1"/>
    </row>
    <row r="20617" spans="8:9" x14ac:dyDescent="0.2">
      <c r="H20617" s="1"/>
      <c r="I20617" s="1"/>
    </row>
    <row r="20618" spans="8:9" x14ac:dyDescent="0.2">
      <c r="H20618" s="1"/>
      <c r="I20618" s="1"/>
    </row>
    <row r="20619" spans="8:9" x14ac:dyDescent="0.2">
      <c r="H20619" s="1"/>
      <c r="I20619" s="1"/>
    </row>
    <row r="20620" spans="8:9" x14ac:dyDescent="0.2">
      <c r="H20620" s="1"/>
      <c r="I20620" s="1"/>
    </row>
    <row r="20621" spans="8:9" x14ac:dyDescent="0.2">
      <c r="H20621" s="1"/>
      <c r="I20621" s="1"/>
    </row>
    <row r="20622" spans="8:9" x14ac:dyDescent="0.2">
      <c r="H20622" s="1"/>
      <c r="I20622" s="1"/>
    </row>
    <row r="20623" spans="8:9" x14ac:dyDescent="0.2">
      <c r="H20623" s="1"/>
      <c r="I20623" s="1"/>
    </row>
    <row r="20624" spans="8:9" x14ac:dyDescent="0.2">
      <c r="H20624" s="1"/>
      <c r="I20624" s="1"/>
    </row>
    <row r="20625" spans="8:9" x14ac:dyDescent="0.2">
      <c r="H20625" s="1"/>
      <c r="I20625" s="1"/>
    </row>
    <row r="20626" spans="8:9" x14ac:dyDescent="0.2">
      <c r="H20626" s="1"/>
      <c r="I20626" s="1"/>
    </row>
    <row r="20627" spans="8:9" x14ac:dyDescent="0.2">
      <c r="H20627" s="1"/>
      <c r="I20627" s="1"/>
    </row>
    <row r="20628" spans="8:9" x14ac:dyDescent="0.2">
      <c r="H20628" s="1"/>
      <c r="I20628" s="1"/>
    </row>
    <row r="20629" spans="8:9" x14ac:dyDescent="0.2">
      <c r="H20629" s="1"/>
      <c r="I20629" s="1"/>
    </row>
    <row r="20630" spans="8:9" x14ac:dyDescent="0.2">
      <c r="H20630" s="1"/>
      <c r="I20630" s="1"/>
    </row>
    <row r="20631" spans="8:9" x14ac:dyDescent="0.2">
      <c r="H20631" s="1"/>
      <c r="I20631" s="1"/>
    </row>
    <row r="20632" spans="8:9" x14ac:dyDescent="0.2">
      <c r="H20632" s="1"/>
      <c r="I20632" s="1"/>
    </row>
    <row r="20633" spans="8:9" x14ac:dyDescent="0.2">
      <c r="H20633" s="1"/>
      <c r="I20633" s="1"/>
    </row>
    <row r="20634" spans="8:9" x14ac:dyDescent="0.2">
      <c r="H20634" s="1"/>
      <c r="I20634" s="1"/>
    </row>
    <row r="20635" spans="8:9" x14ac:dyDescent="0.2">
      <c r="H20635" s="1"/>
      <c r="I20635" s="1"/>
    </row>
    <row r="20636" spans="8:9" x14ac:dyDescent="0.2">
      <c r="H20636" s="1"/>
      <c r="I20636" s="1"/>
    </row>
    <row r="20637" spans="8:9" x14ac:dyDescent="0.2">
      <c r="H20637" s="1"/>
      <c r="I20637" s="1"/>
    </row>
    <row r="20638" spans="8:9" x14ac:dyDescent="0.2">
      <c r="H20638" s="1"/>
      <c r="I20638" s="1"/>
    </row>
    <row r="20639" spans="8:9" x14ac:dyDescent="0.2">
      <c r="H20639" s="1"/>
      <c r="I20639" s="1"/>
    </row>
    <row r="20640" spans="8:9" x14ac:dyDescent="0.2">
      <c r="H20640" s="1"/>
      <c r="I20640" s="1"/>
    </row>
    <row r="20641" spans="8:9" x14ac:dyDescent="0.2">
      <c r="H20641" s="1"/>
      <c r="I20641" s="1"/>
    </row>
    <row r="20642" spans="8:9" x14ac:dyDescent="0.2">
      <c r="H20642" s="1"/>
      <c r="I20642" s="1"/>
    </row>
    <row r="20643" spans="8:9" x14ac:dyDescent="0.2">
      <c r="H20643" s="1"/>
      <c r="I20643" s="1"/>
    </row>
    <row r="20644" spans="8:9" x14ac:dyDescent="0.2">
      <c r="H20644" s="1"/>
      <c r="I20644" s="1"/>
    </row>
    <row r="20645" spans="8:9" x14ac:dyDescent="0.2">
      <c r="H20645" s="1"/>
      <c r="I20645" s="1"/>
    </row>
    <row r="20646" spans="8:9" x14ac:dyDescent="0.2">
      <c r="H20646" s="1"/>
      <c r="I20646" s="1"/>
    </row>
    <row r="20647" spans="8:9" x14ac:dyDescent="0.2">
      <c r="H20647" s="1"/>
      <c r="I20647" s="1"/>
    </row>
    <row r="20648" spans="8:9" x14ac:dyDescent="0.2">
      <c r="H20648" s="1"/>
      <c r="I20648" s="1"/>
    </row>
    <row r="20649" spans="8:9" x14ac:dyDescent="0.2">
      <c r="H20649" s="1"/>
      <c r="I20649" s="1"/>
    </row>
    <row r="20650" spans="8:9" x14ac:dyDescent="0.2">
      <c r="H20650" s="1"/>
      <c r="I20650" s="1"/>
    </row>
    <row r="20651" spans="8:9" x14ac:dyDescent="0.2">
      <c r="H20651" s="1"/>
      <c r="I20651" s="1"/>
    </row>
    <row r="20652" spans="8:9" x14ac:dyDescent="0.2">
      <c r="H20652" s="1"/>
      <c r="I20652" s="1"/>
    </row>
    <row r="20653" spans="8:9" x14ac:dyDescent="0.2">
      <c r="H20653" s="1"/>
      <c r="I20653" s="1"/>
    </row>
    <row r="20654" spans="8:9" x14ac:dyDescent="0.2">
      <c r="H20654" s="1"/>
      <c r="I20654" s="1"/>
    </row>
    <row r="20655" spans="8:9" x14ac:dyDescent="0.2">
      <c r="H20655" s="1"/>
      <c r="I20655" s="1"/>
    </row>
    <row r="20656" spans="8:9" x14ac:dyDescent="0.2">
      <c r="H20656" s="1"/>
      <c r="I20656" s="1"/>
    </row>
    <row r="20657" spans="8:9" x14ac:dyDescent="0.2">
      <c r="H20657" s="1"/>
      <c r="I20657" s="1"/>
    </row>
    <row r="20658" spans="8:9" x14ac:dyDescent="0.2">
      <c r="H20658" s="1"/>
      <c r="I20658" s="1"/>
    </row>
    <row r="20659" spans="8:9" x14ac:dyDescent="0.2">
      <c r="H20659" s="1"/>
      <c r="I20659" s="1"/>
    </row>
    <row r="20660" spans="8:9" x14ac:dyDescent="0.2">
      <c r="H20660" s="1"/>
      <c r="I20660" s="1"/>
    </row>
    <row r="20661" spans="8:9" x14ac:dyDescent="0.2">
      <c r="H20661" s="1"/>
      <c r="I20661" s="1"/>
    </row>
    <row r="20662" spans="8:9" x14ac:dyDescent="0.2">
      <c r="H20662" s="1"/>
      <c r="I20662" s="1"/>
    </row>
    <row r="20663" spans="8:9" x14ac:dyDescent="0.2">
      <c r="H20663" s="1"/>
      <c r="I20663" s="1"/>
    </row>
    <row r="20664" spans="8:9" x14ac:dyDescent="0.2">
      <c r="H20664" s="1"/>
      <c r="I20664" s="1"/>
    </row>
    <row r="20665" spans="8:9" x14ac:dyDescent="0.2">
      <c r="H20665" s="1"/>
      <c r="I20665" s="1"/>
    </row>
    <row r="20666" spans="8:9" x14ac:dyDescent="0.2">
      <c r="H20666" s="1"/>
      <c r="I20666" s="1"/>
    </row>
    <row r="20667" spans="8:9" x14ac:dyDescent="0.2">
      <c r="H20667" s="1"/>
      <c r="I20667" s="1"/>
    </row>
    <row r="20668" spans="8:9" x14ac:dyDescent="0.2">
      <c r="H20668" s="1"/>
      <c r="I20668" s="1"/>
    </row>
    <row r="20669" spans="8:9" x14ac:dyDescent="0.2">
      <c r="H20669" s="1"/>
      <c r="I20669" s="1"/>
    </row>
    <row r="20670" spans="8:9" x14ac:dyDescent="0.2">
      <c r="H20670" s="1"/>
      <c r="I20670" s="1"/>
    </row>
    <row r="20671" spans="8:9" x14ac:dyDescent="0.2">
      <c r="H20671" s="1"/>
      <c r="I20671" s="1"/>
    </row>
    <row r="20672" spans="8:9" x14ac:dyDescent="0.2">
      <c r="H20672" s="1"/>
      <c r="I20672" s="1"/>
    </row>
    <row r="20673" spans="8:9" x14ac:dyDescent="0.2">
      <c r="H20673" s="1"/>
      <c r="I20673" s="1"/>
    </row>
    <row r="20674" spans="8:9" x14ac:dyDescent="0.2">
      <c r="H20674" s="1"/>
      <c r="I20674" s="1"/>
    </row>
    <row r="20675" spans="8:9" x14ac:dyDescent="0.2">
      <c r="H20675" s="1"/>
      <c r="I20675" s="1"/>
    </row>
    <row r="20676" spans="8:9" x14ac:dyDescent="0.2">
      <c r="H20676" s="1"/>
      <c r="I20676" s="1"/>
    </row>
    <row r="20677" spans="8:9" x14ac:dyDescent="0.2">
      <c r="H20677" s="1"/>
      <c r="I20677" s="1"/>
    </row>
    <row r="20678" spans="8:9" x14ac:dyDescent="0.2">
      <c r="H20678" s="1"/>
      <c r="I20678" s="1"/>
    </row>
    <row r="20679" spans="8:9" x14ac:dyDescent="0.2">
      <c r="H20679" s="1"/>
      <c r="I20679" s="1"/>
    </row>
    <row r="20680" spans="8:9" x14ac:dyDescent="0.2">
      <c r="H20680" s="1"/>
      <c r="I20680" s="1"/>
    </row>
    <row r="20681" spans="8:9" x14ac:dyDescent="0.2">
      <c r="H20681" s="1"/>
      <c r="I20681" s="1"/>
    </row>
    <row r="20682" spans="8:9" x14ac:dyDescent="0.2">
      <c r="H20682" s="1"/>
      <c r="I20682" s="1"/>
    </row>
    <row r="20683" spans="8:9" x14ac:dyDescent="0.2">
      <c r="H20683" s="1"/>
      <c r="I20683" s="1"/>
    </row>
    <row r="20684" spans="8:9" x14ac:dyDescent="0.2">
      <c r="H20684" s="1"/>
      <c r="I20684" s="1"/>
    </row>
    <row r="20685" spans="8:9" x14ac:dyDescent="0.2">
      <c r="H20685" s="1"/>
      <c r="I20685" s="1"/>
    </row>
    <row r="20686" spans="8:9" x14ac:dyDescent="0.2">
      <c r="H20686" s="1"/>
      <c r="I20686" s="1"/>
    </row>
    <row r="20687" spans="8:9" x14ac:dyDescent="0.2">
      <c r="H20687" s="1"/>
      <c r="I20687" s="1"/>
    </row>
    <row r="20688" spans="8:9" x14ac:dyDescent="0.2">
      <c r="H20688" s="1"/>
      <c r="I20688" s="1"/>
    </row>
    <row r="20689" spans="8:9" x14ac:dyDescent="0.2">
      <c r="H20689" s="1"/>
      <c r="I20689" s="1"/>
    </row>
    <row r="20690" spans="8:9" x14ac:dyDescent="0.2">
      <c r="H20690" s="1"/>
      <c r="I20690" s="1"/>
    </row>
    <row r="20691" spans="8:9" x14ac:dyDescent="0.2">
      <c r="H20691" s="1"/>
      <c r="I20691" s="1"/>
    </row>
    <row r="20692" spans="8:9" x14ac:dyDescent="0.2">
      <c r="H20692" s="1"/>
      <c r="I20692" s="1"/>
    </row>
    <row r="20693" spans="8:9" x14ac:dyDescent="0.2">
      <c r="H20693" s="1"/>
      <c r="I20693" s="1"/>
    </row>
    <row r="20694" spans="8:9" x14ac:dyDescent="0.2">
      <c r="H20694" s="1"/>
      <c r="I20694" s="1"/>
    </row>
    <row r="20695" spans="8:9" x14ac:dyDescent="0.2">
      <c r="H20695" s="1"/>
      <c r="I20695" s="1"/>
    </row>
    <row r="20696" spans="8:9" x14ac:dyDescent="0.2">
      <c r="H20696" s="1"/>
      <c r="I20696" s="1"/>
    </row>
    <row r="20697" spans="8:9" x14ac:dyDescent="0.2">
      <c r="H20697" s="1"/>
      <c r="I20697" s="1"/>
    </row>
    <row r="20698" spans="8:9" x14ac:dyDescent="0.2">
      <c r="H20698" s="1"/>
      <c r="I20698" s="1"/>
    </row>
    <row r="20699" spans="8:9" x14ac:dyDescent="0.2">
      <c r="H20699" s="1"/>
      <c r="I20699" s="1"/>
    </row>
    <row r="20700" spans="8:9" x14ac:dyDescent="0.2">
      <c r="H20700" s="1"/>
      <c r="I20700" s="1"/>
    </row>
    <row r="20701" spans="8:9" x14ac:dyDescent="0.2">
      <c r="H20701" s="1"/>
      <c r="I20701" s="1"/>
    </row>
    <row r="20702" spans="8:9" x14ac:dyDescent="0.2">
      <c r="H20702" s="1"/>
      <c r="I20702" s="1"/>
    </row>
    <row r="20703" spans="8:9" x14ac:dyDescent="0.2">
      <c r="H20703" s="1"/>
      <c r="I20703" s="1"/>
    </row>
    <row r="20704" spans="8:9" x14ac:dyDescent="0.2">
      <c r="H20704" s="1"/>
      <c r="I20704" s="1"/>
    </row>
    <row r="20705" spans="8:9" x14ac:dyDescent="0.2">
      <c r="H20705" s="1"/>
      <c r="I20705" s="1"/>
    </row>
    <row r="20706" spans="8:9" x14ac:dyDescent="0.2">
      <c r="H20706" s="1"/>
      <c r="I20706" s="1"/>
    </row>
    <row r="20707" spans="8:9" x14ac:dyDescent="0.2">
      <c r="H20707" s="1"/>
      <c r="I20707" s="1"/>
    </row>
    <row r="20708" spans="8:9" x14ac:dyDescent="0.2">
      <c r="H20708" s="1"/>
      <c r="I20708" s="1"/>
    </row>
    <row r="20709" spans="8:9" x14ac:dyDescent="0.2">
      <c r="H20709" s="1"/>
      <c r="I20709" s="1"/>
    </row>
    <row r="20710" spans="8:9" x14ac:dyDescent="0.2">
      <c r="H20710" s="1"/>
      <c r="I20710" s="1"/>
    </row>
    <row r="20711" spans="8:9" x14ac:dyDescent="0.2">
      <c r="H20711" s="1"/>
      <c r="I20711" s="1"/>
    </row>
    <row r="20712" spans="8:9" x14ac:dyDescent="0.2">
      <c r="H20712" s="1"/>
      <c r="I20712" s="1"/>
    </row>
    <row r="20713" spans="8:9" x14ac:dyDescent="0.2">
      <c r="H20713" s="1"/>
      <c r="I20713" s="1"/>
    </row>
    <row r="20714" spans="8:9" x14ac:dyDescent="0.2">
      <c r="H20714" s="1"/>
      <c r="I20714" s="1"/>
    </row>
    <row r="20715" spans="8:9" x14ac:dyDescent="0.2">
      <c r="H20715" s="1"/>
      <c r="I20715" s="1"/>
    </row>
    <row r="20716" spans="8:9" x14ac:dyDescent="0.2">
      <c r="H20716" s="1"/>
      <c r="I20716" s="1"/>
    </row>
    <row r="20717" spans="8:9" x14ac:dyDescent="0.2">
      <c r="H20717" s="1"/>
      <c r="I20717" s="1"/>
    </row>
    <row r="20718" spans="8:9" x14ac:dyDescent="0.2">
      <c r="H20718" s="1"/>
      <c r="I20718" s="1"/>
    </row>
    <row r="20719" spans="8:9" x14ac:dyDescent="0.2">
      <c r="H20719" s="1"/>
      <c r="I20719" s="1"/>
    </row>
    <row r="20720" spans="8:9" x14ac:dyDescent="0.2">
      <c r="H20720" s="1"/>
      <c r="I20720" s="1"/>
    </row>
    <row r="20721" spans="8:9" x14ac:dyDescent="0.2">
      <c r="H20721" s="1"/>
      <c r="I20721" s="1"/>
    </row>
    <row r="20722" spans="8:9" x14ac:dyDescent="0.2">
      <c r="H20722" s="1"/>
      <c r="I20722" s="1"/>
    </row>
    <row r="20723" spans="8:9" x14ac:dyDescent="0.2">
      <c r="H20723" s="1"/>
      <c r="I20723" s="1"/>
    </row>
    <row r="20724" spans="8:9" x14ac:dyDescent="0.2">
      <c r="H20724" s="1"/>
      <c r="I20724" s="1"/>
    </row>
    <row r="20725" spans="8:9" x14ac:dyDescent="0.2">
      <c r="H20725" s="1"/>
      <c r="I20725" s="1"/>
    </row>
    <row r="20726" spans="8:9" x14ac:dyDescent="0.2">
      <c r="H20726" s="1"/>
      <c r="I20726" s="1"/>
    </row>
    <row r="20727" spans="8:9" x14ac:dyDescent="0.2">
      <c r="H20727" s="1"/>
      <c r="I20727" s="1"/>
    </row>
    <row r="20728" spans="8:9" x14ac:dyDescent="0.2">
      <c r="H20728" s="1"/>
      <c r="I20728" s="1"/>
    </row>
    <row r="20729" spans="8:9" x14ac:dyDescent="0.2">
      <c r="H20729" s="1"/>
      <c r="I20729" s="1"/>
    </row>
    <row r="20730" spans="8:9" x14ac:dyDescent="0.2">
      <c r="H20730" s="1"/>
      <c r="I20730" s="1"/>
    </row>
    <row r="20731" spans="8:9" x14ac:dyDescent="0.2">
      <c r="H20731" s="1"/>
      <c r="I20731" s="1"/>
    </row>
    <row r="20732" spans="8:9" x14ac:dyDescent="0.2">
      <c r="H20732" s="1"/>
      <c r="I20732" s="1"/>
    </row>
    <row r="20733" spans="8:9" x14ac:dyDescent="0.2">
      <c r="H20733" s="1"/>
      <c r="I20733" s="1"/>
    </row>
    <row r="20734" spans="8:9" x14ac:dyDescent="0.2">
      <c r="H20734" s="1"/>
      <c r="I20734" s="1"/>
    </row>
    <row r="20735" spans="8:9" x14ac:dyDescent="0.2">
      <c r="H20735" s="1"/>
      <c r="I20735" s="1"/>
    </row>
    <row r="20736" spans="8:9" x14ac:dyDescent="0.2">
      <c r="H20736" s="1"/>
      <c r="I20736" s="1"/>
    </row>
    <row r="20737" spans="8:9" x14ac:dyDescent="0.2">
      <c r="H20737" s="1"/>
      <c r="I20737" s="1"/>
    </row>
    <row r="20738" spans="8:9" x14ac:dyDescent="0.2">
      <c r="H20738" s="1"/>
      <c r="I20738" s="1"/>
    </row>
    <row r="20739" spans="8:9" x14ac:dyDescent="0.2">
      <c r="H20739" s="1"/>
      <c r="I20739" s="1"/>
    </row>
    <row r="20740" spans="8:9" x14ac:dyDescent="0.2">
      <c r="H20740" s="1"/>
      <c r="I20740" s="1"/>
    </row>
    <row r="20741" spans="8:9" x14ac:dyDescent="0.2">
      <c r="H20741" s="1"/>
      <c r="I20741" s="1"/>
    </row>
    <row r="20742" spans="8:9" x14ac:dyDescent="0.2">
      <c r="H20742" s="1"/>
      <c r="I20742" s="1"/>
    </row>
    <row r="20743" spans="8:9" x14ac:dyDescent="0.2">
      <c r="H20743" s="1"/>
      <c r="I20743" s="1"/>
    </row>
    <row r="20744" spans="8:9" x14ac:dyDescent="0.2">
      <c r="H20744" s="1"/>
      <c r="I20744" s="1"/>
    </row>
    <row r="20745" spans="8:9" x14ac:dyDescent="0.2">
      <c r="H20745" s="1"/>
      <c r="I20745" s="1"/>
    </row>
    <row r="20746" spans="8:9" x14ac:dyDescent="0.2">
      <c r="H20746" s="1"/>
      <c r="I20746" s="1"/>
    </row>
    <row r="20747" spans="8:9" x14ac:dyDescent="0.2">
      <c r="H20747" s="1"/>
      <c r="I20747" s="1"/>
    </row>
    <row r="20748" spans="8:9" x14ac:dyDescent="0.2">
      <c r="H20748" s="1"/>
      <c r="I20748" s="1"/>
    </row>
    <row r="20749" spans="8:9" x14ac:dyDescent="0.2">
      <c r="H20749" s="1"/>
      <c r="I20749" s="1"/>
    </row>
    <row r="20750" spans="8:9" x14ac:dyDescent="0.2">
      <c r="H20750" s="1"/>
      <c r="I20750" s="1"/>
    </row>
    <row r="20751" spans="8:9" x14ac:dyDescent="0.2">
      <c r="H20751" s="1"/>
      <c r="I20751" s="1"/>
    </row>
    <row r="20752" spans="8:9" x14ac:dyDescent="0.2">
      <c r="H20752" s="1"/>
      <c r="I20752" s="1"/>
    </row>
    <row r="20753" spans="8:9" x14ac:dyDescent="0.2">
      <c r="H20753" s="1"/>
      <c r="I20753" s="1"/>
    </row>
    <row r="20754" spans="8:9" x14ac:dyDescent="0.2">
      <c r="H20754" s="1"/>
      <c r="I20754" s="1"/>
    </row>
    <row r="20755" spans="8:9" x14ac:dyDescent="0.2">
      <c r="H20755" s="1"/>
      <c r="I20755" s="1"/>
    </row>
    <row r="20756" spans="8:9" x14ac:dyDescent="0.2">
      <c r="H20756" s="1"/>
      <c r="I20756" s="1"/>
    </row>
    <row r="20757" spans="8:9" x14ac:dyDescent="0.2">
      <c r="H20757" s="1"/>
      <c r="I20757" s="1"/>
    </row>
    <row r="20758" spans="8:9" x14ac:dyDescent="0.2">
      <c r="H20758" s="1"/>
      <c r="I20758" s="1"/>
    </row>
    <row r="20759" spans="8:9" x14ac:dyDescent="0.2">
      <c r="H20759" s="1"/>
      <c r="I20759" s="1"/>
    </row>
    <row r="20760" spans="8:9" x14ac:dyDescent="0.2">
      <c r="H20760" s="1"/>
      <c r="I20760" s="1"/>
    </row>
    <row r="20761" spans="8:9" x14ac:dyDescent="0.2">
      <c r="H20761" s="1"/>
      <c r="I20761" s="1"/>
    </row>
    <row r="20762" spans="8:9" x14ac:dyDescent="0.2">
      <c r="H20762" s="1"/>
      <c r="I20762" s="1"/>
    </row>
    <row r="20763" spans="8:9" x14ac:dyDescent="0.2">
      <c r="H20763" s="1"/>
      <c r="I20763" s="1"/>
    </row>
    <row r="20764" spans="8:9" x14ac:dyDescent="0.2">
      <c r="H20764" s="1"/>
      <c r="I20764" s="1"/>
    </row>
    <row r="20765" spans="8:9" x14ac:dyDescent="0.2">
      <c r="H20765" s="1"/>
      <c r="I20765" s="1"/>
    </row>
    <row r="20766" spans="8:9" x14ac:dyDescent="0.2">
      <c r="H20766" s="1"/>
      <c r="I20766" s="1"/>
    </row>
    <row r="20767" spans="8:9" x14ac:dyDescent="0.2">
      <c r="H20767" s="1"/>
      <c r="I20767" s="1"/>
    </row>
    <row r="20768" spans="8:9" x14ac:dyDescent="0.2">
      <c r="H20768" s="1"/>
      <c r="I20768" s="1"/>
    </row>
    <row r="20769" spans="8:9" x14ac:dyDescent="0.2">
      <c r="H20769" s="1"/>
      <c r="I20769" s="1"/>
    </row>
    <row r="20770" spans="8:9" x14ac:dyDescent="0.2">
      <c r="H20770" s="1"/>
      <c r="I20770" s="1"/>
    </row>
    <row r="20771" spans="8:9" x14ac:dyDescent="0.2">
      <c r="H20771" s="1"/>
      <c r="I20771" s="1"/>
    </row>
    <row r="20772" spans="8:9" x14ac:dyDescent="0.2">
      <c r="H20772" s="1"/>
      <c r="I20772" s="1"/>
    </row>
    <row r="20773" spans="8:9" x14ac:dyDescent="0.2">
      <c r="H20773" s="1"/>
      <c r="I20773" s="1"/>
    </row>
    <row r="20774" spans="8:9" x14ac:dyDescent="0.2">
      <c r="H20774" s="1"/>
      <c r="I20774" s="1"/>
    </row>
    <row r="20775" spans="8:9" x14ac:dyDescent="0.2">
      <c r="H20775" s="1"/>
      <c r="I20775" s="1"/>
    </row>
    <row r="20776" spans="8:9" x14ac:dyDescent="0.2">
      <c r="H20776" s="1"/>
      <c r="I20776" s="1"/>
    </row>
    <row r="20777" spans="8:9" x14ac:dyDescent="0.2">
      <c r="H20777" s="1"/>
      <c r="I20777" s="1"/>
    </row>
    <row r="20778" spans="8:9" x14ac:dyDescent="0.2">
      <c r="H20778" s="1"/>
      <c r="I20778" s="1"/>
    </row>
    <row r="20779" spans="8:9" x14ac:dyDescent="0.2">
      <c r="H20779" s="1"/>
      <c r="I20779" s="1"/>
    </row>
    <row r="20780" spans="8:9" x14ac:dyDescent="0.2">
      <c r="H20780" s="1"/>
      <c r="I20780" s="1"/>
    </row>
    <row r="20781" spans="8:9" x14ac:dyDescent="0.2">
      <c r="H20781" s="1"/>
      <c r="I20781" s="1"/>
    </row>
    <row r="20782" spans="8:9" x14ac:dyDescent="0.2">
      <c r="H20782" s="1"/>
      <c r="I20782" s="1"/>
    </row>
    <row r="20783" spans="8:9" x14ac:dyDescent="0.2">
      <c r="H20783" s="1"/>
      <c r="I20783" s="1"/>
    </row>
    <row r="20784" spans="8:9" x14ac:dyDescent="0.2">
      <c r="H20784" s="1"/>
      <c r="I20784" s="1"/>
    </row>
    <row r="20785" spans="8:9" x14ac:dyDescent="0.2">
      <c r="H20785" s="1"/>
      <c r="I20785" s="1"/>
    </row>
    <row r="20786" spans="8:9" x14ac:dyDescent="0.2">
      <c r="H20786" s="1"/>
      <c r="I20786" s="1"/>
    </row>
    <row r="20787" spans="8:9" x14ac:dyDescent="0.2">
      <c r="H20787" s="1"/>
      <c r="I20787" s="1"/>
    </row>
    <row r="20788" spans="8:9" x14ac:dyDescent="0.2">
      <c r="H20788" s="1"/>
      <c r="I20788" s="1"/>
    </row>
    <row r="20789" spans="8:9" x14ac:dyDescent="0.2">
      <c r="H20789" s="1"/>
      <c r="I20789" s="1"/>
    </row>
    <row r="20790" spans="8:9" x14ac:dyDescent="0.2">
      <c r="H20790" s="1"/>
      <c r="I20790" s="1"/>
    </row>
    <row r="20791" spans="8:9" x14ac:dyDescent="0.2">
      <c r="H20791" s="1"/>
      <c r="I20791" s="1"/>
    </row>
    <row r="20792" spans="8:9" x14ac:dyDescent="0.2">
      <c r="H20792" s="1"/>
      <c r="I20792" s="1"/>
    </row>
    <row r="20793" spans="8:9" x14ac:dyDescent="0.2">
      <c r="H20793" s="1"/>
      <c r="I20793" s="1"/>
    </row>
    <row r="20794" spans="8:9" x14ac:dyDescent="0.2">
      <c r="H20794" s="1"/>
      <c r="I20794" s="1"/>
    </row>
    <row r="20795" spans="8:9" x14ac:dyDescent="0.2">
      <c r="H20795" s="1"/>
      <c r="I20795" s="1"/>
    </row>
    <row r="20796" spans="8:9" x14ac:dyDescent="0.2">
      <c r="H20796" s="1"/>
      <c r="I20796" s="1"/>
    </row>
    <row r="20797" spans="8:9" x14ac:dyDescent="0.2">
      <c r="H20797" s="1"/>
      <c r="I20797" s="1"/>
    </row>
    <row r="20798" spans="8:9" x14ac:dyDescent="0.2">
      <c r="H20798" s="1"/>
      <c r="I20798" s="1"/>
    </row>
    <row r="20799" spans="8:9" x14ac:dyDescent="0.2">
      <c r="H20799" s="1"/>
      <c r="I20799" s="1"/>
    </row>
    <row r="20800" spans="8:9" x14ac:dyDescent="0.2">
      <c r="H20800" s="1"/>
      <c r="I20800" s="1"/>
    </row>
    <row r="20801" spans="8:9" x14ac:dyDescent="0.2">
      <c r="H20801" s="1"/>
      <c r="I20801" s="1"/>
    </row>
    <row r="20802" spans="8:9" x14ac:dyDescent="0.2">
      <c r="H20802" s="1"/>
      <c r="I20802" s="1"/>
    </row>
    <row r="20803" spans="8:9" x14ac:dyDescent="0.2">
      <c r="H20803" s="1"/>
      <c r="I20803" s="1"/>
    </row>
    <row r="20804" spans="8:9" x14ac:dyDescent="0.2">
      <c r="H20804" s="1"/>
      <c r="I20804" s="1"/>
    </row>
    <row r="20805" spans="8:9" x14ac:dyDescent="0.2">
      <c r="H20805" s="1"/>
      <c r="I20805" s="1"/>
    </row>
    <row r="20806" spans="8:9" x14ac:dyDescent="0.2">
      <c r="H20806" s="1"/>
      <c r="I20806" s="1"/>
    </row>
    <row r="20807" spans="8:9" x14ac:dyDescent="0.2">
      <c r="H20807" s="1"/>
      <c r="I20807" s="1"/>
    </row>
    <row r="20808" spans="8:9" x14ac:dyDescent="0.2">
      <c r="H20808" s="1"/>
      <c r="I20808" s="1"/>
    </row>
    <row r="20809" spans="8:9" x14ac:dyDescent="0.2">
      <c r="H20809" s="1"/>
      <c r="I20809" s="1"/>
    </row>
    <row r="20810" spans="8:9" x14ac:dyDescent="0.2">
      <c r="H20810" s="1"/>
      <c r="I20810" s="1"/>
    </row>
    <row r="20811" spans="8:9" x14ac:dyDescent="0.2">
      <c r="H20811" s="1"/>
      <c r="I20811" s="1"/>
    </row>
    <row r="20812" spans="8:9" x14ac:dyDescent="0.2">
      <c r="H20812" s="1"/>
      <c r="I20812" s="1"/>
    </row>
    <row r="20813" spans="8:9" x14ac:dyDescent="0.2">
      <c r="H20813" s="1"/>
      <c r="I20813" s="1"/>
    </row>
    <row r="20814" spans="8:9" x14ac:dyDescent="0.2">
      <c r="H20814" s="1"/>
      <c r="I20814" s="1"/>
    </row>
    <row r="20815" spans="8:9" x14ac:dyDescent="0.2">
      <c r="H20815" s="1"/>
      <c r="I20815" s="1"/>
    </row>
    <row r="20816" spans="8:9" x14ac:dyDescent="0.2">
      <c r="H20816" s="1"/>
      <c r="I20816" s="1"/>
    </row>
    <row r="20817" spans="8:9" x14ac:dyDescent="0.2">
      <c r="H20817" s="1"/>
      <c r="I20817" s="1"/>
    </row>
    <row r="20818" spans="8:9" x14ac:dyDescent="0.2">
      <c r="H20818" s="1"/>
      <c r="I20818" s="1"/>
    </row>
    <row r="20819" spans="8:9" x14ac:dyDescent="0.2">
      <c r="H20819" s="1"/>
      <c r="I20819" s="1"/>
    </row>
    <row r="20820" spans="8:9" x14ac:dyDescent="0.2">
      <c r="H20820" s="1"/>
      <c r="I20820" s="1"/>
    </row>
    <row r="20821" spans="8:9" x14ac:dyDescent="0.2">
      <c r="H20821" s="1"/>
      <c r="I20821" s="1"/>
    </row>
    <row r="20822" spans="8:9" x14ac:dyDescent="0.2">
      <c r="H20822" s="1"/>
      <c r="I20822" s="1"/>
    </row>
    <row r="20823" spans="8:9" x14ac:dyDescent="0.2">
      <c r="H20823" s="1"/>
      <c r="I20823" s="1"/>
    </row>
    <row r="20824" spans="8:9" x14ac:dyDescent="0.2">
      <c r="H20824" s="1"/>
      <c r="I20824" s="1"/>
    </row>
    <row r="20825" spans="8:9" x14ac:dyDescent="0.2">
      <c r="H20825" s="1"/>
      <c r="I20825" s="1"/>
    </row>
    <row r="20826" spans="8:9" x14ac:dyDescent="0.2">
      <c r="H20826" s="1"/>
      <c r="I20826" s="1"/>
    </row>
    <row r="20827" spans="8:9" x14ac:dyDescent="0.2">
      <c r="H20827" s="1"/>
      <c r="I20827" s="1"/>
    </row>
    <row r="20828" spans="8:9" x14ac:dyDescent="0.2">
      <c r="H20828" s="1"/>
      <c r="I20828" s="1"/>
    </row>
    <row r="20829" spans="8:9" x14ac:dyDescent="0.2">
      <c r="H20829" s="1"/>
      <c r="I20829" s="1"/>
    </row>
    <row r="20830" spans="8:9" x14ac:dyDescent="0.2">
      <c r="H20830" s="1"/>
      <c r="I20830" s="1"/>
    </row>
    <row r="20831" spans="8:9" x14ac:dyDescent="0.2">
      <c r="H20831" s="1"/>
      <c r="I20831" s="1"/>
    </row>
    <row r="20832" spans="8:9" x14ac:dyDescent="0.2">
      <c r="H20832" s="1"/>
      <c r="I20832" s="1"/>
    </row>
    <row r="20833" spans="8:9" x14ac:dyDescent="0.2">
      <c r="H20833" s="1"/>
      <c r="I20833" s="1"/>
    </row>
    <row r="20834" spans="8:9" x14ac:dyDescent="0.2">
      <c r="H20834" s="1"/>
      <c r="I20834" s="1"/>
    </row>
    <row r="20835" spans="8:9" x14ac:dyDescent="0.2">
      <c r="H20835" s="1"/>
      <c r="I20835" s="1"/>
    </row>
    <row r="20836" spans="8:9" x14ac:dyDescent="0.2">
      <c r="H20836" s="1"/>
      <c r="I20836" s="1"/>
    </row>
    <row r="20837" spans="8:9" x14ac:dyDescent="0.2">
      <c r="H20837" s="1"/>
      <c r="I20837" s="1"/>
    </row>
    <row r="20838" spans="8:9" x14ac:dyDescent="0.2">
      <c r="H20838" s="1"/>
      <c r="I20838" s="1"/>
    </row>
    <row r="20839" spans="8:9" x14ac:dyDescent="0.2">
      <c r="H20839" s="1"/>
      <c r="I20839" s="1"/>
    </row>
    <row r="20840" spans="8:9" x14ac:dyDescent="0.2">
      <c r="H20840" s="1"/>
      <c r="I20840" s="1"/>
    </row>
    <row r="20841" spans="8:9" x14ac:dyDescent="0.2">
      <c r="H20841" s="1"/>
      <c r="I20841" s="1"/>
    </row>
    <row r="20842" spans="8:9" x14ac:dyDescent="0.2">
      <c r="H20842" s="1"/>
      <c r="I20842" s="1"/>
    </row>
    <row r="20843" spans="8:9" x14ac:dyDescent="0.2">
      <c r="H20843" s="1"/>
      <c r="I20843" s="1"/>
    </row>
    <row r="20844" spans="8:9" x14ac:dyDescent="0.2">
      <c r="H20844" s="1"/>
      <c r="I20844" s="1"/>
    </row>
    <row r="20845" spans="8:9" x14ac:dyDescent="0.2">
      <c r="H20845" s="1"/>
      <c r="I20845" s="1"/>
    </row>
    <row r="20846" spans="8:9" x14ac:dyDescent="0.2">
      <c r="H20846" s="1"/>
      <c r="I20846" s="1"/>
    </row>
    <row r="20847" spans="8:9" x14ac:dyDescent="0.2">
      <c r="H20847" s="1"/>
      <c r="I20847" s="1"/>
    </row>
    <row r="20848" spans="8:9" x14ac:dyDescent="0.2">
      <c r="H20848" s="1"/>
      <c r="I20848" s="1"/>
    </row>
    <row r="20849" spans="8:9" x14ac:dyDescent="0.2">
      <c r="H20849" s="1"/>
      <c r="I20849" s="1"/>
    </row>
    <row r="20850" spans="8:9" x14ac:dyDescent="0.2">
      <c r="H20850" s="1"/>
      <c r="I20850" s="1"/>
    </row>
    <row r="20851" spans="8:9" x14ac:dyDescent="0.2">
      <c r="H20851" s="1"/>
      <c r="I20851" s="1"/>
    </row>
    <row r="20852" spans="8:9" x14ac:dyDescent="0.2">
      <c r="H20852" s="1"/>
      <c r="I20852" s="1"/>
    </row>
    <row r="20853" spans="8:9" x14ac:dyDescent="0.2">
      <c r="H20853" s="1"/>
      <c r="I20853" s="1"/>
    </row>
    <row r="20854" spans="8:9" x14ac:dyDescent="0.2">
      <c r="H20854" s="1"/>
      <c r="I20854" s="1"/>
    </row>
    <row r="20855" spans="8:9" x14ac:dyDescent="0.2">
      <c r="H20855" s="1"/>
      <c r="I20855" s="1"/>
    </row>
    <row r="20856" spans="8:9" x14ac:dyDescent="0.2">
      <c r="H20856" s="1"/>
      <c r="I20856" s="1"/>
    </row>
    <row r="20857" spans="8:9" x14ac:dyDescent="0.2">
      <c r="H20857" s="1"/>
      <c r="I20857" s="1"/>
    </row>
    <row r="20858" spans="8:9" x14ac:dyDescent="0.2">
      <c r="H20858" s="1"/>
      <c r="I20858" s="1"/>
    </row>
    <row r="20859" spans="8:9" x14ac:dyDescent="0.2">
      <c r="H20859" s="1"/>
      <c r="I20859" s="1"/>
    </row>
    <row r="20860" spans="8:9" x14ac:dyDescent="0.2">
      <c r="H20860" s="1"/>
      <c r="I20860" s="1"/>
    </row>
    <row r="20861" spans="8:9" x14ac:dyDescent="0.2">
      <c r="H20861" s="1"/>
      <c r="I20861" s="1"/>
    </row>
    <row r="20862" spans="8:9" x14ac:dyDescent="0.2">
      <c r="H20862" s="1"/>
      <c r="I20862" s="1"/>
    </row>
    <row r="20863" spans="8:9" x14ac:dyDescent="0.2">
      <c r="H20863" s="1"/>
      <c r="I20863" s="1"/>
    </row>
    <row r="20864" spans="8:9" x14ac:dyDescent="0.2">
      <c r="H20864" s="1"/>
      <c r="I20864" s="1"/>
    </row>
    <row r="20865" spans="8:9" x14ac:dyDescent="0.2">
      <c r="H20865" s="1"/>
      <c r="I20865" s="1"/>
    </row>
    <row r="20866" spans="8:9" x14ac:dyDescent="0.2">
      <c r="H20866" s="1"/>
      <c r="I20866" s="1"/>
    </row>
    <row r="20867" spans="8:9" x14ac:dyDescent="0.2">
      <c r="H20867" s="1"/>
      <c r="I20867" s="1"/>
    </row>
    <row r="20868" spans="8:9" x14ac:dyDescent="0.2">
      <c r="H20868" s="1"/>
      <c r="I20868" s="1"/>
    </row>
    <row r="20869" spans="8:9" x14ac:dyDescent="0.2">
      <c r="H20869" s="1"/>
      <c r="I20869" s="1"/>
    </row>
    <row r="20870" spans="8:9" x14ac:dyDescent="0.2">
      <c r="H20870" s="1"/>
      <c r="I20870" s="1"/>
    </row>
    <row r="20871" spans="8:9" x14ac:dyDescent="0.2">
      <c r="H20871" s="1"/>
      <c r="I20871" s="1"/>
    </row>
    <row r="20872" spans="8:9" x14ac:dyDescent="0.2">
      <c r="H20872" s="1"/>
      <c r="I20872" s="1"/>
    </row>
    <row r="20873" spans="8:9" x14ac:dyDescent="0.2">
      <c r="H20873" s="1"/>
      <c r="I20873" s="1"/>
    </row>
    <row r="20874" spans="8:9" x14ac:dyDescent="0.2">
      <c r="H20874" s="1"/>
      <c r="I20874" s="1"/>
    </row>
    <row r="20875" spans="8:9" x14ac:dyDescent="0.2">
      <c r="H20875" s="1"/>
      <c r="I20875" s="1"/>
    </row>
    <row r="20876" spans="8:9" x14ac:dyDescent="0.2">
      <c r="H20876" s="1"/>
      <c r="I20876" s="1"/>
    </row>
    <row r="20877" spans="8:9" x14ac:dyDescent="0.2">
      <c r="H20877" s="1"/>
      <c r="I20877" s="1"/>
    </row>
    <row r="20878" spans="8:9" x14ac:dyDescent="0.2">
      <c r="H20878" s="1"/>
      <c r="I20878" s="1"/>
    </row>
    <row r="20879" spans="8:9" x14ac:dyDescent="0.2">
      <c r="H20879" s="1"/>
      <c r="I20879" s="1"/>
    </row>
    <row r="20880" spans="8:9" x14ac:dyDescent="0.2">
      <c r="H20880" s="1"/>
      <c r="I20880" s="1"/>
    </row>
    <row r="20881" spans="8:9" x14ac:dyDescent="0.2">
      <c r="H20881" s="1"/>
      <c r="I20881" s="1"/>
    </row>
    <row r="20882" spans="8:9" x14ac:dyDescent="0.2">
      <c r="H20882" s="1"/>
      <c r="I20882" s="1"/>
    </row>
    <row r="20883" spans="8:9" x14ac:dyDescent="0.2">
      <c r="H20883" s="1"/>
      <c r="I20883" s="1"/>
    </row>
    <row r="20884" spans="8:9" x14ac:dyDescent="0.2">
      <c r="H20884" s="1"/>
      <c r="I20884" s="1"/>
    </row>
    <row r="20885" spans="8:9" x14ac:dyDescent="0.2">
      <c r="H20885" s="1"/>
      <c r="I20885" s="1"/>
    </row>
    <row r="20886" spans="8:9" x14ac:dyDescent="0.2">
      <c r="H20886" s="1"/>
      <c r="I20886" s="1"/>
    </row>
    <row r="20887" spans="8:9" x14ac:dyDescent="0.2">
      <c r="H20887" s="1"/>
      <c r="I20887" s="1"/>
    </row>
    <row r="20888" spans="8:9" x14ac:dyDescent="0.2">
      <c r="H20888" s="1"/>
      <c r="I20888" s="1"/>
    </row>
    <row r="20889" spans="8:9" x14ac:dyDescent="0.2">
      <c r="H20889" s="1"/>
      <c r="I20889" s="1"/>
    </row>
    <row r="20890" spans="8:9" x14ac:dyDescent="0.2">
      <c r="H20890" s="1"/>
      <c r="I20890" s="1"/>
    </row>
    <row r="20891" spans="8:9" x14ac:dyDescent="0.2">
      <c r="H20891" s="1"/>
      <c r="I20891" s="1"/>
    </row>
    <row r="20892" spans="8:9" x14ac:dyDescent="0.2">
      <c r="H20892" s="1"/>
      <c r="I20892" s="1"/>
    </row>
    <row r="20893" spans="8:9" x14ac:dyDescent="0.2">
      <c r="H20893" s="1"/>
      <c r="I20893" s="1"/>
    </row>
    <row r="20894" spans="8:9" x14ac:dyDescent="0.2">
      <c r="H20894" s="1"/>
      <c r="I20894" s="1"/>
    </row>
    <row r="20895" spans="8:9" x14ac:dyDescent="0.2">
      <c r="H20895" s="1"/>
      <c r="I20895" s="1"/>
    </row>
    <row r="20896" spans="8:9" x14ac:dyDescent="0.2">
      <c r="H20896" s="1"/>
      <c r="I20896" s="1"/>
    </row>
    <row r="20897" spans="8:9" x14ac:dyDescent="0.2">
      <c r="H20897" s="1"/>
      <c r="I20897" s="1"/>
    </row>
    <row r="20898" spans="8:9" x14ac:dyDescent="0.2">
      <c r="H20898" s="1"/>
      <c r="I20898" s="1"/>
    </row>
    <row r="20899" spans="8:9" x14ac:dyDescent="0.2">
      <c r="H20899" s="1"/>
      <c r="I20899" s="1"/>
    </row>
    <row r="20900" spans="8:9" x14ac:dyDescent="0.2">
      <c r="H20900" s="1"/>
      <c r="I20900" s="1"/>
    </row>
    <row r="20901" spans="8:9" x14ac:dyDescent="0.2">
      <c r="H20901" s="1"/>
      <c r="I20901" s="1"/>
    </row>
    <row r="20902" spans="8:9" x14ac:dyDescent="0.2">
      <c r="H20902" s="1"/>
      <c r="I20902" s="1"/>
    </row>
    <row r="20903" spans="8:9" x14ac:dyDescent="0.2">
      <c r="H20903" s="1"/>
      <c r="I20903" s="1"/>
    </row>
    <row r="20904" spans="8:9" x14ac:dyDescent="0.2">
      <c r="H20904" s="1"/>
      <c r="I20904" s="1"/>
    </row>
    <row r="20905" spans="8:9" x14ac:dyDescent="0.2">
      <c r="H20905" s="1"/>
      <c r="I20905" s="1"/>
    </row>
    <row r="20906" spans="8:9" x14ac:dyDescent="0.2">
      <c r="H20906" s="1"/>
      <c r="I20906" s="1"/>
    </row>
    <row r="20907" spans="8:9" x14ac:dyDescent="0.2">
      <c r="H20907" s="1"/>
      <c r="I20907" s="1"/>
    </row>
    <row r="20908" spans="8:9" x14ac:dyDescent="0.2">
      <c r="H20908" s="1"/>
      <c r="I20908" s="1"/>
    </row>
    <row r="20909" spans="8:9" x14ac:dyDescent="0.2">
      <c r="H20909" s="1"/>
      <c r="I20909" s="1"/>
    </row>
    <row r="20910" spans="8:9" x14ac:dyDescent="0.2">
      <c r="H20910" s="1"/>
      <c r="I20910" s="1"/>
    </row>
    <row r="20911" spans="8:9" x14ac:dyDescent="0.2">
      <c r="H20911" s="1"/>
      <c r="I20911" s="1"/>
    </row>
    <row r="20912" spans="8:9" x14ac:dyDescent="0.2">
      <c r="H20912" s="1"/>
      <c r="I20912" s="1"/>
    </row>
    <row r="20913" spans="8:9" x14ac:dyDescent="0.2">
      <c r="H20913" s="1"/>
      <c r="I20913" s="1"/>
    </row>
    <row r="20914" spans="8:9" x14ac:dyDescent="0.2">
      <c r="H20914" s="1"/>
      <c r="I20914" s="1"/>
    </row>
    <row r="20915" spans="8:9" x14ac:dyDescent="0.2">
      <c r="H20915" s="1"/>
      <c r="I20915" s="1"/>
    </row>
    <row r="20916" spans="8:9" x14ac:dyDescent="0.2">
      <c r="H20916" s="1"/>
      <c r="I20916" s="1"/>
    </row>
    <row r="20917" spans="8:9" x14ac:dyDescent="0.2">
      <c r="H20917" s="1"/>
      <c r="I20917" s="1"/>
    </row>
    <row r="20918" spans="8:9" x14ac:dyDescent="0.2">
      <c r="H20918" s="1"/>
      <c r="I20918" s="1"/>
    </row>
    <row r="20919" spans="8:9" x14ac:dyDescent="0.2">
      <c r="H20919" s="1"/>
      <c r="I20919" s="1"/>
    </row>
    <row r="20920" spans="8:9" x14ac:dyDescent="0.2">
      <c r="H20920" s="1"/>
      <c r="I20920" s="1"/>
    </row>
    <row r="20921" spans="8:9" x14ac:dyDescent="0.2">
      <c r="H20921" s="1"/>
      <c r="I20921" s="1"/>
    </row>
    <row r="20922" spans="8:9" x14ac:dyDescent="0.2">
      <c r="H20922" s="1"/>
      <c r="I20922" s="1"/>
    </row>
    <row r="20923" spans="8:9" x14ac:dyDescent="0.2">
      <c r="H20923" s="1"/>
      <c r="I20923" s="1"/>
    </row>
    <row r="20924" spans="8:9" x14ac:dyDescent="0.2">
      <c r="H20924" s="1"/>
      <c r="I20924" s="1"/>
    </row>
    <row r="20925" spans="8:9" x14ac:dyDescent="0.2">
      <c r="H20925" s="1"/>
      <c r="I20925" s="1"/>
    </row>
    <row r="20926" spans="8:9" x14ac:dyDescent="0.2">
      <c r="H20926" s="1"/>
      <c r="I20926" s="1"/>
    </row>
    <row r="20927" spans="8:9" x14ac:dyDescent="0.2">
      <c r="H20927" s="1"/>
      <c r="I20927" s="1"/>
    </row>
    <row r="20928" spans="8:9" x14ac:dyDescent="0.2">
      <c r="H20928" s="1"/>
      <c r="I20928" s="1"/>
    </row>
    <row r="20929" spans="8:9" x14ac:dyDescent="0.2">
      <c r="H20929" s="1"/>
      <c r="I20929" s="1"/>
    </row>
    <row r="20930" spans="8:9" x14ac:dyDescent="0.2">
      <c r="H20930" s="1"/>
      <c r="I20930" s="1"/>
    </row>
    <row r="20931" spans="8:9" x14ac:dyDescent="0.2">
      <c r="H20931" s="1"/>
      <c r="I20931" s="1"/>
    </row>
    <row r="20932" spans="8:9" x14ac:dyDescent="0.2">
      <c r="H20932" s="1"/>
      <c r="I20932" s="1"/>
    </row>
    <row r="20933" spans="8:9" x14ac:dyDescent="0.2">
      <c r="H20933" s="1"/>
      <c r="I20933" s="1"/>
    </row>
    <row r="20934" spans="8:9" x14ac:dyDescent="0.2">
      <c r="H20934" s="1"/>
      <c r="I20934" s="1"/>
    </row>
    <row r="20935" spans="8:9" x14ac:dyDescent="0.2">
      <c r="H20935" s="1"/>
      <c r="I20935" s="1"/>
    </row>
    <row r="20936" spans="8:9" x14ac:dyDescent="0.2">
      <c r="H20936" s="1"/>
      <c r="I20936" s="1"/>
    </row>
    <row r="20937" spans="8:9" x14ac:dyDescent="0.2">
      <c r="H20937" s="1"/>
      <c r="I20937" s="1"/>
    </row>
    <row r="20938" spans="8:9" x14ac:dyDescent="0.2">
      <c r="H20938" s="1"/>
      <c r="I20938" s="1"/>
    </row>
    <row r="20939" spans="8:9" x14ac:dyDescent="0.2">
      <c r="H20939" s="1"/>
      <c r="I20939" s="1"/>
    </row>
    <row r="20940" spans="8:9" x14ac:dyDescent="0.2">
      <c r="H20940" s="1"/>
      <c r="I20940" s="1"/>
    </row>
    <row r="20941" spans="8:9" x14ac:dyDescent="0.2">
      <c r="H20941" s="1"/>
      <c r="I20941" s="1"/>
    </row>
    <row r="20942" spans="8:9" x14ac:dyDescent="0.2">
      <c r="H20942" s="1"/>
      <c r="I20942" s="1"/>
    </row>
    <row r="20943" spans="8:9" x14ac:dyDescent="0.2">
      <c r="H20943" s="1"/>
      <c r="I20943" s="1"/>
    </row>
    <row r="20944" spans="8:9" x14ac:dyDescent="0.2">
      <c r="H20944" s="1"/>
      <c r="I20944" s="1"/>
    </row>
    <row r="20945" spans="8:9" x14ac:dyDescent="0.2">
      <c r="H20945" s="1"/>
      <c r="I20945" s="1"/>
    </row>
    <row r="20946" spans="8:9" x14ac:dyDescent="0.2">
      <c r="H20946" s="1"/>
      <c r="I20946" s="1"/>
    </row>
    <row r="20947" spans="8:9" x14ac:dyDescent="0.2">
      <c r="H20947" s="1"/>
      <c r="I20947" s="1"/>
    </row>
    <row r="20948" spans="8:9" x14ac:dyDescent="0.2">
      <c r="H20948" s="1"/>
      <c r="I20948" s="1"/>
    </row>
    <row r="20949" spans="8:9" x14ac:dyDescent="0.2">
      <c r="H20949" s="1"/>
      <c r="I20949" s="1"/>
    </row>
    <row r="20950" spans="8:9" x14ac:dyDescent="0.2">
      <c r="H20950" s="1"/>
      <c r="I20950" s="1"/>
    </row>
    <row r="20951" spans="8:9" x14ac:dyDescent="0.2">
      <c r="H20951" s="1"/>
      <c r="I20951" s="1"/>
    </row>
    <row r="20952" spans="8:9" x14ac:dyDescent="0.2">
      <c r="H20952" s="1"/>
      <c r="I20952" s="1"/>
    </row>
    <row r="20953" spans="8:9" x14ac:dyDescent="0.2">
      <c r="H20953" s="1"/>
      <c r="I20953" s="1"/>
    </row>
    <row r="20954" spans="8:9" x14ac:dyDescent="0.2">
      <c r="H20954" s="1"/>
      <c r="I20954" s="1"/>
    </row>
    <row r="20955" spans="8:9" x14ac:dyDescent="0.2">
      <c r="H20955" s="1"/>
      <c r="I20955" s="1"/>
    </row>
    <row r="20956" spans="8:9" x14ac:dyDescent="0.2">
      <c r="H20956" s="1"/>
      <c r="I20956" s="1"/>
    </row>
    <row r="20957" spans="8:9" x14ac:dyDescent="0.2">
      <c r="H20957" s="1"/>
      <c r="I20957" s="1"/>
    </row>
    <row r="20958" spans="8:9" x14ac:dyDescent="0.2">
      <c r="H20958" s="1"/>
      <c r="I20958" s="1"/>
    </row>
    <row r="20959" spans="8:9" x14ac:dyDescent="0.2">
      <c r="H20959" s="1"/>
      <c r="I20959" s="1"/>
    </row>
    <row r="20960" spans="8:9" x14ac:dyDescent="0.2">
      <c r="H20960" s="1"/>
      <c r="I20960" s="1"/>
    </row>
    <row r="20961" spans="8:9" x14ac:dyDescent="0.2">
      <c r="H20961" s="1"/>
      <c r="I20961" s="1"/>
    </row>
    <row r="20962" spans="8:9" x14ac:dyDescent="0.2">
      <c r="H20962" s="1"/>
      <c r="I20962" s="1"/>
    </row>
    <row r="20963" spans="8:9" x14ac:dyDescent="0.2">
      <c r="H20963" s="1"/>
      <c r="I20963" s="1"/>
    </row>
    <row r="20964" spans="8:9" x14ac:dyDescent="0.2">
      <c r="H20964" s="1"/>
      <c r="I20964" s="1"/>
    </row>
    <row r="20965" spans="8:9" x14ac:dyDescent="0.2">
      <c r="H20965" s="1"/>
      <c r="I20965" s="1"/>
    </row>
    <row r="20966" spans="8:9" x14ac:dyDescent="0.2">
      <c r="H20966" s="1"/>
      <c r="I20966" s="1"/>
    </row>
    <row r="20967" spans="8:9" x14ac:dyDescent="0.2">
      <c r="H20967" s="1"/>
      <c r="I20967" s="1"/>
    </row>
    <row r="20968" spans="8:9" x14ac:dyDescent="0.2">
      <c r="H20968" s="1"/>
      <c r="I20968" s="1"/>
    </row>
    <row r="20969" spans="8:9" x14ac:dyDescent="0.2">
      <c r="H20969" s="1"/>
      <c r="I20969" s="1"/>
    </row>
    <row r="20970" spans="8:9" x14ac:dyDescent="0.2">
      <c r="H20970" s="1"/>
      <c r="I20970" s="1"/>
    </row>
    <row r="20971" spans="8:9" x14ac:dyDescent="0.2">
      <c r="H20971" s="1"/>
      <c r="I20971" s="1"/>
    </row>
    <row r="20972" spans="8:9" x14ac:dyDescent="0.2">
      <c r="H20972" s="1"/>
      <c r="I20972" s="1"/>
    </row>
    <row r="20973" spans="8:9" x14ac:dyDescent="0.2">
      <c r="H20973" s="1"/>
      <c r="I20973" s="1"/>
    </row>
    <row r="20974" spans="8:9" x14ac:dyDescent="0.2">
      <c r="H20974" s="1"/>
      <c r="I20974" s="1"/>
    </row>
    <row r="20975" spans="8:9" x14ac:dyDescent="0.2">
      <c r="H20975" s="1"/>
      <c r="I20975" s="1"/>
    </row>
    <row r="20976" spans="8:9" x14ac:dyDescent="0.2">
      <c r="H20976" s="1"/>
      <c r="I20976" s="1"/>
    </row>
    <row r="20977" spans="8:9" x14ac:dyDescent="0.2">
      <c r="H20977" s="1"/>
      <c r="I20977" s="1"/>
    </row>
    <row r="20978" spans="8:9" x14ac:dyDescent="0.2">
      <c r="H20978" s="1"/>
      <c r="I20978" s="1"/>
    </row>
    <row r="20979" spans="8:9" x14ac:dyDescent="0.2">
      <c r="H20979" s="1"/>
      <c r="I20979" s="1"/>
    </row>
    <row r="20980" spans="8:9" x14ac:dyDescent="0.2">
      <c r="H20980" s="1"/>
      <c r="I20980" s="1"/>
    </row>
    <row r="20981" spans="8:9" x14ac:dyDescent="0.2">
      <c r="H20981" s="1"/>
      <c r="I20981" s="1"/>
    </row>
    <row r="20982" spans="8:9" x14ac:dyDescent="0.2">
      <c r="H20982" s="1"/>
      <c r="I20982" s="1"/>
    </row>
    <row r="20983" spans="8:9" x14ac:dyDescent="0.2">
      <c r="H20983" s="1"/>
      <c r="I20983" s="1"/>
    </row>
    <row r="20984" spans="8:9" x14ac:dyDescent="0.2">
      <c r="H20984" s="1"/>
      <c r="I20984" s="1"/>
    </row>
    <row r="20985" spans="8:9" x14ac:dyDescent="0.2">
      <c r="H20985" s="1"/>
      <c r="I20985" s="1"/>
    </row>
    <row r="20986" spans="8:9" x14ac:dyDescent="0.2">
      <c r="H20986" s="1"/>
      <c r="I20986" s="1"/>
    </row>
    <row r="20987" spans="8:9" x14ac:dyDescent="0.2">
      <c r="H20987" s="1"/>
      <c r="I20987" s="1"/>
    </row>
    <row r="20988" spans="8:9" x14ac:dyDescent="0.2">
      <c r="H20988" s="1"/>
      <c r="I20988" s="1"/>
    </row>
    <row r="20989" spans="8:9" x14ac:dyDescent="0.2">
      <c r="H20989" s="1"/>
      <c r="I20989" s="1"/>
    </row>
    <row r="20990" spans="8:9" x14ac:dyDescent="0.2">
      <c r="H20990" s="1"/>
      <c r="I20990" s="1"/>
    </row>
    <row r="20991" spans="8:9" x14ac:dyDescent="0.2">
      <c r="H20991" s="1"/>
      <c r="I20991" s="1"/>
    </row>
    <row r="20992" spans="8:9" x14ac:dyDescent="0.2">
      <c r="H20992" s="1"/>
      <c r="I20992" s="1"/>
    </row>
    <row r="20993" spans="8:9" x14ac:dyDescent="0.2">
      <c r="H20993" s="1"/>
      <c r="I20993" s="1"/>
    </row>
    <row r="20994" spans="8:9" x14ac:dyDescent="0.2">
      <c r="H20994" s="1"/>
      <c r="I20994" s="1"/>
    </row>
    <row r="20995" spans="8:9" x14ac:dyDescent="0.2">
      <c r="H20995" s="1"/>
      <c r="I20995" s="1"/>
    </row>
    <row r="20996" spans="8:9" x14ac:dyDescent="0.2">
      <c r="H20996" s="1"/>
      <c r="I20996" s="1"/>
    </row>
    <row r="20997" spans="8:9" x14ac:dyDescent="0.2">
      <c r="H20997" s="1"/>
      <c r="I20997" s="1"/>
    </row>
    <row r="20998" spans="8:9" x14ac:dyDescent="0.2">
      <c r="H20998" s="1"/>
      <c r="I20998" s="1"/>
    </row>
    <row r="20999" spans="8:9" x14ac:dyDescent="0.2">
      <c r="H20999" s="1"/>
      <c r="I20999" s="1"/>
    </row>
    <row r="21000" spans="8:9" x14ac:dyDescent="0.2">
      <c r="H21000" s="1"/>
      <c r="I21000" s="1"/>
    </row>
    <row r="21001" spans="8:9" x14ac:dyDescent="0.2">
      <c r="H21001" s="1"/>
      <c r="I21001" s="1"/>
    </row>
    <row r="21002" spans="8:9" x14ac:dyDescent="0.2">
      <c r="H21002" s="1"/>
      <c r="I21002" s="1"/>
    </row>
    <row r="21003" spans="8:9" x14ac:dyDescent="0.2">
      <c r="H21003" s="1"/>
      <c r="I21003" s="1"/>
    </row>
    <row r="21004" spans="8:9" x14ac:dyDescent="0.2">
      <c r="H21004" s="1"/>
      <c r="I21004" s="1"/>
    </row>
    <row r="21005" spans="8:9" x14ac:dyDescent="0.2">
      <c r="H21005" s="1"/>
      <c r="I21005" s="1"/>
    </row>
    <row r="21006" spans="8:9" x14ac:dyDescent="0.2">
      <c r="H21006" s="1"/>
      <c r="I21006" s="1"/>
    </row>
    <row r="21007" spans="8:9" x14ac:dyDescent="0.2">
      <c r="H21007" s="1"/>
      <c r="I21007" s="1"/>
    </row>
    <row r="21008" spans="8:9" x14ac:dyDescent="0.2">
      <c r="H21008" s="1"/>
      <c r="I21008" s="1"/>
    </row>
    <row r="21009" spans="8:9" x14ac:dyDescent="0.2">
      <c r="H21009" s="1"/>
      <c r="I21009" s="1"/>
    </row>
    <row r="21010" spans="8:9" x14ac:dyDescent="0.2">
      <c r="H21010" s="1"/>
      <c r="I21010" s="1"/>
    </row>
    <row r="21011" spans="8:9" x14ac:dyDescent="0.2">
      <c r="H21011" s="1"/>
      <c r="I21011" s="1"/>
    </row>
    <row r="21012" spans="8:9" x14ac:dyDescent="0.2">
      <c r="H21012" s="1"/>
      <c r="I21012" s="1"/>
    </row>
    <row r="21013" spans="8:9" x14ac:dyDescent="0.2">
      <c r="H21013" s="1"/>
      <c r="I21013" s="1"/>
    </row>
    <row r="21014" spans="8:9" x14ac:dyDescent="0.2">
      <c r="H21014" s="1"/>
      <c r="I21014" s="1"/>
    </row>
    <row r="21015" spans="8:9" x14ac:dyDescent="0.2">
      <c r="H21015" s="1"/>
      <c r="I21015" s="1"/>
    </row>
    <row r="21016" spans="8:9" x14ac:dyDescent="0.2">
      <c r="H21016" s="1"/>
      <c r="I21016" s="1"/>
    </row>
    <row r="21017" spans="8:9" x14ac:dyDescent="0.2">
      <c r="H21017" s="1"/>
      <c r="I21017" s="1"/>
    </row>
    <row r="21018" spans="8:9" x14ac:dyDescent="0.2">
      <c r="H21018" s="1"/>
      <c r="I21018" s="1"/>
    </row>
    <row r="21019" spans="8:9" x14ac:dyDescent="0.2">
      <c r="H21019" s="1"/>
      <c r="I21019" s="1"/>
    </row>
    <row r="21020" spans="8:9" x14ac:dyDescent="0.2">
      <c r="H21020" s="1"/>
      <c r="I21020" s="1"/>
    </row>
    <row r="21021" spans="8:9" x14ac:dyDescent="0.2">
      <c r="H21021" s="1"/>
      <c r="I21021" s="1"/>
    </row>
    <row r="21022" spans="8:9" x14ac:dyDescent="0.2">
      <c r="H21022" s="1"/>
      <c r="I21022" s="1"/>
    </row>
    <row r="21023" spans="8:9" x14ac:dyDescent="0.2">
      <c r="H21023" s="1"/>
      <c r="I21023" s="1"/>
    </row>
    <row r="21024" spans="8:9" x14ac:dyDescent="0.2">
      <c r="H21024" s="1"/>
      <c r="I21024" s="1"/>
    </row>
    <row r="21025" spans="8:9" x14ac:dyDescent="0.2">
      <c r="H21025" s="1"/>
      <c r="I21025" s="1"/>
    </row>
    <row r="21026" spans="8:9" x14ac:dyDescent="0.2">
      <c r="H21026" s="1"/>
      <c r="I21026" s="1"/>
    </row>
    <row r="21027" spans="8:9" x14ac:dyDescent="0.2">
      <c r="H21027" s="1"/>
      <c r="I21027" s="1"/>
    </row>
    <row r="21028" spans="8:9" x14ac:dyDescent="0.2">
      <c r="H21028" s="1"/>
      <c r="I21028" s="1"/>
    </row>
    <row r="21029" spans="8:9" x14ac:dyDescent="0.2">
      <c r="H21029" s="1"/>
      <c r="I21029" s="1"/>
    </row>
    <row r="21030" spans="8:9" x14ac:dyDescent="0.2">
      <c r="H21030" s="1"/>
      <c r="I21030" s="1"/>
    </row>
    <row r="21031" spans="8:9" x14ac:dyDescent="0.2">
      <c r="H21031" s="1"/>
      <c r="I21031" s="1"/>
    </row>
    <row r="21032" spans="8:9" x14ac:dyDescent="0.2">
      <c r="H21032" s="1"/>
      <c r="I21032" s="1"/>
    </row>
    <row r="21033" spans="8:9" x14ac:dyDescent="0.2">
      <c r="H21033" s="1"/>
      <c r="I21033" s="1"/>
    </row>
    <row r="21034" spans="8:9" x14ac:dyDescent="0.2">
      <c r="H21034" s="1"/>
      <c r="I21034" s="1"/>
    </row>
    <row r="21035" spans="8:9" x14ac:dyDescent="0.2">
      <c r="H21035" s="1"/>
      <c r="I21035" s="1"/>
    </row>
    <row r="21036" spans="8:9" x14ac:dyDescent="0.2">
      <c r="H21036" s="1"/>
      <c r="I21036" s="1"/>
    </row>
    <row r="21037" spans="8:9" x14ac:dyDescent="0.2">
      <c r="H21037" s="1"/>
      <c r="I21037" s="1"/>
    </row>
    <row r="21038" spans="8:9" x14ac:dyDescent="0.2">
      <c r="H21038" s="1"/>
      <c r="I21038" s="1"/>
    </row>
    <row r="21039" spans="8:9" x14ac:dyDescent="0.2">
      <c r="H21039" s="1"/>
      <c r="I21039" s="1"/>
    </row>
    <row r="21040" spans="8:9" x14ac:dyDescent="0.2">
      <c r="H21040" s="1"/>
      <c r="I21040" s="1"/>
    </row>
    <row r="21041" spans="8:9" x14ac:dyDescent="0.2">
      <c r="H21041" s="1"/>
      <c r="I21041" s="1"/>
    </row>
    <row r="21042" spans="8:9" x14ac:dyDescent="0.2">
      <c r="H21042" s="1"/>
      <c r="I21042" s="1"/>
    </row>
    <row r="21043" spans="8:9" x14ac:dyDescent="0.2">
      <c r="H21043" s="1"/>
      <c r="I21043" s="1"/>
    </row>
    <row r="21044" spans="8:9" x14ac:dyDescent="0.2">
      <c r="H21044" s="1"/>
      <c r="I21044" s="1"/>
    </row>
    <row r="21045" spans="8:9" x14ac:dyDescent="0.2">
      <c r="H21045" s="1"/>
      <c r="I21045" s="1"/>
    </row>
    <row r="21046" spans="8:9" x14ac:dyDescent="0.2">
      <c r="H21046" s="1"/>
      <c r="I21046" s="1"/>
    </row>
    <row r="21047" spans="8:9" x14ac:dyDescent="0.2">
      <c r="H21047" s="1"/>
      <c r="I21047" s="1"/>
    </row>
    <row r="21048" spans="8:9" x14ac:dyDescent="0.2">
      <c r="H21048" s="1"/>
      <c r="I21048" s="1"/>
    </row>
    <row r="21049" spans="8:9" x14ac:dyDescent="0.2">
      <c r="H21049" s="1"/>
      <c r="I21049" s="1"/>
    </row>
    <row r="21050" spans="8:9" x14ac:dyDescent="0.2">
      <c r="H21050" s="1"/>
      <c r="I21050" s="1"/>
    </row>
    <row r="21051" spans="8:9" x14ac:dyDescent="0.2">
      <c r="H21051" s="1"/>
      <c r="I21051" s="1"/>
    </row>
    <row r="21052" spans="8:9" x14ac:dyDescent="0.2">
      <c r="H21052" s="1"/>
      <c r="I21052" s="1"/>
    </row>
    <row r="21053" spans="8:9" x14ac:dyDescent="0.2">
      <c r="H21053" s="1"/>
      <c r="I21053" s="1"/>
    </row>
    <row r="21054" spans="8:9" x14ac:dyDescent="0.2">
      <c r="H21054" s="1"/>
      <c r="I21054" s="1"/>
    </row>
    <row r="21055" spans="8:9" x14ac:dyDescent="0.2">
      <c r="H21055" s="1"/>
      <c r="I21055" s="1"/>
    </row>
    <row r="21056" spans="8:9" x14ac:dyDescent="0.2">
      <c r="H21056" s="1"/>
      <c r="I21056" s="1"/>
    </row>
    <row r="21057" spans="8:9" x14ac:dyDescent="0.2">
      <c r="H21057" s="1"/>
      <c r="I21057" s="1"/>
    </row>
    <row r="21058" spans="8:9" x14ac:dyDescent="0.2">
      <c r="H21058" s="1"/>
      <c r="I21058" s="1"/>
    </row>
    <row r="21059" spans="8:9" x14ac:dyDescent="0.2">
      <c r="H21059" s="1"/>
      <c r="I21059" s="1"/>
    </row>
    <row r="21060" spans="8:9" x14ac:dyDescent="0.2">
      <c r="H21060" s="1"/>
      <c r="I21060" s="1"/>
    </row>
    <row r="21061" spans="8:9" x14ac:dyDescent="0.2">
      <c r="H21061" s="1"/>
      <c r="I21061" s="1"/>
    </row>
    <row r="21062" spans="8:9" x14ac:dyDescent="0.2">
      <c r="H21062" s="1"/>
      <c r="I21062" s="1"/>
    </row>
    <row r="21063" spans="8:9" x14ac:dyDescent="0.2">
      <c r="H21063" s="1"/>
      <c r="I21063" s="1"/>
    </row>
    <row r="21064" spans="8:9" x14ac:dyDescent="0.2">
      <c r="H21064" s="1"/>
      <c r="I21064" s="1"/>
    </row>
    <row r="21065" spans="8:9" x14ac:dyDescent="0.2">
      <c r="H21065" s="1"/>
      <c r="I21065" s="1"/>
    </row>
    <row r="21066" spans="8:9" x14ac:dyDescent="0.2">
      <c r="H21066" s="1"/>
      <c r="I21066" s="1"/>
    </row>
    <row r="21067" spans="8:9" x14ac:dyDescent="0.2">
      <c r="H21067" s="1"/>
      <c r="I21067" s="1"/>
    </row>
    <row r="21068" spans="8:9" x14ac:dyDescent="0.2">
      <c r="H21068" s="1"/>
      <c r="I21068" s="1"/>
    </row>
    <row r="21069" spans="8:9" x14ac:dyDescent="0.2">
      <c r="H21069" s="1"/>
      <c r="I21069" s="1"/>
    </row>
    <row r="21070" spans="8:9" x14ac:dyDescent="0.2">
      <c r="H21070" s="1"/>
      <c r="I21070" s="1"/>
    </row>
    <row r="21071" spans="8:9" x14ac:dyDescent="0.2">
      <c r="H21071" s="1"/>
      <c r="I21071" s="1"/>
    </row>
    <row r="21072" spans="8:9" x14ac:dyDescent="0.2">
      <c r="H21072" s="1"/>
      <c r="I21072" s="1"/>
    </row>
    <row r="21073" spans="8:9" x14ac:dyDescent="0.2">
      <c r="H21073" s="1"/>
      <c r="I21073" s="1"/>
    </row>
    <row r="21074" spans="8:9" x14ac:dyDescent="0.2">
      <c r="H21074" s="1"/>
      <c r="I21074" s="1"/>
    </row>
    <row r="21075" spans="8:9" x14ac:dyDescent="0.2">
      <c r="H21075" s="1"/>
      <c r="I21075" s="1"/>
    </row>
    <row r="21076" spans="8:9" x14ac:dyDescent="0.2">
      <c r="H21076" s="1"/>
      <c r="I21076" s="1"/>
    </row>
    <row r="21077" spans="8:9" x14ac:dyDescent="0.2">
      <c r="H21077" s="1"/>
      <c r="I21077" s="1"/>
    </row>
    <row r="21078" spans="8:9" x14ac:dyDescent="0.2">
      <c r="H21078" s="1"/>
      <c r="I21078" s="1"/>
    </row>
    <row r="21079" spans="8:9" x14ac:dyDescent="0.2">
      <c r="H21079" s="1"/>
      <c r="I21079" s="1"/>
    </row>
    <row r="21080" spans="8:9" x14ac:dyDescent="0.2">
      <c r="H21080" s="1"/>
      <c r="I21080" s="1"/>
    </row>
    <row r="21081" spans="8:9" x14ac:dyDescent="0.2">
      <c r="H21081" s="1"/>
      <c r="I21081" s="1"/>
    </row>
    <row r="21082" spans="8:9" x14ac:dyDescent="0.2">
      <c r="H21082" s="1"/>
      <c r="I21082" s="1"/>
    </row>
    <row r="21083" spans="8:9" x14ac:dyDescent="0.2">
      <c r="H21083" s="1"/>
      <c r="I21083" s="1"/>
    </row>
    <row r="21084" spans="8:9" x14ac:dyDescent="0.2">
      <c r="H21084" s="1"/>
      <c r="I21084" s="1"/>
    </row>
    <row r="21085" spans="8:9" x14ac:dyDescent="0.2">
      <c r="H21085" s="1"/>
      <c r="I21085" s="1"/>
    </row>
    <row r="21086" spans="8:9" x14ac:dyDescent="0.2">
      <c r="H21086" s="1"/>
      <c r="I21086" s="1"/>
    </row>
    <row r="21087" spans="8:9" x14ac:dyDescent="0.2">
      <c r="H21087" s="1"/>
      <c r="I21087" s="1"/>
    </row>
    <row r="21088" spans="8:9" x14ac:dyDescent="0.2">
      <c r="H21088" s="1"/>
      <c r="I21088" s="1"/>
    </row>
    <row r="21089" spans="8:9" x14ac:dyDescent="0.2">
      <c r="H21089" s="1"/>
      <c r="I21089" s="1"/>
    </row>
    <row r="21090" spans="8:9" x14ac:dyDescent="0.2">
      <c r="H21090" s="1"/>
      <c r="I21090" s="1"/>
    </row>
    <row r="21091" spans="8:9" x14ac:dyDescent="0.2">
      <c r="H21091" s="1"/>
      <c r="I21091" s="1"/>
    </row>
    <row r="21092" spans="8:9" x14ac:dyDescent="0.2">
      <c r="H21092" s="1"/>
      <c r="I21092" s="1"/>
    </row>
    <row r="21093" spans="8:9" x14ac:dyDescent="0.2">
      <c r="H21093" s="1"/>
      <c r="I21093" s="1"/>
    </row>
    <row r="21094" spans="8:9" x14ac:dyDescent="0.2">
      <c r="H21094" s="1"/>
      <c r="I21094" s="1"/>
    </row>
    <row r="21095" spans="8:9" x14ac:dyDescent="0.2">
      <c r="H21095" s="1"/>
      <c r="I21095" s="1"/>
    </row>
    <row r="21096" spans="8:9" x14ac:dyDescent="0.2">
      <c r="H21096" s="1"/>
      <c r="I21096" s="1"/>
    </row>
    <row r="21097" spans="8:9" x14ac:dyDescent="0.2">
      <c r="H21097" s="1"/>
      <c r="I21097" s="1"/>
    </row>
    <row r="21098" spans="8:9" x14ac:dyDescent="0.2">
      <c r="H21098" s="1"/>
      <c r="I21098" s="1"/>
    </row>
    <row r="21099" spans="8:9" x14ac:dyDescent="0.2">
      <c r="H21099" s="1"/>
      <c r="I21099" s="1"/>
    </row>
    <row r="21100" spans="8:9" x14ac:dyDescent="0.2">
      <c r="H21100" s="1"/>
      <c r="I21100" s="1"/>
    </row>
    <row r="21101" spans="8:9" x14ac:dyDescent="0.2">
      <c r="H21101" s="1"/>
      <c r="I21101" s="1"/>
    </row>
    <row r="21102" spans="8:9" x14ac:dyDescent="0.2">
      <c r="H21102" s="1"/>
      <c r="I21102" s="1"/>
    </row>
    <row r="21103" spans="8:9" x14ac:dyDescent="0.2">
      <c r="H21103" s="1"/>
      <c r="I21103" s="1"/>
    </row>
    <row r="21104" spans="8:9" x14ac:dyDescent="0.2">
      <c r="H21104" s="1"/>
      <c r="I21104" s="1"/>
    </row>
    <row r="21105" spans="8:9" x14ac:dyDescent="0.2">
      <c r="H21105" s="1"/>
      <c r="I21105" s="1"/>
    </row>
    <row r="21106" spans="8:9" x14ac:dyDescent="0.2">
      <c r="H21106" s="1"/>
      <c r="I21106" s="1"/>
    </row>
    <row r="21107" spans="8:9" x14ac:dyDescent="0.2">
      <c r="H21107" s="1"/>
      <c r="I21107" s="1"/>
    </row>
    <row r="21108" spans="8:9" x14ac:dyDescent="0.2">
      <c r="H21108" s="1"/>
      <c r="I21108" s="1"/>
    </row>
    <row r="21109" spans="8:9" x14ac:dyDescent="0.2">
      <c r="H21109" s="1"/>
      <c r="I21109" s="1"/>
    </row>
    <row r="21110" spans="8:9" x14ac:dyDescent="0.2">
      <c r="H21110" s="1"/>
      <c r="I21110" s="1"/>
    </row>
    <row r="21111" spans="8:9" x14ac:dyDescent="0.2">
      <c r="H21111" s="1"/>
      <c r="I21111" s="1"/>
    </row>
    <row r="21112" spans="8:9" x14ac:dyDescent="0.2">
      <c r="H21112" s="1"/>
      <c r="I21112" s="1"/>
    </row>
    <row r="21113" spans="8:9" x14ac:dyDescent="0.2">
      <c r="H21113" s="1"/>
      <c r="I21113" s="1"/>
    </row>
    <row r="21114" spans="8:9" x14ac:dyDescent="0.2">
      <c r="H21114" s="1"/>
      <c r="I21114" s="1"/>
    </row>
    <row r="21115" spans="8:9" x14ac:dyDescent="0.2">
      <c r="H21115" s="1"/>
      <c r="I21115" s="1"/>
    </row>
    <row r="21116" spans="8:9" x14ac:dyDescent="0.2">
      <c r="H21116" s="1"/>
      <c r="I21116" s="1"/>
    </row>
    <row r="21117" spans="8:9" x14ac:dyDescent="0.2">
      <c r="H21117" s="1"/>
      <c r="I21117" s="1"/>
    </row>
    <row r="21118" spans="8:9" x14ac:dyDescent="0.2">
      <c r="H21118" s="1"/>
      <c r="I21118" s="1"/>
    </row>
    <row r="21119" spans="8:9" x14ac:dyDescent="0.2">
      <c r="H21119" s="1"/>
      <c r="I21119" s="1"/>
    </row>
    <row r="21120" spans="8:9" x14ac:dyDescent="0.2">
      <c r="H21120" s="1"/>
      <c r="I21120" s="1"/>
    </row>
    <row r="21121" spans="8:9" x14ac:dyDescent="0.2">
      <c r="H21121" s="1"/>
      <c r="I21121" s="1"/>
    </row>
    <row r="21122" spans="8:9" x14ac:dyDescent="0.2">
      <c r="H21122" s="1"/>
      <c r="I21122" s="1"/>
    </row>
    <row r="21123" spans="8:9" x14ac:dyDescent="0.2">
      <c r="H21123" s="1"/>
      <c r="I21123" s="1"/>
    </row>
    <row r="21124" spans="8:9" x14ac:dyDescent="0.2">
      <c r="H21124" s="1"/>
      <c r="I21124" s="1"/>
    </row>
    <row r="21125" spans="8:9" x14ac:dyDescent="0.2">
      <c r="H21125" s="1"/>
      <c r="I21125" s="1"/>
    </row>
    <row r="21126" spans="8:9" x14ac:dyDescent="0.2">
      <c r="H21126" s="1"/>
      <c r="I21126" s="1"/>
    </row>
    <row r="21127" spans="8:9" x14ac:dyDescent="0.2">
      <c r="H21127" s="1"/>
      <c r="I21127" s="1"/>
    </row>
    <row r="21128" spans="8:9" x14ac:dyDescent="0.2">
      <c r="H21128" s="1"/>
      <c r="I21128" s="1"/>
    </row>
    <row r="21129" spans="8:9" x14ac:dyDescent="0.2">
      <c r="H21129" s="1"/>
      <c r="I21129" s="1"/>
    </row>
    <row r="21130" spans="8:9" x14ac:dyDescent="0.2">
      <c r="H21130" s="1"/>
      <c r="I21130" s="1"/>
    </row>
    <row r="21131" spans="8:9" x14ac:dyDescent="0.2">
      <c r="H21131" s="1"/>
      <c r="I21131" s="1"/>
    </row>
    <row r="21132" spans="8:9" x14ac:dyDescent="0.2">
      <c r="H21132" s="1"/>
      <c r="I21132" s="1"/>
    </row>
    <row r="21133" spans="8:9" x14ac:dyDescent="0.2">
      <c r="H21133" s="1"/>
      <c r="I21133" s="1"/>
    </row>
    <row r="21134" spans="8:9" x14ac:dyDescent="0.2">
      <c r="H21134" s="1"/>
      <c r="I21134" s="1"/>
    </row>
    <row r="21135" spans="8:9" x14ac:dyDescent="0.2">
      <c r="H21135" s="1"/>
      <c r="I21135" s="1"/>
    </row>
    <row r="21136" spans="8:9" x14ac:dyDescent="0.2">
      <c r="H21136" s="1"/>
      <c r="I21136" s="1"/>
    </row>
    <row r="21137" spans="8:9" x14ac:dyDescent="0.2">
      <c r="H21137" s="1"/>
      <c r="I21137" s="1"/>
    </row>
    <row r="21138" spans="8:9" x14ac:dyDescent="0.2">
      <c r="H21138" s="1"/>
      <c r="I21138" s="1"/>
    </row>
    <row r="21139" spans="8:9" x14ac:dyDescent="0.2">
      <c r="H21139" s="1"/>
      <c r="I21139" s="1"/>
    </row>
    <row r="21140" spans="8:9" x14ac:dyDescent="0.2">
      <c r="H21140" s="1"/>
      <c r="I21140" s="1"/>
    </row>
    <row r="21141" spans="8:9" x14ac:dyDescent="0.2">
      <c r="H21141" s="1"/>
      <c r="I21141" s="1"/>
    </row>
    <row r="21142" spans="8:9" x14ac:dyDescent="0.2">
      <c r="H21142" s="1"/>
      <c r="I21142" s="1"/>
    </row>
    <row r="21143" spans="8:9" x14ac:dyDescent="0.2">
      <c r="H21143" s="1"/>
      <c r="I21143" s="1"/>
    </row>
    <row r="21144" spans="8:9" x14ac:dyDescent="0.2">
      <c r="H21144" s="1"/>
      <c r="I21144" s="1"/>
    </row>
    <row r="21145" spans="8:9" x14ac:dyDescent="0.2">
      <c r="H21145" s="1"/>
      <c r="I21145" s="1"/>
    </row>
    <row r="21146" spans="8:9" x14ac:dyDescent="0.2">
      <c r="H21146" s="1"/>
      <c r="I21146" s="1"/>
    </row>
    <row r="21147" spans="8:9" x14ac:dyDescent="0.2">
      <c r="H21147" s="1"/>
      <c r="I21147" s="1"/>
    </row>
    <row r="21148" spans="8:9" x14ac:dyDescent="0.2">
      <c r="H21148" s="1"/>
      <c r="I21148" s="1"/>
    </row>
    <row r="21149" spans="8:9" x14ac:dyDescent="0.2">
      <c r="H21149" s="1"/>
      <c r="I21149" s="1"/>
    </row>
    <row r="21150" spans="8:9" x14ac:dyDescent="0.2">
      <c r="H21150" s="1"/>
      <c r="I21150" s="1"/>
    </row>
    <row r="21151" spans="8:9" x14ac:dyDescent="0.2">
      <c r="H21151" s="1"/>
      <c r="I21151" s="1"/>
    </row>
    <row r="21152" spans="8:9" x14ac:dyDescent="0.2">
      <c r="H21152" s="1"/>
      <c r="I21152" s="1"/>
    </row>
    <row r="21153" spans="8:9" x14ac:dyDescent="0.2">
      <c r="H21153" s="1"/>
      <c r="I21153" s="1"/>
    </row>
    <row r="21154" spans="8:9" x14ac:dyDescent="0.2">
      <c r="H21154" s="1"/>
      <c r="I21154" s="1"/>
    </row>
    <row r="21155" spans="8:9" x14ac:dyDescent="0.2">
      <c r="H21155" s="1"/>
      <c r="I21155" s="1"/>
    </row>
    <row r="21156" spans="8:9" x14ac:dyDescent="0.2">
      <c r="H21156" s="1"/>
      <c r="I21156" s="1"/>
    </row>
    <row r="21157" spans="8:9" x14ac:dyDescent="0.2">
      <c r="H21157" s="1"/>
      <c r="I21157" s="1"/>
    </row>
    <row r="21158" spans="8:9" x14ac:dyDescent="0.2">
      <c r="H21158" s="1"/>
      <c r="I21158" s="1"/>
    </row>
    <row r="21159" spans="8:9" x14ac:dyDescent="0.2">
      <c r="H21159" s="1"/>
      <c r="I21159" s="1"/>
    </row>
    <row r="21160" spans="8:9" x14ac:dyDescent="0.2">
      <c r="H21160" s="1"/>
      <c r="I21160" s="1"/>
    </row>
    <row r="21161" spans="8:9" x14ac:dyDescent="0.2">
      <c r="H21161" s="1"/>
      <c r="I21161" s="1"/>
    </row>
    <row r="21162" spans="8:9" x14ac:dyDescent="0.2">
      <c r="H21162" s="1"/>
      <c r="I21162" s="1"/>
    </row>
    <row r="21163" spans="8:9" x14ac:dyDescent="0.2">
      <c r="H21163" s="1"/>
      <c r="I21163" s="1"/>
    </row>
    <row r="21164" spans="8:9" x14ac:dyDescent="0.2">
      <c r="H21164" s="1"/>
      <c r="I21164" s="1"/>
    </row>
    <row r="21165" spans="8:9" x14ac:dyDescent="0.2">
      <c r="H21165" s="1"/>
      <c r="I21165" s="1"/>
    </row>
    <row r="21166" spans="8:9" x14ac:dyDescent="0.2">
      <c r="H21166" s="1"/>
      <c r="I21166" s="1"/>
    </row>
    <row r="21167" spans="8:9" x14ac:dyDescent="0.2">
      <c r="H21167" s="1"/>
      <c r="I21167" s="1"/>
    </row>
    <row r="21168" spans="8:9" x14ac:dyDescent="0.2">
      <c r="H21168" s="1"/>
      <c r="I21168" s="1"/>
    </row>
    <row r="21169" spans="8:9" x14ac:dyDescent="0.2">
      <c r="H21169" s="1"/>
      <c r="I21169" s="1"/>
    </row>
    <row r="21170" spans="8:9" x14ac:dyDescent="0.2">
      <c r="H21170" s="1"/>
      <c r="I21170" s="1"/>
    </row>
    <row r="21171" spans="8:9" x14ac:dyDescent="0.2">
      <c r="H21171" s="1"/>
      <c r="I21171" s="1"/>
    </row>
    <row r="21172" spans="8:9" x14ac:dyDescent="0.2">
      <c r="H21172" s="1"/>
      <c r="I21172" s="1"/>
    </row>
    <row r="21173" spans="8:9" x14ac:dyDescent="0.2">
      <c r="H21173" s="1"/>
      <c r="I21173" s="1"/>
    </row>
    <row r="21174" spans="8:9" x14ac:dyDescent="0.2">
      <c r="H21174" s="1"/>
      <c r="I21174" s="1"/>
    </row>
    <row r="21175" spans="8:9" x14ac:dyDescent="0.2">
      <c r="H21175" s="1"/>
      <c r="I21175" s="1"/>
    </row>
    <row r="21176" spans="8:9" x14ac:dyDescent="0.2">
      <c r="H21176" s="1"/>
      <c r="I21176" s="1"/>
    </row>
    <row r="21177" spans="8:9" x14ac:dyDescent="0.2">
      <c r="H21177" s="1"/>
      <c r="I21177" s="1"/>
    </row>
    <row r="21178" spans="8:9" x14ac:dyDescent="0.2">
      <c r="H21178" s="1"/>
      <c r="I21178" s="1"/>
    </row>
    <row r="21179" spans="8:9" x14ac:dyDescent="0.2">
      <c r="H21179" s="1"/>
      <c r="I21179" s="1"/>
    </row>
    <row r="21180" spans="8:9" x14ac:dyDescent="0.2">
      <c r="H21180" s="1"/>
      <c r="I21180" s="1"/>
    </row>
    <row r="21181" spans="8:9" x14ac:dyDescent="0.2">
      <c r="H21181" s="1"/>
      <c r="I21181" s="1"/>
    </row>
    <row r="21182" spans="8:9" x14ac:dyDescent="0.2">
      <c r="H21182" s="1"/>
      <c r="I21182" s="1"/>
    </row>
    <row r="21183" spans="8:9" x14ac:dyDescent="0.2">
      <c r="H21183" s="1"/>
      <c r="I21183" s="1"/>
    </row>
    <row r="21184" spans="8:9" x14ac:dyDescent="0.2">
      <c r="H21184" s="1"/>
      <c r="I21184" s="1"/>
    </row>
    <row r="21185" spans="8:9" x14ac:dyDescent="0.2">
      <c r="H21185" s="1"/>
      <c r="I21185" s="1"/>
    </row>
    <row r="21186" spans="8:9" x14ac:dyDescent="0.2">
      <c r="H21186" s="1"/>
      <c r="I21186" s="1"/>
    </row>
    <row r="21187" spans="8:9" x14ac:dyDescent="0.2">
      <c r="H21187" s="1"/>
      <c r="I21187" s="1"/>
    </row>
    <row r="21188" spans="8:9" x14ac:dyDescent="0.2">
      <c r="H21188" s="1"/>
      <c r="I21188" s="1"/>
    </row>
    <row r="21189" spans="8:9" x14ac:dyDescent="0.2">
      <c r="H21189" s="1"/>
      <c r="I21189" s="1"/>
    </row>
    <row r="21190" spans="8:9" x14ac:dyDescent="0.2">
      <c r="H21190" s="1"/>
      <c r="I21190" s="1"/>
    </row>
    <row r="21191" spans="8:9" x14ac:dyDescent="0.2">
      <c r="H21191" s="1"/>
      <c r="I21191" s="1"/>
    </row>
    <row r="21192" spans="8:9" x14ac:dyDescent="0.2">
      <c r="H21192" s="1"/>
      <c r="I21192" s="1"/>
    </row>
    <row r="21193" spans="8:9" x14ac:dyDescent="0.2">
      <c r="H21193" s="1"/>
      <c r="I21193" s="1"/>
    </row>
    <row r="21194" spans="8:9" x14ac:dyDescent="0.2">
      <c r="H21194" s="1"/>
      <c r="I21194" s="1"/>
    </row>
    <row r="21195" spans="8:9" x14ac:dyDescent="0.2">
      <c r="H21195" s="1"/>
      <c r="I21195" s="1"/>
    </row>
    <row r="21196" spans="8:9" x14ac:dyDescent="0.2">
      <c r="H21196" s="1"/>
      <c r="I21196" s="1"/>
    </row>
    <row r="21197" spans="8:9" x14ac:dyDescent="0.2">
      <c r="H21197" s="1"/>
      <c r="I21197" s="1"/>
    </row>
    <row r="21198" spans="8:9" x14ac:dyDescent="0.2">
      <c r="H21198" s="1"/>
      <c r="I21198" s="1"/>
    </row>
    <row r="21199" spans="8:9" x14ac:dyDescent="0.2">
      <c r="H21199" s="1"/>
      <c r="I21199" s="1"/>
    </row>
    <row r="21200" spans="8:9" x14ac:dyDescent="0.2">
      <c r="H21200" s="1"/>
      <c r="I21200" s="1"/>
    </row>
    <row r="21201" spans="8:9" x14ac:dyDescent="0.2">
      <c r="H21201" s="1"/>
      <c r="I21201" s="1"/>
    </row>
    <row r="21202" spans="8:9" x14ac:dyDescent="0.2">
      <c r="H21202" s="1"/>
      <c r="I21202" s="1"/>
    </row>
    <row r="21203" spans="8:9" x14ac:dyDescent="0.2">
      <c r="H21203" s="1"/>
      <c r="I21203" s="1"/>
    </row>
    <row r="21204" spans="8:9" x14ac:dyDescent="0.2">
      <c r="H21204" s="1"/>
      <c r="I21204" s="1"/>
    </row>
    <row r="21205" spans="8:9" x14ac:dyDescent="0.2">
      <c r="H21205" s="1"/>
      <c r="I21205" s="1"/>
    </row>
    <row r="21206" spans="8:9" x14ac:dyDescent="0.2">
      <c r="H21206" s="1"/>
      <c r="I21206" s="1"/>
    </row>
    <row r="21207" spans="8:9" x14ac:dyDescent="0.2">
      <c r="H21207" s="1"/>
      <c r="I21207" s="1"/>
    </row>
    <row r="21208" spans="8:9" x14ac:dyDescent="0.2">
      <c r="H21208" s="1"/>
      <c r="I21208" s="1"/>
    </row>
    <row r="21209" spans="8:9" x14ac:dyDescent="0.2">
      <c r="H21209" s="1"/>
      <c r="I21209" s="1"/>
    </row>
    <row r="21210" spans="8:9" x14ac:dyDescent="0.2">
      <c r="H21210" s="1"/>
      <c r="I21210" s="1"/>
    </row>
    <row r="21211" spans="8:9" x14ac:dyDescent="0.2">
      <c r="H21211" s="1"/>
      <c r="I21211" s="1"/>
    </row>
    <row r="21212" spans="8:9" x14ac:dyDescent="0.2">
      <c r="H21212" s="1"/>
      <c r="I21212" s="1"/>
    </row>
    <row r="21213" spans="8:9" x14ac:dyDescent="0.2">
      <c r="H21213" s="1"/>
      <c r="I21213" s="1"/>
    </row>
    <row r="21214" spans="8:9" x14ac:dyDescent="0.2">
      <c r="H21214" s="1"/>
      <c r="I21214" s="1"/>
    </row>
    <row r="21215" spans="8:9" x14ac:dyDescent="0.2">
      <c r="H21215" s="1"/>
      <c r="I21215" s="1"/>
    </row>
    <row r="21216" spans="8:9" x14ac:dyDescent="0.2">
      <c r="H21216" s="1"/>
      <c r="I21216" s="1"/>
    </row>
    <row r="21217" spans="8:9" x14ac:dyDescent="0.2">
      <c r="H21217" s="1"/>
      <c r="I21217" s="1"/>
    </row>
    <row r="21218" spans="8:9" x14ac:dyDescent="0.2">
      <c r="H21218" s="1"/>
      <c r="I21218" s="1"/>
    </row>
    <row r="21219" spans="8:9" x14ac:dyDescent="0.2">
      <c r="H21219" s="1"/>
      <c r="I21219" s="1"/>
    </row>
    <row r="21220" spans="8:9" x14ac:dyDescent="0.2">
      <c r="H21220" s="1"/>
      <c r="I21220" s="1"/>
    </row>
    <row r="21221" spans="8:9" x14ac:dyDescent="0.2">
      <c r="H21221" s="1"/>
      <c r="I21221" s="1"/>
    </row>
    <row r="21222" spans="8:9" x14ac:dyDescent="0.2">
      <c r="H21222" s="1"/>
      <c r="I21222" s="1"/>
    </row>
    <row r="21223" spans="8:9" x14ac:dyDescent="0.2">
      <c r="H21223" s="1"/>
      <c r="I21223" s="1"/>
    </row>
    <row r="21224" spans="8:9" x14ac:dyDescent="0.2">
      <c r="H21224" s="1"/>
      <c r="I21224" s="1"/>
    </row>
    <row r="21225" spans="8:9" x14ac:dyDescent="0.2">
      <c r="H21225" s="1"/>
      <c r="I21225" s="1"/>
    </row>
    <row r="21226" spans="8:9" x14ac:dyDescent="0.2">
      <c r="H21226" s="1"/>
      <c r="I21226" s="1"/>
    </row>
    <row r="21227" spans="8:9" x14ac:dyDescent="0.2">
      <c r="H21227" s="1"/>
      <c r="I21227" s="1"/>
    </row>
    <row r="21228" spans="8:9" x14ac:dyDescent="0.2">
      <c r="H21228" s="1"/>
      <c r="I21228" s="1"/>
    </row>
    <row r="21229" spans="8:9" x14ac:dyDescent="0.2">
      <c r="H21229" s="1"/>
      <c r="I21229" s="1"/>
    </row>
    <row r="21230" spans="8:9" x14ac:dyDescent="0.2">
      <c r="H21230" s="1"/>
      <c r="I21230" s="1"/>
    </row>
    <row r="21231" spans="8:9" x14ac:dyDescent="0.2">
      <c r="H21231" s="1"/>
      <c r="I21231" s="1"/>
    </row>
    <row r="21232" spans="8:9" x14ac:dyDescent="0.2">
      <c r="H21232" s="1"/>
      <c r="I21232" s="1"/>
    </row>
    <row r="21233" spans="8:9" x14ac:dyDescent="0.2">
      <c r="H21233" s="1"/>
      <c r="I21233" s="1"/>
    </row>
    <row r="21234" spans="8:9" x14ac:dyDescent="0.2">
      <c r="H21234" s="1"/>
      <c r="I21234" s="1"/>
    </row>
    <row r="21235" spans="8:9" x14ac:dyDescent="0.2">
      <c r="H21235" s="1"/>
      <c r="I21235" s="1"/>
    </row>
    <row r="21236" spans="8:9" x14ac:dyDescent="0.2">
      <c r="H21236" s="1"/>
      <c r="I21236" s="1"/>
    </row>
    <row r="21237" spans="8:9" x14ac:dyDescent="0.2">
      <c r="H21237" s="1"/>
      <c r="I21237" s="1"/>
    </row>
    <row r="21238" spans="8:9" x14ac:dyDescent="0.2">
      <c r="H21238" s="1"/>
      <c r="I21238" s="1"/>
    </row>
    <row r="21239" spans="8:9" x14ac:dyDescent="0.2">
      <c r="H21239" s="1"/>
      <c r="I21239" s="1"/>
    </row>
    <row r="21240" spans="8:9" x14ac:dyDescent="0.2">
      <c r="H21240" s="1"/>
      <c r="I21240" s="1"/>
    </row>
    <row r="21241" spans="8:9" x14ac:dyDescent="0.2">
      <c r="H21241" s="1"/>
      <c r="I21241" s="1"/>
    </row>
    <row r="21242" spans="8:9" x14ac:dyDescent="0.2">
      <c r="H21242" s="1"/>
      <c r="I21242" s="1"/>
    </row>
    <row r="21243" spans="8:9" x14ac:dyDescent="0.2">
      <c r="H21243" s="1"/>
      <c r="I21243" s="1"/>
    </row>
    <row r="21244" spans="8:9" x14ac:dyDescent="0.2">
      <c r="H21244" s="1"/>
      <c r="I21244" s="1"/>
    </row>
    <row r="21245" spans="8:9" x14ac:dyDescent="0.2">
      <c r="H21245" s="1"/>
      <c r="I21245" s="1"/>
    </row>
    <row r="21246" spans="8:9" x14ac:dyDescent="0.2">
      <c r="H21246" s="1"/>
      <c r="I21246" s="1"/>
    </row>
    <row r="21247" spans="8:9" x14ac:dyDescent="0.2">
      <c r="H21247" s="1"/>
      <c r="I21247" s="1"/>
    </row>
    <row r="21248" spans="8:9" x14ac:dyDescent="0.2">
      <c r="H21248" s="1"/>
      <c r="I21248" s="1"/>
    </row>
    <row r="21249" spans="8:9" x14ac:dyDescent="0.2">
      <c r="H21249" s="1"/>
      <c r="I21249" s="1"/>
    </row>
    <row r="21250" spans="8:9" x14ac:dyDescent="0.2">
      <c r="H21250" s="1"/>
      <c r="I21250" s="1"/>
    </row>
    <row r="21251" spans="8:9" x14ac:dyDescent="0.2">
      <c r="H21251" s="1"/>
      <c r="I21251" s="1"/>
    </row>
    <row r="21252" spans="8:9" x14ac:dyDescent="0.2">
      <c r="H21252" s="1"/>
      <c r="I21252" s="1"/>
    </row>
    <row r="21253" spans="8:9" x14ac:dyDescent="0.2">
      <c r="H21253" s="1"/>
      <c r="I21253" s="1"/>
    </row>
    <row r="21254" spans="8:9" x14ac:dyDescent="0.2">
      <c r="H21254" s="1"/>
      <c r="I21254" s="1"/>
    </row>
    <row r="21255" spans="8:9" x14ac:dyDescent="0.2">
      <c r="H21255" s="1"/>
      <c r="I21255" s="1"/>
    </row>
    <row r="21256" spans="8:9" x14ac:dyDescent="0.2">
      <c r="H21256" s="1"/>
      <c r="I21256" s="1"/>
    </row>
    <row r="21257" spans="8:9" x14ac:dyDescent="0.2">
      <c r="H21257" s="1"/>
      <c r="I21257" s="1"/>
    </row>
    <row r="21258" spans="8:9" x14ac:dyDescent="0.2">
      <c r="H21258" s="1"/>
      <c r="I21258" s="1"/>
    </row>
    <row r="21259" spans="8:9" x14ac:dyDescent="0.2">
      <c r="H21259" s="1"/>
      <c r="I21259" s="1"/>
    </row>
    <row r="21260" spans="8:9" x14ac:dyDescent="0.2">
      <c r="H21260" s="1"/>
      <c r="I21260" s="1"/>
    </row>
    <row r="21261" spans="8:9" x14ac:dyDescent="0.2">
      <c r="H21261" s="1"/>
      <c r="I21261" s="1"/>
    </row>
    <row r="21262" spans="8:9" x14ac:dyDescent="0.2">
      <c r="H21262" s="1"/>
      <c r="I21262" s="1"/>
    </row>
    <row r="21263" spans="8:9" x14ac:dyDescent="0.2">
      <c r="H21263" s="1"/>
      <c r="I21263" s="1"/>
    </row>
    <row r="21264" spans="8:9" x14ac:dyDescent="0.2">
      <c r="H21264" s="1"/>
      <c r="I21264" s="1"/>
    </row>
    <row r="21265" spans="8:9" x14ac:dyDescent="0.2">
      <c r="H21265" s="1"/>
      <c r="I21265" s="1"/>
    </row>
    <row r="21266" spans="8:9" x14ac:dyDescent="0.2">
      <c r="H21266" s="1"/>
      <c r="I21266" s="1"/>
    </row>
    <row r="21267" spans="8:9" x14ac:dyDescent="0.2">
      <c r="H21267" s="1"/>
      <c r="I21267" s="1"/>
    </row>
    <row r="21268" spans="8:9" x14ac:dyDescent="0.2">
      <c r="H21268" s="1"/>
      <c r="I21268" s="1"/>
    </row>
    <row r="21269" spans="8:9" x14ac:dyDescent="0.2">
      <c r="H21269" s="1"/>
      <c r="I21269" s="1"/>
    </row>
    <row r="21270" spans="8:9" x14ac:dyDescent="0.2">
      <c r="H21270" s="1"/>
      <c r="I21270" s="1"/>
    </row>
    <row r="21271" spans="8:9" x14ac:dyDescent="0.2">
      <c r="H21271" s="1"/>
      <c r="I21271" s="1"/>
    </row>
    <row r="21272" spans="8:9" x14ac:dyDescent="0.2">
      <c r="H21272" s="1"/>
      <c r="I21272" s="1"/>
    </row>
    <row r="21273" spans="8:9" x14ac:dyDescent="0.2">
      <c r="H21273" s="1"/>
      <c r="I21273" s="1"/>
    </row>
    <row r="21274" spans="8:9" x14ac:dyDescent="0.2">
      <c r="H21274" s="1"/>
      <c r="I21274" s="1"/>
    </row>
    <row r="21275" spans="8:9" x14ac:dyDescent="0.2">
      <c r="H21275" s="1"/>
      <c r="I21275" s="1"/>
    </row>
    <row r="21276" spans="8:9" x14ac:dyDescent="0.2">
      <c r="H21276" s="1"/>
      <c r="I21276" s="1"/>
    </row>
    <row r="21277" spans="8:9" x14ac:dyDescent="0.2">
      <c r="H21277" s="1"/>
      <c r="I21277" s="1"/>
    </row>
    <row r="21278" spans="8:9" x14ac:dyDescent="0.2">
      <c r="H21278" s="1"/>
      <c r="I21278" s="1"/>
    </row>
    <row r="21279" spans="8:9" x14ac:dyDescent="0.2">
      <c r="H21279" s="1"/>
      <c r="I21279" s="1"/>
    </row>
    <row r="21280" spans="8:9" x14ac:dyDescent="0.2">
      <c r="H21280" s="1"/>
      <c r="I21280" s="1"/>
    </row>
    <row r="21281" spans="8:9" x14ac:dyDescent="0.2">
      <c r="H21281" s="1"/>
      <c r="I21281" s="1"/>
    </row>
    <row r="21282" spans="8:9" x14ac:dyDescent="0.2">
      <c r="H21282" s="1"/>
      <c r="I21282" s="1"/>
    </row>
    <row r="21283" spans="8:9" x14ac:dyDescent="0.2">
      <c r="H21283" s="1"/>
      <c r="I21283" s="1"/>
    </row>
    <row r="21284" spans="8:9" x14ac:dyDescent="0.2">
      <c r="H21284" s="1"/>
      <c r="I21284" s="1"/>
    </row>
    <row r="21285" spans="8:9" x14ac:dyDescent="0.2">
      <c r="H21285" s="1"/>
      <c r="I21285" s="1"/>
    </row>
    <row r="21286" spans="8:9" x14ac:dyDescent="0.2">
      <c r="H21286" s="1"/>
      <c r="I21286" s="1"/>
    </row>
    <row r="21287" spans="8:9" x14ac:dyDescent="0.2">
      <c r="H21287" s="1"/>
      <c r="I21287" s="1"/>
    </row>
    <row r="21288" spans="8:9" x14ac:dyDescent="0.2">
      <c r="H21288" s="1"/>
      <c r="I21288" s="1"/>
    </row>
    <row r="21289" spans="8:9" x14ac:dyDescent="0.2">
      <c r="H21289" s="1"/>
      <c r="I21289" s="1"/>
    </row>
    <row r="21290" spans="8:9" x14ac:dyDescent="0.2">
      <c r="H21290" s="1"/>
      <c r="I21290" s="1"/>
    </row>
    <row r="21291" spans="8:9" x14ac:dyDescent="0.2">
      <c r="H21291" s="1"/>
      <c r="I21291" s="1"/>
    </row>
    <row r="21292" spans="8:9" x14ac:dyDescent="0.2">
      <c r="H21292" s="1"/>
      <c r="I21292" s="1"/>
    </row>
    <row r="21293" spans="8:9" x14ac:dyDescent="0.2">
      <c r="H21293" s="1"/>
      <c r="I21293" s="1"/>
    </row>
    <row r="21294" spans="8:9" x14ac:dyDescent="0.2">
      <c r="H21294" s="1"/>
      <c r="I21294" s="1"/>
    </row>
    <row r="21295" spans="8:9" x14ac:dyDescent="0.2">
      <c r="H21295" s="1"/>
      <c r="I21295" s="1"/>
    </row>
    <row r="21296" spans="8:9" x14ac:dyDescent="0.2">
      <c r="H21296" s="1"/>
      <c r="I21296" s="1"/>
    </row>
    <row r="21297" spans="8:9" x14ac:dyDescent="0.2">
      <c r="H21297" s="1"/>
      <c r="I21297" s="1"/>
    </row>
    <row r="21298" spans="8:9" x14ac:dyDescent="0.2">
      <c r="H21298" s="1"/>
      <c r="I21298" s="1"/>
    </row>
    <row r="21299" spans="8:9" x14ac:dyDescent="0.2">
      <c r="H21299" s="1"/>
      <c r="I21299" s="1"/>
    </row>
    <row r="21300" spans="8:9" x14ac:dyDescent="0.2">
      <c r="H21300" s="1"/>
      <c r="I21300" s="1"/>
    </row>
    <row r="21301" spans="8:9" x14ac:dyDescent="0.2">
      <c r="H21301" s="1"/>
      <c r="I21301" s="1"/>
    </row>
    <row r="21302" spans="8:9" x14ac:dyDescent="0.2">
      <c r="H21302" s="1"/>
      <c r="I21302" s="1"/>
    </row>
    <row r="21303" spans="8:9" x14ac:dyDescent="0.2">
      <c r="H21303" s="1"/>
      <c r="I21303" s="1"/>
    </row>
    <row r="21304" spans="8:9" x14ac:dyDescent="0.2">
      <c r="H21304" s="1"/>
      <c r="I21304" s="1"/>
    </row>
    <row r="21305" spans="8:9" x14ac:dyDescent="0.2">
      <c r="H21305" s="1"/>
      <c r="I21305" s="1"/>
    </row>
    <row r="21306" spans="8:9" x14ac:dyDescent="0.2">
      <c r="H21306" s="1"/>
      <c r="I21306" s="1"/>
    </row>
    <row r="21307" spans="8:9" x14ac:dyDescent="0.2">
      <c r="H21307" s="1"/>
      <c r="I21307" s="1"/>
    </row>
    <row r="21308" spans="8:9" x14ac:dyDescent="0.2">
      <c r="H21308" s="1"/>
      <c r="I21308" s="1"/>
    </row>
    <row r="21309" spans="8:9" x14ac:dyDescent="0.2">
      <c r="H21309" s="1"/>
      <c r="I21309" s="1"/>
    </row>
    <row r="21310" spans="8:9" x14ac:dyDescent="0.2">
      <c r="H21310" s="1"/>
      <c r="I21310" s="1"/>
    </row>
    <row r="21311" spans="8:9" x14ac:dyDescent="0.2">
      <c r="H21311" s="1"/>
      <c r="I21311" s="1"/>
    </row>
    <row r="21312" spans="8:9" x14ac:dyDescent="0.2">
      <c r="H21312" s="1"/>
      <c r="I21312" s="1"/>
    </row>
    <row r="21313" spans="8:9" x14ac:dyDescent="0.2">
      <c r="H21313" s="1"/>
      <c r="I21313" s="1"/>
    </row>
    <row r="21314" spans="8:9" x14ac:dyDescent="0.2">
      <c r="H21314" s="1"/>
      <c r="I21314" s="1"/>
    </row>
    <row r="21315" spans="8:9" x14ac:dyDescent="0.2">
      <c r="H21315" s="1"/>
      <c r="I21315" s="1"/>
    </row>
    <row r="21316" spans="8:9" x14ac:dyDescent="0.2">
      <c r="H21316" s="1"/>
      <c r="I21316" s="1"/>
    </row>
    <row r="21317" spans="8:9" x14ac:dyDescent="0.2">
      <c r="H21317" s="1"/>
      <c r="I21317" s="1"/>
    </row>
    <row r="21318" spans="8:9" x14ac:dyDescent="0.2">
      <c r="H21318" s="1"/>
      <c r="I21318" s="1"/>
    </row>
    <row r="21319" spans="8:9" x14ac:dyDescent="0.2">
      <c r="H21319" s="1"/>
      <c r="I21319" s="1"/>
    </row>
    <row r="21320" spans="8:9" x14ac:dyDescent="0.2">
      <c r="H21320" s="1"/>
      <c r="I21320" s="1"/>
    </row>
    <row r="21321" spans="8:9" x14ac:dyDescent="0.2">
      <c r="H21321" s="1"/>
      <c r="I21321" s="1"/>
    </row>
    <row r="21322" spans="8:9" x14ac:dyDescent="0.2">
      <c r="H21322" s="1"/>
      <c r="I21322" s="1"/>
    </row>
    <row r="21323" spans="8:9" x14ac:dyDescent="0.2">
      <c r="H21323" s="1"/>
      <c r="I21323" s="1"/>
    </row>
    <row r="21324" spans="8:9" x14ac:dyDescent="0.2">
      <c r="H21324" s="1"/>
      <c r="I21324" s="1"/>
    </row>
    <row r="21325" spans="8:9" x14ac:dyDescent="0.2">
      <c r="H21325" s="1"/>
      <c r="I21325" s="1"/>
    </row>
    <row r="21326" spans="8:9" x14ac:dyDescent="0.2">
      <c r="H21326" s="1"/>
      <c r="I21326" s="1"/>
    </row>
    <row r="21327" spans="8:9" x14ac:dyDescent="0.2">
      <c r="H21327" s="1"/>
      <c r="I21327" s="1"/>
    </row>
    <row r="21328" spans="8:9" x14ac:dyDescent="0.2">
      <c r="H21328" s="1"/>
      <c r="I21328" s="1"/>
    </row>
    <row r="21329" spans="8:9" x14ac:dyDescent="0.2">
      <c r="H21329" s="1"/>
      <c r="I21329" s="1"/>
    </row>
    <row r="21330" spans="8:9" x14ac:dyDescent="0.2">
      <c r="H21330" s="1"/>
      <c r="I21330" s="1"/>
    </row>
    <row r="21331" spans="8:9" x14ac:dyDescent="0.2">
      <c r="H21331" s="1"/>
      <c r="I21331" s="1"/>
    </row>
    <row r="21332" spans="8:9" x14ac:dyDescent="0.2">
      <c r="H21332" s="1"/>
      <c r="I21332" s="1"/>
    </row>
    <row r="21333" spans="8:9" x14ac:dyDescent="0.2">
      <c r="H21333" s="1"/>
      <c r="I21333" s="1"/>
    </row>
    <row r="21334" spans="8:9" x14ac:dyDescent="0.2">
      <c r="H21334" s="1"/>
      <c r="I21334" s="1"/>
    </row>
    <row r="21335" spans="8:9" x14ac:dyDescent="0.2">
      <c r="H21335" s="1"/>
      <c r="I21335" s="1"/>
    </row>
    <row r="21336" spans="8:9" x14ac:dyDescent="0.2">
      <c r="H21336" s="1"/>
      <c r="I21336" s="1"/>
    </row>
    <row r="21337" spans="8:9" x14ac:dyDescent="0.2">
      <c r="H21337" s="1"/>
      <c r="I21337" s="1"/>
    </row>
    <row r="21338" spans="8:9" x14ac:dyDescent="0.2">
      <c r="H21338" s="1"/>
      <c r="I21338" s="1"/>
    </row>
    <row r="21339" spans="8:9" x14ac:dyDescent="0.2">
      <c r="H21339" s="1"/>
      <c r="I21339" s="1"/>
    </row>
    <row r="21340" spans="8:9" x14ac:dyDescent="0.2">
      <c r="H21340" s="1"/>
      <c r="I21340" s="1"/>
    </row>
    <row r="21341" spans="8:9" x14ac:dyDescent="0.2">
      <c r="H21341" s="1"/>
      <c r="I21341" s="1"/>
    </row>
    <row r="21342" spans="8:9" x14ac:dyDescent="0.2">
      <c r="H21342" s="1"/>
      <c r="I21342" s="1"/>
    </row>
    <row r="21343" spans="8:9" x14ac:dyDescent="0.2">
      <c r="H21343" s="1"/>
      <c r="I21343" s="1"/>
    </row>
    <row r="21344" spans="8:9" x14ac:dyDescent="0.2">
      <c r="H21344" s="1"/>
      <c r="I21344" s="1"/>
    </row>
    <row r="21345" spans="8:9" x14ac:dyDescent="0.2">
      <c r="H21345" s="1"/>
      <c r="I21345" s="1"/>
    </row>
    <row r="21346" spans="8:9" x14ac:dyDescent="0.2">
      <c r="H21346" s="1"/>
      <c r="I21346" s="1"/>
    </row>
    <row r="21347" spans="8:9" x14ac:dyDescent="0.2">
      <c r="H21347" s="1"/>
      <c r="I21347" s="1"/>
    </row>
    <row r="21348" spans="8:9" x14ac:dyDescent="0.2">
      <c r="H21348" s="1"/>
      <c r="I21348" s="1"/>
    </row>
    <row r="21349" spans="8:9" x14ac:dyDescent="0.2">
      <c r="H21349" s="1"/>
      <c r="I21349" s="1"/>
    </row>
    <row r="21350" spans="8:9" x14ac:dyDescent="0.2">
      <c r="H21350" s="1"/>
      <c r="I21350" s="1"/>
    </row>
    <row r="21351" spans="8:9" x14ac:dyDescent="0.2">
      <c r="H21351" s="1"/>
      <c r="I21351" s="1"/>
    </row>
    <row r="21352" spans="8:9" x14ac:dyDescent="0.2">
      <c r="H21352" s="1"/>
      <c r="I21352" s="1"/>
    </row>
    <row r="21353" spans="8:9" x14ac:dyDescent="0.2">
      <c r="H21353" s="1"/>
      <c r="I21353" s="1"/>
    </row>
    <row r="21354" spans="8:9" x14ac:dyDescent="0.2">
      <c r="H21354" s="1"/>
      <c r="I21354" s="1"/>
    </row>
    <row r="21355" spans="8:9" x14ac:dyDescent="0.2">
      <c r="H21355" s="1"/>
      <c r="I21355" s="1"/>
    </row>
    <row r="21356" spans="8:9" x14ac:dyDescent="0.2">
      <c r="H21356" s="1"/>
      <c r="I21356" s="1"/>
    </row>
    <row r="21357" spans="8:9" x14ac:dyDescent="0.2">
      <c r="H21357" s="1"/>
      <c r="I21357" s="1"/>
    </row>
    <row r="21358" spans="8:9" x14ac:dyDescent="0.2">
      <c r="H21358" s="1"/>
      <c r="I21358" s="1"/>
    </row>
    <row r="21359" spans="8:9" x14ac:dyDescent="0.2">
      <c r="H21359" s="1"/>
      <c r="I21359" s="1"/>
    </row>
    <row r="21360" spans="8:9" x14ac:dyDescent="0.2">
      <c r="H21360" s="1"/>
      <c r="I21360" s="1"/>
    </row>
    <row r="21361" spans="8:9" x14ac:dyDescent="0.2">
      <c r="H21361" s="1"/>
      <c r="I21361" s="1"/>
    </row>
    <row r="21362" spans="8:9" x14ac:dyDescent="0.2">
      <c r="H21362" s="1"/>
      <c r="I21362" s="1"/>
    </row>
    <row r="21363" spans="8:9" x14ac:dyDescent="0.2">
      <c r="H21363" s="1"/>
      <c r="I21363" s="1"/>
    </row>
    <row r="21364" spans="8:9" x14ac:dyDescent="0.2">
      <c r="H21364" s="1"/>
      <c r="I21364" s="1"/>
    </row>
    <row r="21365" spans="8:9" x14ac:dyDescent="0.2">
      <c r="H21365" s="1"/>
      <c r="I21365" s="1"/>
    </row>
    <row r="21366" spans="8:9" x14ac:dyDescent="0.2">
      <c r="H21366" s="1"/>
      <c r="I21366" s="1"/>
    </row>
    <row r="21367" spans="8:9" x14ac:dyDescent="0.2">
      <c r="H21367" s="1"/>
      <c r="I21367" s="1"/>
    </row>
    <row r="21368" spans="8:9" x14ac:dyDescent="0.2">
      <c r="H21368" s="1"/>
      <c r="I21368" s="1"/>
    </row>
    <row r="21369" spans="8:9" x14ac:dyDescent="0.2">
      <c r="H21369" s="1"/>
      <c r="I21369" s="1"/>
    </row>
    <row r="21370" spans="8:9" x14ac:dyDescent="0.2">
      <c r="H21370" s="1"/>
      <c r="I21370" s="1"/>
    </row>
    <row r="21371" spans="8:9" x14ac:dyDescent="0.2">
      <c r="H21371" s="1"/>
      <c r="I21371" s="1"/>
    </row>
    <row r="21372" spans="8:9" x14ac:dyDescent="0.2">
      <c r="H21372" s="1"/>
      <c r="I21372" s="1"/>
    </row>
    <row r="21373" spans="8:9" x14ac:dyDescent="0.2">
      <c r="H21373" s="1"/>
      <c r="I21373" s="1"/>
    </row>
    <row r="21374" spans="8:9" x14ac:dyDescent="0.2">
      <c r="H21374" s="1"/>
      <c r="I21374" s="1"/>
    </row>
    <row r="21375" spans="8:9" x14ac:dyDescent="0.2">
      <c r="H21375" s="1"/>
      <c r="I21375" s="1"/>
    </row>
    <row r="21376" spans="8:9" x14ac:dyDescent="0.2">
      <c r="H21376" s="1"/>
      <c r="I21376" s="1"/>
    </row>
    <row r="21377" spans="8:9" x14ac:dyDescent="0.2">
      <c r="H21377" s="1"/>
      <c r="I21377" s="1"/>
    </row>
    <row r="21378" spans="8:9" x14ac:dyDescent="0.2">
      <c r="H21378" s="1"/>
      <c r="I21378" s="1"/>
    </row>
    <row r="21379" spans="8:9" x14ac:dyDescent="0.2">
      <c r="H21379" s="1"/>
      <c r="I21379" s="1"/>
    </row>
    <row r="21380" spans="8:9" x14ac:dyDescent="0.2">
      <c r="H21380" s="1"/>
      <c r="I21380" s="1"/>
    </row>
    <row r="21381" spans="8:9" x14ac:dyDescent="0.2">
      <c r="H21381" s="1"/>
      <c r="I21381" s="1"/>
    </row>
    <row r="21382" spans="8:9" x14ac:dyDescent="0.2">
      <c r="H21382" s="1"/>
      <c r="I21382" s="1"/>
    </row>
    <row r="21383" spans="8:9" x14ac:dyDescent="0.2">
      <c r="H21383" s="1"/>
      <c r="I21383" s="1"/>
    </row>
    <row r="21384" spans="8:9" x14ac:dyDescent="0.2">
      <c r="H21384" s="1"/>
      <c r="I21384" s="1"/>
    </row>
    <row r="21385" spans="8:9" x14ac:dyDescent="0.2">
      <c r="H21385" s="1"/>
      <c r="I21385" s="1"/>
    </row>
    <row r="21386" spans="8:9" x14ac:dyDescent="0.2">
      <c r="H21386" s="1"/>
      <c r="I21386" s="1"/>
    </row>
    <row r="21387" spans="8:9" x14ac:dyDescent="0.2">
      <c r="H21387" s="1"/>
      <c r="I21387" s="1"/>
    </row>
    <row r="21388" spans="8:9" x14ac:dyDescent="0.2">
      <c r="H21388" s="1"/>
      <c r="I21388" s="1"/>
    </row>
    <row r="21389" spans="8:9" x14ac:dyDescent="0.2">
      <c r="H21389" s="1"/>
      <c r="I21389" s="1"/>
    </row>
    <row r="21390" spans="8:9" x14ac:dyDescent="0.2">
      <c r="H21390" s="1"/>
      <c r="I21390" s="1"/>
    </row>
    <row r="21391" spans="8:9" x14ac:dyDescent="0.2">
      <c r="H21391" s="1"/>
      <c r="I21391" s="1"/>
    </row>
    <row r="21392" spans="8:9" x14ac:dyDescent="0.2">
      <c r="H21392" s="1"/>
      <c r="I21392" s="1"/>
    </row>
    <row r="21393" spans="8:9" x14ac:dyDescent="0.2">
      <c r="H21393" s="1"/>
      <c r="I21393" s="1"/>
    </row>
    <row r="21394" spans="8:9" x14ac:dyDescent="0.2">
      <c r="H21394" s="1"/>
      <c r="I21394" s="1"/>
    </row>
    <row r="21395" spans="8:9" x14ac:dyDescent="0.2">
      <c r="H21395" s="1"/>
      <c r="I21395" s="1"/>
    </row>
    <row r="21396" spans="8:9" x14ac:dyDescent="0.2">
      <c r="H21396" s="1"/>
      <c r="I21396" s="1"/>
    </row>
    <row r="21397" spans="8:9" x14ac:dyDescent="0.2">
      <c r="H21397" s="1"/>
      <c r="I21397" s="1"/>
    </row>
    <row r="21398" spans="8:9" x14ac:dyDescent="0.2">
      <c r="H21398" s="1"/>
      <c r="I21398" s="1"/>
    </row>
    <row r="21399" spans="8:9" x14ac:dyDescent="0.2">
      <c r="H21399" s="1"/>
      <c r="I21399" s="1"/>
    </row>
    <row r="21400" spans="8:9" x14ac:dyDescent="0.2">
      <c r="H21400" s="1"/>
      <c r="I21400" s="1"/>
    </row>
    <row r="21401" spans="8:9" x14ac:dyDescent="0.2">
      <c r="H21401" s="1"/>
      <c r="I21401" s="1"/>
    </row>
    <row r="21402" spans="8:9" x14ac:dyDescent="0.2">
      <c r="H21402" s="1"/>
      <c r="I21402" s="1"/>
    </row>
    <row r="21403" spans="8:9" x14ac:dyDescent="0.2">
      <c r="H21403" s="1"/>
      <c r="I21403" s="1"/>
    </row>
    <row r="21404" spans="8:9" x14ac:dyDescent="0.2">
      <c r="H21404" s="1"/>
      <c r="I21404" s="1"/>
    </row>
    <row r="21405" spans="8:9" x14ac:dyDescent="0.2">
      <c r="H21405" s="1"/>
      <c r="I21405" s="1"/>
    </row>
    <row r="21406" spans="8:9" x14ac:dyDescent="0.2">
      <c r="H21406" s="1"/>
      <c r="I21406" s="1"/>
    </row>
    <row r="21407" spans="8:9" x14ac:dyDescent="0.2">
      <c r="H21407" s="1"/>
      <c r="I21407" s="1"/>
    </row>
    <row r="21408" spans="8:9" x14ac:dyDescent="0.2">
      <c r="H21408" s="1"/>
      <c r="I21408" s="1"/>
    </row>
    <row r="21409" spans="8:9" x14ac:dyDescent="0.2">
      <c r="H21409" s="1"/>
      <c r="I21409" s="1"/>
    </row>
    <row r="21410" spans="8:9" x14ac:dyDescent="0.2">
      <c r="H21410" s="1"/>
      <c r="I21410" s="1"/>
    </row>
    <row r="21411" spans="8:9" x14ac:dyDescent="0.2">
      <c r="H21411" s="1"/>
      <c r="I21411" s="1"/>
    </row>
    <row r="21412" spans="8:9" x14ac:dyDescent="0.2">
      <c r="H21412" s="1"/>
      <c r="I21412" s="1"/>
    </row>
    <row r="21413" spans="8:9" x14ac:dyDescent="0.2">
      <c r="H21413" s="1"/>
      <c r="I21413" s="1"/>
    </row>
    <row r="21414" spans="8:9" x14ac:dyDescent="0.2">
      <c r="H21414" s="1"/>
      <c r="I21414" s="1"/>
    </row>
    <row r="21415" spans="8:9" x14ac:dyDescent="0.2">
      <c r="H21415" s="1"/>
      <c r="I21415" s="1"/>
    </row>
    <row r="21416" spans="8:9" x14ac:dyDescent="0.2">
      <c r="H21416" s="1"/>
      <c r="I21416" s="1"/>
    </row>
    <row r="21417" spans="8:9" x14ac:dyDescent="0.2">
      <c r="H21417" s="1"/>
      <c r="I21417" s="1"/>
    </row>
    <row r="21418" spans="8:9" x14ac:dyDescent="0.2">
      <c r="H21418" s="1"/>
      <c r="I21418" s="1"/>
    </row>
    <row r="21419" spans="8:9" x14ac:dyDescent="0.2">
      <c r="H21419" s="1"/>
      <c r="I21419" s="1"/>
    </row>
    <row r="21420" spans="8:9" x14ac:dyDescent="0.2">
      <c r="H21420" s="1"/>
      <c r="I21420" s="1"/>
    </row>
    <row r="21421" spans="8:9" x14ac:dyDescent="0.2">
      <c r="H21421" s="1"/>
      <c r="I21421" s="1"/>
    </row>
    <row r="21422" spans="8:9" x14ac:dyDescent="0.2">
      <c r="H21422" s="1"/>
      <c r="I21422" s="1"/>
    </row>
    <row r="21423" spans="8:9" x14ac:dyDescent="0.2">
      <c r="H21423" s="1"/>
      <c r="I21423" s="1"/>
    </row>
    <row r="21424" spans="8:9" x14ac:dyDescent="0.2">
      <c r="H21424" s="1"/>
      <c r="I21424" s="1"/>
    </row>
    <row r="21425" spans="8:9" x14ac:dyDescent="0.2">
      <c r="H21425" s="1"/>
      <c r="I21425" s="1"/>
    </row>
    <row r="21426" spans="8:9" x14ac:dyDescent="0.2">
      <c r="H21426" s="1"/>
      <c r="I21426" s="1"/>
    </row>
    <row r="21427" spans="8:9" x14ac:dyDescent="0.2">
      <c r="H21427" s="1"/>
      <c r="I21427" s="1"/>
    </row>
    <row r="21428" spans="8:9" x14ac:dyDescent="0.2">
      <c r="H21428" s="1"/>
      <c r="I21428" s="1"/>
    </row>
    <row r="21429" spans="8:9" x14ac:dyDescent="0.2">
      <c r="H21429" s="1"/>
      <c r="I21429" s="1"/>
    </row>
    <row r="21430" spans="8:9" x14ac:dyDescent="0.2">
      <c r="H21430" s="1"/>
      <c r="I21430" s="1"/>
    </row>
    <row r="21431" spans="8:9" x14ac:dyDescent="0.2">
      <c r="H21431" s="1"/>
      <c r="I21431" s="1"/>
    </row>
    <row r="21432" spans="8:9" x14ac:dyDescent="0.2">
      <c r="H21432" s="1"/>
      <c r="I21432" s="1"/>
    </row>
    <row r="21433" spans="8:9" x14ac:dyDescent="0.2">
      <c r="H21433" s="1"/>
      <c r="I21433" s="1"/>
    </row>
    <row r="21434" spans="8:9" x14ac:dyDescent="0.2">
      <c r="H21434" s="1"/>
      <c r="I21434" s="1"/>
    </row>
    <row r="21435" spans="8:9" x14ac:dyDescent="0.2">
      <c r="H21435" s="1"/>
      <c r="I21435" s="1"/>
    </row>
    <row r="21436" spans="8:9" x14ac:dyDescent="0.2">
      <c r="H21436" s="1"/>
      <c r="I21436" s="1"/>
    </row>
    <row r="21437" spans="8:9" x14ac:dyDescent="0.2">
      <c r="H21437" s="1"/>
      <c r="I21437" s="1"/>
    </row>
    <row r="21438" spans="8:9" x14ac:dyDescent="0.2">
      <c r="H21438" s="1"/>
      <c r="I21438" s="1"/>
    </row>
    <row r="21439" spans="8:9" x14ac:dyDescent="0.2">
      <c r="H21439" s="1"/>
      <c r="I21439" s="1"/>
    </row>
    <row r="21440" spans="8:9" x14ac:dyDescent="0.2">
      <c r="H21440" s="1"/>
      <c r="I21440" s="1"/>
    </row>
    <row r="21441" spans="8:9" x14ac:dyDescent="0.2">
      <c r="H21441" s="1"/>
      <c r="I21441" s="1"/>
    </row>
    <row r="21442" spans="8:9" x14ac:dyDescent="0.2">
      <c r="H21442" s="1"/>
      <c r="I21442" s="1"/>
    </row>
    <row r="21443" spans="8:9" x14ac:dyDescent="0.2">
      <c r="H21443" s="1"/>
      <c r="I21443" s="1"/>
    </row>
    <row r="21444" spans="8:9" x14ac:dyDescent="0.2">
      <c r="H21444" s="1"/>
      <c r="I21444" s="1"/>
    </row>
    <row r="21445" spans="8:9" x14ac:dyDescent="0.2">
      <c r="H21445" s="1"/>
      <c r="I21445" s="1"/>
    </row>
    <row r="21446" spans="8:9" x14ac:dyDescent="0.2">
      <c r="H21446" s="1"/>
      <c r="I21446" s="1"/>
    </row>
    <row r="21447" spans="8:9" x14ac:dyDescent="0.2">
      <c r="H21447" s="1"/>
      <c r="I21447" s="1"/>
    </row>
    <row r="21448" spans="8:9" x14ac:dyDescent="0.2">
      <c r="H21448" s="1"/>
      <c r="I21448" s="1"/>
    </row>
    <row r="21449" spans="8:9" x14ac:dyDescent="0.2">
      <c r="H21449" s="1"/>
      <c r="I21449" s="1"/>
    </row>
    <row r="21450" spans="8:9" x14ac:dyDescent="0.2">
      <c r="H21450" s="1"/>
      <c r="I21450" s="1"/>
    </row>
    <row r="21451" spans="8:9" x14ac:dyDescent="0.2">
      <c r="H21451" s="1"/>
      <c r="I21451" s="1"/>
    </row>
    <row r="21452" spans="8:9" x14ac:dyDescent="0.2">
      <c r="H21452" s="1"/>
      <c r="I21452" s="1"/>
    </row>
    <row r="21453" spans="8:9" x14ac:dyDescent="0.2">
      <c r="H21453" s="1"/>
      <c r="I21453" s="1"/>
    </row>
    <row r="21454" spans="8:9" x14ac:dyDescent="0.2">
      <c r="H21454" s="1"/>
      <c r="I21454" s="1"/>
    </row>
    <row r="21455" spans="8:9" x14ac:dyDescent="0.2">
      <c r="H21455" s="1"/>
      <c r="I21455" s="1"/>
    </row>
    <row r="21456" spans="8:9" x14ac:dyDescent="0.2">
      <c r="H21456" s="1"/>
      <c r="I21456" s="1"/>
    </row>
    <row r="21457" spans="8:9" x14ac:dyDescent="0.2">
      <c r="H21457" s="1"/>
      <c r="I21457" s="1"/>
    </row>
    <row r="21458" spans="8:9" x14ac:dyDescent="0.2">
      <c r="H21458" s="1"/>
      <c r="I21458" s="1"/>
    </row>
    <row r="21459" spans="8:9" x14ac:dyDescent="0.2">
      <c r="H21459" s="1"/>
      <c r="I21459" s="1"/>
    </row>
    <row r="21460" spans="8:9" x14ac:dyDescent="0.2">
      <c r="H21460" s="1"/>
      <c r="I21460" s="1"/>
    </row>
    <row r="21461" spans="8:9" x14ac:dyDescent="0.2">
      <c r="H21461" s="1"/>
      <c r="I21461" s="1"/>
    </row>
    <row r="21462" spans="8:9" x14ac:dyDescent="0.2">
      <c r="H21462" s="1"/>
      <c r="I21462" s="1"/>
    </row>
    <row r="21463" spans="8:9" x14ac:dyDescent="0.2">
      <c r="H21463" s="1"/>
      <c r="I21463" s="1"/>
    </row>
    <row r="21464" spans="8:9" x14ac:dyDescent="0.2">
      <c r="H21464" s="1"/>
      <c r="I21464" s="1"/>
    </row>
    <row r="21465" spans="8:9" x14ac:dyDescent="0.2">
      <c r="H21465" s="1"/>
      <c r="I21465" s="1"/>
    </row>
    <row r="21466" spans="8:9" x14ac:dyDescent="0.2">
      <c r="H21466" s="1"/>
      <c r="I21466" s="1"/>
    </row>
    <row r="21467" spans="8:9" x14ac:dyDescent="0.2">
      <c r="H21467" s="1"/>
      <c r="I21467" s="1"/>
    </row>
    <row r="21468" spans="8:9" x14ac:dyDescent="0.2">
      <c r="H21468" s="1"/>
      <c r="I21468" s="1"/>
    </row>
    <row r="21469" spans="8:9" x14ac:dyDescent="0.2">
      <c r="H21469" s="1"/>
      <c r="I21469" s="1"/>
    </row>
    <row r="21470" spans="8:9" x14ac:dyDescent="0.2">
      <c r="H21470" s="1"/>
      <c r="I21470" s="1"/>
    </row>
    <row r="21471" spans="8:9" x14ac:dyDescent="0.2">
      <c r="H21471" s="1"/>
      <c r="I21471" s="1"/>
    </row>
    <row r="21472" spans="8:9" x14ac:dyDescent="0.2">
      <c r="H21472" s="1"/>
      <c r="I21472" s="1"/>
    </row>
    <row r="21473" spans="8:9" x14ac:dyDescent="0.2">
      <c r="H21473" s="1"/>
      <c r="I21473" s="1"/>
    </row>
    <row r="21474" spans="8:9" x14ac:dyDescent="0.2">
      <c r="H21474" s="1"/>
      <c r="I21474" s="1"/>
    </row>
    <row r="21475" spans="8:9" x14ac:dyDescent="0.2">
      <c r="H21475" s="1"/>
      <c r="I21475" s="1"/>
    </row>
    <row r="21476" spans="8:9" x14ac:dyDescent="0.2">
      <c r="H21476" s="1"/>
      <c r="I21476" s="1"/>
    </row>
    <row r="21477" spans="8:9" x14ac:dyDescent="0.2">
      <c r="H21477" s="1"/>
      <c r="I21477" s="1"/>
    </row>
    <row r="21478" spans="8:9" x14ac:dyDescent="0.2">
      <c r="H21478" s="1"/>
      <c r="I21478" s="1"/>
    </row>
    <row r="21479" spans="8:9" x14ac:dyDescent="0.2">
      <c r="H21479" s="1"/>
      <c r="I21479" s="1"/>
    </row>
    <row r="21480" spans="8:9" x14ac:dyDescent="0.2">
      <c r="H21480" s="1"/>
      <c r="I21480" s="1"/>
    </row>
    <row r="21481" spans="8:9" x14ac:dyDescent="0.2">
      <c r="H21481" s="1"/>
      <c r="I21481" s="1"/>
    </row>
    <row r="21482" spans="8:9" x14ac:dyDescent="0.2">
      <c r="H21482" s="1"/>
      <c r="I21482" s="1"/>
    </row>
    <row r="21483" spans="8:9" x14ac:dyDescent="0.2">
      <c r="H21483" s="1"/>
      <c r="I21483" s="1"/>
    </row>
    <row r="21484" spans="8:9" x14ac:dyDescent="0.2">
      <c r="H21484" s="1"/>
      <c r="I21484" s="1"/>
    </row>
    <row r="21485" spans="8:9" x14ac:dyDescent="0.2">
      <c r="H21485" s="1"/>
      <c r="I21485" s="1"/>
    </row>
    <row r="21486" spans="8:9" x14ac:dyDescent="0.2">
      <c r="H21486" s="1"/>
      <c r="I21486" s="1"/>
    </row>
    <row r="21487" spans="8:9" x14ac:dyDescent="0.2">
      <c r="H21487" s="1"/>
      <c r="I21487" s="1"/>
    </row>
    <row r="21488" spans="8:9" x14ac:dyDescent="0.2">
      <c r="H21488" s="1"/>
      <c r="I21488" s="1"/>
    </row>
    <row r="21489" spans="8:9" x14ac:dyDescent="0.2">
      <c r="H21489" s="1"/>
      <c r="I21489" s="1"/>
    </row>
    <row r="21490" spans="8:9" x14ac:dyDescent="0.2">
      <c r="H21490" s="1"/>
      <c r="I21490" s="1"/>
    </row>
    <row r="21491" spans="8:9" x14ac:dyDescent="0.2">
      <c r="H21491" s="1"/>
      <c r="I21491" s="1"/>
    </row>
    <row r="21492" spans="8:9" x14ac:dyDescent="0.2">
      <c r="H21492" s="1"/>
      <c r="I21492" s="1"/>
    </row>
    <row r="21493" spans="8:9" x14ac:dyDescent="0.2">
      <c r="H21493" s="1"/>
      <c r="I21493" s="1"/>
    </row>
    <row r="21494" spans="8:9" x14ac:dyDescent="0.2">
      <c r="H21494" s="1"/>
      <c r="I21494" s="1"/>
    </row>
    <row r="21495" spans="8:9" x14ac:dyDescent="0.2">
      <c r="H21495" s="1"/>
      <c r="I21495" s="1"/>
    </row>
    <row r="21496" spans="8:9" x14ac:dyDescent="0.2">
      <c r="H21496" s="1"/>
      <c r="I21496" s="1"/>
    </row>
    <row r="21497" spans="8:9" x14ac:dyDescent="0.2">
      <c r="H21497" s="1"/>
      <c r="I21497" s="1"/>
    </row>
    <row r="21498" spans="8:9" x14ac:dyDescent="0.2">
      <c r="H21498" s="1"/>
      <c r="I21498" s="1"/>
    </row>
    <row r="21499" spans="8:9" x14ac:dyDescent="0.2">
      <c r="H21499" s="1"/>
      <c r="I21499" s="1"/>
    </row>
    <row r="21500" spans="8:9" x14ac:dyDescent="0.2">
      <c r="H21500" s="1"/>
      <c r="I21500" s="1"/>
    </row>
    <row r="21501" spans="8:9" x14ac:dyDescent="0.2">
      <c r="H21501" s="1"/>
      <c r="I21501" s="1"/>
    </row>
    <row r="21502" spans="8:9" x14ac:dyDescent="0.2">
      <c r="H21502" s="1"/>
      <c r="I21502" s="1"/>
    </row>
    <row r="21503" spans="8:9" x14ac:dyDescent="0.2">
      <c r="H21503" s="1"/>
      <c r="I21503" s="1"/>
    </row>
    <row r="21504" spans="8:9" x14ac:dyDescent="0.2">
      <c r="H21504" s="1"/>
      <c r="I21504" s="1"/>
    </row>
    <row r="21505" spans="8:9" x14ac:dyDescent="0.2">
      <c r="H21505" s="1"/>
      <c r="I21505" s="1"/>
    </row>
    <row r="21506" spans="8:9" x14ac:dyDescent="0.2">
      <c r="H21506" s="1"/>
      <c r="I21506" s="1"/>
    </row>
    <row r="21507" spans="8:9" x14ac:dyDescent="0.2">
      <c r="H21507" s="1"/>
      <c r="I21507" s="1"/>
    </row>
    <row r="21508" spans="8:9" x14ac:dyDescent="0.2">
      <c r="H21508" s="1"/>
      <c r="I21508" s="1"/>
    </row>
    <row r="21509" spans="8:9" x14ac:dyDescent="0.2">
      <c r="H21509" s="1"/>
      <c r="I21509" s="1"/>
    </row>
    <row r="21510" spans="8:9" x14ac:dyDescent="0.2">
      <c r="H21510" s="1"/>
      <c r="I21510" s="1"/>
    </row>
    <row r="21511" spans="8:9" x14ac:dyDescent="0.2">
      <c r="H21511" s="1"/>
      <c r="I21511" s="1"/>
    </row>
    <row r="21512" spans="8:9" x14ac:dyDescent="0.2">
      <c r="H21512" s="1"/>
      <c r="I21512" s="1"/>
    </row>
    <row r="21513" spans="8:9" x14ac:dyDescent="0.2">
      <c r="H21513" s="1"/>
      <c r="I21513" s="1"/>
    </row>
    <row r="21514" spans="8:9" x14ac:dyDescent="0.2">
      <c r="H21514" s="1"/>
      <c r="I21514" s="1"/>
    </row>
    <row r="21515" spans="8:9" x14ac:dyDescent="0.2">
      <c r="H21515" s="1"/>
      <c r="I21515" s="1"/>
    </row>
    <row r="21516" spans="8:9" x14ac:dyDescent="0.2">
      <c r="H21516" s="1"/>
      <c r="I21516" s="1"/>
    </row>
    <row r="21517" spans="8:9" x14ac:dyDescent="0.2">
      <c r="H21517" s="1"/>
      <c r="I21517" s="1"/>
    </row>
    <row r="21518" spans="8:9" x14ac:dyDescent="0.2">
      <c r="H21518" s="1"/>
      <c r="I21518" s="1"/>
    </row>
    <row r="21519" spans="8:9" x14ac:dyDescent="0.2">
      <c r="H21519" s="1"/>
      <c r="I21519" s="1"/>
    </row>
    <row r="21520" spans="8:9" x14ac:dyDescent="0.2">
      <c r="H21520" s="1"/>
      <c r="I21520" s="1"/>
    </row>
    <row r="21521" spans="8:9" x14ac:dyDescent="0.2">
      <c r="H21521" s="1"/>
      <c r="I21521" s="1"/>
    </row>
    <row r="21522" spans="8:9" x14ac:dyDescent="0.2">
      <c r="H21522" s="1"/>
      <c r="I21522" s="1"/>
    </row>
    <row r="21523" spans="8:9" x14ac:dyDescent="0.2">
      <c r="H21523" s="1"/>
      <c r="I21523" s="1"/>
    </row>
    <row r="21524" spans="8:9" x14ac:dyDescent="0.2">
      <c r="H21524" s="1"/>
      <c r="I21524" s="1"/>
    </row>
    <row r="21525" spans="8:9" x14ac:dyDescent="0.2">
      <c r="H21525" s="1"/>
      <c r="I21525" s="1"/>
    </row>
    <row r="21526" spans="8:9" x14ac:dyDescent="0.2">
      <c r="H21526" s="1"/>
      <c r="I21526" s="1"/>
    </row>
    <row r="21527" spans="8:9" x14ac:dyDescent="0.2">
      <c r="H21527" s="1"/>
      <c r="I21527" s="1"/>
    </row>
    <row r="21528" spans="8:9" x14ac:dyDescent="0.2">
      <c r="H21528" s="1"/>
      <c r="I21528" s="1"/>
    </row>
    <row r="21529" spans="8:9" x14ac:dyDescent="0.2">
      <c r="H21529" s="1"/>
      <c r="I21529" s="1"/>
    </row>
    <row r="21530" spans="8:9" x14ac:dyDescent="0.2">
      <c r="H21530" s="1"/>
      <c r="I21530" s="1"/>
    </row>
    <row r="21531" spans="8:9" x14ac:dyDescent="0.2">
      <c r="H21531" s="1"/>
      <c r="I21531" s="1"/>
    </row>
    <row r="21532" spans="8:9" x14ac:dyDescent="0.2">
      <c r="H21532" s="1"/>
      <c r="I21532" s="1"/>
    </row>
    <row r="21533" spans="8:9" x14ac:dyDescent="0.2">
      <c r="H21533" s="1"/>
      <c r="I21533" s="1"/>
    </row>
    <row r="21534" spans="8:9" x14ac:dyDescent="0.2">
      <c r="H21534" s="1"/>
      <c r="I21534" s="1"/>
    </row>
    <row r="21535" spans="8:9" x14ac:dyDescent="0.2">
      <c r="H21535" s="1"/>
      <c r="I21535" s="1"/>
    </row>
    <row r="21536" spans="8:9" x14ac:dyDescent="0.2">
      <c r="H21536" s="1"/>
      <c r="I21536" s="1"/>
    </row>
    <row r="21537" spans="8:9" x14ac:dyDescent="0.2">
      <c r="H21537" s="1"/>
      <c r="I21537" s="1"/>
    </row>
    <row r="21538" spans="8:9" x14ac:dyDescent="0.2">
      <c r="H21538" s="1"/>
      <c r="I21538" s="1"/>
    </row>
    <row r="21539" spans="8:9" x14ac:dyDescent="0.2">
      <c r="H21539" s="1"/>
      <c r="I21539" s="1"/>
    </row>
    <row r="21540" spans="8:9" x14ac:dyDescent="0.2">
      <c r="H21540" s="1"/>
      <c r="I21540" s="1"/>
    </row>
    <row r="21541" spans="8:9" x14ac:dyDescent="0.2">
      <c r="H21541" s="1"/>
      <c r="I21541" s="1"/>
    </row>
    <row r="21542" spans="8:9" x14ac:dyDescent="0.2">
      <c r="H21542" s="1"/>
      <c r="I21542" s="1"/>
    </row>
    <row r="21543" spans="8:9" x14ac:dyDescent="0.2">
      <c r="H21543" s="1"/>
      <c r="I21543" s="1"/>
    </row>
    <row r="21544" spans="8:9" x14ac:dyDescent="0.2">
      <c r="H21544" s="1"/>
      <c r="I21544" s="1"/>
    </row>
    <row r="21545" spans="8:9" x14ac:dyDescent="0.2">
      <c r="H21545" s="1"/>
      <c r="I21545" s="1"/>
    </row>
    <row r="21546" spans="8:9" x14ac:dyDescent="0.2">
      <c r="H21546" s="1"/>
      <c r="I21546" s="1"/>
    </row>
    <row r="21547" spans="8:9" x14ac:dyDescent="0.2">
      <c r="H21547" s="1"/>
      <c r="I21547" s="1"/>
    </row>
    <row r="21548" spans="8:9" x14ac:dyDescent="0.2">
      <c r="H21548" s="1"/>
      <c r="I21548" s="1"/>
    </row>
    <row r="21549" spans="8:9" x14ac:dyDescent="0.2">
      <c r="H21549" s="1"/>
      <c r="I21549" s="1"/>
    </row>
    <row r="21550" spans="8:9" x14ac:dyDescent="0.2">
      <c r="H21550" s="1"/>
      <c r="I21550" s="1"/>
    </row>
    <row r="21551" spans="8:9" x14ac:dyDescent="0.2">
      <c r="H21551" s="1"/>
      <c r="I21551" s="1"/>
    </row>
    <row r="21552" spans="8:9" x14ac:dyDescent="0.2">
      <c r="H21552" s="1"/>
      <c r="I21552" s="1"/>
    </row>
    <row r="21553" spans="8:9" x14ac:dyDescent="0.2">
      <c r="H21553" s="1"/>
      <c r="I21553" s="1"/>
    </row>
    <row r="21554" spans="8:9" x14ac:dyDescent="0.2">
      <c r="H21554" s="1"/>
      <c r="I21554" s="1"/>
    </row>
    <row r="21555" spans="8:9" x14ac:dyDescent="0.2">
      <c r="H21555" s="1"/>
      <c r="I21555" s="1"/>
    </row>
    <row r="21556" spans="8:9" x14ac:dyDescent="0.2">
      <c r="H21556" s="1"/>
      <c r="I21556" s="1"/>
    </row>
    <row r="21557" spans="8:9" x14ac:dyDescent="0.2">
      <c r="H21557" s="1"/>
      <c r="I21557" s="1"/>
    </row>
    <row r="21558" spans="8:9" x14ac:dyDescent="0.2">
      <c r="H21558" s="1"/>
      <c r="I21558" s="1"/>
    </row>
    <row r="21559" spans="8:9" x14ac:dyDescent="0.2">
      <c r="H21559" s="1"/>
      <c r="I21559" s="1"/>
    </row>
    <row r="21560" spans="8:9" x14ac:dyDescent="0.2">
      <c r="H21560" s="1"/>
      <c r="I21560" s="1"/>
    </row>
    <row r="21561" spans="8:9" x14ac:dyDescent="0.2">
      <c r="H21561" s="1"/>
      <c r="I21561" s="1"/>
    </row>
    <row r="21562" spans="8:9" x14ac:dyDescent="0.2">
      <c r="H21562" s="1"/>
      <c r="I21562" s="1"/>
    </row>
    <row r="21563" spans="8:9" x14ac:dyDescent="0.2">
      <c r="H21563" s="1"/>
      <c r="I21563" s="1"/>
    </row>
    <row r="21564" spans="8:9" x14ac:dyDescent="0.2">
      <c r="H21564" s="1"/>
      <c r="I21564" s="1"/>
    </row>
    <row r="21565" spans="8:9" x14ac:dyDescent="0.2">
      <c r="H21565" s="1"/>
      <c r="I21565" s="1"/>
    </row>
    <row r="21566" spans="8:9" x14ac:dyDescent="0.2">
      <c r="H21566" s="1"/>
      <c r="I21566" s="1"/>
    </row>
    <row r="21567" spans="8:9" x14ac:dyDescent="0.2">
      <c r="H21567" s="1"/>
      <c r="I21567" s="1"/>
    </row>
    <row r="21568" spans="8:9" x14ac:dyDescent="0.2">
      <c r="H21568" s="1"/>
      <c r="I21568" s="1"/>
    </row>
    <row r="21569" spans="8:9" x14ac:dyDescent="0.2">
      <c r="H21569" s="1"/>
      <c r="I21569" s="1"/>
    </row>
    <row r="21570" spans="8:9" x14ac:dyDescent="0.2">
      <c r="H21570" s="1"/>
      <c r="I21570" s="1"/>
    </row>
    <row r="21571" spans="8:9" x14ac:dyDescent="0.2">
      <c r="H21571" s="1"/>
      <c r="I21571" s="1"/>
    </row>
    <row r="21572" spans="8:9" x14ac:dyDescent="0.2">
      <c r="H21572" s="1"/>
      <c r="I21572" s="1"/>
    </row>
    <row r="21573" spans="8:9" x14ac:dyDescent="0.2">
      <c r="H21573" s="1"/>
      <c r="I21573" s="1"/>
    </row>
    <row r="21574" spans="8:9" x14ac:dyDescent="0.2">
      <c r="H21574" s="1"/>
      <c r="I21574" s="1"/>
    </row>
    <row r="21575" spans="8:9" x14ac:dyDescent="0.2">
      <c r="H21575" s="1"/>
      <c r="I21575" s="1"/>
    </row>
    <row r="21576" spans="8:9" x14ac:dyDescent="0.2">
      <c r="H21576" s="1"/>
      <c r="I21576" s="1"/>
    </row>
    <row r="21577" spans="8:9" x14ac:dyDescent="0.2">
      <c r="H21577" s="1"/>
      <c r="I21577" s="1"/>
    </row>
    <row r="21578" spans="8:9" x14ac:dyDescent="0.2">
      <c r="H21578" s="1"/>
      <c r="I21578" s="1"/>
    </row>
    <row r="21579" spans="8:9" x14ac:dyDescent="0.2">
      <c r="H21579" s="1"/>
      <c r="I21579" s="1"/>
    </row>
    <row r="21580" spans="8:9" x14ac:dyDescent="0.2">
      <c r="H21580" s="1"/>
      <c r="I21580" s="1"/>
    </row>
    <row r="21581" spans="8:9" x14ac:dyDescent="0.2">
      <c r="H21581" s="1"/>
      <c r="I21581" s="1"/>
    </row>
    <row r="21582" spans="8:9" x14ac:dyDescent="0.2">
      <c r="H21582" s="1"/>
      <c r="I21582" s="1"/>
    </row>
    <row r="21583" spans="8:9" x14ac:dyDescent="0.2">
      <c r="H21583" s="1"/>
      <c r="I21583" s="1"/>
    </row>
    <row r="21584" spans="8:9" x14ac:dyDescent="0.2">
      <c r="H21584" s="1"/>
      <c r="I21584" s="1"/>
    </row>
    <row r="21585" spans="8:9" x14ac:dyDescent="0.2">
      <c r="H21585" s="1"/>
      <c r="I21585" s="1"/>
    </row>
    <row r="21586" spans="8:9" x14ac:dyDescent="0.2">
      <c r="H21586" s="1"/>
      <c r="I21586" s="1"/>
    </row>
    <row r="21587" spans="8:9" x14ac:dyDescent="0.2">
      <c r="H21587" s="1"/>
      <c r="I21587" s="1"/>
    </row>
    <row r="21588" spans="8:9" x14ac:dyDescent="0.2">
      <c r="H21588" s="1"/>
      <c r="I21588" s="1"/>
    </row>
    <row r="21589" spans="8:9" x14ac:dyDescent="0.2">
      <c r="H21589" s="1"/>
      <c r="I21589" s="1"/>
    </row>
    <row r="21590" spans="8:9" x14ac:dyDescent="0.2">
      <c r="H21590" s="1"/>
      <c r="I21590" s="1"/>
    </row>
    <row r="21591" spans="8:9" x14ac:dyDescent="0.2">
      <c r="H21591" s="1"/>
      <c r="I21591" s="1"/>
    </row>
    <row r="21592" spans="8:9" x14ac:dyDescent="0.2">
      <c r="H21592" s="1"/>
      <c r="I21592" s="1"/>
    </row>
    <row r="21593" spans="8:9" x14ac:dyDescent="0.2">
      <c r="H21593" s="1"/>
      <c r="I21593" s="1"/>
    </row>
    <row r="21594" spans="8:9" x14ac:dyDescent="0.2">
      <c r="H21594" s="1"/>
      <c r="I21594" s="1"/>
    </row>
    <row r="21595" spans="8:9" x14ac:dyDescent="0.2">
      <c r="H21595" s="1"/>
      <c r="I21595" s="1"/>
    </row>
    <row r="21596" spans="8:9" x14ac:dyDescent="0.2">
      <c r="H21596" s="1"/>
      <c r="I21596" s="1"/>
    </row>
    <row r="21597" spans="8:9" x14ac:dyDescent="0.2">
      <c r="H21597" s="1"/>
      <c r="I21597" s="1"/>
    </row>
    <row r="21598" spans="8:9" x14ac:dyDescent="0.2">
      <c r="H21598" s="1"/>
      <c r="I21598" s="1"/>
    </row>
    <row r="21599" spans="8:9" x14ac:dyDescent="0.2">
      <c r="H21599" s="1"/>
      <c r="I21599" s="1"/>
    </row>
    <row r="21600" spans="8:9" x14ac:dyDescent="0.2">
      <c r="H21600" s="1"/>
      <c r="I21600" s="1"/>
    </row>
    <row r="21601" spans="8:9" x14ac:dyDescent="0.2">
      <c r="H21601" s="1"/>
      <c r="I21601" s="1"/>
    </row>
    <row r="21602" spans="8:9" x14ac:dyDescent="0.2">
      <c r="H21602" s="1"/>
      <c r="I21602" s="1"/>
    </row>
    <row r="21603" spans="8:9" x14ac:dyDescent="0.2">
      <c r="H21603" s="1"/>
      <c r="I21603" s="1"/>
    </row>
    <row r="21604" spans="8:9" x14ac:dyDescent="0.2">
      <c r="H21604" s="1"/>
      <c r="I21604" s="1"/>
    </row>
    <row r="21605" spans="8:9" x14ac:dyDescent="0.2">
      <c r="H21605" s="1"/>
      <c r="I21605" s="1"/>
    </row>
    <row r="21606" spans="8:9" x14ac:dyDescent="0.2">
      <c r="H21606" s="1"/>
      <c r="I21606" s="1"/>
    </row>
    <row r="21607" spans="8:9" x14ac:dyDescent="0.2">
      <c r="H21607" s="1"/>
      <c r="I21607" s="1"/>
    </row>
    <row r="21608" spans="8:9" x14ac:dyDescent="0.2">
      <c r="H21608" s="1"/>
      <c r="I21608" s="1"/>
    </row>
    <row r="21609" spans="8:9" x14ac:dyDescent="0.2">
      <c r="H21609" s="1"/>
      <c r="I21609" s="1"/>
    </row>
    <row r="21610" spans="8:9" x14ac:dyDescent="0.2">
      <c r="H21610" s="1"/>
      <c r="I21610" s="1"/>
    </row>
    <row r="21611" spans="8:9" x14ac:dyDescent="0.2">
      <c r="H21611" s="1"/>
      <c r="I21611" s="1"/>
    </row>
    <row r="21612" spans="8:9" x14ac:dyDescent="0.2">
      <c r="H21612" s="1"/>
      <c r="I21612" s="1"/>
    </row>
    <row r="21613" spans="8:9" x14ac:dyDescent="0.2">
      <c r="H21613" s="1"/>
      <c r="I21613" s="1"/>
    </row>
    <row r="21614" spans="8:9" x14ac:dyDescent="0.2">
      <c r="H21614" s="1"/>
      <c r="I21614" s="1"/>
    </row>
    <row r="21615" spans="8:9" x14ac:dyDescent="0.2">
      <c r="H21615" s="1"/>
      <c r="I21615" s="1"/>
    </row>
    <row r="21616" spans="8:9" x14ac:dyDescent="0.2">
      <c r="H21616" s="1"/>
      <c r="I21616" s="1"/>
    </row>
    <row r="21617" spans="8:9" x14ac:dyDescent="0.2">
      <c r="H21617" s="1"/>
      <c r="I21617" s="1"/>
    </row>
    <row r="21618" spans="8:9" x14ac:dyDescent="0.2">
      <c r="H21618" s="1"/>
      <c r="I21618" s="1"/>
    </row>
    <row r="21619" spans="8:9" x14ac:dyDescent="0.2">
      <c r="H21619" s="1"/>
      <c r="I21619" s="1"/>
    </row>
    <row r="21620" spans="8:9" x14ac:dyDescent="0.2">
      <c r="H21620" s="1"/>
      <c r="I21620" s="1"/>
    </row>
    <row r="21621" spans="8:9" x14ac:dyDescent="0.2">
      <c r="H21621" s="1"/>
      <c r="I21621" s="1"/>
    </row>
    <row r="21622" spans="8:9" x14ac:dyDescent="0.2">
      <c r="H21622" s="1"/>
      <c r="I21622" s="1"/>
    </row>
    <row r="21623" spans="8:9" x14ac:dyDescent="0.2">
      <c r="H21623" s="1"/>
      <c r="I21623" s="1"/>
    </row>
    <row r="21624" spans="8:9" x14ac:dyDescent="0.2">
      <c r="H21624" s="1"/>
      <c r="I21624" s="1"/>
    </row>
    <row r="21625" spans="8:9" x14ac:dyDescent="0.2">
      <c r="H21625" s="1"/>
      <c r="I21625" s="1"/>
    </row>
    <row r="21626" spans="8:9" x14ac:dyDescent="0.2">
      <c r="H21626" s="1"/>
      <c r="I21626" s="1"/>
    </row>
    <row r="21627" spans="8:9" x14ac:dyDescent="0.2">
      <c r="H21627" s="1"/>
      <c r="I21627" s="1"/>
    </row>
    <row r="21628" spans="8:9" x14ac:dyDescent="0.2">
      <c r="H21628" s="1"/>
      <c r="I21628" s="1"/>
    </row>
    <row r="21629" spans="8:9" x14ac:dyDescent="0.2">
      <c r="H21629" s="1"/>
      <c r="I21629" s="1"/>
    </row>
    <row r="21630" spans="8:9" x14ac:dyDescent="0.2">
      <c r="H21630" s="1"/>
      <c r="I21630" s="1"/>
    </row>
    <row r="21631" spans="8:9" x14ac:dyDescent="0.2">
      <c r="H21631" s="1"/>
      <c r="I21631" s="1"/>
    </row>
    <row r="21632" spans="8:9" x14ac:dyDescent="0.2">
      <c r="H21632" s="1"/>
      <c r="I21632" s="1"/>
    </row>
    <row r="21633" spans="8:9" x14ac:dyDescent="0.2">
      <c r="H21633" s="1"/>
      <c r="I21633" s="1"/>
    </row>
    <row r="21634" spans="8:9" x14ac:dyDescent="0.2">
      <c r="H21634" s="1"/>
      <c r="I21634" s="1"/>
    </row>
    <row r="21635" spans="8:9" x14ac:dyDescent="0.2">
      <c r="H21635" s="1"/>
      <c r="I21635" s="1"/>
    </row>
    <row r="21636" spans="8:9" x14ac:dyDescent="0.2">
      <c r="H21636" s="1"/>
      <c r="I21636" s="1"/>
    </row>
    <row r="21637" spans="8:9" x14ac:dyDescent="0.2">
      <c r="H21637" s="1"/>
      <c r="I21637" s="1"/>
    </row>
    <row r="21638" spans="8:9" x14ac:dyDescent="0.2">
      <c r="H21638" s="1"/>
      <c r="I21638" s="1"/>
    </row>
    <row r="21639" spans="8:9" x14ac:dyDescent="0.2">
      <c r="H21639" s="1"/>
      <c r="I21639" s="1"/>
    </row>
    <row r="21640" spans="8:9" x14ac:dyDescent="0.2">
      <c r="H21640" s="1"/>
      <c r="I21640" s="1"/>
    </row>
    <row r="21641" spans="8:9" x14ac:dyDescent="0.2">
      <c r="H21641" s="1"/>
      <c r="I21641" s="1"/>
    </row>
    <row r="21642" spans="8:9" x14ac:dyDescent="0.2">
      <c r="H21642" s="1"/>
      <c r="I21642" s="1"/>
    </row>
    <row r="21643" spans="8:9" x14ac:dyDescent="0.2">
      <c r="H21643" s="1"/>
      <c r="I21643" s="1"/>
    </row>
    <row r="21644" spans="8:9" x14ac:dyDescent="0.2">
      <c r="H21644" s="1"/>
      <c r="I21644" s="1"/>
    </row>
    <row r="21645" spans="8:9" x14ac:dyDescent="0.2">
      <c r="H21645" s="1"/>
      <c r="I21645" s="1"/>
    </row>
    <row r="21646" spans="8:9" x14ac:dyDescent="0.2">
      <c r="H21646" s="1"/>
      <c r="I21646" s="1"/>
    </row>
    <row r="21647" spans="8:9" x14ac:dyDescent="0.2">
      <c r="H21647" s="1"/>
      <c r="I21647" s="1"/>
    </row>
    <row r="21648" spans="8:9" x14ac:dyDescent="0.2">
      <c r="H21648" s="1"/>
      <c r="I21648" s="1"/>
    </row>
    <row r="21649" spans="8:9" x14ac:dyDescent="0.2">
      <c r="H21649" s="1"/>
      <c r="I21649" s="1"/>
    </row>
    <row r="21650" spans="8:9" x14ac:dyDescent="0.2">
      <c r="H21650" s="1"/>
      <c r="I21650" s="1"/>
    </row>
    <row r="21651" spans="8:9" x14ac:dyDescent="0.2">
      <c r="H21651" s="1"/>
      <c r="I21651" s="1"/>
    </row>
    <row r="21652" spans="8:9" x14ac:dyDescent="0.2">
      <c r="H21652" s="1"/>
      <c r="I21652" s="1"/>
    </row>
    <row r="21653" spans="8:9" x14ac:dyDescent="0.2">
      <c r="H21653" s="1"/>
      <c r="I21653" s="1"/>
    </row>
    <row r="21654" spans="8:9" x14ac:dyDescent="0.2">
      <c r="H21654" s="1"/>
      <c r="I21654" s="1"/>
    </row>
    <row r="21655" spans="8:9" x14ac:dyDescent="0.2">
      <c r="H21655" s="1"/>
      <c r="I21655" s="1"/>
    </row>
    <row r="21656" spans="8:9" x14ac:dyDescent="0.2">
      <c r="H21656" s="1"/>
      <c r="I21656" s="1"/>
    </row>
    <row r="21657" spans="8:9" x14ac:dyDescent="0.2">
      <c r="H21657" s="1"/>
      <c r="I21657" s="1"/>
    </row>
    <row r="21658" spans="8:9" x14ac:dyDescent="0.2">
      <c r="H21658" s="1"/>
      <c r="I21658" s="1"/>
    </row>
    <row r="21659" spans="8:9" x14ac:dyDescent="0.2">
      <c r="H21659" s="1"/>
      <c r="I21659" s="1"/>
    </row>
    <row r="21660" spans="8:9" x14ac:dyDescent="0.2">
      <c r="H21660" s="1"/>
      <c r="I21660" s="1"/>
    </row>
    <row r="21661" spans="8:9" x14ac:dyDescent="0.2">
      <c r="H21661" s="1"/>
      <c r="I21661" s="1"/>
    </row>
    <row r="21662" spans="8:9" x14ac:dyDescent="0.2">
      <c r="H21662" s="1"/>
      <c r="I21662" s="1"/>
    </row>
    <row r="21663" spans="8:9" x14ac:dyDescent="0.2">
      <c r="H21663" s="1"/>
      <c r="I21663" s="1"/>
    </row>
    <row r="21664" spans="8:9" x14ac:dyDescent="0.2">
      <c r="H21664" s="1"/>
      <c r="I21664" s="1"/>
    </row>
    <row r="21665" spans="8:9" x14ac:dyDescent="0.2">
      <c r="H21665" s="1"/>
      <c r="I21665" s="1"/>
    </row>
    <row r="21666" spans="8:9" x14ac:dyDescent="0.2">
      <c r="H21666" s="1"/>
      <c r="I21666" s="1"/>
    </row>
    <row r="21667" spans="8:9" x14ac:dyDescent="0.2">
      <c r="H21667" s="1"/>
      <c r="I21667" s="1"/>
    </row>
    <row r="21668" spans="8:9" x14ac:dyDescent="0.2">
      <c r="H21668" s="1"/>
      <c r="I21668" s="1"/>
    </row>
    <row r="21669" spans="8:9" x14ac:dyDescent="0.2">
      <c r="H21669" s="1"/>
      <c r="I21669" s="1"/>
    </row>
    <row r="21670" spans="8:9" x14ac:dyDescent="0.2">
      <c r="H21670" s="1"/>
      <c r="I21670" s="1"/>
    </row>
    <row r="21671" spans="8:9" x14ac:dyDescent="0.2">
      <c r="H21671" s="1"/>
      <c r="I21671" s="1"/>
    </row>
    <row r="21672" spans="8:9" x14ac:dyDescent="0.2">
      <c r="H21672" s="1"/>
      <c r="I21672" s="1"/>
    </row>
    <row r="21673" spans="8:9" x14ac:dyDescent="0.2">
      <c r="H21673" s="1"/>
      <c r="I21673" s="1"/>
    </row>
    <row r="21674" spans="8:9" x14ac:dyDescent="0.2">
      <c r="H21674" s="1"/>
      <c r="I21674" s="1"/>
    </row>
    <row r="21675" spans="8:9" x14ac:dyDescent="0.2">
      <c r="H21675" s="1"/>
      <c r="I21675" s="1"/>
    </row>
    <row r="21676" spans="8:9" x14ac:dyDescent="0.2">
      <c r="H21676" s="1"/>
      <c r="I21676" s="1"/>
    </row>
    <row r="21677" spans="8:9" x14ac:dyDescent="0.2">
      <c r="H21677" s="1"/>
      <c r="I21677" s="1"/>
    </row>
    <row r="21678" spans="8:9" x14ac:dyDescent="0.2">
      <c r="H21678" s="1"/>
      <c r="I21678" s="1"/>
    </row>
    <row r="21679" spans="8:9" x14ac:dyDescent="0.2">
      <c r="H21679" s="1"/>
      <c r="I21679" s="1"/>
    </row>
    <row r="21680" spans="8:9" x14ac:dyDescent="0.2">
      <c r="H21680" s="1"/>
      <c r="I21680" s="1"/>
    </row>
    <row r="21681" spans="8:9" x14ac:dyDescent="0.2">
      <c r="H21681" s="1"/>
      <c r="I21681" s="1"/>
    </row>
    <row r="21682" spans="8:9" x14ac:dyDescent="0.2">
      <c r="H21682" s="1"/>
      <c r="I21682" s="1"/>
    </row>
    <row r="21683" spans="8:9" x14ac:dyDescent="0.2">
      <c r="H21683" s="1"/>
      <c r="I21683" s="1"/>
    </row>
    <row r="21684" spans="8:9" x14ac:dyDescent="0.2">
      <c r="H21684" s="1"/>
      <c r="I21684" s="1"/>
    </row>
    <row r="21685" spans="8:9" x14ac:dyDescent="0.2">
      <c r="H21685" s="1"/>
      <c r="I21685" s="1"/>
    </row>
    <row r="21686" spans="8:9" x14ac:dyDescent="0.2">
      <c r="H21686" s="1"/>
      <c r="I21686" s="1"/>
    </row>
    <row r="21687" spans="8:9" x14ac:dyDescent="0.2">
      <c r="H21687" s="1"/>
      <c r="I21687" s="1"/>
    </row>
    <row r="21688" spans="8:9" x14ac:dyDescent="0.2">
      <c r="H21688" s="1"/>
      <c r="I21688" s="1"/>
    </row>
    <row r="21689" spans="8:9" x14ac:dyDescent="0.2">
      <c r="H21689" s="1"/>
      <c r="I21689" s="1"/>
    </row>
    <row r="21690" spans="8:9" x14ac:dyDescent="0.2">
      <c r="H21690" s="1"/>
      <c r="I21690" s="1"/>
    </row>
    <row r="21691" spans="8:9" x14ac:dyDescent="0.2">
      <c r="H21691" s="1"/>
      <c r="I21691" s="1"/>
    </row>
    <row r="21692" spans="8:9" x14ac:dyDescent="0.2">
      <c r="H21692" s="1"/>
      <c r="I21692" s="1"/>
    </row>
    <row r="21693" spans="8:9" x14ac:dyDescent="0.2">
      <c r="H21693" s="1"/>
      <c r="I21693" s="1"/>
    </row>
    <row r="21694" spans="8:9" x14ac:dyDescent="0.2">
      <c r="H21694" s="1"/>
      <c r="I21694" s="1"/>
    </row>
    <row r="21695" spans="8:9" x14ac:dyDescent="0.2">
      <c r="H21695" s="1"/>
      <c r="I21695" s="1"/>
    </row>
    <row r="21696" spans="8:9" x14ac:dyDescent="0.2">
      <c r="H21696" s="1"/>
      <c r="I21696" s="1"/>
    </row>
    <row r="21697" spans="8:9" x14ac:dyDescent="0.2">
      <c r="H21697" s="1"/>
      <c r="I21697" s="1"/>
    </row>
    <row r="21698" spans="8:9" x14ac:dyDescent="0.2">
      <c r="H21698" s="1"/>
      <c r="I21698" s="1"/>
    </row>
    <row r="21699" spans="8:9" x14ac:dyDescent="0.2">
      <c r="H21699" s="1"/>
      <c r="I21699" s="1"/>
    </row>
    <row r="21700" spans="8:9" x14ac:dyDescent="0.2">
      <c r="H21700" s="1"/>
      <c r="I21700" s="1"/>
    </row>
    <row r="21701" spans="8:9" x14ac:dyDescent="0.2">
      <c r="H21701" s="1"/>
      <c r="I21701" s="1"/>
    </row>
    <row r="21702" spans="8:9" x14ac:dyDescent="0.2">
      <c r="H21702" s="1"/>
      <c r="I21702" s="1"/>
    </row>
    <row r="21703" spans="8:9" x14ac:dyDescent="0.2">
      <c r="H21703" s="1"/>
      <c r="I21703" s="1"/>
    </row>
    <row r="21704" spans="8:9" x14ac:dyDescent="0.2">
      <c r="H21704" s="1"/>
      <c r="I21704" s="1"/>
    </row>
    <row r="21705" spans="8:9" x14ac:dyDescent="0.2">
      <c r="H21705" s="1"/>
      <c r="I21705" s="1"/>
    </row>
    <row r="21706" spans="8:9" x14ac:dyDescent="0.2">
      <c r="H21706" s="1"/>
      <c r="I21706" s="1"/>
    </row>
    <row r="21707" spans="8:9" x14ac:dyDescent="0.2">
      <c r="H21707" s="1"/>
      <c r="I21707" s="1"/>
    </row>
    <row r="21708" spans="8:9" x14ac:dyDescent="0.2">
      <c r="H21708" s="1"/>
      <c r="I21708" s="1"/>
    </row>
    <row r="21709" spans="8:9" x14ac:dyDescent="0.2">
      <c r="H21709" s="1"/>
      <c r="I21709" s="1"/>
    </row>
    <row r="21710" spans="8:9" x14ac:dyDescent="0.2">
      <c r="H21710" s="1"/>
      <c r="I21710" s="1"/>
    </row>
    <row r="21711" spans="8:9" x14ac:dyDescent="0.2">
      <c r="H21711" s="1"/>
      <c r="I21711" s="1"/>
    </row>
    <row r="21712" spans="8:9" x14ac:dyDescent="0.2">
      <c r="H21712" s="1"/>
      <c r="I21712" s="1"/>
    </row>
    <row r="21713" spans="8:9" x14ac:dyDescent="0.2">
      <c r="H21713" s="1"/>
      <c r="I21713" s="1"/>
    </row>
    <row r="21714" spans="8:9" x14ac:dyDescent="0.2">
      <c r="H21714" s="1"/>
      <c r="I21714" s="1"/>
    </row>
    <row r="21715" spans="8:9" x14ac:dyDescent="0.2">
      <c r="H21715" s="1"/>
      <c r="I21715" s="1"/>
    </row>
    <row r="21716" spans="8:9" x14ac:dyDescent="0.2">
      <c r="H21716" s="1"/>
      <c r="I21716" s="1"/>
    </row>
    <row r="21717" spans="8:9" x14ac:dyDescent="0.2">
      <c r="H21717" s="1"/>
      <c r="I21717" s="1"/>
    </row>
    <row r="21718" spans="8:9" x14ac:dyDescent="0.2">
      <c r="H21718" s="1"/>
      <c r="I21718" s="1"/>
    </row>
    <row r="21719" spans="8:9" x14ac:dyDescent="0.2">
      <c r="H21719" s="1"/>
      <c r="I21719" s="1"/>
    </row>
    <row r="21720" spans="8:9" x14ac:dyDescent="0.2">
      <c r="H21720" s="1"/>
      <c r="I21720" s="1"/>
    </row>
    <row r="21721" spans="8:9" x14ac:dyDescent="0.2">
      <c r="H21721" s="1"/>
      <c r="I21721" s="1"/>
    </row>
    <row r="21722" spans="8:9" x14ac:dyDescent="0.2">
      <c r="H21722" s="1"/>
      <c r="I21722" s="1"/>
    </row>
    <row r="21723" spans="8:9" x14ac:dyDescent="0.2">
      <c r="H21723" s="1"/>
      <c r="I21723" s="1"/>
    </row>
    <row r="21724" spans="8:9" x14ac:dyDescent="0.2">
      <c r="H21724" s="1"/>
      <c r="I21724" s="1"/>
    </row>
    <row r="21725" spans="8:9" x14ac:dyDescent="0.2">
      <c r="H21725" s="1"/>
      <c r="I21725" s="1"/>
    </row>
    <row r="21726" spans="8:9" x14ac:dyDescent="0.2">
      <c r="H21726" s="1"/>
      <c r="I21726" s="1"/>
    </row>
    <row r="21727" spans="8:9" x14ac:dyDescent="0.2">
      <c r="H21727" s="1"/>
      <c r="I21727" s="1"/>
    </row>
    <row r="21728" spans="8:9" x14ac:dyDescent="0.2">
      <c r="H21728" s="1"/>
      <c r="I21728" s="1"/>
    </row>
    <row r="21729" spans="8:9" x14ac:dyDescent="0.2">
      <c r="H21729" s="1"/>
      <c r="I21729" s="1"/>
    </row>
    <row r="21730" spans="8:9" x14ac:dyDescent="0.2">
      <c r="H21730" s="1"/>
      <c r="I21730" s="1"/>
    </row>
    <row r="21731" spans="8:9" x14ac:dyDescent="0.2">
      <c r="H21731" s="1"/>
      <c r="I21731" s="1"/>
    </row>
    <row r="21732" spans="8:9" x14ac:dyDescent="0.2">
      <c r="H21732" s="1"/>
      <c r="I21732" s="1"/>
    </row>
    <row r="21733" spans="8:9" x14ac:dyDescent="0.2">
      <c r="H21733" s="1"/>
      <c r="I21733" s="1"/>
    </row>
    <row r="21734" spans="8:9" x14ac:dyDescent="0.2">
      <c r="H21734" s="1"/>
      <c r="I21734" s="1"/>
    </row>
    <row r="21735" spans="8:9" x14ac:dyDescent="0.2">
      <c r="H21735" s="1"/>
      <c r="I21735" s="1"/>
    </row>
    <row r="21736" spans="8:9" x14ac:dyDescent="0.2">
      <c r="H21736" s="1"/>
      <c r="I21736" s="1"/>
    </row>
    <row r="21737" spans="8:9" x14ac:dyDescent="0.2">
      <c r="H21737" s="1"/>
      <c r="I21737" s="1"/>
    </row>
    <row r="21738" spans="8:9" x14ac:dyDescent="0.2">
      <c r="H21738" s="1"/>
      <c r="I21738" s="1"/>
    </row>
    <row r="21739" spans="8:9" x14ac:dyDescent="0.2">
      <c r="H21739" s="1"/>
      <c r="I21739" s="1"/>
    </row>
    <row r="21740" spans="8:9" x14ac:dyDescent="0.2">
      <c r="H21740" s="1"/>
      <c r="I21740" s="1"/>
    </row>
    <row r="21741" spans="8:9" x14ac:dyDescent="0.2">
      <c r="H21741" s="1"/>
      <c r="I21741" s="1"/>
    </row>
    <row r="21742" spans="8:9" x14ac:dyDescent="0.2">
      <c r="H21742" s="1"/>
      <c r="I21742" s="1"/>
    </row>
    <row r="21743" spans="8:9" x14ac:dyDescent="0.2">
      <c r="H21743" s="1"/>
      <c r="I21743" s="1"/>
    </row>
    <row r="21744" spans="8:9" x14ac:dyDescent="0.2">
      <c r="H21744" s="1"/>
      <c r="I21744" s="1"/>
    </row>
    <row r="21745" spans="8:9" x14ac:dyDescent="0.2">
      <c r="H21745" s="1"/>
      <c r="I21745" s="1"/>
    </row>
    <row r="21746" spans="8:9" x14ac:dyDescent="0.2">
      <c r="H21746" s="1"/>
      <c r="I21746" s="1"/>
    </row>
    <row r="21747" spans="8:9" x14ac:dyDescent="0.2">
      <c r="H21747" s="1"/>
      <c r="I21747" s="1"/>
    </row>
    <row r="21748" spans="8:9" x14ac:dyDescent="0.2">
      <c r="H21748" s="1"/>
      <c r="I21748" s="1"/>
    </row>
    <row r="21749" spans="8:9" x14ac:dyDescent="0.2">
      <c r="H21749" s="1"/>
      <c r="I21749" s="1"/>
    </row>
    <row r="21750" spans="8:9" x14ac:dyDescent="0.2">
      <c r="H21750" s="1"/>
      <c r="I21750" s="1"/>
    </row>
    <row r="21751" spans="8:9" x14ac:dyDescent="0.2">
      <c r="H21751" s="1"/>
      <c r="I21751" s="1"/>
    </row>
    <row r="21752" spans="8:9" x14ac:dyDescent="0.2">
      <c r="H21752" s="1"/>
      <c r="I21752" s="1"/>
    </row>
    <row r="21753" spans="8:9" x14ac:dyDescent="0.2">
      <c r="H21753" s="1"/>
      <c r="I21753" s="1"/>
    </row>
    <row r="21754" spans="8:9" x14ac:dyDescent="0.2">
      <c r="H21754" s="1"/>
      <c r="I21754" s="1"/>
    </row>
    <row r="21755" spans="8:9" x14ac:dyDescent="0.2">
      <c r="H21755" s="1"/>
      <c r="I21755" s="1"/>
    </row>
    <row r="21756" spans="8:9" x14ac:dyDescent="0.2">
      <c r="H21756" s="1"/>
      <c r="I21756" s="1"/>
    </row>
    <row r="21757" spans="8:9" x14ac:dyDescent="0.2">
      <c r="H21757" s="1"/>
      <c r="I21757" s="1"/>
    </row>
    <row r="21758" spans="8:9" x14ac:dyDescent="0.2">
      <c r="H21758" s="1"/>
      <c r="I21758" s="1"/>
    </row>
    <row r="21759" spans="8:9" x14ac:dyDescent="0.2">
      <c r="H21759" s="1"/>
      <c r="I21759" s="1"/>
    </row>
    <row r="21760" spans="8:9" x14ac:dyDescent="0.2">
      <c r="H21760" s="1"/>
      <c r="I21760" s="1"/>
    </row>
    <row r="21761" spans="8:9" x14ac:dyDescent="0.2">
      <c r="H21761" s="1"/>
      <c r="I21761" s="1"/>
    </row>
    <row r="21762" spans="8:9" x14ac:dyDescent="0.2">
      <c r="H21762" s="1"/>
      <c r="I21762" s="1"/>
    </row>
    <row r="21763" spans="8:9" x14ac:dyDescent="0.2">
      <c r="H21763" s="1"/>
      <c r="I21763" s="1"/>
    </row>
    <row r="21764" spans="8:9" x14ac:dyDescent="0.2">
      <c r="H21764" s="1"/>
      <c r="I21764" s="1"/>
    </row>
    <row r="21765" spans="8:9" x14ac:dyDescent="0.2">
      <c r="H21765" s="1"/>
      <c r="I21765" s="1"/>
    </row>
    <row r="21766" spans="8:9" x14ac:dyDescent="0.2">
      <c r="H21766" s="1"/>
      <c r="I21766" s="1"/>
    </row>
    <row r="21767" spans="8:9" x14ac:dyDescent="0.2">
      <c r="H21767" s="1"/>
      <c r="I21767" s="1"/>
    </row>
    <row r="21768" spans="8:9" x14ac:dyDescent="0.2">
      <c r="H21768" s="1"/>
      <c r="I21768" s="1"/>
    </row>
    <row r="21769" spans="8:9" x14ac:dyDescent="0.2">
      <c r="H21769" s="1"/>
      <c r="I21769" s="1"/>
    </row>
    <row r="21770" spans="8:9" x14ac:dyDescent="0.2">
      <c r="H21770" s="1"/>
      <c r="I21770" s="1"/>
    </row>
    <row r="21771" spans="8:9" x14ac:dyDescent="0.2">
      <c r="H21771" s="1"/>
      <c r="I21771" s="1"/>
    </row>
    <row r="21772" spans="8:9" x14ac:dyDescent="0.2">
      <c r="H21772" s="1"/>
      <c r="I21772" s="1"/>
    </row>
    <row r="21773" spans="8:9" x14ac:dyDescent="0.2">
      <c r="H21773" s="1"/>
      <c r="I21773" s="1"/>
    </row>
    <row r="21774" spans="8:9" x14ac:dyDescent="0.2">
      <c r="H21774" s="1"/>
      <c r="I21774" s="1"/>
    </row>
    <row r="21775" spans="8:9" x14ac:dyDescent="0.2">
      <c r="H21775" s="1"/>
      <c r="I21775" s="1"/>
    </row>
    <row r="21776" spans="8:9" x14ac:dyDescent="0.2">
      <c r="H21776" s="1"/>
      <c r="I21776" s="1"/>
    </row>
    <row r="21777" spans="8:9" x14ac:dyDescent="0.2">
      <c r="H21777" s="1"/>
      <c r="I21777" s="1"/>
    </row>
    <row r="21778" spans="8:9" x14ac:dyDescent="0.2">
      <c r="H21778" s="1"/>
      <c r="I21778" s="1"/>
    </row>
    <row r="21779" spans="8:9" x14ac:dyDescent="0.2">
      <c r="H21779" s="1"/>
      <c r="I21779" s="1"/>
    </row>
    <row r="21780" spans="8:9" x14ac:dyDescent="0.2">
      <c r="H21780" s="1"/>
      <c r="I21780" s="1"/>
    </row>
    <row r="21781" spans="8:9" x14ac:dyDescent="0.2">
      <c r="H21781" s="1"/>
      <c r="I21781" s="1"/>
    </row>
    <row r="21782" spans="8:9" x14ac:dyDescent="0.2">
      <c r="H21782" s="1"/>
      <c r="I21782" s="1"/>
    </row>
    <row r="21783" spans="8:9" x14ac:dyDescent="0.2">
      <c r="H21783" s="1"/>
      <c r="I21783" s="1"/>
    </row>
    <row r="21784" spans="8:9" x14ac:dyDescent="0.2">
      <c r="H21784" s="1"/>
      <c r="I21784" s="1"/>
    </row>
    <row r="21785" spans="8:9" x14ac:dyDescent="0.2">
      <c r="H21785" s="1"/>
      <c r="I21785" s="1"/>
    </row>
    <row r="21786" spans="8:9" x14ac:dyDescent="0.2">
      <c r="H21786" s="1"/>
      <c r="I21786" s="1"/>
    </row>
    <row r="21787" spans="8:9" x14ac:dyDescent="0.2">
      <c r="H21787" s="1"/>
      <c r="I21787" s="1"/>
    </row>
    <row r="21788" spans="8:9" x14ac:dyDescent="0.2">
      <c r="H21788" s="1"/>
      <c r="I21788" s="1"/>
    </row>
    <row r="21789" spans="8:9" x14ac:dyDescent="0.2">
      <c r="H21789" s="1"/>
      <c r="I21789" s="1"/>
    </row>
    <row r="21790" spans="8:9" x14ac:dyDescent="0.2">
      <c r="H21790" s="1"/>
      <c r="I21790" s="1"/>
    </row>
    <row r="21791" spans="8:9" x14ac:dyDescent="0.2">
      <c r="H21791" s="1"/>
      <c r="I21791" s="1"/>
    </row>
    <row r="21792" spans="8:9" x14ac:dyDescent="0.2">
      <c r="H21792" s="1"/>
      <c r="I21792" s="1"/>
    </row>
    <row r="21793" spans="8:9" x14ac:dyDescent="0.2">
      <c r="H21793" s="1"/>
      <c r="I21793" s="1"/>
    </row>
    <row r="21794" spans="8:9" x14ac:dyDescent="0.2">
      <c r="H21794" s="1"/>
      <c r="I21794" s="1"/>
    </row>
    <row r="21795" spans="8:9" x14ac:dyDescent="0.2">
      <c r="H21795" s="1"/>
      <c r="I21795" s="1"/>
    </row>
    <row r="21796" spans="8:9" x14ac:dyDescent="0.2">
      <c r="H21796" s="1"/>
      <c r="I21796" s="1"/>
    </row>
    <row r="21797" spans="8:9" x14ac:dyDescent="0.2">
      <c r="H21797" s="1"/>
      <c r="I21797" s="1"/>
    </row>
    <row r="21798" spans="8:9" x14ac:dyDescent="0.2">
      <c r="H21798" s="1"/>
      <c r="I21798" s="1"/>
    </row>
    <row r="21799" spans="8:9" x14ac:dyDescent="0.2">
      <c r="H21799" s="1"/>
      <c r="I21799" s="1"/>
    </row>
    <row r="21800" spans="8:9" x14ac:dyDescent="0.2">
      <c r="H21800" s="1"/>
      <c r="I21800" s="1"/>
    </row>
    <row r="21801" spans="8:9" x14ac:dyDescent="0.2">
      <c r="H21801" s="1"/>
      <c r="I21801" s="1"/>
    </row>
    <row r="21802" spans="8:9" x14ac:dyDescent="0.2">
      <c r="H21802" s="1"/>
      <c r="I21802" s="1"/>
    </row>
    <row r="21803" spans="8:9" x14ac:dyDescent="0.2">
      <c r="H21803" s="1"/>
      <c r="I21803" s="1"/>
    </row>
    <row r="21804" spans="8:9" x14ac:dyDescent="0.2">
      <c r="H21804" s="1"/>
      <c r="I21804" s="1"/>
    </row>
    <row r="21805" spans="8:9" x14ac:dyDescent="0.2">
      <c r="H21805" s="1"/>
      <c r="I21805" s="1"/>
    </row>
    <row r="21806" spans="8:9" x14ac:dyDescent="0.2">
      <c r="H21806" s="1"/>
      <c r="I21806" s="1"/>
    </row>
    <row r="21807" spans="8:9" x14ac:dyDescent="0.2">
      <c r="H21807" s="1"/>
      <c r="I21807" s="1"/>
    </row>
    <row r="21808" spans="8:9" x14ac:dyDescent="0.2">
      <c r="H21808" s="1"/>
      <c r="I21808" s="1"/>
    </row>
    <row r="21809" spans="8:9" x14ac:dyDescent="0.2">
      <c r="H21809" s="1"/>
      <c r="I21809" s="1"/>
    </row>
    <row r="21810" spans="8:9" x14ac:dyDescent="0.2">
      <c r="H21810" s="1"/>
      <c r="I21810" s="1"/>
    </row>
    <row r="21811" spans="8:9" x14ac:dyDescent="0.2">
      <c r="H21811" s="1"/>
      <c r="I21811" s="1"/>
    </row>
    <row r="21812" spans="8:9" x14ac:dyDescent="0.2">
      <c r="H21812" s="1"/>
      <c r="I21812" s="1"/>
    </row>
    <row r="21813" spans="8:9" x14ac:dyDescent="0.2">
      <c r="H21813" s="1"/>
      <c r="I21813" s="1"/>
    </row>
    <row r="21814" spans="8:9" x14ac:dyDescent="0.2">
      <c r="H21814" s="1"/>
      <c r="I21814" s="1"/>
    </row>
    <row r="21815" spans="8:9" x14ac:dyDescent="0.2">
      <c r="H21815" s="1"/>
      <c r="I21815" s="1"/>
    </row>
    <row r="21816" spans="8:9" x14ac:dyDescent="0.2">
      <c r="H21816" s="1"/>
      <c r="I21816" s="1"/>
    </row>
    <row r="21817" spans="8:9" x14ac:dyDescent="0.2">
      <c r="H21817" s="1"/>
      <c r="I21817" s="1"/>
    </row>
    <row r="21818" spans="8:9" x14ac:dyDescent="0.2">
      <c r="H21818" s="1"/>
      <c r="I21818" s="1"/>
    </row>
    <row r="21819" spans="8:9" x14ac:dyDescent="0.2">
      <c r="H21819" s="1"/>
      <c r="I21819" s="1"/>
    </row>
    <row r="21820" spans="8:9" x14ac:dyDescent="0.2">
      <c r="H21820" s="1"/>
      <c r="I21820" s="1"/>
    </row>
    <row r="21821" spans="8:9" x14ac:dyDescent="0.2">
      <c r="H21821" s="1"/>
      <c r="I21821" s="1"/>
    </row>
    <row r="21822" spans="8:9" x14ac:dyDescent="0.2">
      <c r="H21822" s="1"/>
      <c r="I21822" s="1"/>
    </row>
    <row r="21823" spans="8:9" x14ac:dyDescent="0.2">
      <c r="H21823" s="1"/>
      <c r="I21823" s="1"/>
    </row>
    <row r="21824" spans="8:9" x14ac:dyDescent="0.2">
      <c r="H21824" s="1"/>
      <c r="I21824" s="1"/>
    </row>
    <row r="21825" spans="8:9" x14ac:dyDescent="0.2">
      <c r="H21825" s="1"/>
      <c r="I21825" s="1"/>
    </row>
    <row r="21826" spans="8:9" x14ac:dyDescent="0.2">
      <c r="H21826" s="1"/>
      <c r="I21826" s="1"/>
    </row>
    <row r="21827" spans="8:9" x14ac:dyDescent="0.2">
      <c r="H21827" s="1"/>
      <c r="I21827" s="1"/>
    </row>
    <row r="21828" spans="8:9" x14ac:dyDescent="0.2">
      <c r="H21828" s="1"/>
      <c r="I21828" s="1"/>
    </row>
    <row r="21829" spans="8:9" x14ac:dyDescent="0.2">
      <c r="H21829" s="1"/>
      <c r="I21829" s="1"/>
    </row>
    <row r="21830" spans="8:9" x14ac:dyDescent="0.2">
      <c r="H21830" s="1"/>
      <c r="I21830" s="1"/>
    </row>
    <row r="21831" spans="8:9" x14ac:dyDescent="0.2">
      <c r="H21831" s="1"/>
      <c r="I21831" s="1"/>
    </row>
    <row r="21832" spans="8:9" x14ac:dyDescent="0.2">
      <c r="H21832" s="1"/>
      <c r="I21832" s="1"/>
    </row>
    <row r="21833" spans="8:9" x14ac:dyDescent="0.2">
      <c r="H21833" s="1"/>
      <c r="I21833" s="1"/>
    </row>
    <row r="21834" spans="8:9" x14ac:dyDescent="0.2">
      <c r="H21834" s="1"/>
      <c r="I21834" s="1"/>
    </row>
    <row r="21835" spans="8:9" x14ac:dyDescent="0.2">
      <c r="H21835" s="1"/>
      <c r="I21835" s="1"/>
    </row>
    <row r="21836" spans="8:9" x14ac:dyDescent="0.2">
      <c r="H21836" s="1"/>
      <c r="I21836" s="1"/>
    </row>
    <row r="21837" spans="8:9" x14ac:dyDescent="0.2">
      <c r="H21837" s="1"/>
      <c r="I21837" s="1"/>
    </row>
    <row r="21838" spans="8:9" x14ac:dyDescent="0.2">
      <c r="H21838" s="1"/>
      <c r="I21838" s="1"/>
    </row>
    <row r="21839" spans="8:9" x14ac:dyDescent="0.2">
      <c r="H21839" s="1"/>
      <c r="I21839" s="1"/>
    </row>
    <row r="21840" spans="8:9" x14ac:dyDescent="0.2">
      <c r="H21840" s="1"/>
      <c r="I21840" s="1"/>
    </row>
    <row r="21841" spans="8:9" x14ac:dyDescent="0.2">
      <c r="H21841" s="1"/>
      <c r="I21841" s="1"/>
    </row>
    <row r="21842" spans="8:9" x14ac:dyDescent="0.2">
      <c r="H21842" s="1"/>
      <c r="I21842" s="1"/>
    </row>
    <row r="21843" spans="8:9" x14ac:dyDescent="0.2">
      <c r="H21843" s="1"/>
      <c r="I21843" s="1"/>
    </row>
    <row r="21844" spans="8:9" x14ac:dyDescent="0.2">
      <c r="H21844" s="1"/>
      <c r="I21844" s="1"/>
    </row>
    <row r="21845" spans="8:9" x14ac:dyDescent="0.2">
      <c r="H21845" s="1"/>
      <c r="I21845" s="1"/>
    </row>
    <row r="21846" spans="8:9" x14ac:dyDescent="0.2">
      <c r="H21846" s="1"/>
      <c r="I21846" s="1"/>
    </row>
    <row r="21847" spans="8:9" x14ac:dyDescent="0.2">
      <c r="H21847" s="1"/>
      <c r="I21847" s="1"/>
    </row>
    <row r="21848" spans="8:9" x14ac:dyDescent="0.2">
      <c r="H21848" s="1"/>
      <c r="I21848" s="1"/>
    </row>
    <row r="21849" spans="8:9" x14ac:dyDescent="0.2">
      <c r="H21849" s="1"/>
      <c r="I21849" s="1"/>
    </row>
    <row r="21850" spans="8:9" x14ac:dyDescent="0.2">
      <c r="H21850" s="1"/>
      <c r="I21850" s="1"/>
    </row>
    <row r="21851" spans="8:9" x14ac:dyDescent="0.2">
      <c r="H21851" s="1"/>
      <c r="I21851" s="1"/>
    </row>
    <row r="21852" spans="8:9" x14ac:dyDescent="0.2">
      <c r="H21852" s="1"/>
      <c r="I21852" s="1"/>
    </row>
    <row r="21853" spans="8:9" x14ac:dyDescent="0.2">
      <c r="H21853" s="1"/>
      <c r="I21853" s="1"/>
    </row>
    <row r="21854" spans="8:9" x14ac:dyDescent="0.2">
      <c r="H21854" s="1"/>
      <c r="I21854" s="1"/>
    </row>
    <row r="21855" spans="8:9" x14ac:dyDescent="0.2">
      <c r="H21855" s="1"/>
      <c r="I21855" s="1"/>
    </row>
    <row r="21856" spans="8:9" x14ac:dyDescent="0.2">
      <c r="H21856" s="1"/>
      <c r="I21856" s="1"/>
    </row>
    <row r="21857" spans="8:9" x14ac:dyDescent="0.2">
      <c r="H21857" s="1"/>
      <c r="I21857" s="1"/>
    </row>
    <row r="21858" spans="8:9" x14ac:dyDescent="0.2">
      <c r="H21858" s="1"/>
      <c r="I21858" s="1"/>
    </row>
    <row r="21859" spans="8:9" x14ac:dyDescent="0.2">
      <c r="H21859" s="1"/>
      <c r="I21859" s="1"/>
    </row>
    <row r="21860" spans="8:9" x14ac:dyDescent="0.2">
      <c r="H21860" s="1"/>
      <c r="I21860" s="1"/>
    </row>
    <row r="21861" spans="8:9" x14ac:dyDescent="0.2">
      <c r="H21861" s="1"/>
      <c r="I21861" s="1"/>
    </row>
    <row r="21862" spans="8:9" x14ac:dyDescent="0.2">
      <c r="H21862" s="1"/>
      <c r="I21862" s="1"/>
    </row>
    <row r="21863" spans="8:9" x14ac:dyDescent="0.2">
      <c r="H21863" s="1"/>
      <c r="I21863" s="1"/>
    </row>
    <row r="21864" spans="8:9" x14ac:dyDescent="0.2">
      <c r="H21864" s="1"/>
      <c r="I21864" s="1"/>
    </row>
    <row r="21865" spans="8:9" x14ac:dyDescent="0.2">
      <c r="H21865" s="1"/>
      <c r="I21865" s="1"/>
    </row>
    <row r="21866" spans="8:9" x14ac:dyDescent="0.2">
      <c r="H21866" s="1"/>
      <c r="I21866" s="1"/>
    </row>
    <row r="21867" spans="8:9" x14ac:dyDescent="0.2">
      <c r="H21867" s="1"/>
      <c r="I21867" s="1"/>
    </row>
    <row r="21868" spans="8:9" x14ac:dyDescent="0.2">
      <c r="H21868" s="1"/>
      <c r="I21868" s="1"/>
    </row>
    <row r="21869" spans="8:9" x14ac:dyDescent="0.2">
      <c r="H21869" s="1"/>
      <c r="I21869" s="1"/>
    </row>
    <row r="21870" spans="8:9" x14ac:dyDescent="0.2">
      <c r="H21870" s="1"/>
      <c r="I21870" s="1"/>
    </row>
    <row r="21871" spans="8:9" x14ac:dyDescent="0.2">
      <c r="H21871" s="1"/>
      <c r="I21871" s="1"/>
    </row>
    <row r="21872" spans="8:9" x14ac:dyDescent="0.2">
      <c r="H21872" s="1"/>
      <c r="I21872" s="1"/>
    </row>
    <row r="21873" spans="8:9" x14ac:dyDescent="0.2">
      <c r="H21873" s="1"/>
      <c r="I21873" s="1"/>
    </row>
    <row r="21874" spans="8:9" x14ac:dyDescent="0.2">
      <c r="H21874" s="1"/>
      <c r="I21874" s="1"/>
    </row>
    <row r="21875" spans="8:9" x14ac:dyDescent="0.2">
      <c r="H21875" s="1"/>
      <c r="I21875" s="1"/>
    </row>
    <row r="21876" spans="8:9" x14ac:dyDescent="0.2">
      <c r="H21876" s="1"/>
      <c r="I21876" s="1"/>
    </row>
    <row r="21877" spans="8:9" x14ac:dyDescent="0.2">
      <c r="H21877" s="1"/>
      <c r="I21877" s="1"/>
    </row>
    <row r="21878" spans="8:9" x14ac:dyDescent="0.2">
      <c r="H21878" s="1"/>
      <c r="I21878" s="1"/>
    </row>
    <row r="21879" spans="8:9" x14ac:dyDescent="0.2">
      <c r="H21879" s="1"/>
      <c r="I21879" s="1"/>
    </row>
    <row r="21880" spans="8:9" x14ac:dyDescent="0.2">
      <c r="H21880" s="1"/>
      <c r="I21880" s="1"/>
    </row>
    <row r="21881" spans="8:9" x14ac:dyDescent="0.2">
      <c r="H21881" s="1"/>
      <c r="I21881" s="1"/>
    </row>
    <row r="21882" spans="8:9" x14ac:dyDescent="0.2">
      <c r="H21882" s="1"/>
      <c r="I21882" s="1"/>
    </row>
    <row r="21883" spans="8:9" x14ac:dyDescent="0.2">
      <c r="H21883" s="1"/>
      <c r="I21883" s="1"/>
    </row>
    <row r="21884" spans="8:9" x14ac:dyDescent="0.2">
      <c r="H21884" s="1"/>
      <c r="I21884" s="1"/>
    </row>
    <row r="21885" spans="8:9" x14ac:dyDescent="0.2">
      <c r="H21885" s="1"/>
      <c r="I21885" s="1"/>
    </row>
    <row r="21886" spans="8:9" x14ac:dyDescent="0.2">
      <c r="H21886" s="1"/>
      <c r="I21886" s="1"/>
    </row>
    <row r="21887" spans="8:9" x14ac:dyDescent="0.2">
      <c r="H21887" s="1"/>
      <c r="I21887" s="1"/>
    </row>
    <row r="21888" spans="8:9" x14ac:dyDescent="0.2">
      <c r="H21888" s="1"/>
      <c r="I21888" s="1"/>
    </row>
    <row r="21889" spans="8:9" x14ac:dyDescent="0.2">
      <c r="H21889" s="1"/>
      <c r="I21889" s="1"/>
    </row>
    <row r="21890" spans="8:9" x14ac:dyDescent="0.2">
      <c r="H21890" s="1"/>
      <c r="I21890" s="1"/>
    </row>
    <row r="21891" spans="8:9" x14ac:dyDescent="0.2">
      <c r="H21891" s="1"/>
      <c r="I21891" s="1"/>
    </row>
    <row r="21892" spans="8:9" x14ac:dyDescent="0.2">
      <c r="H21892" s="1"/>
      <c r="I21892" s="1"/>
    </row>
    <row r="21893" spans="8:9" x14ac:dyDescent="0.2">
      <c r="H21893" s="1"/>
      <c r="I21893" s="1"/>
    </row>
    <row r="21894" spans="8:9" x14ac:dyDescent="0.2">
      <c r="H21894" s="1"/>
      <c r="I21894" s="1"/>
    </row>
    <row r="21895" spans="8:9" x14ac:dyDescent="0.2">
      <c r="H21895" s="1"/>
      <c r="I21895" s="1"/>
    </row>
    <row r="21896" spans="8:9" x14ac:dyDescent="0.2">
      <c r="H21896" s="1"/>
      <c r="I21896" s="1"/>
    </row>
    <row r="21897" spans="8:9" x14ac:dyDescent="0.2">
      <c r="H21897" s="1"/>
      <c r="I21897" s="1"/>
    </row>
    <row r="21898" spans="8:9" x14ac:dyDescent="0.2">
      <c r="H21898" s="1"/>
      <c r="I21898" s="1"/>
    </row>
    <row r="21899" spans="8:9" x14ac:dyDescent="0.2">
      <c r="H21899" s="1"/>
      <c r="I21899" s="1"/>
    </row>
    <row r="21900" spans="8:9" x14ac:dyDescent="0.2">
      <c r="H21900" s="1"/>
      <c r="I21900" s="1"/>
    </row>
    <row r="21901" spans="8:9" x14ac:dyDescent="0.2">
      <c r="H21901" s="1"/>
      <c r="I21901" s="1"/>
    </row>
    <row r="21902" spans="8:9" x14ac:dyDescent="0.2">
      <c r="H21902" s="1"/>
      <c r="I21902" s="1"/>
    </row>
    <row r="21903" spans="8:9" x14ac:dyDescent="0.2">
      <c r="H21903" s="1"/>
      <c r="I21903" s="1"/>
    </row>
    <row r="21904" spans="8:9" x14ac:dyDescent="0.2">
      <c r="H21904" s="1"/>
      <c r="I21904" s="1"/>
    </row>
    <row r="21905" spans="8:9" x14ac:dyDescent="0.2">
      <c r="H21905" s="1"/>
      <c r="I21905" s="1"/>
    </row>
    <row r="21906" spans="8:9" x14ac:dyDescent="0.2">
      <c r="H21906" s="1"/>
      <c r="I21906" s="1"/>
    </row>
    <row r="21907" spans="8:9" x14ac:dyDescent="0.2">
      <c r="H21907" s="1"/>
      <c r="I21907" s="1"/>
    </row>
    <row r="21908" spans="8:9" x14ac:dyDescent="0.2">
      <c r="H21908" s="1"/>
      <c r="I21908" s="1"/>
    </row>
    <row r="21909" spans="8:9" x14ac:dyDescent="0.2">
      <c r="H21909" s="1"/>
      <c r="I21909" s="1"/>
    </row>
    <row r="21910" spans="8:9" x14ac:dyDescent="0.2">
      <c r="H21910" s="1"/>
      <c r="I21910" s="1"/>
    </row>
    <row r="21911" spans="8:9" x14ac:dyDescent="0.2">
      <c r="H21911" s="1"/>
      <c r="I21911" s="1"/>
    </row>
    <row r="21912" spans="8:9" x14ac:dyDescent="0.2">
      <c r="H21912" s="1"/>
      <c r="I21912" s="1"/>
    </row>
    <row r="21913" spans="8:9" x14ac:dyDescent="0.2">
      <c r="H21913" s="1"/>
      <c r="I21913" s="1"/>
    </row>
    <row r="21914" spans="8:9" x14ac:dyDescent="0.2">
      <c r="H21914" s="1"/>
      <c r="I21914" s="1"/>
    </row>
    <row r="21915" spans="8:9" x14ac:dyDescent="0.2">
      <c r="H21915" s="1"/>
      <c r="I21915" s="1"/>
    </row>
    <row r="21916" spans="8:9" x14ac:dyDescent="0.2">
      <c r="H21916" s="1"/>
      <c r="I21916" s="1"/>
    </row>
    <row r="21917" spans="8:9" x14ac:dyDescent="0.2">
      <c r="H21917" s="1"/>
      <c r="I21917" s="1"/>
    </row>
    <row r="21918" spans="8:9" x14ac:dyDescent="0.2">
      <c r="H21918" s="1"/>
      <c r="I21918" s="1"/>
    </row>
    <row r="21919" spans="8:9" x14ac:dyDescent="0.2">
      <c r="H21919" s="1"/>
      <c r="I21919" s="1"/>
    </row>
    <row r="21920" spans="8:9" x14ac:dyDescent="0.2">
      <c r="H21920" s="1"/>
      <c r="I21920" s="1"/>
    </row>
    <row r="21921" spans="8:9" x14ac:dyDescent="0.2">
      <c r="H21921" s="1"/>
      <c r="I21921" s="1"/>
    </row>
    <row r="21922" spans="8:9" x14ac:dyDescent="0.2">
      <c r="H21922" s="1"/>
      <c r="I21922" s="1"/>
    </row>
    <row r="21923" spans="8:9" x14ac:dyDescent="0.2">
      <c r="H21923" s="1"/>
      <c r="I21923" s="1"/>
    </row>
    <row r="21924" spans="8:9" x14ac:dyDescent="0.2">
      <c r="H21924" s="1"/>
      <c r="I21924" s="1"/>
    </row>
    <row r="21925" spans="8:9" x14ac:dyDescent="0.2">
      <c r="H21925" s="1"/>
      <c r="I21925" s="1"/>
    </row>
    <row r="21926" spans="8:9" x14ac:dyDescent="0.2">
      <c r="H21926" s="1"/>
      <c r="I21926" s="1"/>
    </row>
    <row r="21927" spans="8:9" x14ac:dyDescent="0.2">
      <c r="H21927" s="1"/>
      <c r="I21927" s="1"/>
    </row>
    <row r="21928" spans="8:9" x14ac:dyDescent="0.2">
      <c r="H21928" s="1"/>
      <c r="I21928" s="1"/>
    </row>
    <row r="21929" spans="8:9" x14ac:dyDescent="0.2">
      <c r="H21929" s="1"/>
      <c r="I21929" s="1"/>
    </row>
    <row r="21930" spans="8:9" x14ac:dyDescent="0.2">
      <c r="H21930" s="1"/>
      <c r="I21930" s="1"/>
    </row>
    <row r="21931" spans="8:9" x14ac:dyDescent="0.2">
      <c r="H21931" s="1"/>
      <c r="I21931" s="1"/>
    </row>
    <row r="21932" spans="8:9" x14ac:dyDescent="0.2">
      <c r="H21932" s="1"/>
      <c r="I21932" s="1"/>
    </row>
    <row r="21933" spans="8:9" x14ac:dyDescent="0.2">
      <c r="H21933" s="1"/>
      <c r="I21933" s="1"/>
    </row>
    <row r="21934" spans="8:9" x14ac:dyDescent="0.2">
      <c r="H21934" s="1"/>
      <c r="I21934" s="1"/>
    </row>
    <row r="21935" spans="8:9" x14ac:dyDescent="0.2">
      <c r="H21935" s="1"/>
      <c r="I21935" s="1"/>
    </row>
    <row r="21936" spans="8:9" x14ac:dyDescent="0.2">
      <c r="H21936" s="1"/>
      <c r="I21936" s="1"/>
    </row>
    <row r="21937" spans="8:9" x14ac:dyDescent="0.2">
      <c r="H21937" s="1"/>
      <c r="I21937" s="1"/>
    </row>
    <row r="21938" spans="8:9" x14ac:dyDescent="0.2">
      <c r="H21938" s="1"/>
      <c r="I21938" s="1"/>
    </row>
    <row r="21939" spans="8:9" x14ac:dyDescent="0.2">
      <c r="H21939" s="1"/>
      <c r="I21939" s="1"/>
    </row>
    <row r="21940" spans="8:9" x14ac:dyDescent="0.2">
      <c r="H21940" s="1"/>
      <c r="I21940" s="1"/>
    </row>
    <row r="21941" spans="8:9" x14ac:dyDescent="0.2">
      <c r="H21941" s="1"/>
      <c r="I21941" s="1"/>
    </row>
    <row r="21942" spans="8:9" x14ac:dyDescent="0.2">
      <c r="H21942" s="1"/>
      <c r="I21942" s="1"/>
    </row>
    <row r="21943" spans="8:9" x14ac:dyDescent="0.2">
      <c r="H21943" s="1"/>
      <c r="I21943" s="1"/>
    </row>
    <row r="21944" spans="8:9" x14ac:dyDescent="0.2">
      <c r="H21944" s="1"/>
      <c r="I21944" s="1"/>
    </row>
    <row r="21945" spans="8:9" x14ac:dyDescent="0.2">
      <c r="H21945" s="1"/>
      <c r="I21945" s="1"/>
    </row>
    <row r="21946" spans="8:9" x14ac:dyDescent="0.2">
      <c r="H21946" s="1"/>
      <c r="I21946" s="1"/>
    </row>
    <row r="21947" spans="8:9" x14ac:dyDescent="0.2">
      <c r="H21947" s="1"/>
      <c r="I21947" s="1"/>
    </row>
    <row r="21948" spans="8:9" x14ac:dyDescent="0.2">
      <c r="H21948" s="1"/>
      <c r="I21948" s="1"/>
    </row>
    <row r="21949" spans="8:9" x14ac:dyDescent="0.2">
      <c r="H21949" s="1"/>
      <c r="I21949" s="1"/>
    </row>
    <row r="21950" spans="8:9" x14ac:dyDescent="0.2">
      <c r="H21950" s="1"/>
      <c r="I21950" s="1"/>
    </row>
    <row r="21951" spans="8:9" x14ac:dyDescent="0.2">
      <c r="H21951" s="1"/>
      <c r="I21951" s="1"/>
    </row>
    <row r="21952" spans="8:9" x14ac:dyDescent="0.2">
      <c r="H21952" s="1"/>
      <c r="I21952" s="1"/>
    </row>
    <row r="21953" spans="8:9" x14ac:dyDescent="0.2">
      <c r="H21953" s="1"/>
      <c r="I21953" s="1"/>
    </row>
    <row r="21954" spans="8:9" x14ac:dyDescent="0.2">
      <c r="H21954" s="1"/>
      <c r="I21954" s="1"/>
    </row>
    <row r="21955" spans="8:9" x14ac:dyDescent="0.2">
      <c r="H21955" s="1"/>
      <c r="I21955" s="1"/>
    </row>
    <row r="21956" spans="8:9" x14ac:dyDescent="0.2">
      <c r="H21956" s="1"/>
      <c r="I21956" s="1"/>
    </row>
    <row r="21957" spans="8:9" x14ac:dyDescent="0.2">
      <c r="H21957" s="1"/>
      <c r="I21957" s="1"/>
    </row>
    <row r="21958" spans="8:9" x14ac:dyDescent="0.2">
      <c r="H21958" s="1"/>
      <c r="I21958" s="1"/>
    </row>
    <row r="21959" spans="8:9" x14ac:dyDescent="0.2">
      <c r="H21959" s="1"/>
      <c r="I21959" s="1"/>
    </row>
    <row r="21960" spans="8:9" x14ac:dyDescent="0.2">
      <c r="H21960" s="1"/>
      <c r="I21960" s="1"/>
    </row>
    <row r="21961" spans="8:9" x14ac:dyDescent="0.2">
      <c r="H21961" s="1"/>
      <c r="I21961" s="1"/>
    </row>
    <row r="21962" spans="8:9" x14ac:dyDescent="0.2">
      <c r="H21962" s="1"/>
      <c r="I21962" s="1"/>
    </row>
    <row r="21963" spans="8:9" x14ac:dyDescent="0.2">
      <c r="H21963" s="1"/>
      <c r="I21963" s="1"/>
    </row>
    <row r="21964" spans="8:9" x14ac:dyDescent="0.2">
      <c r="H21964" s="1"/>
      <c r="I21964" s="1"/>
    </row>
    <row r="21965" spans="8:9" x14ac:dyDescent="0.2">
      <c r="H21965" s="1"/>
      <c r="I21965" s="1"/>
    </row>
    <row r="21966" spans="8:9" x14ac:dyDescent="0.2">
      <c r="H21966" s="1"/>
      <c r="I21966" s="1"/>
    </row>
    <row r="21967" spans="8:9" x14ac:dyDescent="0.2">
      <c r="H21967" s="1"/>
      <c r="I21967" s="1"/>
    </row>
    <row r="21968" spans="8:9" x14ac:dyDescent="0.2">
      <c r="H21968" s="1"/>
      <c r="I21968" s="1"/>
    </row>
    <row r="21969" spans="8:9" x14ac:dyDescent="0.2">
      <c r="H21969" s="1"/>
      <c r="I21969" s="1"/>
    </row>
    <row r="21970" spans="8:9" x14ac:dyDescent="0.2">
      <c r="H21970" s="1"/>
      <c r="I21970" s="1"/>
    </row>
    <row r="21971" spans="8:9" x14ac:dyDescent="0.2">
      <c r="H21971" s="1"/>
      <c r="I21971" s="1"/>
    </row>
    <row r="21972" spans="8:9" x14ac:dyDescent="0.2">
      <c r="H21972" s="1"/>
      <c r="I21972" s="1"/>
    </row>
    <row r="21973" spans="8:9" x14ac:dyDescent="0.2">
      <c r="H21973" s="1"/>
      <c r="I21973" s="1"/>
    </row>
    <row r="21974" spans="8:9" x14ac:dyDescent="0.2">
      <c r="H21974" s="1"/>
      <c r="I21974" s="1"/>
    </row>
    <row r="21975" spans="8:9" x14ac:dyDescent="0.2">
      <c r="H21975" s="1"/>
      <c r="I21975" s="1"/>
    </row>
    <row r="21976" spans="8:9" x14ac:dyDescent="0.2">
      <c r="H21976" s="1"/>
      <c r="I21976" s="1"/>
    </row>
    <row r="21977" spans="8:9" x14ac:dyDescent="0.2">
      <c r="H21977" s="1"/>
      <c r="I21977" s="1"/>
    </row>
    <row r="21978" spans="8:9" x14ac:dyDescent="0.2">
      <c r="H21978" s="1"/>
      <c r="I21978" s="1"/>
    </row>
    <row r="21979" spans="8:9" x14ac:dyDescent="0.2">
      <c r="H21979" s="1"/>
      <c r="I21979" s="1"/>
    </row>
    <row r="21980" spans="8:9" x14ac:dyDescent="0.2">
      <c r="H21980" s="1"/>
      <c r="I21980" s="1"/>
    </row>
    <row r="21981" spans="8:9" x14ac:dyDescent="0.2">
      <c r="H21981" s="1"/>
      <c r="I21981" s="1"/>
    </row>
    <row r="21982" spans="8:9" x14ac:dyDescent="0.2">
      <c r="H21982" s="1"/>
      <c r="I21982" s="1"/>
    </row>
    <row r="21983" spans="8:9" x14ac:dyDescent="0.2">
      <c r="H21983" s="1"/>
      <c r="I21983" s="1"/>
    </row>
    <row r="21984" spans="8:9" x14ac:dyDescent="0.2">
      <c r="H21984" s="1"/>
      <c r="I21984" s="1"/>
    </row>
    <row r="21985" spans="8:9" x14ac:dyDescent="0.2">
      <c r="H21985" s="1"/>
      <c r="I21985" s="1"/>
    </row>
    <row r="21986" spans="8:9" x14ac:dyDescent="0.2">
      <c r="H21986" s="1"/>
      <c r="I21986" s="1"/>
    </row>
    <row r="21987" spans="8:9" x14ac:dyDescent="0.2">
      <c r="H21987" s="1"/>
      <c r="I21987" s="1"/>
    </row>
    <row r="21988" spans="8:9" x14ac:dyDescent="0.2">
      <c r="H21988" s="1"/>
      <c r="I21988" s="1"/>
    </row>
    <row r="21989" spans="8:9" x14ac:dyDescent="0.2">
      <c r="H21989" s="1"/>
      <c r="I21989" s="1"/>
    </row>
    <row r="21990" spans="8:9" x14ac:dyDescent="0.2">
      <c r="H21990" s="1"/>
      <c r="I21990" s="1"/>
    </row>
    <row r="21991" spans="8:9" x14ac:dyDescent="0.2">
      <c r="H21991" s="1"/>
      <c r="I21991" s="1"/>
    </row>
    <row r="21992" spans="8:9" x14ac:dyDescent="0.2">
      <c r="H21992" s="1"/>
      <c r="I21992" s="1"/>
    </row>
    <row r="21993" spans="8:9" x14ac:dyDescent="0.2">
      <c r="H21993" s="1"/>
      <c r="I21993" s="1"/>
    </row>
    <row r="21994" spans="8:9" x14ac:dyDescent="0.2">
      <c r="H21994" s="1"/>
      <c r="I21994" s="1"/>
    </row>
    <row r="21995" spans="8:9" x14ac:dyDescent="0.2">
      <c r="H21995" s="1"/>
      <c r="I21995" s="1"/>
    </row>
    <row r="21996" spans="8:9" x14ac:dyDescent="0.2">
      <c r="H21996" s="1"/>
      <c r="I21996" s="1"/>
    </row>
    <row r="21997" spans="8:9" x14ac:dyDescent="0.2">
      <c r="H21997" s="1"/>
      <c r="I21997" s="1"/>
    </row>
    <row r="21998" spans="8:9" x14ac:dyDescent="0.2">
      <c r="H21998" s="1"/>
      <c r="I21998" s="1"/>
    </row>
    <row r="21999" spans="8:9" x14ac:dyDescent="0.2">
      <c r="H21999" s="1"/>
      <c r="I21999" s="1"/>
    </row>
    <row r="22000" spans="8:9" x14ac:dyDescent="0.2">
      <c r="H22000" s="1"/>
      <c r="I22000" s="1"/>
    </row>
    <row r="22001" spans="8:9" x14ac:dyDescent="0.2">
      <c r="H22001" s="1"/>
      <c r="I22001" s="1"/>
    </row>
    <row r="22002" spans="8:9" x14ac:dyDescent="0.2">
      <c r="H22002" s="1"/>
      <c r="I22002" s="1"/>
    </row>
    <row r="22003" spans="8:9" x14ac:dyDescent="0.2">
      <c r="H22003" s="1"/>
      <c r="I22003" s="1"/>
    </row>
    <row r="22004" spans="8:9" x14ac:dyDescent="0.2">
      <c r="H22004" s="1"/>
      <c r="I22004" s="1"/>
    </row>
    <row r="22005" spans="8:9" x14ac:dyDescent="0.2">
      <c r="H22005" s="1"/>
      <c r="I22005" s="1"/>
    </row>
    <row r="22006" spans="8:9" x14ac:dyDescent="0.2">
      <c r="H22006" s="1"/>
      <c r="I22006" s="1"/>
    </row>
    <row r="22007" spans="8:9" x14ac:dyDescent="0.2">
      <c r="H22007" s="1"/>
      <c r="I22007" s="1"/>
    </row>
    <row r="22008" spans="8:9" x14ac:dyDescent="0.2">
      <c r="H22008" s="1"/>
      <c r="I22008" s="1"/>
    </row>
    <row r="22009" spans="8:9" x14ac:dyDescent="0.2">
      <c r="H22009" s="1"/>
      <c r="I22009" s="1"/>
    </row>
    <row r="22010" spans="8:9" x14ac:dyDescent="0.2">
      <c r="H22010" s="1"/>
      <c r="I22010" s="1"/>
    </row>
    <row r="22011" spans="8:9" x14ac:dyDescent="0.2">
      <c r="H22011" s="1"/>
      <c r="I22011" s="1"/>
    </row>
    <row r="22012" spans="8:9" x14ac:dyDescent="0.2">
      <c r="H22012" s="1"/>
      <c r="I22012" s="1"/>
    </row>
    <row r="22013" spans="8:9" x14ac:dyDescent="0.2">
      <c r="H22013" s="1"/>
      <c r="I22013" s="1"/>
    </row>
    <row r="22014" spans="8:9" x14ac:dyDescent="0.2">
      <c r="H22014" s="1"/>
      <c r="I22014" s="1"/>
    </row>
    <row r="22015" spans="8:9" x14ac:dyDescent="0.2">
      <c r="H22015" s="1"/>
      <c r="I22015" s="1"/>
    </row>
    <row r="22016" spans="8:9" x14ac:dyDescent="0.2">
      <c r="H22016" s="1"/>
      <c r="I22016" s="1"/>
    </row>
    <row r="22017" spans="8:9" x14ac:dyDescent="0.2">
      <c r="H22017" s="1"/>
      <c r="I22017" s="1"/>
    </row>
    <row r="22018" spans="8:9" x14ac:dyDescent="0.2">
      <c r="H22018" s="1"/>
      <c r="I22018" s="1"/>
    </row>
    <row r="22019" spans="8:9" x14ac:dyDescent="0.2">
      <c r="H22019" s="1"/>
      <c r="I22019" s="1"/>
    </row>
    <row r="22020" spans="8:9" x14ac:dyDescent="0.2">
      <c r="H22020" s="1"/>
      <c r="I22020" s="1"/>
    </row>
    <row r="22021" spans="8:9" x14ac:dyDescent="0.2">
      <c r="H22021" s="1"/>
      <c r="I22021" s="1"/>
    </row>
    <row r="22022" spans="8:9" x14ac:dyDescent="0.2">
      <c r="H22022" s="1"/>
      <c r="I22022" s="1"/>
    </row>
    <row r="22023" spans="8:9" x14ac:dyDescent="0.2">
      <c r="H22023" s="1"/>
      <c r="I22023" s="1"/>
    </row>
    <row r="22024" spans="8:9" x14ac:dyDescent="0.2">
      <c r="H22024" s="1"/>
      <c r="I22024" s="1"/>
    </row>
    <row r="22025" spans="8:9" x14ac:dyDescent="0.2">
      <c r="H22025" s="1"/>
      <c r="I22025" s="1"/>
    </row>
    <row r="22026" spans="8:9" x14ac:dyDescent="0.2">
      <c r="H22026" s="1"/>
      <c r="I22026" s="1"/>
    </row>
    <row r="22027" spans="8:9" x14ac:dyDescent="0.2">
      <c r="H22027" s="1"/>
      <c r="I22027" s="1"/>
    </row>
    <row r="22028" spans="8:9" x14ac:dyDescent="0.2">
      <c r="H22028" s="1"/>
      <c r="I22028" s="1"/>
    </row>
    <row r="22029" spans="8:9" x14ac:dyDescent="0.2">
      <c r="H22029" s="1"/>
      <c r="I22029" s="1"/>
    </row>
    <row r="22030" spans="8:9" x14ac:dyDescent="0.2">
      <c r="H22030" s="1"/>
      <c r="I22030" s="1"/>
    </row>
    <row r="22031" spans="8:9" x14ac:dyDescent="0.2">
      <c r="H22031" s="1"/>
      <c r="I22031" s="1"/>
    </row>
    <row r="22032" spans="8:9" x14ac:dyDescent="0.2">
      <c r="H22032" s="1"/>
      <c r="I22032" s="1"/>
    </row>
    <row r="22033" spans="8:9" x14ac:dyDescent="0.2">
      <c r="H22033" s="1"/>
      <c r="I22033" s="1"/>
    </row>
    <row r="22034" spans="8:9" x14ac:dyDescent="0.2">
      <c r="H22034" s="1"/>
      <c r="I22034" s="1"/>
    </row>
    <row r="22035" spans="8:9" x14ac:dyDescent="0.2">
      <c r="H22035" s="1"/>
      <c r="I22035" s="1"/>
    </row>
    <row r="22036" spans="8:9" x14ac:dyDescent="0.2">
      <c r="H22036" s="1"/>
      <c r="I22036" s="1"/>
    </row>
    <row r="22037" spans="8:9" x14ac:dyDescent="0.2">
      <c r="H22037" s="1"/>
      <c r="I22037" s="1"/>
    </row>
    <row r="22038" spans="8:9" x14ac:dyDescent="0.2">
      <c r="H22038" s="1"/>
      <c r="I22038" s="1"/>
    </row>
    <row r="22039" spans="8:9" x14ac:dyDescent="0.2">
      <c r="H22039" s="1"/>
      <c r="I22039" s="1"/>
    </row>
    <row r="22040" spans="8:9" x14ac:dyDescent="0.2">
      <c r="H22040" s="1"/>
      <c r="I22040" s="1"/>
    </row>
    <row r="22041" spans="8:9" x14ac:dyDescent="0.2">
      <c r="H22041" s="1"/>
      <c r="I22041" s="1"/>
    </row>
    <row r="22042" spans="8:9" x14ac:dyDescent="0.2">
      <c r="H22042" s="1"/>
      <c r="I22042" s="1"/>
    </row>
    <row r="22043" spans="8:9" x14ac:dyDescent="0.2">
      <c r="H22043" s="1"/>
      <c r="I22043" s="1"/>
    </row>
    <row r="22044" spans="8:9" x14ac:dyDescent="0.2">
      <c r="H22044" s="1"/>
      <c r="I22044" s="1"/>
    </row>
    <row r="22045" spans="8:9" x14ac:dyDescent="0.2">
      <c r="H22045" s="1"/>
      <c r="I22045" s="1"/>
    </row>
    <row r="22046" spans="8:9" x14ac:dyDescent="0.2">
      <c r="H22046" s="1"/>
      <c r="I22046" s="1"/>
    </row>
    <row r="22047" spans="8:9" x14ac:dyDescent="0.2">
      <c r="H22047" s="1"/>
      <c r="I22047" s="1"/>
    </row>
    <row r="22048" spans="8:9" x14ac:dyDescent="0.2">
      <c r="H22048" s="1"/>
      <c r="I22048" s="1"/>
    </row>
    <row r="22049" spans="8:9" x14ac:dyDescent="0.2">
      <c r="H22049" s="1"/>
      <c r="I22049" s="1"/>
    </row>
    <row r="22050" spans="8:9" x14ac:dyDescent="0.2">
      <c r="H22050" s="1"/>
      <c r="I22050" s="1"/>
    </row>
    <row r="22051" spans="8:9" x14ac:dyDescent="0.2">
      <c r="H22051" s="1"/>
      <c r="I22051" s="1"/>
    </row>
    <row r="22052" spans="8:9" x14ac:dyDescent="0.2">
      <c r="H22052" s="1"/>
      <c r="I22052" s="1"/>
    </row>
    <row r="22053" spans="8:9" x14ac:dyDescent="0.2">
      <c r="H22053" s="1"/>
      <c r="I22053" s="1"/>
    </row>
    <row r="22054" spans="8:9" x14ac:dyDescent="0.2">
      <c r="H22054" s="1"/>
      <c r="I22054" s="1"/>
    </row>
    <row r="22055" spans="8:9" x14ac:dyDescent="0.2">
      <c r="H22055" s="1"/>
      <c r="I22055" s="1"/>
    </row>
    <row r="22056" spans="8:9" x14ac:dyDescent="0.2">
      <c r="H22056" s="1"/>
      <c r="I22056" s="1"/>
    </row>
    <row r="22057" spans="8:9" x14ac:dyDescent="0.2">
      <c r="H22057" s="1"/>
      <c r="I22057" s="1"/>
    </row>
    <row r="22058" spans="8:9" x14ac:dyDescent="0.2">
      <c r="H22058" s="1"/>
      <c r="I22058" s="1"/>
    </row>
    <row r="22059" spans="8:9" x14ac:dyDescent="0.2">
      <c r="H22059" s="1"/>
      <c r="I22059" s="1"/>
    </row>
    <row r="22060" spans="8:9" x14ac:dyDescent="0.2">
      <c r="H22060" s="1"/>
      <c r="I22060" s="1"/>
    </row>
    <row r="22061" spans="8:9" x14ac:dyDescent="0.2">
      <c r="H22061" s="1"/>
      <c r="I22061" s="1"/>
    </row>
    <row r="22062" spans="8:9" x14ac:dyDescent="0.2">
      <c r="H22062" s="1"/>
      <c r="I22062" s="1"/>
    </row>
    <row r="22063" spans="8:9" x14ac:dyDescent="0.2">
      <c r="H22063" s="1"/>
      <c r="I22063" s="1"/>
    </row>
    <row r="22064" spans="8:9" x14ac:dyDescent="0.2">
      <c r="H22064" s="1"/>
      <c r="I22064" s="1"/>
    </row>
    <row r="22065" spans="8:9" x14ac:dyDescent="0.2">
      <c r="H22065" s="1"/>
      <c r="I22065" s="1"/>
    </row>
    <row r="22066" spans="8:9" x14ac:dyDescent="0.2">
      <c r="H22066" s="1"/>
      <c r="I22066" s="1"/>
    </row>
    <row r="22067" spans="8:9" x14ac:dyDescent="0.2">
      <c r="H22067" s="1"/>
      <c r="I22067" s="1"/>
    </row>
    <row r="22068" spans="8:9" x14ac:dyDescent="0.2">
      <c r="H22068" s="1"/>
      <c r="I22068" s="1"/>
    </row>
    <row r="22069" spans="8:9" x14ac:dyDescent="0.2">
      <c r="H22069" s="1"/>
      <c r="I22069" s="1"/>
    </row>
    <row r="22070" spans="8:9" x14ac:dyDescent="0.2">
      <c r="H22070" s="1"/>
      <c r="I22070" s="1"/>
    </row>
    <row r="22071" spans="8:9" x14ac:dyDescent="0.2">
      <c r="H22071" s="1"/>
      <c r="I22071" s="1"/>
    </row>
    <row r="22072" spans="8:9" x14ac:dyDescent="0.2">
      <c r="H22072" s="1"/>
      <c r="I22072" s="1"/>
    </row>
    <row r="22073" spans="8:9" x14ac:dyDescent="0.2">
      <c r="H22073" s="1"/>
      <c r="I22073" s="1"/>
    </row>
    <row r="22074" spans="8:9" x14ac:dyDescent="0.2">
      <c r="H22074" s="1"/>
      <c r="I22074" s="1"/>
    </row>
    <row r="22075" spans="8:9" x14ac:dyDescent="0.2">
      <c r="H22075" s="1"/>
      <c r="I22075" s="1"/>
    </row>
    <row r="22076" spans="8:9" x14ac:dyDescent="0.2">
      <c r="H22076" s="1"/>
      <c r="I22076" s="1"/>
    </row>
    <row r="22077" spans="8:9" x14ac:dyDescent="0.2">
      <c r="H22077" s="1"/>
      <c r="I22077" s="1"/>
    </row>
    <row r="22078" spans="8:9" x14ac:dyDescent="0.2">
      <c r="H22078" s="1"/>
      <c r="I22078" s="1"/>
    </row>
    <row r="22079" spans="8:9" x14ac:dyDescent="0.2">
      <c r="H22079" s="1"/>
      <c r="I22079" s="1"/>
    </row>
    <row r="22080" spans="8:9" x14ac:dyDescent="0.2">
      <c r="H22080" s="1"/>
      <c r="I22080" s="1"/>
    </row>
    <row r="22081" spans="8:9" x14ac:dyDescent="0.2">
      <c r="H22081" s="1"/>
      <c r="I22081" s="1"/>
    </row>
    <row r="22082" spans="8:9" x14ac:dyDescent="0.2">
      <c r="H22082" s="1"/>
      <c r="I22082" s="1"/>
    </row>
    <row r="22083" spans="8:9" x14ac:dyDescent="0.2">
      <c r="H22083" s="1"/>
      <c r="I22083" s="1"/>
    </row>
    <row r="22084" spans="8:9" x14ac:dyDescent="0.2">
      <c r="H22084" s="1"/>
      <c r="I22084" s="1"/>
    </row>
    <row r="22085" spans="8:9" x14ac:dyDescent="0.2">
      <c r="H22085" s="1"/>
      <c r="I22085" s="1"/>
    </row>
    <row r="22086" spans="8:9" x14ac:dyDescent="0.2">
      <c r="H22086" s="1"/>
      <c r="I22086" s="1"/>
    </row>
    <row r="22087" spans="8:9" x14ac:dyDescent="0.2">
      <c r="H22087" s="1"/>
      <c r="I22087" s="1"/>
    </row>
    <row r="22088" spans="8:9" x14ac:dyDescent="0.2">
      <c r="H22088" s="1"/>
      <c r="I22088" s="1"/>
    </row>
    <row r="22089" spans="8:9" x14ac:dyDescent="0.2">
      <c r="H22089" s="1"/>
      <c r="I22089" s="1"/>
    </row>
    <row r="22090" spans="8:9" x14ac:dyDescent="0.2">
      <c r="H22090" s="1"/>
      <c r="I22090" s="1"/>
    </row>
    <row r="22091" spans="8:9" x14ac:dyDescent="0.2">
      <c r="H22091" s="1"/>
      <c r="I22091" s="1"/>
    </row>
    <row r="22092" spans="8:9" x14ac:dyDescent="0.2">
      <c r="H22092" s="1"/>
      <c r="I22092" s="1"/>
    </row>
    <row r="22093" spans="8:9" x14ac:dyDescent="0.2">
      <c r="H22093" s="1"/>
      <c r="I22093" s="1"/>
    </row>
    <row r="22094" spans="8:9" x14ac:dyDescent="0.2">
      <c r="H22094" s="1"/>
      <c r="I22094" s="1"/>
    </row>
    <row r="22095" spans="8:9" x14ac:dyDescent="0.2">
      <c r="H22095" s="1"/>
      <c r="I22095" s="1"/>
    </row>
    <row r="22096" spans="8:9" x14ac:dyDescent="0.2">
      <c r="H22096" s="1"/>
      <c r="I22096" s="1"/>
    </row>
    <row r="22097" spans="8:9" x14ac:dyDescent="0.2">
      <c r="H22097" s="1"/>
      <c r="I22097" s="1"/>
    </row>
    <row r="22098" spans="8:9" x14ac:dyDescent="0.2">
      <c r="H22098" s="1"/>
      <c r="I22098" s="1"/>
    </row>
    <row r="22099" spans="8:9" x14ac:dyDescent="0.2">
      <c r="H22099" s="1"/>
      <c r="I22099" s="1"/>
    </row>
    <row r="22100" spans="8:9" x14ac:dyDescent="0.2">
      <c r="H22100" s="1"/>
      <c r="I22100" s="1"/>
    </row>
    <row r="22101" spans="8:9" x14ac:dyDescent="0.2">
      <c r="H22101" s="1"/>
      <c r="I22101" s="1"/>
    </row>
    <row r="22102" spans="8:9" x14ac:dyDescent="0.2">
      <c r="H22102" s="1"/>
      <c r="I22102" s="1"/>
    </row>
    <row r="22103" spans="8:9" x14ac:dyDescent="0.2">
      <c r="H22103" s="1"/>
      <c r="I22103" s="1"/>
    </row>
    <row r="22104" spans="8:9" x14ac:dyDescent="0.2">
      <c r="H22104" s="1"/>
      <c r="I22104" s="1"/>
    </row>
    <row r="22105" spans="8:9" x14ac:dyDescent="0.2">
      <c r="H22105" s="1"/>
      <c r="I22105" s="1"/>
    </row>
    <row r="22106" spans="8:9" x14ac:dyDescent="0.2">
      <c r="H22106" s="1"/>
      <c r="I22106" s="1"/>
    </row>
    <row r="22107" spans="8:9" x14ac:dyDescent="0.2">
      <c r="H22107" s="1"/>
      <c r="I22107" s="1"/>
    </row>
    <row r="22108" spans="8:9" x14ac:dyDescent="0.2">
      <c r="H22108" s="1"/>
      <c r="I22108" s="1"/>
    </row>
    <row r="22109" spans="8:9" x14ac:dyDescent="0.2">
      <c r="H22109" s="1"/>
      <c r="I22109" s="1"/>
    </row>
    <row r="22110" spans="8:9" x14ac:dyDescent="0.2">
      <c r="H22110" s="1"/>
      <c r="I22110" s="1"/>
    </row>
    <row r="22111" spans="8:9" x14ac:dyDescent="0.2">
      <c r="H22111" s="1"/>
      <c r="I22111" s="1"/>
    </row>
    <row r="22112" spans="8:9" x14ac:dyDescent="0.2">
      <c r="H22112" s="1"/>
      <c r="I22112" s="1"/>
    </row>
    <row r="22113" spans="8:9" x14ac:dyDescent="0.2">
      <c r="H22113" s="1"/>
      <c r="I22113" s="1"/>
    </row>
    <row r="22114" spans="8:9" x14ac:dyDescent="0.2">
      <c r="H22114" s="1"/>
      <c r="I22114" s="1"/>
    </row>
    <row r="22115" spans="8:9" x14ac:dyDescent="0.2">
      <c r="H22115" s="1"/>
      <c r="I22115" s="1"/>
    </row>
    <row r="22116" spans="8:9" x14ac:dyDescent="0.2">
      <c r="H22116" s="1"/>
      <c r="I22116" s="1"/>
    </row>
    <row r="22117" spans="8:9" x14ac:dyDescent="0.2">
      <c r="H22117" s="1"/>
      <c r="I22117" s="1"/>
    </row>
    <row r="22118" spans="8:9" x14ac:dyDescent="0.2">
      <c r="H22118" s="1"/>
      <c r="I22118" s="1"/>
    </row>
    <row r="22119" spans="8:9" x14ac:dyDescent="0.2">
      <c r="H22119" s="1"/>
      <c r="I22119" s="1"/>
    </row>
    <row r="22120" spans="8:9" x14ac:dyDescent="0.2">
      <c r="H22120" s="1"/>
      <c r="I22120" s="1"/>
    </row>
    <row r="22121" spans="8:9" x14ac:dyDescent="0.2">
      <c r="H22121" s="1"/>
      <c r="I22121" s="1"/>
    </row>
    <row r="22122" spans="8:9" x14ac:dyDescent="0.2">
      <c r="H22122" s="1"/>
      <c r="I22122" s="1"/>
    </row>
    <row r="22123" spans="8:9" x14ac:dyDescent="0.2">
      <c r="H22123" s="1"/>
      <c r="I22123" s="1"/>
    </row>
    <row r="22124" spans="8:9" x14ac:dyDescent="0.2">
      <c r="H22124" s="1"/>
      <c r="I22124" s="1"/>
    </row>
    <row r="22125" spans="8:9" x14ac:dyDescent="0.2">
      <c r="H22125" s="1"/>
      <c r="I22125" s="1"/>
    </row>
    <row r="22126" spans="8:9" x14ac:dyDescent="0.2">
      <c r="H22126" s="1"/>
      <c r="I22126" s="1"/>
    </row>
    <row r="22127" spans="8:9" x14ac:dyDescent="0.2">
      <c r="H22127" s="1"/>
      <c r="I22127" s="1"/>
    </row>
    <row r="22128" spans="8:9" x14ac:dyDescent="0.2">
      <c r="H22128" s="1"/>
      <c r="I22128" s="1"/>
    </row>
    <row r="22129" spans="8:9" x14ac:dyDescent="0.2">
      <c r="H22129" s="1"/>
      <c r="I22129" s="1"/>
    </row>
    <row r="22130" spans="8:9" x14ac:dyDescent="0.2">
      <c r="H22130" s="1"/>
      <c r="I22130" s="1"/>
    </row>
    <row r="22131" spans="8:9" x14ac:dyDescent="0.2">
      <c r="H22131" s="1"/>
      <c r="I22131" s="1"/>
    </row>
    <row r="22132" spans="8:9" x14ac:dyDescent="0.2">
      <c r="H22132" s="1"/>
      <c r="I22132" s="1"/>
    </row>
    <row r="22133" spans="8:9" x14ac:dyDescent="0.2">
      <c r="H22133" s="1"/>
      <c r="I22133" s="1"/>
    </row>
    <row r="22134" spans="8:9" x14ac:dyDescent="0.2">
      <c r="H22134" s="1"/>
      <c r="I22134" s="1"/>
    </row>
    <row r="22135" spans="8:9" x14ac:dyDescent="0.2">
      <c r="H22135" s="1"/>
      <c r="I22135" s="1"/>
    </row>
    <row r="22136" spans="8:9" x14ac:dyDescent="0.2">
      <c r="H22136" s="1"/>
      <c r="I22136" s="1"/>
    </row>
    <row r="22137" spans="8:9" x14ac:dyDescent="0.2">
      <c r="H22137" s="1"/>
      <c r="I22137" s="1"/>
    </row>
    <row r="22138" spans="8:9" x14ac:dyDescent="0.2">
      <c r="H22138" s="1"/>
      <c r="I22138" s="1"/>
    </row>
    <row r="22139" spans="8:9" x14ac:dyDescent="0.2">
      <c r="H22139" s="1"/>
      <c r="I22139" s="1"/>
    </row>
    <row r="22140" spans="8:9" x14ac:dyDescent="0.2">
      <c r="H22140" s="1"/>
      <c r="I22140" s="1"/>
    </row>
    <row r="22141" spans="8:9" x14ac:dyDescent="0.2">
      <c r="H22141" s="1"/>
      <c r="I22141" s="1"/>
    </row>
    <row r="22142" spans="8:9" x14ac:dyDescent="0.2">
      <c r="H22142" s="1"/>
      <c r="I22142" s="1"/>
    </row>
    <row r="22143" spans="8:9" x14ac:dyDescent="0.2">
      <c r="H22143" s="1"/>
      <c r="I22143" s="1"/>
    </row>
    <row r="22144" spans="8:9" x14ac:dyDescent="0.2">
      <c r="H22144" s="1"/>
      <c r="I22144" s="1"/>
    </row>
    <row r="22145" spans="8:9" x14ac:dyDescent="0.2">
      <c r="H22145" s="1"/>
      <c r="I22145" s="1"/>
    </row>
    <row r="22146" spans="8:9" x14ac:dyDescent="0.2">
      <c r="H22146" s="1"/>
      <c r="I22146" s="1"/>
    </row>
    <row r="22147" spans="8:9" x14ac:dyDescent="0.2">
      <c r="H22147" s="1"/>
      <c r="I22147" s="1"/>
    </row>
    <row r="22148" spans="8:9" x14ac:dyDescent="0.2">
      <c r="H22148" s="1"/>
      <c r="I22148" s="1"/>
    </row>
    <row r="22149" spans="8:9" x14ac:dyDescent="0.2">
      <c r="H22149" s="1"/>
      <c r="I22149" s="1"/>
    </row>
    <row r="22150" spans="8:9" x14ac:dyDescent="0.2">
      <c r="H22150" s="1"/>
      <c r="I22150" s="1"/>
    </row>
    <row r="22151" spans="8:9" x14ac:dyDescent="0.2">
      <c r="H22151" s="1"/>
      <c r="I22151" s="1"/>
    </row>
    <row r="22152" spans="8:9" x14ac:dyDescent="0.2">
      <c r="H22152" s="1"/>
      <c r="I22152" s="1"/>
    </row>
    <row r="22153" spans="8:9" x14ac:dyDescent="0.2">
      <c r="H22153" s="1"/>
      <c r="I22153" s="1"/>
    </row>
    <row r="22154" spans="8:9" x14ac:dyDescent="0.2">
      <c r="H22154" s="1"/>
      <c r="I22154" s="1"/>
    </row>
    <row r="22155" spans="8:9" x14ac:dyDescent="0.2">
      <c r="H22155" s="1"/>
      <c r="I22155" s="1"/>
    </row>
    <row r="22156" spans="8:9" x14ac:dyDescent="0.2">
      <c r="H22156" s="1"/>
      <c r="I22156" s="1"/>
    </row>
    <row r="22157" spans="8:9" x14ac:dyDescent="0.2">
      <c r="H22157" s="1"/>
      <c r="I22157" s="1"/>
    </row>
    <row r="22158" spans="8:9" x14ac:dyDescent="0.2">
      <c r="H22158" s="1"/>
      <c r="I22158" s="1"/>
    </row>
    <row r="22159" spans="8:9" x14ac:dyDescent="0.2">
      <c r="H22159" s="1"/>
      <c r="I22159" s="1"/>
    </row>
    <row r="22160" spans="8:9" x14ac:dyDescent="0.2">
      <c r="H22160" s="1"/>
      <c r="I22160" s="1"/>
    </row>
    <row r="22161" spans="8:9" x14ac:dyDescent="0.2">
      <c r="H22161" s="1"/>
      <c r="I22161" s="1"/>
    </row>
    <row r="22162" spans="8:9" x14ac:dyDescent="0.2">
      <c r="H22162" s="1"/>
      <c r="I22162" s="1"/>
    </row>
    <row r="22163" spans="8:9" x14ac:dyDescent="0.2">
      <c r="H22163" s="1"/>
      <c r="I22163" s="1"/>
    </row>
    <row r="22164" spans="8:9" x14ac:dyDescent="0.2">
      <c r="H22164" s="1"/>
      <c r="I22164" s="1"/>
    </row>
    <row r="22165" spans="8:9" x14ac:dyDescent="0.2">
      <c r="H22165" s="1"/>
      <c r="I22165" s="1"/>
    </row>
    <row r="22166" spans="8:9" x14ac:dyDescent="0.2">
      <c r="H22166" s="1"/>
      <c r="I22166" s="1"/>
    </row>
    <row r="22167" spans="8:9" x14ac:dyDescent="0.2">
      <c r="H22167" s="1"/>
      <c r="I22167" s="1"/>
    </row>
    <row r="22168" spans="8:9" x14ac:dyDescent="0.2">
      <c r="H22168" s="1"/>
      <c r="I22168" s="1"/>
    </row>
    <row r="22169" spans="8:9" x14ac:dyDescent="0.2">
      <c r="H22169" s="1"/>
      <c r="I22169" s="1"/>
    </row>
    <row r="22170" spans="8:9" x14ac:dyDescent="0.2">
      <c r="H22170" s="1"/>
      <c r="I22170" s="1"/>
    </row>
    <row r="22171" spans="8:9" x14ac:dyDescent="0.2">
      <c r="H22171" s="1"/>
      <c r="I22171" s="1"/>
    </row>
    <row r="22172" spans="8:9" x14ac:dyDescent="0.2">
      <c r="H22172" s="1"/>
      <c r="I22172" s="1"/>
    </row>
    <row r="22173" spans="8:9" x14ac:dyDescent="0.2">
      <c r="H22173" s="1"/>
      <c r="I22173" s="1"/>
    </row>
    <row r="22174" spans="8:9" x14ac:dyDescent="0.2">
      <c r="H22174" s="1"/>
      <c r="I22174" s="1"/>
    </row>
    <row r="22175" spans="8:9" x14ac:dyDescent="0.2">
      <c r="H22175" s="1"/>
      <c r="I22175" s="1"/>
    </row>
    <row r="22176" spans="8:9" x14ac:dyDescent="0.2">
      <c r="H22176" s="1"/>
      <c r="I22176" s="1"/>
    </row>
    <row r="22177" spans="8:9" x14ac:dyDescent="0.2">
      <c r="H22177" s="1"/>
      <c r="I22177" s="1"/>
    </row>
    <row r="22178" spans="8:9" x14ac:dyDescent="0.2">
      <c r="H22178" s="1"/>
      <c r="I22178" s="1"/>
    </row>
    <row r="22179" spans="8:9" x14ac:dyDescent="0.2">
      <c r="H22179" s="1"/>
      <c r="I22179" s="1"/>
    </row>
    <row r="22180" spans="8:9" x14ac:dyDescent="0.2">
      <c r="H22180" s="1"/>
      <c r="I22180" s="1"/>
    </row>
    <row r="22181" spans="8:9" x14ac:dyDescent="0.2">
      <c r="H22181" s="1"/>
      <c r="I22181" s="1"/>
    </row>
    <row r="22182" spans="8:9" x14ac:dyDescent="0.2">
      <c r="H22182" s="1"/>
      <c r="I22182" s="1"/>
    </row>
    <row r="22183" spans="8:9" x14ac:dyDescent="0.2">
      <c r="H22183" s="1"/>
      <c r="I22183" s="1"/>
    </row>
    <row r="22184" spans="8:9" x14ac:dyDescent="0.2">
      <c r="H22184" s="1"/>
      <c r="I22184" s="1"/>
    </row>
    <row r="22185" spans="8:9" x14ac:dyDescent="0.2">
      <c r="H22185" s="1"/>
      <c r="I22185" s="1"/>
    </row>
    <row r="22186" spans="8:9" x14ac:dyDescent="0.2">
      <c r="H22186" s="1"/>
      <c r="I22186" s="1"/>
    </row>
    <row r="22187" spans="8:9" x14ac:dyDescent="0.2">
      <c r="H22187" s="1"/>
      <c r="I22187" s="1"/>
    </row>
    <row r="22188" spans="8:9" x14ac:dyDescent="0.2">
      <c r="H22188" s="1"/>
      <c r="I22188" s="1"/>
    </row>
    <row r="22189" spans="8:9" x14ac:dyDescent="0.2">
      <c r="H22189" s="1"/>
      <c r="I22189" s="1"/>
    </row>
    <row r="22190" spans="8:9" x14ac:dyDescent="0.2">
      <c r="H22190" s="1"/>
      <c r="I22190" s="1"/>
    </row>
    <row r="22191" spans="8:9" x14ac:dyDescent="0.2">
      <c r="H22191" s="1"/>
      <c r="I22191" s="1"/>
    </row>
    <row r="22192" spans="8:9" x14ac:dyDescent="0.2">
      <c r="H22192" s="1"/>
      <c r="I22192" s="1"/>
    </row>
    <row r="22193" spans="8:9" x14ac:dyDescent="0.2">
      <c r="H22193" s="1"/>
      <c r="I22193" s="1"/>
    </row>
    <row r="22194" spans="8:9" x14ac:dyDescent="0.2">
      <c r="H22194" s="1"/>
      <c r="I22194" s="1"/>
    </row>
    <row r="22195" spans="8:9" x14ac:dyDescent="0.2">
      <c r="H22195" s="1"/>
      <c r="I22195" s="1"/>
    </row>
    <row r="22196" spans="8:9" x14ac:dyDescent="0.2">
      <c r="H22196" s="1"/>
      <c r="I22196" s="1"/>
    </row>
    <row r="22197" spans="8:9" x14ac:dyDescent="0.2">
      <c r="H22197" s="1"/>
      <c r="I22197" s="1"/>
    </row>
    <row r="22198" spans="8:9" x14ac:dyDescent="0.2">
      <c r="H22198" s="1"/>
      <c r="I22198" s="1"/>
    </row>
    <row r="22199" spans="8:9" x14ac:dyDescent="0.2">
      <c r="H22199" s="1"/>
      <c r="I22199" s="1"/>
    </row>
    <row r="22200" spans="8:9" x14ac:dyDescent="0.2">
      <c r="H22200" s="1"/>
      <c r="I22200" s="1"/>
    </row>
    <row r="22201" spans="8:9" x14ac:dyDescent="0.2">
      <c r="H22201" s="1"/>
      <c r="I22201" s="1"/>
    </row>
    <row r="22202" spans="8:9" x14ac:dyDescent="0.2">
      <c r="H22202" s="1"/>
      <c r="I22202" s="1"/>
    </row>
    <row r="22203" spans="8:9" x14ac:dyDescent="0.2">
      <c r="H22203" s="1"/>
      <c r="I22203" s="1"/>
    </row>
    <row r="22204" spans="8:9" x14ac:dyDescent="0.2">
      <c r="H22204" s="1"/>
      <c r="I22204" s="1"/>
    </row>
    <row r="22205" spans="8:9" x14ac:dyDescent="0.2">
      <c r="H22205" s="1"/>
      <c r="I22205" s="1"/>
    </row>
    <row r="22206" spans="8:9" x14ac:dyDescent="0.2">
      <c r="H22206" s="1"/>
      <c r="I22206" s="1"/>
    </row>
    <row r="22207" spans="8:9" x14ac:dyDescent="0.2">
      <c r="H22207" s="1"/>
      <c r="I22207" s="1"/>
    </row>
    <row r="22208" spans="8:9" x14ac:dyDescent="0.2">
      <c r="H22208" s="1"/>
      <c r="I22208" s="1"/>
    </row>
    <row r="22209" spans="8:9" x14ac:dyDescent="0.2">
      <c r="H22209" s="1"/>
      <c r="I22209" s="1"/>
    </row>
    <row r="22210" spans="8:9" x14ac:dyDescent="0.2">
      <c r="H22210" s="1"/>
      <c r="I22210" s="1"/>
    </row>
    <row r="22211" spans="8:9" x14ac:dyDescent="0.2">
      <c r="H22211" s="1"/>
      <c r="I22211" s="1"/>
    </row>
    <row r="22212" spans="8:9" x14ac:dyDescent="0.2">
      <c r="H22212" s="1"/>
      <c r="I22212" s="1"/>
    </row>
    <row r="22213" spans="8:9" x14ac:dyDescent="0.2">
      <c r="H22213" s="1"/>
      <c r="I22213" s="1"/>
    </row>
    <row r="22214" spans="8:9" x14ac:dyDescent="0.2">
      <c r="H22214" s="1"/>
      <c r="I22214" s="1"/>
    </row>
    <row r="22215" spans="8:9" x14ac:dyDescent="0.2">
      <c r="H22215" s="1"/>
      <c r="I22215" s="1"/>
    </row>
    <row r="22216" spans="8:9" x14ac:dyDescent="0.2">
      <c r="H22216" s="1"/>
      <c r="I22216" s="1"/>
    </row>
    <row r="22217" spans="8:9" x14ac:dyDescent="0.2">
      <c r="H22217" s="1"/>
      <c r="I22217" s="1"/>
    </row>
    <row r="22218" spans="8:9" x14ac:dyDescent="0.2">
      <c r="H22218" s="1"/>
      <c r="I22218" s="1"/>
    </row>
    <row r="22219" spans="8:9" x14ac:dyDescent="0.2">
      <c r="H22219" s="1"/>
      <c r="I22219" s="1"/>
    </row>
    <row r="22220" spans="8:9" x14ac:dyDescent="0.2">
      <c r="H22220" s="1"/>
      <c r="I22220" s="1"/>
    </row>
    <row r="22221" spans="8:9" x14ac:dyDescent="0.2">
      <c r="H22221" s="1"/>
      <c r="I22221" s="1"/>
    </row>
    <row r="22222" spans="8:9" x14ac:dyDescent="0.2">
      <c r="H22222" s="1"/>
      <c r="I22222" s="1"/>
    </row>
    <row r="22223" spans="8:9" x14ac:dyDescent="0.2">
      <c r="H22223" s="1"/>
      <c r="I22223" s="1"/>
    </row>
    <row r="22224" spans="8:9" x14ac:dyDescent="0.2">
      <c r="H22224" s="1"/>
      <c r="I22224" s="1"/>
    </row>
    <row r="22225" spans="8:9" x14ac:dyDescent="0.2">
      <c r="H22225" s="1"/>
      <c r="I22225" s="1"/>
    </row>
    <row r="22226" spans="8:9" x14ac:dyDescent="0.2">
      <c r="H22226" s="1"/>
      <c r="I22226" s="1"/>
    </row>
    <row r="22227" spans="8:9" x14ac:dyDescent="0.2">
      <c r="H22227" s="1"/>
      <c r="I22227" s="1"/>
    </row>
    <row r="22228" spans="8:9" x14ac:dyDescent="0.2">
      <c r="H22228" s="1"/>
      <c r="I22228" s="1"/>
    </row>
    <row r="22229" spans="8:9" x14ac:dyDescent="0.2">
      <c r="H22229" s="1"/>
      <c r="I22229" s="1"/>
    </row>
    <row r="22230" spans="8:9" x14ac:dyDescent="0.2">
      <c r="H22230" s="1"/>
      <c r="I22230" s="1"/>
    </row>
    <row r="22231" spans="8:9" x14ac:dyDescent="0.2">
      <c r="H22231" s="1"/>
      <c r="I22231" s="1"/>
    </row>
    <row r="22232" spans="8:9" x14ac:dyDescent="0.2">
      <c r="H22232" s="1"/>
      <c r="I22232" s="1"/>
    </row>
    <row r="22233" spans="8:9" x14ac:dyDescent="0.2">
      <c r="H22233" s="1"/>
      <c r="I22233" s="1"/>
    </row>
    <row r="22234" spans="8:9" x14ac:dyDescent="0.2">
      <c r="H22234" s="1"/>
      <c r="I22234" s="1"/>
    </row>
    <row r="22235" spans="8:9" x14ac:dyDescent="0.2">
      <c r="H22235" s="1"/>
      <c r="I22235" s="1"/>
    </row>
    <row r="22236" spans="8:9" x14ac:dyDescent="0.2">
      <c r="H22236" s="1"/>
      <c r="I22236" s="1"/>
    </row>
    <row r="22237" spans="8:9" x14ac:dyDescent="0.2">
      <c r="H22237" s="1"/>
      <c r="I22237" s="1"/>
    </row>
    <row r="22238" spans="8:9" x14ac:dyDescent="0.2">
      <c r="H22238" s="1"/>
      <c r="I22238" s="1"/>
    </row>
    <row r="22239" spans="8:9" x14ac:dyDescent="0.2">
      <c r="H22239" s="1"/>
      <c r="I22239" s="1"/>
    </row>
    <row r="22240" spans="8:9" x14ac:dyDescent="0.2">
      <c r="H22240" s="1"/>
      <c r="I22240" s="1"/>
    </row>
    <row r="22241" spans="8:9" x14ac:dyDescent="0.2">
      <c r="H22241" s="1"/>
      <c r="I22241" s="1"/>
    </row>
    <row r="22242" spans="8:9" x14ac:dyDescent="0.2">
      <c r="H22242" s="1"/>
      <c r="I22242" s="1"/>
    </row>
    <row r="22243" spans="8:9" x14ac:dyDescent="0.2">
      <c r="H22243" s="1"/>
      <c r="I22243" s="1"/>
    </row>
    <row r="22244" spans="8:9" x14ac:dyDescent="0.2">
      <c r="H22244" s="1"/>
      <c r="I22244" s="1"/>
    </row>
    <row r="22245" spans="8:9" x14ac:dyDescent="0.2">
      <c r="H22245" s="1"/>
      <c r="I22245" s="1"/>
    </row>
    <row r="22246" spans="8:9" x14ac:dyDescent="0.2">
      <c r="H22246" s="1"/>
      <c r="I22246" s="1"/>
    </row>
    <row r="22247" spans="8:9" x14ac:dyDescent="0.2">
      <c r="H22247" s="1"/>
      <c r="I22247" s="1"/>
    </row>
    <row r="22248" spans="8:9" x14ac:dyDescent="0.2">
      <c r="H22248" s="1"/>
      <c r="I22248" s="1"/>
    </row>
    <row r="22249" spans="8:9" x14ac:dyDescent="0.2">
      <c r="H22249" s="1"/>
      <c r="I22249" s="1"/>
    </row>
    <row r="22250" spans="8:9" x14ac:dyDescent="0.2">
      <c r="H22250" s="1"/>
      <c r="I22250" s="1"/>
    </row>
    <row r="22251" spans="8:9" x14ac:dyDescent="0.2">
      <c r="H22251" s="1"/>
      <c r="I22251" s="1"/>
    </row>
    <row r="22252" spans="8:9" x14ac:dyDescent="0.2">
      <c r="H22252" s="1"/>
      <c r="I22252" s="1"/>
    </row>
    <row r="22253" spans="8:9" x14ac:dyDescent="0.2">
      <c r="H22253" s="1"/>
      <c r="I22253" s="1"/>
    </row>
    <row r="22254" spans="8:9" x14ac:dyDescent="0.2">
      <c r="H22254" s="1"/>
      <c r="I22254" s="1"/>
    </row>
    <row r="22255" spans="8:9" x14ac:dyDescent="0.2">
      <c r="H22255" s="1"/>
      <c r="I22255" s="1"/>
    </row>
    <row r="22256" spans="8:9" x14ac:dyDescent="0.2">
      <c r="H22256" s="1"/>
      <c r="I22256" s="1"/>
    </row>
    <row r="22257" spans="8:9" x14ac:dyDescent="0.2">
      <c r="H22257" s="1"/>
      <c r="I22257" s="1"/>
    </row>
    <row r="22258" spans="8:9" x14ac:dyDescent="0.2">
      <c r="H22258" s="1"/>
      <c r="I22258" s="1"/>
    </row>
    <row r="22259" spans="8:9" x14ac:dyDescent="0.2">
      <c r="H22259" s="1"/>
      <c r="I22259" s="1"/>
    </row>
    <row r="22260" spans="8:9" x14ac:dyDescent="0.2">
      <c r="H22260" s="1"/>
      <c r="I22260" s="1"/>
    </row>
    <row r="22261" spans="8:9" x14ac:dyDescent="0.2">
      <c r="H22261" s="1"/>
      <c r="I22261" s="1"/>
    </row>
    <row r="22262" spans="8:9" x14ac:dyDescent="0.2">
      <c r="H22262" s="1"/>
      <c r="I22262" s="1"/>
    </row>
    <row r="22263" spans="8:9" x14ac:dyDescent="0.2">
      <c r="H22263" s="1"/>
      <c r="I22263" s="1"/>
    </row>
    <row r="22264" spans="8:9" x14ac:dyDescent="0.2">
      <c r="H22264" s="1"/>
      <c r="I22264" s="1"/>
    </row>
    <row r="22265" spans="8:9" x14ac:dyDescent="0.2">
      <c r="H22265" s="1"/>
      <c r="I22265" s="1"/>
    </row>
    <row r="22266" spans="8:9" x14ac:dyDescent="0.2">
      <c r="H22266" s="1"/>
      <c r="I22266" s="1"/>
    </row>
    <row r="22267" spans="8:9" x14ac:dyDescent="0.2">
      <c r="H22267" s="1"/>
      <c r="I22267" s="1"/>
    </row>
    <row r="22268" spans="8:9" x14ac:dyDescent="0.2">
      <c r="H22268" s="1"/>
      <c r="I22268" s="1"/>
    </row>
    <row r="22269" spans="8:9" x14ac:dyDescent="0.2">
      <c r="H22269" s="1"/>
      <c r="I22269" s="1"/>
    </row>
    <row r="22270" spans="8:9" x14ac:dyDescent="0.2">
      <c r="H22270" s="1"/>
      <c r="I22270" s="1"/>
    </row>
    <row r="22271" spans="8:9" x14ac:dyDescent="0.2">
      <c r="H22271" s="1"/>
      <c r="I22271" s="1"/>
    </row>
    <row r="22272" spans="8:9" x14ac:dyDescent="0.2">
      <c r="H22272" s="1"/>
      <c r="I22272" s="1"/>
    </row>
    <row r="22273" spans="8:9" x14ac:dyDescent="0.2">
      <c r="H22273" s="1"/>
      <c r="I22273" s="1"/>
    </row>
    <row r="22274" spans="8:9" x14ac:dyDescent="0.2">
      <c r="H22274" s="1"/>
      <c r="I22274" s="1"/>
    </row>
    <row r="22275" spans="8:9" x14ac:dyDescent="0.2">
      <c r="H22275" s="1"/>
      <c r="I22275" s="1"/>
    </row>
    <row r="22276" spans="8:9" x14ac:dyDescent="0.2">
      <c r="H22276" s="1"/>
      <c r="I22276" s="1"/>
    </row>
    <row r="22277" spans="8:9" x14ac:dyDescent="0.2">
      <c r="H22277" s="1"/>
      <c r="I22277" s="1"/>
    </row>
    <row r="22278" spans="8:9" x14ac:dyDescent="0.2">
      <c r="H22278" s="1"/>
      <c r="I22278" s="1"/>
    </row>
    <row r="22279" spans="8:9" x14ac:dyDescent="0.2">
      <c r="H22279" s="1"/>
      <c r="I22279" s="1"/>
    </row>
    <row r="22280" spans="8:9" x14ac:dyDescent="0.2">
      <c r="H22280" s="1"/>
      <c r="I22280" s="1"/>
    </row>
    <row r="22281" spans="8:9" x14ac:dyDescent="0.2">
      <c r="H22281" s="1"/>
      <c r="I22281" s="1"/>
    </row>
    <row r="22282" spans="8:9" x14ac:dyDescent="0.2">
      <c r="H22282" s="1"/>
      <c r="I22282" s="1"/>
    </row>
    <row r="22283" spans="8:9" x14ac:dyDescent="0.2">
      <c r="H22283" s="1"/>
      <c r="I22283" s="1"/>
    </row>
    <row r="22284" spans="8:9" x14ac:dyDescent="0.2">
      <c r="H22284" s="1"/>
      <c r="I22284" s="1"/>
    </row>
    <row r="22285" spans="8:9" x14ac:dyDescent="0.2">
      <c r="H22285" s="1"/>
      <c r="I22285" s="1"/>
    </row>
    <row r="22286" spans="8:9" x14ac:dyDescent="0.2">
      <c r="H22286" s="1"/>
      <c r="I22286" s="1"/>
    </row>
    <row r="22287" spans="8:9" x14ac:dyDescent="0.2">
      <c r="H22287" s="1"/>
      <c r="I22287" s="1"/>
    </row>
    <row r="22288" spans="8:9" x14ac:dyDescent="0.2">
      <c r="H22288" s="1"/>
      <c r="I22288" s="1"/>
    </row>
    <row r="22289" spans="8:9" x14ac:dyDescent="0.2">
      <c r="H22289" s="1"/>
      <c r="I22289" s="1"/>
    </row>
    <row r="22290" spans="8:9" x14ac:dyDescent="0.2">
      <c r="H22290" s="1"/>
      <c r="I22290" s="1"/>
    </row>
    <row r="22291" spans="8:9" x14ac:dyDescent="0.2">
      <c r="H22291" s="1"/>
      <c r="I22291" s="1"/>
    </row>
    <row r="22292" spans="8:9" x14ac:dyDescent="0.2">
      <c r="H22292" s="1"/>
      <c r="I22292" s="1"/>
    </row>
    <row r="22293" spans="8:9" x14ac:dyDescent="0.2">
      <c r="H22293" s="1"/>
      <c r="I22293" s="1"/>
    </row>
    <row r="22294" spans="8:9" x14ac:dyDescent="0.2">
      <c r="H22294" s="1"/>
      <c r="I22294" s="1"/>
    </row>
    <row r="22295" spans="8:9" x14ac:dyDescent="0.2">
      <c r="H22295" s="1"/>
      <c r="I22295" s="1"/>
    </row>
    <row r="22296" spans="8:9" x14ac:dyDescent="0.2">
      <c r="H22296" s="1"/>
      <c r="I22296" s="1"/>
    </row>
    <row r="22297" spans="8:9" x14ac:dyDescent="0.2">
      <c r="H22297" s="1"/>
      <c r="I22297" s="1"/>
    </row>
    <row r="22298" spans="8:9" x14ac:dyDescent="0.2">
      <c r="H22298" s="1"/>
      <c r="I22298" s="1"/>
    </row>
    <row r="22299" spans="8:9" x14ac:dyDescent="0.2">
      <c r="H22299" s="1"/>
      <c r="I22299" s="1"/>
    </row>
    <row r="22300" spans="8:9" x14ac:dyDescent="0.2">
      <c r="H22300" s="1"/>
      <c r="I22300" s="1"/>
    </row>
    <row r="22301" spans="8:9" x14ac:dyDescent="0.2">
      <c r="H22301" s="1"/>
      <c r="I22301" s="1"/>
    </row>
    <row r="22302" spans="8:9" x14ac:dyDescent="0.2">
      <c r="H22302" s="1"/>
      <c r="I22302" s="1"/>
    </row>
    <row r="22303" spans="8:9" x14ac:dyDescent="0.2">
      <c r="H22303" s="1"/>
      <c r="I22303" s="1"/>
    </row>
    <row r="22304" spans="8:9" x14ac:dyDescent="0.2">
      <c r="H22304" s="1"/>
      <c r="I22304" s="1"/>
    </row>
    <row r="22305" spans="8:9" x14ac:dyDescent="0.2">
      <c r="H22305" s="1"/>
      <c r="I22305" s="1"/>
    </row>
    <row r="22306" spans="8:9" x14ac:dyDescent="0.2">
      <c r="H22306" s="1"/>
      <c r="I22306" s="1"/>
    </row>
    <row r="22307" spans="8:9" x14ac:dyDescent="0.2">
      <c r="H22307" s="1"/>
      <c r="I22307" s="1"/>
    </row>
    <row r="22308" spans="8:9" x14ac:dyDescent="0.2">
      <c r="H22308" s="1"/>
      <c r="I22308" s="1"/>
    </row>
    <row r="22309" spans="8:9" x14ac:dyDescent="0.2">
      <c r="H22309" s="1"/>
      <c r="I22309" s="1"/>
    </row>
    <row r="22310" spans="8:9" x14ac:dyDescent="0.2">
      <c r="H22310" s="1"/>
      <c r="I22310" s="1"/>
    </row>
    <row r="22311" spans="8:9" x14ac:dyDescent="0.2">
      <c r="H22311" s="1"/>
      <c r="I22311" s="1"/>
    </row>
    <row r="22312" spans="8:9" x14ac:dyDescent="0.2">
      <c r="H22312" s="1"/>
      <c r="I22312" s="1"/>
    </row>
    <row r="22313" spans="8:9" x14ac:dyDescent="0.2">
      <c r="H22313" s="1"/>
      <c r="I22313" s="1"/>
    </row>
    <row r="22314" spans="8:9" x14ac:dyDescent="0.2">
      <c r="H22314" s="1"/>
      <c r="I22314" s="1"/>
    </row>
    <row r="22315" spans="8:9" x14ac:dyDescent="0.2">
      <c r="H22315" s="1"/>
      <c r="I22315" s="1"/>
    </row>
    <row r="22316" spans="8:9" x14ac:dyDescent="0.2">
      <c r="H22316" s="1"/>
      <c r="I22316" s="1"/>
    </row>
    <row r="22317" spans="8:9" x14ac:dyDescent="0.2">
      <c r="H22317" s="1"/>
      <c r="I22317" s="1"/>
    </row>
    <row r="22318" spans="8:9" x14ac:dyDescent="0.2">
      <c r="H22318" s="1"/>
      <c r="I22318" s="1"/>
    </row>
    <row r="22319" spans="8:9" x14ac:dyDescent="0.2">
      <c r="H22319" s="1"/>
      <c r="I22319" s="1"/>
    </row>
    <row r="22320" spans="8:9" x14ac:dyDescent="0.2">
      <c r="H22320" s="1"/>
      <c r="I22320" s="1"/>
    </row>
    <row r="22321" spans="8:9" x14ac:dyDescent="0.2">
      <c r="H22321" s="1"/>
      <c r="I22321" s="1"/>
    </row>
    <row r="22322" spans="8:9" x14ac:dyDescent="0.2">
      <c r="H22322" s="1"/>
      <c r="I22322" s="1"/>
    </row>
    <row r="22323" spans="8:9" x14ac:dyDescent="0.2">
      <c r="H22323" s="1"/>
      <c r="I22323" s="1"/>
    </row>
    <row r="22324" spans="8:9" x14ac:dyDescent="0.2">
      <c r="H22324" s="1"/>
      <c r="I22324" s="1"/>
    </row>
    <row r="22325" spans="8:9" x14ac:dyDescent="0.2">
      <c r="H22325" s="1"/>
      <c r="I22325" s="1"/>
    </row>
    <row r="22326" spans="8:9" x14ac:dyDescent="0.2">
      <c r="H22326" s="1"/>
      <c r="I22326" s="1"/>
    </row>
    <row r="22327" spans="8:9" x14ac:dyDescent="0.2">
      <c r="H22327" s="1"/>
      <c r="I22327" s="1"/>
    </row>
    <row r="22328" spans="8:9" x14ac:dyDescent="0.2">
      <c r="H22328" s="1"/>
      <c r="I22328" s="1"/>
    </row>
    <row r="22329" spans="8:9" x14ac:dyDescent="0.2">
      <c r="H22329" s="1"/>
      <c r="I22329" s="1"/>
    </row>
    <row r="22330" spans="8:9" x14ac:dyDescent="0.2">
      <c r="H22330" s="1"/>
      <c r="I22330" s="1"/>
    </row>
    <row r="22331" spans="8:9" x14ac:dyDescent="0.2">
      <c r="H22331" s="1"/>
      <c r="I22331" s="1"/>
    </row>
    <row r="22332" spans="8:9" x14ac:dyDescent="0.2">
      <c r="H22332" s="1"/>
      <c r="I22332" s="1"/>
    </row>
    <row r="22333" spans="8:9" x14ac:dyDescent="0.2">
      <c r="H22333" s="1"/>
      <c r="I22333" s="1"/>
    </row>
    <row r="22334" spans="8:9" x14ac:dyDescent="0.2">
      <c r="H22334" s="1"/>
      <c r="I22334" s="1"/>
    </row>
    <row r="22335" spans="8:9" x14ac:dyDescent="0.2">
      <c r="H22335" s="1"/>
      <c r="I22335" s="1"/>
    </row>
    <row r="22336" spans="8:9" x14ac:dyDescent="0.2">
      <c r="H22336" s="1"/>
      <c r="I22336" s="1"/>
    </row>
    <row r="22337" spans="8:9" x14ac:dyDescent="0.2">
      <c r="H22337" s="1"/>
      <c r="I22337" s="1"/>
    </row>
    <row r="22338" spans="8:9" x14ac:dyDescent="0.2">
      <c r="H22338" s="1"/>
      <c r="I22338" s="1"/>
    </row>
    <row r="22339" spans="8:9" x14ac:dyDescent="0.2">
      <c r="H22339" s="1"/>
      <c r="I22339" s="1"/>
    </row>
    <row r="22340" spans="8:9" x14ac:dyDescent="0.2">
      <c r="H22340" s="1"/>
      <c r="I22340" s="1"/>
    </row>
    <row r="22341" spans="8:9" x14ac:dyDescent="0.2">
      <c r="H22341" s="1"/>
      <c r="I22341" s="1"/>
    </row>
    <row r="22342" spans="8:9" x14ac:dyDescent="0.2">
      <c r="H22342" s="1"/>
      <c r="I22342" s="1"/>
    </row>
    <row r="22343" spans="8:9" x14ac:dyDescent="0.2">
      <c r="H22343" s="1"/>
      <c r="I22343" s="1"/>
    </row>
    <row r="22344" spans="8:9" x14ac:dyDescent="0.2">
      <c r="H22344" s="1"/>
      <c r="I22344" s="1"/>
    </row>
    <row r="22345" spans="8:9" x14ac:dyDescent="0.2">
      <c r="H22345" s="1"/>
      <c r="I22345" s="1"/>
    </row>
    <row r="22346" spans="8:9" x14ac:dyDescent="0.2">
      <c r="H22346" s="1"/>
      <c r="I22346" s="1"/>
    </row>
    <row r="22347" spans="8:9" x14ac:dyDescent="0.2">
      <c r="H22347" s="1"/>
      <c r="I22347" s="1"/>
    </row>
    <row r="22348" spans="8:9" x14ac:dyDescent="0.2">
      <c r="H22348" s="1"/>
      <c r="I22348" s="1"/>
    </row>
    <row r="22349" spans="8:9" x14ac:dyDescent="0.2">
      <c r="H22349" s="1"/>
      <c r="I22349" s="1"/>
    </row>
    <row r="22350" spans="8:9" x14ac:dyDescent="0.2">
      <c r="H22350" s="1"/>
      <c r="I22350" s="1"/>
    </row>
    <row r="22351" spans="8:9" x14ac:dyDescent="0.2">
      <c r="H22351" s="1"/>
      <c r="I22351" s="1"/>
    </row>
    <row r="22352" spans="8:9" x14ac:dyDescent="0.2">
      <c r="H22352" s="1"/>
      <c r="I22352" s="1"/>
    </row>
    <row r="22353" spans="8:9" x14ac:dyDescent="0.2">
      <c r="H22353" s="1"/>
      <c r="I22353" s="1"/>
    </row>
    <row r="22354" spans="8:9" x14ac:dyDescent="0.2">
      <c r="H22354" s="1"/>
      <c r="I22354" s="1"/>
    </row>
    <row r="22355" spans="8:9" x14ac:dyDescent="0.2">
      <c r="H22355" s="1"/>
      <c r="I22355" s="1"/>
    </row>
    <row r="22356" spans="8:9" x14ac:dyDescent="0.2">
      <c r="H22356" s="1"/>
      <c r="I22356" s="1"/>
    </row>
    <row r="22357" spans="8:9" x14ac:dyDescent="0.2">
      <c r="H22357" s="1"/>
      <c r="I22357" s="1"/>
    </row>
    <row r="22358" spans="8:9" x14ac:dyDescent="0.2">
      <c r="H22358" s="1"/>
      <c r="I22358" s="1"/>
    </row>
    <row r="22359" spans="8:9" x14ac:dyDescent="0.2">
      <c r="H22359" s="1"/>
      <c r="I22359" s="1"/>
    </row>
    <row r="22360" spans="8:9" x14ac:dyDescent="0.2">
      <c r="H22360" s="1"/>
      <c r="I22360" s="1"/>
    </row>
    <row r="22361" spans="8:9" x14ac:dyDescent="0.2">
      <c r="H22361" s="1"/>
      <c r="I22361" s="1"/>
    </row>
    <row r="22362" spans="8:9" x14ac:dyDescent="0.2">
      <c r="H22362" s="1"/>
      <c r="I22362" s="1"/>
    </row>
    <row r="22363" spans="8:9" x14ac:dyDescent="0.2">
      <c r="H22363" s="1"/>
      <c r="I22363" s="1"/>
    </row>
    <row r="22364" spans="8:9" x14ac:dyDescent="0.2">
      <c r="H22364" s="1"/>
      <c r="I22364" s="1"/>
    </row>
    <row r="22365" spans="8:9" x14ac:dyDescent="0.2">
      <c r="H22365" s="1"/>
      <c r="I22365" s="1"/>
    </row>
    <row r="22366" spans="8:9" x14ac:dyDescent="0.2">
      <c r="H22366" s="1"/>
      <c r="I22366" s="1"/>
    </row>
    <row r="22367" spans="8:9" x14ac:dyDescent="0.2">
      <c r="H22367" s="1"/>
      <c r="I22367" s="1"/>
    </row>
    <row r="22368" spans="8:9" x14ac:dyDescent="0.2">
      <c r="H22368" s="1"/>
      <c r="I22368" s="1"/>
    </row>
    <row r="22369" spans="8:9" x14ac:dyDescent="0.2">
      <c r="H22369" s="1"/>
      <c r="I22369" s="1"/>
    </row>
    <row r="22370" spans="8:9" x14ac:dyDescent="0.2">
      <c r="H22370" s="1"/>
      <c r="I22370" s="1"/>
    </row>
    <row r="22371" spans="8:9" x14ac:dyDescent="0.2">
      <c r="H22371" s="1"/>
      <c r="I22371" s="1"/>
    </row>
    <row r="22372" spans="8:9" x14ac:dyDescent="0.2">
      <c r="H22372" s="1"/>
      <c r="I22372" s="1"/>
    </row>
    <row r="22373" spans="8:9" x14ac:dyDescent="0.2">
      <c r="H22373" s="1"/>
      <c r="I22373" s="1"/>
    </row>
    <row r="22374" spans="8:9" x14ac:dyDescent="0.2">
      <c r="H22374" s="1"/>
      <c r="I22374" s="1"/>
    </row>
    <row r="22375" spans="8:9" x14ac:dyDescent="0.2">
      <c r="H22375" s="1"/>
      <c r="I22375" s="1"/>
    </row>
    <row r="22376" spans="8:9" x14ac:dyDescent="0.2">
      <c r="H22376" s="1"/>
      <c r="I22376" s="1"/>
    </row>
    <row r="22377" spans="8:9" x14ac:dyDescent="0.2">
      <c r="H22377" s="1"/>
      <c r="I22377" s="1"/>
    </row>
    <row r="22378" spans="8:9" x14ac:dyDescent="0.2">
      <c r="H22378" s="1"/>
      <c r="I22378" s="1"/>
    </row>
    <row r="22379" spans="8:9" x14ac:dyDescent="0.2">
      <c r="H22379" s="1"/>
      <c r="I22379" s="1"/>
    </row>
    <row r="22380" spans="8:9" x14ac:dyDescent="0.2">
      <c r="H22380" s="1"/>
      <c r="I22380" s="1"/>
    </row>
    <row r="22381" spans="8:9" x14ac:dyDescent="0.2">
      <c r="H22381" s="1"/>
      <c r="I22381" s="1"/>
    </row>
    <row r="22382" spans="8:9" x14ac:dyDescent="0.2">
      <c r="H22382" s="1"/>
      <c r="I22382" s="1"/>
    </row>
    <row r="22383" spans="8:9" x14ac:dyDescent="0.2">
      <c r="H22383" s="1"/>
      <c r="I22383" s="1"/>
    </row>
    <row r="22384" spans="8:9" x14ac:dyDescent="0.2">
      <c r="H22384" s="1"/>
      <c r="I22384" s="1"/>
    </row>
    <row r="22385" spans="8:9" x14ac:dyDescent="0.2">
      <c r="H22385" s="1"/>
      <c r="I22385" s="1"/>
    </row>
    <row r="22386" spans="8:9" x14ac:dyDescent="0.2">
      <c r="H22386" s="1"/>
      <c r="I22386" s="1"/>
    </row>
    <row r="22387" spans="8:9" x14ac:dyDescent="0.2">
      <c r="H22387" s="1"/>
      <c r="I22387" s="1"/>
    </row>
    <row r="22388" spans="8:9" x14ac:dyDescent="0.2">
      <c r="H22388" s="1"/>
      <c r="I22388" s="1"/>
    </row>
    <row r="22389" spans="8:9" x14ac:dyDescent="0.2">
      <c r="H22389" s="1"/>
      <c r="I22389" s="1"/>
    </row>
    <row r="22390" spans="8:9" x14ac:dyDescent="0.2">
      <c r="H22390" s="1"/>
      <c r="I22390" s="1"/>
    </row>
    <row r="22391" spans="8:9" x14ac:dyDescent="0.2">
      <c r="H22391" s="1"/>
      <c r="I22391" s="1"/>
    </row>
    <row r="22392" spans="8:9" x14ac:dyDescent="0.2">
      <c r="H22392" s="1"/>
      <c r="I22392" s="1"/>
    </row>
    <row r="22393" spans="8:9" x14ac:dyDescent="0.2">
      <c r="H22393" s="1"/>
      <c r="I22393" s="1"/>
    </row>
    <row r="22394" spans="8:9" x14ac:dyDescent="0.2">
      <c r="H22394" s="1"/>
      <c r="I22394" s="1"/>
    </row>
    <row r="22395" spans="8:9" x14ac:dyDescent="0.2">
      <c r="H22395" s="1"/>
      <c r="I22395" s="1"/>
    </row>
    <row r="22396" spans="8:9" x14ac:dyDescent="0.2">
      <c r="H22396" s="1"/>
      <c r="I22396" s="1"/>
    </row>
    <row r="22397" spans="8:9" x14ac:dyDescent="0.2">
      <c r="H22397" s="1"/>
      <c r="I22397" s="1"/>
    </row>
    <row r="22398" spans="8:9" x14ac:dyDescent="0.2">
      <c r="H22398" s="1"/>
      <c r="I22398" s="1"/>
    </row>
    <row r="22399" spans="8:9" x14ac:dyDescent="0.2">
      <c r="H22399" s="1"/>
      <c r="I22399" s="1"/>
    </row>
    <row r="22400" spans="8:9" x14ac:dyDescent="0.2">
      <c r="H22400" s="1"/>
      <c r="I22400" s="1"/>
    </row>
    <row r="22401" spans="8:9" x14ac:dyDescent="0.2">
      <c r="H22401" s="1"/>
      <c r="I22401" s="1"/>
    </row>
    <row r="22402" spans="8:9" x14ac:dyDescent="0.2">
      <c r="H22402" s="1"/>
      <c r="I22402" s="1"/>
    </row>
    <row r="22403" spans="8:9" x14ac:dyDescent="0.2">
      <c r="H22403" s="1"/>
      <c r="I22403" s="1"/>
    </row>
    <row r="22404" spans="8:9" x14ac:dyDescent="0.2">
      <c r="H22404" s="1"/>
      <c r="I22404" s="1"/>
    </row>
    <row r="22405" spans="8:9" x14ac:dyDescent="0.2">
      <c r="H22405" s="1"/>
      <c r="I22405" s="1"/>
    </row>
    <row r="22406" spans="8:9" x14ac:dyDescent="0.2">
      <c r="H22406" s="1"/>
      <c r="I22406" s="1"/>
    </row>
    <row r="22407" spans="8:9" x14ac:dyDescent="0.2">
      <c r="H22407" s="1"/>
      <c r="I22407" s="1"/>
    </row>
    <row r="22408" spans="8:9" x14ac:dyDescent="0.2">
      <c r="H22408" s="1"/>
      <c r="I22408" s="1"/>
    </row>
    <row r="22409" spans="8:9" x14ac:dyDescent="0.2">
      <c r="H22409" s="1"/>
      <c r="I22409" s="1"/>
    </row>
    <row r="22410" spans="8:9" x14ac:dyDescent="0.2">
      <c r="H22410" s="1"/>
      <c r="I22410" s="1"/>
    </row>
    <row r="22411" spans="8:9" x14ac:dyDescent="0.2">
      <c r="H22411" s="1"/>
      <c r="I22411" s="1"/>
    </row>
    <row r="22412" spans="8:9" x14ac:dyDescent="0.2">
      <c r="H22412" s="1"/>
      <c r="I22412" s="1"/>
    </row>
    <row r="22413" spans="8:9" x14ac:dyDescent="0.2">
      <c r="H22413" s="1"/>
      <c r="I22413" s="1"/>
    </row>
    <row r="22414" spans="8:9" x14ac:dyDescent="0.2">
      <c r="H22414" s="1"/>
      <c r="I22414" s="1"/>
    </row>
    <row r="22415" spans="8:9" x14ac:dyDescent="0.2">
      <c r="H22415" s="1"/>
      <c r="I22415" s="1"/>
    </row>
    <row r="22416" spans="8:9" x14ac:dyDescent="0.2">
      <c r="H22416" s="1"/>
      <c r="I22416" s="1"/>
    </row>
    <row r="22417" spans="8:9" x14ac:dyDescent="0.2">
      <c r="H22417" s="1"/>
      <c r="I22417" s="1"/>
    </row>
    <row r="22418" spans="8:9" x14ac:dyDescent="0.2">
      <c r="H22418" s="1"/>
      <c r="I22418" s="1"/>
    </row>
    <row r="22419" spans="8:9" x14ac:dyDescent="0.2">
      <c r="H22419" s="1"/>
      <c r="I22419" s="1"/>
    </row>
    <row r="22420" spans="8:9" x14ac:dyDescent="0.2">
      <c r="H22420" s="1"/>
      <c r="I22420" s="1"/>
    </row>
    <row r="22421" spans="8:9" x14ac:dyDescent="0.2">
      <c r="H22421" s="1"/>
      <c r="I22421" s="1"/>
    </row>
    <row r="22422" spans="8:9" x14ac:dyDescent="0.2">
      <c r="H22422" s="1"/>
      <c r="I22422" s="1"/>
    </row>
    <row r="22423" spans="8:9" x14ac:dyDescent="0.2">
      <c r="H22423" s="1"/>
      <c r="I22423" s="1"/>
    </row>
    <row r="22424" spans="8:9" x14ac:dyDescent="0.2">
      <c r="H22424" s="1"/>
      <c r="I22424" s="1"/>
    </row>
    <row r="22425" spans="8:9" x14ac:dyDescent="0.2">
      <c r="H22425" s="1"/>
      <c r="I22425" s="1"/>
    </row>
    <row r="22426" spans="8:9" x14ac:dyDescent="0.2">
      <c r="H22426" s="1"/>
      <c r="I22426" s="1"/>
    </row>
    <row r="22427" spans="8:9" x14ac:dyDescent="0.2">
      <c r="H22427" s="1"/>
      <c r="I22427" s="1"/>
    </row>
    <row r="22428" spans="8:9" x14ac:dyDescent="0.2">
      <c r="H22428" s="1"/>
      <c r="I22428" s="1"/>
    </row>
    <row r="22429" spans="8:9" x14ac:dyDescent="0.2">
      <c r="H22429" s="1"/>
      <c r="I22429" s="1"/>
    </row>
    <row r="22430" spans="8:9" x14ac:dyDescent="0.2">
      <c r="H22430" s="1"/>
      <c r="I22430" s="1"/>
    </row>
    <row r="22431" spans="8:9" x14ac:dyDescent="0.2">
      <c r="H22431" s="1"/>
      <c r="I22431" s="1"/>
    </row>
    <row r="22432" spans="8:9" x14ac:dyDescent="0.2">
      <c r="H22432" s="1"/>
      <c r="I22432" s="1"/>
    </row>
    <row r="22433" spans="8:9" x14ac:dyDescent="0.2">
      <c r="H22433" s="1"/>
      <c r="I22433" s="1"/>
    </row>
    <row r="22434" spans="8:9" x14ac:dyDescent="0.2">
      <c r="H22434" s="1"/>
      <c r="I22434" s="1"/>
    </row>
    <row r="22435" spans="8:9" x14ac:dyDescent="0.2">
      <c r="H22435" s="1"/>
      <c r="I22435" s="1"/>
    </row>
    <row r="22436" spans="8:9" x14ac:dyDescent="0.2">
      <c r="H22436" s="1"/>
      <c r="I22436" s="1"/>
    </row>
    <row r="22437" spans="8:9" x14ac:dyDescent="0.2">
      <c r="H22437" s="1"/>
      <c r="I22437" s="1"/>
    </row>
    <row r="22438" spans="8:9" x14ac:dyDescent="0.2">
      <c r="H22438" s="1"/>
      <c r="I22438" s="1"/>
    </row>
    <row r="22439" spans="8:9" x14ac:dyDescent="0.2">
      <c r="H22439" s="1"/>
      <c r="I22439" s="1"/>
    </row>
    <row r="22440" spans="8:9" x14ac:dyDescent="0.2">
      <c r="H22440" s="1"/>
      <c r="I22440" s="1"/>
    </row>
    <row r="22441" spans="8:9" x14ac:dyDescent="0.2">
      <c r="H22441" s="1"/>
      <c r="I22441" s="1"/>
    </row>
    <row r="22442" spans="8:9" x14ac:dyDescent="0.2">
      <c r="H22442" s="1"/>
      <c r="I22442" s="1"/>
    </row>
    <row r="22443" spans="8:9" x14ac:dyDescent="0.2">
      <c r="H22443" s="1"/>
      <c r="I22443" s="1"/>
    </row>
    <row r="22444" spans="8:9" x14ac:dyDescent="0.2">
      <c r="H22444" s="1"/>
      <c r="I22444" s="1"/>
    </row>
    <row r="22445" spans="8:9" x14ac:dyDescent="0.2">
      <c r="H22445" s="1"/>
      <c r="I22445" s="1"/>
    </row>
    <row r="22446" spans="8:9" x14ac:dyDescent="0.2">
      <c r="H22446" s="1"/>
      <c r="I22446" s="1"/>
    </row>
    <row r="22447" spans="8:9" x14ac:dyDescent="0.2">
      <c r="H22447" s="1"/>
      <c r="I22447" s="1"/>
    </row>
    <row r="22448" spans="8:9" x14ac:dyDescent="0.2">
      <c r="H22448" s="1"/>
      <c r="I22448" s="1"/>
    </row>
    <row r="22449" spans="8:9" x14ac:dyDescent="0.2">
      <c r="H22449" s="1"/>
      <c r="I22449" s="1"/>
    </row>
    <row r="22450" spans="8:9" x14ac:dyDescent="0.2">
      <c r="H22450" s="1"/>
      <c r="I22450" s="1"/>
    </row>
    <row r="22451" spans="8:9" x14ac:dyDescent="0.2">
      <c r="H22451" s="1"/>
      <c r="I22451" s="1"/>
    </row>
    <row r="22452" spans="8:9" x14ac:dyDescent="0.2">
      <c r="H22452" s="1"/>
      <c r="I22452" s="1"/>
    </row>
    <row r="22453" spans="8:9" x14ac:dyDescent="0.2">
      <c r="H22453" s="1"/>
      <c r="I22453" s="1"/>
    </row>
    <row r="22454" spans="8:9" x14ac:dyDescent="0.2">
      <c r="H22454" s="1"/>
      <c r="I22454" s="1"/>
    </row>
    <row r="22455" spans="8:9" x14ac:dyDescent="0.2">
      <c r="H22455" s="1"/>
      <c r="I22455" s="1"/>
    </row>
    <row r="22456" spans="8:9" x14ac:dyDescent="0.2">
      <c r="H22456" s="1"/>
      <c r="I22456" s="1"/>
    </row>
    <row r="22457" spans="8:9" x14ac:dyDescent="0.2">
      <c r="H22457" s="1"/>
      <c r="I22457" s="1"/>
    </row>
    <row r="22458" spans="8:9" x14ac:dyDescent="0.2">
      <c r="H22458" s="1"/>
      <c r="I22458" s="1"/>
    </row>
    <row r="22459" spans="8:9" x14ac:dyDescent="0.2">
      <c r="H22459" s="1"/>
      <c r="I22459" s="1"/>
    </row>
    <row r="22460" spans="8:9" x14ac:dyDescent="0.2">
      <c r="H22460" s="1"/>
      <c r="I22460" s="1"/>
    </row>
    <row r="22461" spans="8:9" x14ac:dyDescent="0.2">
      <c r="H22461" s="1"/>
      <c r="I22461" s="1"/>
    </row>
    <row r="22462" spans="8:9" x14ac:dyDescent="0.2">
      <c r="H22462" s="1"/>
      <c r="I22462" s="1"/>
    </row>
    <row r="22463" spans="8:9" x14ac:dyDescent="0.2">
      <c r="H22463" s="1"/>
      <c r="I22463" s="1"/>
    </row>
    <row r="22464" spans="8:9" x14ac:dyDescent="0.2">
      <c r="H22464" s="1"/>
      <c r="I22464" s="1"/>
    </row>
    <row r="22465" spans="8:9" x14ac:dyDescent="0.2">
      <c r="H22465" s="1"/>
      <c r="I22465" s="1"/>
    </row>
    <row r="22466" spans="8:9" x14ac:dyDescent="0.2">
      <c r="H22466" s="1"/>
      <c r="I22466" s="1"/>
    </row>
    <row r="22467" spans="8:9" x14ac:dyDescent="0.2">
      <c r="H22467" s="1"/>
      <c r="I22467" s="1"/>
    </row>
    <row r="22468" spans="8:9" x14ac:dyDescent="0.2">
      <c r="H22468" s="1"/>
      <c r="I22468" s="1"/>
    </row>
    <row r="22469" spans="8:9" x14ac:dyDescent="0.2">
      <c r="H22469" s="1"/>
      <c r="I22469" s="1"/>
    </row>
    <row r="22470" spans="8:9" x14ac:dyDescent="0.2">
      <c r="H22470" s="1"/>
      <c r="I22470" s="1"/>
    </row>
    <row r="22471" spans="8:9" x14ac:dyDescent="0.2">
      <c r="H22471" s="1"/>
      <c r="I22471" s="1"/>
    </row>
    <row r="22472" spans="8:9" x14ac:dyDescent="0.2">
      <c r="H22472" s="1"/>
      <c r="I22472" s="1"/>
    </row>
    <row r="22473" spans="8:9" x14ac:dyDescent="0.2">
      <c r="H22473" s="1"/>
      <c r="I22473" s="1"/>
    </row>
    <row r="22474" spans="8:9" x14ac:dyDescent="0.2">
      <c r="H22474" s="1"/>
      <c r="I22474" s="1"/>
    </row>
    <row r="22475" spans="8:9" x14ac:dyDescent="0.2">
      <c r="H22475" s="1"/>
      <c r="I22475" s="1"/>
    </row>
    <row r="22476" spans="8:9" x14ac:dyDescent="0.2">
      <c r="H22476" s="1"/>
      <c r="I22476" s="1"/>
    </row>
    <row r="22477" spans="8:9" x14ac:dyDescent="0.2">
      <c r="H22477" s="1"/>
      <c r="I22477" s="1"/>
    </row>
    <row r="22478" spans="8:9" x14ac:dyDescent="0.2">
      <c r="H22478" s="1"/>
      <c r="I22478" s="1"/>
    </row>
    <row r="22479" spans="8:9" x14ac:dyDescent="0.2">
      <c r="H22479" s="1"/>
      <c r="I22479" s="1"/>
    </row>
    <row r="22480" spans="8:9" x14ac:dyDescent="0.2">
      <c r="H22480" s="1"/>
      <c r="I22480" s="1"/>
    </row>
    <row r="22481" spans="8:9" x14ac:dyDescent="0.2">
      <c r="H22481" s="1"/>
      <c r="I22481" s="1"/>
    </row>
    <row r="22482" spans="8:9" x14ac:dyDescent="0.2">
      <c r="H22482" s="1"/>
      <c r="I22482" s="1"/>
    </row>
    <row r="22483" spans="8:9" x14ac:dyDescent="0.2">
      <c r="H22483" s="1"/>
      <c r="I22483" s="1"/>
    </row>
    <row r="22484" spans="8:9" x14ac:dyDescent="0.2">
      <c r="H22484" s="1"/>
      <c r="I22484" s="1"/>
    </row>
    <row r="22485" spans="8:9" x14ac:dyDescent="0.2">
      <c r="H22485" s="1"/>
      <c r="I22485" s="1"/>
    </row>
    <row r="22486" spans="8:9" x14ac:dyDescent="0.2">
      <c r="H22486" s="1"/>
      <c r="I22486" s="1"/>
    </row>
    <row r="22487" spans="8:9" x14ac:dyDescent="0.2">
      <c r="H22487" s="1"/>
      <c r="I22487" s="1"/>
    </row>
    <row r="22488" spans="8:9" x14ac:dyDescent="0.2">
      <c r="H22488" s="1"/>
      <c r="I22488" s="1"/>
    </row>
    <row r="22489" spans="8:9" x14ac:dyDescent="0.2">
      <c r="H22489" s="1"/>
      <c r="I22489" s="1"/>
    </row>
    <row r="22490" spans="8:9" x14ac:dyDescent="0.2">
      <c r="H22490" s="1"/>
      <c r="I22490" s="1"/>
    </row>
    <row r="22491" spans="8:9" x14ac:dyDescent="0.2">
      <c r="H22491" s="1"/>
      <c r="I22491" s="1"/>
    </row>
    <row r="22492" spans="8:9" x14ac:dyDescent="0.2">
      <c r="H22492" s="1"/>
      <c r="I22492" s="1"/>
    </row>
    <row r="22493" spans="8:9" x14ac:dyDescent="0.2">
      <c r="H22493" s="1"/>
      <c r="I22493" s="1"/>
    </row>
    <row r="22494" spans="8:9" x14ac:dyDescent="0.2">
      <c r="H22494" s="1"/>
      <c r="I22494" s="1"/>
    </row>
    <row r="22495" spans="8:9" x14ac:dyDescent="0.2">
      <c r="H22495" s="1"/>
      <c r="I22495" s="1"/>
    </row>
    <row r="22496" spans="8:9" x14ac:dyDescent="0.2">
      <c r="H22496" s="1"/>
      <c r="I22496" s="1"/>
    </row>
    <row r="22497" spans="8:9" x14ac:dyDescent="0.2">
      <c r="H22497" s="1"/>
      <c r="I22497" s="1"/>
    </row>
    <row r="22498" spans="8:9" x14ac:dyDescent="0.2">
      <c r="H22498" s="1"/>
      <c r="I22498" s="1"/>
    </row>
    <row r="22499" spans="8:9" x14ac:dyDescent="0.2">
      <c r="H22499" s="1"/>
      <c r="I22499" s="1"/>
    </row>
    <row r="22500" spans="8:9" x14ac:dyDescent="0.2">
      <c r="H22500" s="1"/>
      <c r="I22500" s="1"/>
    </row>
    <row r="22501" spans="8:9" x14ac:dyDescent="0.2">
      <c r="H22501" s="1"/>
      <c r="I22501" s="1"/>
    </row>
    <row r="22502" spans="8:9" x14ac:dyDescent="0.2">
      <c r="H22502" s="1"/>
      <c r="I22502" s="1"/>
    </row>
    <row r="22503" spans="8:9" x14ac:dyDescent="0.2">
      <c r="H22503" s="1"/>
      <c r="I22503" s="1"/>
    </row>
    <row r="22504" spans="8:9" x14ac:dyDescent="0.2">
      <c r="H22504" s="1"/>
      <c r="I22504" s="1"/>
    </row>
    <row r="22505" spans="8:9" x14ac:dyDescent="0.2">
      <c r="H22505" s="1"/>
      <c r="I22505" s="1"/>
    </row>
    <row r="22506" spans="8:9" x14ac:dyDescent="0.2">
      <c r="H22506" s="1"/>
      <c r="I22506" s="1"/>
    </row>
    <row r="22507" spans="8:9" x14ac:dyDescent="0.2">
      <c r="H22507" s="1"/>
      <c r="I22507" s="1"/>
    </row>
    <row r="22508" spans="8:9" x14ac:dyDescent="0.2">
      <c r="H22508" s="1"/>
      <c r="I22508" s="1"/>
    </row>
    <row r="22509" spans="8:9" x14ac:dyDescent="0.2">
      <c r="H22509" s="1"/>
      <c r="I22509" s="1"/>
    </row>
    <row r="22510" spans="8:9" x14ac:dyDescent="0.2">
      <c r="H22510" s="1"/>
      <c r="I22510" s="1"/>
    </row>
    <row r="22511" spans="8:9" x14ac:dyDescent="0.2">
      <c r="H22511" s="1"/>
      <c r="I22511" s="1"/>
    </row>
    <row r="22512" spans="8:9" x14ac:dyDescent="0.2">
      <c r="H22512" s="1"/>
      <c r="I22512" s="1"/>
    </row>
    <row r="22513" spans="8:9" x14ac:dyDescent="0.2">
      <c r="H22513" s="1"/>
      <c r="I22513" s="1"/>
    </row>
    <row r="22514" spans="8:9" x14ac:dyDescent="0.2">
      <c r="H22514" s="1"/>
      <c r="I22514" s="1"/>
    </row>
    <row r="22515" spans="8:9" x14ac:dyDescent="0.2">
      <c r="H22515" s="1"/>
      <c r="I22515" s="1"/>
    </row>
    <row r="22516" spans="8:9" x14ac:dyDescent="0.2">
      <c r="H22516" s="1"/>
      <c r="I22516" s="1"/>
    </row>
    <row r="22517" spans="8:9" x14ac:dyDescent="0.2">
      <c r="H22517" s="1"/>
      <c r="I22517" s="1"/>
    </row>
    <row r="22518" spans="8:9" x14ac:dyDescent="0.2">
      <c r="H22518" s="1"/>
      <c r="I22518" s="1"/>
    </row>
    <row r="22519" spans="8:9" x14ac:dyDescent="0.2">
      <c r="H22519" s="1"/>
      <c r="I22519" s="1"/>
    </row>
    <row r="22520" spans="8:9" x14ac:dyDescent="0.2">
      <c r="H22520" s="1"/>
      <c r="I22520" s="1"/>
    </row>
    <row r="22521" spans="8:9" x14ac:dyDescent="0.2">
      <c r="H22521" s="1"/>
      <c r="I22521" s="1"/>
    </row>
    <row r="22522" spans="8:9" x14ac:dyDescent="0.2">
      <c r="H22522" s="1"/>
      <c r="I22522" s="1"/>
    </row>
    <row r="22523" spans="8:9" x14ac:dyDescent="0.2">
      <c r="H22523" s="1"/>
      <c r="I22523" s="1"/>
    </row>
    <row r="22524" spans="8:9" x14ac:dyDescent="0.2">
      <c r="H22524" s="1"/>
      <c r="I22524" s="1"/>
    </row>
    <row r="22525" spans="8:9" x14ac:dyDescent="0.2">
      <c r="H22525" s="1"/>
      <c r="I22525" s="1"/>
    </row>
    <row r="22526" spans="8:9" x14ac:dyDescent="0.2">
      <c r="H22526" s="1"/>
      <c r="I22526" s="1"/>
    </row>
    <row r="22527" spans="8:9" x14ac:dyDescent="0.2">
      <c r="H22527" s="1"/>
      <c r="I22527" s="1"/>
    </row>
    <row r="22528" spans="8:9" x14ac:dyDescent="0.2">
      <c r="H22528" s="1"/>
      <c r="I22528" s="1"/>
    </row>
    <row r="22529" spans="8:9" x14ac:dyDescent="0.2">
      <c r="H22529" s="1"/>
      <c r="I22529" s="1"/>
    </row>
    <row r="22530" spans="8:9" x14ac:dyDescent="0.2">
      <c r="H22530" s="1"/>
      <c r="I22530" s="1"/>
    </row>
    <row r="22531" spans="8:9" x14ac:dyDescent="0.2">
      <c r="H22531" s="1"/>
      <c r="I22531" s="1"/>
    </row>
    <row r="22532" spans="8:9" x14ac:dyDescent="0.2">
      <c r="H22532" s="1"/>
      <c r="I22532" s="1"/>
    </row>
    <row r="22533" spans="8:9" x14ac:dyDescent="0.2">
      <c r="H22533" s="1"/>
      <c r="I22533" s="1"/>
    </row>
    <row r="22534" spans="8:9" x14ac:dyDescent="0.2">
      <c r="H22534" s="1"/>
      <c r="I22534" s="1"/>
    </row>
    <row r="22535" spans="8:9" x14ac:dyDescent="0.2">
      <c r="H22535" s="1"/>
      <c r="I22535" s="1"/>
    </row>
    <row r="22536" spans="8:9" x14ac:dyDescent="0.2">
      <c r="H22536" s="1"/>
      <c r="I22536" s="1"/>
    </row>
    <row r="22537" spans="8:9" x14ac:dyDescent="0.2">
      <c r="H22537" s="1"/>
      <c r="I22537" s="1"/>
    </row>
    <row r="22538" spans="8:9" x14ac:dyDescent="0.2">
      <c r="H22538" s="1"/>
      <c r="I22538" s="1"/>
    </row>
    <row r="22539" spans="8:9" x14ac:dyDescent="0.2">
      <c r="H22539" s="1"/>
      <c r="I22539" s="1"/>
    </row>
    <row r="22540" spans="8:9" x14ac:dyDescent="0.2">
      <c r="H22540" s="1"/>
      <c r="I22540" s="1"/>
    </row>
    <row r="22541" spans="8:9" x14ac:dyDescent="0.2">
      <c r="H22541" s="1"/>
      <c r="I22541" s="1"/>
    </row>
    <row r="22542" spans="8:9" x14ac:dyDescent="0.2">
      <c r="H22542" s="1"/>
      <c r="I22542" s="1"/>
    </row>
    <row r="22543" spans="8:9" x14ac:dyDescent="0.2">
      <c r="H22543" s="1"/>
      <c r="I22543" s="1"/>
    </row>
    <row r="22544" spans="8:9" x14ac:dyDescent="0.2">
      <c r="H22544" s="1"/>
      <c r="I22544" s="1"/>
    </row>
    <row r="22545" spans="8:9" x14ac:dyDescent="0.2">
      <c r="H22545" s="1"/>
      <c r="I22545" s="1"/>
    </row>
    <row r="22546" spans="8:9" x14ac:dyDescent="0.2">
      <c r="H22546" s="1"/>
      <c r="I22546" s="1"/>
    </row>
    <row r="22547" spans="8:9" x14ac:dyDescent="0.2">
      <c r="H22547" s="1"/>
      <c r="I22547" s="1"/>
    </row>
    <row r="22548" spans="8:9" x14ac:dyDescent="0.2">
      <c r="H22548" s="1"/>
      <c r="I22548" s="1"/>
    </row>
    <row r="22549" spans="8:9" x14ac:dyDescent="0.2">
      <c r="H22549" s="1"/>
      <c r="I22549" s="1"/>
    </row>
    <row r="22550" spans="8:9" x14ac:dyDescent="0.2">
      <c r="H22550" s="1"/>
      <c r="I22550" s="1"/>
    </row>
    <row r="22551" spans="8:9" x14ac:dyDescent="0.2">
      <c r="H22551" s="1"/>
      <c r="I22551" s="1"/>
    </row>
    <row r="22552" spans="8:9" x14ac:dyDescent="0.2">
      <c r="H22552" s="1"/>
      <c r="I22552" s="1"/>
    </row>
    <row r="22553" spans="8:9" x14ac:dyDescent="0.2">
      <c r="H22553" s="1"/>
      <c r="I22553" s="1"/>
    </row>
    <row r="22554" spans="8:9" x14ac:dyDescent="0.2">
      <c r="H22554" s="1"/>
      <c r="I22554" s="1"/>
    </row>
    <row r="22555" spans="8:9" x14ac:dyDescent="0.2">
      <c r="H22555" s="1"/>
      <c r="I22555" s="1"/>
    </row>
    <row r="22556" spans="8:9" x14ac:dyDescent="0.2">
      <c r="H22556" s="1"/>
      <c r="I22556" s="1"/>
    </row>
    <row r="22557" spans="8:9" x14ac:dyDescent="0.2">
      <c r="H22557" s="1"/>
      <c r="I22557" s="1"/>
    </row>
    <row r="22558" spans="8:9" x14ac:dyDescent="0.2">
      <c r="H22558" s="1"/>
      <c r="I22558" s="1"/>
    </row>
    <row r="22559" spans="8:9" x14ac:dyDescent="0.2">
      <c r="H22559" s="1"/>
      <c r="I22559" s="1"/>
    </row>
    <row r="22560" spans="8:9" x14ac:dyDescent="0.2">
      <c r="H22560" s="1"/>
      <c r="I22560" s="1"/>
    </row>
    <row r="22561" spans="8:9" x14ac:dyDescent="0.2">
      <c r="H22561" s="1"/>
      <c r="I22561" s="1"/>
    </row>
    <row r="22562" spans="8:9" x14ac:dyDescent="0.2">
      <c r="H22562" s="1"/>
      <c r="I22562" s="1"/>
    </row>
    <row r="22563" spans="8:9" x14ac:dyDescent="0.2">
      <c r="H22563" s="1"/>
      <c r="I22563" s="1"/>
    </row>
    <row r="22564" spans="8:9" x14ac:dyDescent="0.2">
      <c r="H22564" s="1"/>
      <c r="I22564" s="1"/>
    </row>
    <row r="22565" spans="8:9" x14ac:dyDescent="0.2">
      <c r="H22565" s="1"/>
      <c r="I22565" s="1"/>
    </row>
    <row r="22566" spans="8:9" x14ac:dyDescent="0.2">
      <c r="H22566" s="1"/>
      <c r="I22566" s="1"/>
    </row>
    <row r="22567" spans="8:9" x14ac:dyDescent="0.2">
      <c r="H22567" s="1"/>
      <c r="I22567" s="1"/>
    </row>
    <row r="22568" spans="8:9" x14ac:dyDescent="0.2">
      <c r="H22568" s="1"/>
      <c r="I22568" s="1"/>
    </row>
    <row r="22569" spans="8:9" x14ac:dyDescent="0.2">
      <c r="H22569" s="1"/>
      <c r="I22569" s="1"/>
    </row>
    <row r="22570" spans="8:9" x14ac:dyDescent="0.2">
      <c r="H22570" s="1"/>
      <c r="I22570" s="1"/>
    </row>
    <row r="22571" spans="8:9" x14ac:dyDescent="0.2">
      <c r="H22571" s="1"/>
      <c r="I22571" s="1"/>
    </row>
    <row r="22572" spans="8:9" x14ac:dyDescent="0.2">
      <c r="H22572" s="1"/>
      <c r="I22572" s="1"/>
    </row>
    <row r="22573" spans="8:9" x14ac:dyDescent="0.2">
      <c r="H22573" s="1"/>
      <c r="I22573" s="1"/>
    </row>
    <row r="22574" spans="8:9" x14ac:dyDescent="0.2">
      <c r="H22574" s="1"/>
      <c r="I22574" s="1"/>
    </row>
    <row r="22575" spans="8:9" x14ac:dyDescent="0.2">
      <c r="H22575" s="1"/>
      <c r="I22575" s="1"/>
    </row>
    <row r="22576" spans="8:9" x14ac:dyDescent="0.2">
      <c r="H22576" s="1"/>
      <c r="I22576" s="1"/>
    </row>
    <row r="22577" spans="8:9" x14ac:dyDescent="0.2">
      <c r="H22577" s="1"/>
      <c r="I22577" s="1"/>
    </row>
    <row r="22578" spans="8:9" x14ac:dyDescent="0.2">
      <c r="H22578" s="1"/>
      <c r="I22578" s="1"/>
    </row>
    <row r="22579" spans="8:9" x14ac:dyDescent="0.2">
      <c r="H22579" s="1"/>
      <c r="I22579" s="1"/>
    </row>
    <row r="22580" spans="8:9" x14ac:dyDescent="0.2">
      <c r="H22580" s="1"/>
      <c r="I22580" s="1"/>
    </row>
    <row r="22581" spans="8:9" x14ac:dyDescent="0.2">
      <c r="H22581" s="1"/>
      <c r="I22581" s="1"/>
    </row>
    <row r="22582" spans="8:9" x14ac:dyDescent="0.2">
      <c r="H22582" s="1"/>
      <c r="I22582" s="1"/>
    </row>
    <row r="22583" spans="8:9" x14ac:dyDescent="0.2">
      <c r="H22583" s="1"/>
      <c r="I22583" s="1"/>
    </row>
    <row r="22584" spans="8:9" x14ac:dyDescent="0.2">
      <c r="H22584" s="1"/>
      <c r="I22584" s="1"/>
    </row>
    <row r="22585" spans="8:9" x14ac:dyDescent="0.2">
      <c r="H22585" s="1"/>
      <c r="I22585" s="1"/>
    </row>
    <row r="22586" spans="8:9" x14ac:dyDescent="0.2">
      <c r="H22586" s="1"/>
      <c r="I22586" s="1"/>
    </row>
    <row r="22587" spans="8:9" x14ac:dyDescent="0.2">
      <c r="H22587" s="1"/>
      <c r="I22587" s="1"/>
    </row>
    <row r="22588" spans="8:9" x14ac:dyDescent="0.2">
      <c r="H22588" s="1"/>
      <c r="I22588" s="1"/>
    </row>
    <row r="22589" spans="8:9" x14ac:dyDescent="0.2">
      <c r="H22589" s="1"/>
      <c r="I22589" s="1"/>
    </row>
    <row r="22590" spans="8:9" x14ac:dyDescent="0.2">
      <c r="H22590" s="1"/>
      <c r="I22590" s="1"/>
    </row>
    <row r="22591" spans="8:9" x14ac:dyDescent="0.2">
      <c r="H22591" s="1"/>
      <c r="I22591" s="1"/>
    </row>
    <row r="22592" spans="8:9" x14ac:dyDescent="0.2">
      <c r="H22592" s="1"/>
      <c r="I22592" s="1"/>
    </row>
    <row r="22593" spans="8:9" x14ac:dyDescent="0.2">
      <c r="H22593" s="1"/>
      <c r="I22593" s="1"/>
    </row>
    <row r="22594" spans="8:9" x14ac:dyDescent="0.2">
      <c r="H22594" s="1"/>
      <c r="I22594" s="1"/>
    </row>
    <row r="22595" spans="8:9" x14ac:dyDescent="0.2">
      <c r="H22595" s="1"/>
      <c r="I22595" s="1"/>
    </row>
    <row r="22596" spans="8:9" x14ac:dyDescent="0.2">
      <c r="H22596" s="1"/>
      <c r="I22596" s="1"/>
    </row>
    <row r="22597" spans="8:9" x14ac:dyDescent="0.2">
      <c r="H22597" s="1"/>
      <c r="I22597" s="1"/>
    </row>
    <row r="22598" spans="8:9" x14ac:dyDescent="0.2">
      <c r="H22598" s="1"/>
      <c r="I22598" s="1"/>
    </row>
    <row r="22599" spans="8:9" x14ac:dyDescent="0.2">
      <c r="H22599" s="1"/>
      <c r="I22599" s="1"/>
    </row>
    <row r="22600" spans="8:9" x14ac:dyDescent="0.2">
      <c r="H22600" s="1"/>
      <c r="I22600" s="1"/>
    </row>
    <row r="22601" spans="8:9" x14ac:dyDescent="0.2">
      <c r="H22601" s="1"/>
      <c r="I22601" s="1"/>
    </row>
    <row r="22602" spans="8:9" x14ac:dyDescent="0.2">
      <c r="H22602" s="1"/>
      <c r="I22602" s="1"/>
    </row>
    <row r="22603" spans="8:9" x14ac:dyDescent="0.2">
      <c r="H22603" s="1"/>
      <c r="I22603" s="1"/>
    </row>
    <row r="22604" spans="8:9" x14ac:dyDescent="0.2">
      <c r="H22604" s="1"/>
      <c r="I22604" s="1"/>
    </row>
    <row r="22605" spans="8:9" x14ac:dyDescent="0.2">
      <c r="H22605" s="1"/>
      <c r="I22605" s="1"/>
    </row>
    <row r="22606" spans="8:9" x14ac:dyDescent="0.2">
      <c r="H22606" s="1"/>
      <c r="I22606" s="1"/>
    </row>
    <row r="22607" spans="8:9" x14ac:dyDescent="0.2">
      <c r="H22607" s="1"/>
      <c r="I22607" s="1"/>
    </row>
    <row r="22608" spans="8:9" x14ac:dyDescent="0.2">
      <c r="H22608" s="1"/>
      <c r="I22608" s="1"/>
    </row>
    <row r="22609" spans="8:9" x14ac:dyDescent="0.2">
      <c r="H22609" s="1"/>
      <c r="I22609" s="1"/>
    </row>
    <row r="22610" spans="8:9" x14ac:dyDescent="0.2">
      <c r="H22610" s="1"/>
      <c r="I22610" s="1"/>
    </row>
    <row r="22611" spans="8:9" x14ac:dyDescent="0.2">
      <c r="H22611" s="1"/>
      <c r="I22611" s="1"/>
    </row>
    <row r="22612" spans="8:9" x14ac:dyDescent="0.2">
      <c r="H22612" s="1"/>
      <c r="I22612" s="1"/>
    </row>
    <row r="22613" spans="8:9" x14ac:dyDescent="0.2">
      <c r="H22613" s="1"/>
      <c r="I22613" s="1"/>
    </row>
    <row r="22614" spans="8:9" x14ac:dyDescent="0.2">
      <c r="H22614" s="1"/>
      <c r="I22614" s="1"/>
    </row>
    <row r="22615" spans="8:9" x14ac:dyDescent="0.2">
      <c r="H22615" s="1"/>
      <c r="I22615" s="1"/>
    </row>
    <row r="22616" spans="8:9" x14ac:dyDescent="0.2">
      <c r="H22616" s="1"/>
      <c r="I22616" s="1"/>
    </row>
    <row r="22617" spans="8:9" x14ac:dyDescent="0.2">
      <c r="H22617" s="1"/>
      <c r="I22617" s="1"/>
    </row>
    <row r="22618" spans="8:9" x14ac:dyDescent="0.2">
      <c r="H22618" s="1"/>
      <c r="I22618" s="1"/>
    </row>
    <row r="22619" spans="8:9" x14ac:dyDescent="0.2">
      <c r="H22619" s="1"/>
      <c r="I22619" s="1"/>
    </row>
    <row r="22620" spans="8:9" x14ac:dyDescent="0.2">
      <c r="H22620" s="1"/>
      <c r="I22620" s="1"/>
    </row>
    <row r="22621" spans="8:9" x14ac:dyDescent="0.2">
      <c r="H22621" s="1"/>
      <c r="I22621" s="1"/>
    </row>
    <row r="22622" spans="8:9" x14ac:dyDescent="0.2">
      <c r="H22622" s="1"/>
      <c r="I22622" s="1"/>
    </row>
    <row r="22623" spans="8:9" x14ac:dyDescent="0.2">
      <c r="H22623" s="1"/>
      <c r="I22623" s="1"/>
    </row>
    <row r="22624" spans="8:9" x14ac:dyDescent="0.2">
      <c r="H22624" s="1"/>
      <c r="I22624" s="1"/>
    </row>
    <row r="22625" spans="8:9" x14ac:dyDescent="0.2">
      <c r="H22625" s="1"/>
      <c r="I22625" s="1"/>
    </row>
    <row r="22626" spans="8:9" x14ac:dyDescent="0.2">
      <c r="H22626" s="1"/>
      <c r="I22626" s="1"/>
    </row>
    <row r="22627" spans="8:9" x14ac:dyDescent="0.2">
      <c r="H22627" s="1"/>
      <c r="I22627" s="1"/>
    </row>
    <row r="22628" spans="8:9" x14ac:dyDescent="0.2">
      <c r="H22628" s="1"/>
      <c r="I22628" s="1"/>
    </row>
    <row r="22629" spans="8:9" x14ac:dyDescent="0.2">
      <c r="H22629" s="1"/>
      <c r="I22629" s="1"/>
    </row>
    <row r="22630" spans="8:9" x14ac:dyDescent="0.2">
      <c r="H22630" s="1"/>
      <c r="I22630" s="1"/>
    </row>
    <row r="22631" spans="8:9" x14ac:dyDescent="0.2">
      <c r="H22631" s="1"/>
      <c r="I22631" s="1"/>
    </row>
    <row r="22632" spans="8:9" x14ac:dyDescent="0.2">
      <c r="H22632" s="1"/>
      <c r="I22632" s="1"/>
    </row>
    <row r="22633" spans="8:9" x14ac:dyDescent="0.2">
      <c r="H22633" s="1"/>
      <c r="I22633" s="1"/>
    </row>
    <row r="22634" spans="8:9" x14ac:dyDescent="0.2">
      <c r="H22634" s="1"/>
      <c r="I22634" s="1"/>
    </row>
    <row r="22635" spans="8:9" x14ac:dyDescent="0.2">
      <c r="H22635" s="1"/>
      <c r="I22635" s="1"/>
    </row>
    <row r="22636" spans="8:9" x14ac:dyDescent="0.2">
      <c r="H22636" s="1"/>
      <c r="I22636" s="1"/>
    </row>
    <row r="22637" spans="8:9" x14ac:dyDescent="0.2">
      <c r="H22637" s="1"/>
      <c r="I22637" s="1"/>
    </row>
    <row r="22638" spans="8:9" x14ac:dyDescent="0.2">
      <c r="H22638" s="1"/>
      <c r="I22638" s="1"/>
    </row>
    <row r="22639" spans="8:9" x14ac:dyDescent="0.2">
      <c r="H22639" s="1"/>
      <c r="I22639" s="1"/>
    </row>
    <row r="22640" spans="8:9" x14ac:dyDescent="0.2">
      <c r="H22640" s="1"/>
      <c r="I22640" s="1"/>
    </row>
    <row r="22641" spans="8:9" x14ac:dyDescent="0.2">
      <c r="H22641" s="1"/>
      <c r="I22641" s="1"/>
    </row>
    <row r="22642" spans="8:9" x14ac:dyDescent="0.2">
      <c r="H22642" s="1"/>
      <c r="I22642" s="1"/>
    </row>
    <row r="22643" spans="8:9" x14ac:dyDescent="0.2">
      <c r="H22643" s="1"/>
      <c r="I22643" s="1"/>
    </row>
    <row r="22644" spans="8:9" x14ac:dyDescent="0.2">
      <c r="H22644" s="1"/>
      <c r="I22644" s="1"/>
    </row>
    <row r="22645" spans="8:9" x14ac:dyDescent="0.2">
      <c r="H22645" s="1"/>
      <c r="I22645" s="1"/>
    </row>
    <row r="22646" spans="8:9" x14ac:dyDescent="0.2">
      <c r="H22646" s="1"/>
      <c r="I22646" s="1"/>
    </row>
    <row r="22647" spans="8:9" x14ac:dyDescent="0.2">
      <c r="H22647" s="1"/>
      <c r="I22647" s="1"/>
    </row>
    <row r="22648" spans="8:9" x14ac:dyDescent="0.2">
      <c r="H22648" s="1"/>
      <c r="I22648" s="1"/>
    </row>
    <row r="22649" spans="8:9" x14ac:dyDescent="0.2">
      <c r="H22649" s="1"/>
      <c r="I22649" s="1"/>
    </row>
    <row r="22650" spans="8:9" x14ac:dyDescent="0.2">
      <c r="H22650" s="1"/>
      <c r="I22650" s="1"/>
    </row>
    <row r="22651" spans="8:9" x14ac:dyDescent="0.2">
      <c r="H22651" s="1"/>
      <c r="I22651" s="1"/>
    </row>
    <row r="22652" spans="8:9" x14ac:dyDescent="0.2">
      <c r="H22652" s="1"/>
      <c r="I22652" s="1"/>
    </row>
    <row r="22653" spans="8:9" x14ac:dyDescent="0.2">
      <c r="H22653" s="1"/>
      <c r="I22653" s="1"/>
    </row>
    <row r="22654" spans="8:9" x14ac:dyDescent="0.2">
      <c r="H22654" s="1"/>
      <c r="I22654" s="1"/>
    </row>
    <row r="22655" spans="8:9" x14ac:dyDescent="0.2">
      <c r="H22655" s="1"/>
      <c r="I22655" s="1"/>
    </row>
    <row r="22656" spans="8:9" x14ac:dyDescent="0.2">
      <c r="H22656" s="1"/>
      <c r="I22656" s="1"/>
    </row>
    <row r="22657" spans="8:9" x14ac:dyDescent="0.2">
      <c r="H22657" s="1"/>
      <c r="I22657" s="1"/>
    </row>
    <row r="22658" spans="8:9" x14ac:dyDescent="0.2">
      <c r="H22658" s="1"/>
      <c r="I22658" s="1"/>
    </row>
    <row r="22659" spans="8:9" x14ac:dyDescent="0.2">
      <c r="H22659" s="1"/>
      <c r="I22659" s="1"/>
    </row>
    <row r="22660" spans="8:9" x14ac:dyDescent="0.2">
      <c r="H22660" s="1"/>
      <c r="I22660" s="1"/>
    </row>
    <row r="22661" spans="8:9" x14ac:dyDescent="0.2">
      <c r="H22661" s="1"/>
      <c r="I22661" s="1"/>
    </row>
    <row r="22662" spans="8:9" x14ac:dyDescent="0.2">
      <c r="H22662" s="1"/>
      <c r="I22662" s="1"/>
    </row>
    <row r="22663" spans="8:9" x14ac:dyDescent="0.2">
      <c r="H22663" s="1"/>
      <c r="I22663" s="1"/>
    </row>
    <row r="22664" spans="8:9" x14ac:dyDescent="0.2">
      <c r="H22664" s="1"/>
      <c r="I22664" s="1"/>
    </row>
    <row r="22665" spans="8:9" x14ac:dyDescent="0.2">
      <c r="H22665" s="1"/>
      <c r="I22665" s="1"/>
    </row>
    <row r="22666" spans="8:9" x14ac:dyDescent="0.2">
      <c r="H22666" s="1"/>
      <c r="I22666" s="1"/>
    </row>
    <row r="22667" spans="8:9" x14ac:dyDescent="0.2">
      <c r="H22667" s="1"/>
      <c r="I22667" s="1"/>
    </row>
    <row r="22668" spans="8:9" x14ac:dyDescent="0.2">
      <c r="H22668" s="1"/>
      <c r="I22668" s="1"/>
    </row>
    <row r="22669" spans="8:9" x14ac:dyDescent="0.2">
      <c r="H22669" s="1"/>
      <c r="I22669" s="1"/>
    </row>
    <row r="22670" spans="8:9" x14ac:dyDescent="0.2">
      <c r="H22670" s="1"/>
      <c r="I22670" s="1"/>
    </row>
    <row r="22671" spans="8:9" x14ac:dyDescent="0.2">
      <c r="H22671" s="1"/>
      <c r="I22671" s="1"/>
    </row>
    <row r="22672" spans="8:9" x14ac:dyDescent="0.2">
      <c r="H22672" s="1"/>
      <c r="I22672" s="1"/>
    </row>
    <row r="22673" spans="8:9" x14ac:dyDescent="0.2">
      <c r="H22673" s="1"/>
      <c r="I22673" s="1"/>
    </row>
    <row r="22674" spans="8:9" x14ac:dyDescent="0.2">
      <c r="H22674" s="1"/>
      <c r="I22674" s="1"/>
    </row>
    <row r="22675" spans="8:9" x14ac:dyDescent="0.2">
      <c r="H22675" s="1"/>
      <c r="I22675" s="1"/>
    </row>
    <row r="22676" spans="8:9" x14ac:dyDescent="0.2">
      <c r="H22676" s="1"/>
      <c r="I22676" s="1"/>
    </row>
    <row r="22677" spans="8:9" x14ac:dyDescent="0.2">
      <c r="H22677" s="1"/>
      <c r="I22677" s="1"/>
    </row>
    <row r="22678" spans="8:9" x14ac:dyDescent="0.2">
      <c r="H22678" s="1"/>
      <c r="I22678" s="1"/>
    </row>
    <row r="22679" spans="8:9" x14ac:dyDescent="0.2">
      <c r="H22679" s="1"/>
      <c r="I22679" s="1"/>
    </row>
    <row r="22680" spans="8:9" x14ac:dyDescent="0.2">
      <c r="H22680" s="1"/>
      <c r="I22680" s="1"/>
    </row>
    <row r="22681" spans="8:9" x14ac:dyDescent="0.2">
      <c r="H22681" s="1"/>
      <c r="I22681" s="1"/>
    </row>
    <row r="22682" spans="8:9" x14ac:dyDescent="0.2">
      <c r="H22682" s="1"/>
      <c r="I22682" s="1"/>
    </row>
    <row r="22683" spans="8:9" x14ac:dyDescent="0.2">
      <c r="H22683" s="1"/>
      <c r="I22683" s="1"/>
    </row>
    <row r="22684" spans="8:9" x14ac:dyDescent="0.2">
      <c r="H22684" s="1"/>
      <c r="I22684" s="1"/>
    </row>
    <row r="22685" spans="8:9" x14ac:dyDescent="0.2">
      <c r="H22685" s="1"/>
      <c r="I22685" s="1"/>
    </row>
    <row r="22686" spans="8:9" x14ac:dyDescent="0.2">
      <c r="H22686" s="1"/>
      <c r="I22686" s="1"/>
    </row>
    <row r="22687" spans="8:9" x14ac:dyDescent="0.2">
      <c r="H22687" s="1"/>
      <c r="I22687" s="1"/>
    </row>
    <row r="22688" spans="8:9" x14ac:dyDescent="0.2">
      <c r="H22688" s="1"/>
      <c r="I22688" s="1"/>
    </row>
    <row r="22689" spans="8:9" x14ac:dyDescent="0.2">
      <c r="H22689" s="1"/>
      <c r="I22689" s="1"/>
    </row>
    <row r="22690" spans="8:9" x14ac:dyDescent="0.2">
      <c r="H22690" s="1"/>
      <c r="I22690" s="1"/>
    </row>
    <row r="22691" spans="8:9" x14ac:dyDescent="0.2">
      <c r="H22691" s="1"/>
      <c r="I22691" s="1"/>
    </row>
    <row r="22692" spans="8:9" x14ac:dyDescent="0.2">
      <c r="H22692" s="1"/>
      <c r="I22692" s="1"/>
    </row>
    <row r="22693" spans="8:9" x14ac:dyDescent="0.2">
      <c r="H22693" s="1"/>
      <c r="I22693" s="1"/>
    </row>
    <row r="22694" spans="8:9" x14ac:dyDescent="0.2">
      <c r="H22694" s="1"/>
      <c r="I22694" s="1"/>
    </row>
    <row r="22695" spans="8:9" x14ac:dyDescent="0.2">
      <c r="H22695" s="1"/>
      <c r="I22695" s="1"/>
    </row>
    <row r="22696" spans="8:9" x14ac:dyDescent="0.2">
      <c r="H22696" s="1"/>
      <c r="I22696" s="1"/>
    </row>
    <row r="22697" spans="8:9" x14ac:dyDescent="0.2">
      <c r="H22697" s="1"/>
      <c r="I22697" s="1"/>
    </row>
    <row r="22698" spans="8:9" x14ac:dyDescent="0.2">
      <c r="H22698" s="1"/>
      <c r="I22698" s="1"/>
    </row>
    <row r="22699" spans="8:9" x14ac:dyDescent="0.2">
      <c r="H22699" s="1"/>
      <c r="I22699" s="1"/>
    </row>
    <row r="22700" spans="8:9" x14ac:dyDescent="0.2">
      <c r="H22700" s="1"/>
      <c r="I22700" s="1"/>
    </row>
    <row r="22701" spans="8:9" x14ac:dyDescent="0.2">
      <c r="H22701" s="1"/>
      <c r="I22701" s="1"/>
    </row>
    <row r="22702" spans="8:9" x14ac:dyDescent="0.2">
      <c r="H22702" s="1"/>
      <c r="I22702" s="1"/>
    </row>
    <row r="22703" spans="8:9" x14ac:dyDescent="0.2">
      <c r="H22703" s="1"/>
      <c r="I22703" s="1"/>
    </row>
    <row r="22704" spans="8:9" x14ac:dyDescent="0.2">
      <c r="H22704" s="1"/>
      <c r="I22704" s="1"/>
    </row>
    <row r="22705" spans="8:9" x14ac:dyDescent="0.2">
      <c r="H22705" s="1"/>
      <c r="I22705" s="1"/>
    </row>
    <row r="22706" spans="8:9" x14ac:dyDescent="0.2">
      <c r="H22706" s="1"/>
      <c r="I22706" s="1"/>
    </row>
    <row r="22707" spans="8:9" x14ac:dyDescent="0.2">
      <c r="H22707" s="1"/>
      <c r="I22707" s="1"/>
    </row>
    <row r="22708" spans="8:9" x14ac:dyDescent="0.2">
      <c r="H22708" s="1"/>
      <c r="I22708" s="1"/>
    </row>
    <row r="22709" spans="8:9" x14ac:dyDescent="0.2">
      <c r="H22709" s="1"/>
      <c r="I22709" s="1"/>
    </row>
    <row r="22710" spans="8:9" x14ac:dyDescent="0.2">
      <c r="H22710" s="1"/>
      <c r="I22710" s="1"/>
    </row>
    <row r="22711" spans="8:9" x14ac:dyDescent="0.2">
      <c r="H22711" s="1"/>
      <c r="I22711" s="1"/>
    </row>
    <row r="22712" spans="8:9" x14ac:dyDescent="0.2">
      <c r="H22712" s="1"/>
      <c r="I22712" s="1"/>
    </row>
    <row r="22713" spans="8:9" x14ac:dyDescent="0.2">
      <c r="H22713" s="1"/>
      <c r="I22713" s="1"/>
    </row>
    <row r="22714" spans="8:9" x14ac:dyDescent="0.2">
      <c r="H22714" s="1"/>
      <c r="I22714" s="1"/>
    </row>
    <row r="22715" spans="8:9" x14ac:dyDescent="0.2">
      <c r="H22715" s="1"/>
      <c r="I22715" s="1"/>
    </row>
    <row r="22716" spans="8:9" x14ac:dyDescent="0.2">
      <c r="H22716" s="1"/>
      <c r="I22716" s="1"/>
    </row>
    <row r="22717" spans="8:9" x14ac:dyDescent="0.2">
      <c r="H22717" s="1"/>
      <c r="I22717" s="1"/>
    </row>
    <row r="22718" spans="8:9" x14ac:dyDescent="0.2">
      <c r="H22718" s="1"/>
      <c r="I22718" s="1"/>
    </row>
    <row r="22719" spans="8:9" x14ac:dyDescent="0.2">
      <c r="H22719" s="1"/>
      <c r="I22719" s="1"/>
    </row>
    <row r="22720" spans="8:9" x14ac:dyDescent="0.2">
      <c r="H22720" s="1"/>
      <c r="I22720" s="1"/>
    </row>
    <row r="22721" spans="8:9" x14ac:dyDescent="0.2">
      <c r="H22721" s="1"/>
      <c r="I22721" s="1"/>
    </row>
    <row r="22722" spans="8:9" x14ac:dyDescent="0.2">
      <c r="H22722" s="1"/>
      <c r="I22722" s="1"/>
    </row>
    <row r="22723" spans="8:9" x14ac:dyDescent="0.2">
      <c r="H22723" s="1"/>
      <c r="I22723" s="1"/>
    </row>
    <row r="22724" spans="8:9" x14ac:dyDescent="0.2">
      <c r="H22724" s="1"/>
      <c r="I22724" s="1"/>
    </row>
    <row r="22725" spans="8:9" x14ac:dyDescent="0.2">
      <c r="H22725" s="1"/>
      <c r="I22725" s="1"/>
    </row>
    <row r="22726" spans="8:9" x14ac:dyDescent="0.2">
      <c r="H22726" s="1"/>
      <c r="I22726" s="1"/>
    </row>
    <row r="22727" spans="8:9" x14ac:dyDescent="0.2">
      <c r="H22727" s="1"/>
      <c r="I22727" s="1"/>
    </row>
    <row r="22728" spans="8:9" x14ac:dyDescent="0.2">
      <c r="H22728" s="1"/>
      <c r="I22728" s="1"/>
    </row>
    <row r="22729" spans="8:9" x14ac:dyDescent="0.2">
      <c r="H22729" s="1"/>
      <c r="I22729" s="1"/>
    </row>
    <row r="22730" spans="8:9" x14ac:dyDescent="0.2">
      <c r="H22730" s="1"/>
      <c r="I22730" s="1"/>
    </row>
    <row r="22731" spans="8:9" x14ac:dyDescent="0.2">
      <c r="H22731" s="1"/>
      <c r="I22731" s="1"/>
    </row>
    <row r="22732" spans="8:9" x14ac:dyDescent="0.2">
      <c r="H22732" s="1"/>
      <c r="I22732" s="1"/>
    </row>
    <row r="22733" spans="8:9" x14ac:dyDescent="0.2">
      <c r="H22733" s="1"/>
      <c r="I22733" s="1"/>
    </row>
    <row r="22734" spans="8:9" x14ac:dyDescent="0.2">
      <c r="H22734" s="1"/>
      <c r="I22734" s="1"/>
    </row>
    <row r="22735" spans="8:9" x14ac:dyDescent="0.2">
      <c r="H22735" s="1"/>
      <c r="I22735" s="1"/>
    </row>
    <row r="22736" spans="8:9" x14ac:dyDescent="0.2">
      <c r="H22736" s="1"/>
      <c r="I22736" s="1"/>
    </row>
    <row r="22737" spans="8:9" x14ac:dyDescent="0.2">
      <c r="H22737" s="1"/>
      <c r="I22737" s="1"/>
    </row>
    <row r="22738" spans="8:9" x14ac:dyDescent="0.2">
      <c r="H22738" s="1"/>
      <c r="I22738" s="1"/>
    </row>
    <row r="22739" spans="8:9" x14ac:dyDescent="0.2">
      <c r="H22739" s="1"/>
      <c r="I22739" s="1"/>
    </row>
    <row r="22740" spans="8:9" x14ac:dyDescent="0.2">
      <c r="H22740" s="1"/>
      <c r="I22740" s="1"/>
    </row>
    <row r="22741" spans="8:9" x14ac:dyDescent="0.2">
      <c r="H22741" s="1"/>
      <c r="I22741" s="1"/>
    </row>
    <row r="22742" spans="8:9" x14ac:dyDescent="0.2">
      <c r="H22742" s="1"/>
      <c r="I22742" s="1"/>
    </row>
    <row r="22743" spans="8:9" x14ac:dyDescent="0.2">
      <c r="H22743" s="1"/>
      <c r="I22743" s="1"/>
    </row>
    <row r="22744" spans="8:9" x14ac:dyDescent="0.2">
      <c r="H22744" s="1"/>
      <c r="I22744" s="1"/>
    </row>
    <row r="22745" spans="8:9" x14ac:dyDescent="0.2">
      <c r="H22745" s="1"/>
      <c r="I22745" s="1"/>
    </row>
    <row r="22746" spans="8:9" x14ac:dyDescent="0.2">
      <c r="H22746" s="1"/>
      <c r="I22746" s="1"/>
    </row>
    <row r="22747" spans="8:9" x14ac:dyDescent="0.2">
      <c r="H22747" s="1"/>
      <c r="I22747" s="1"/>
    </row>
    <row r="22748" spans="8:9" x14ac:dyDescent="0.2">
      <c r="H22748" s="1"/>
      <c r="I22748" s="1"/>
    </row>
    <row r="22749" spans="8:9" x14ac:dyDescent="0.2">
      <c r="H22749" s="1"/>
      <c r="I22749" s="1"/>
    </row>
    <row r="22750" spans="8:9" x14ac:dyDescent="0.2">
      <c r="H22750" s="1"/>
      <c r="I22750" s="1"/>
    </row>
    <row r="22751" spans="8:9" x14ac:dyDescent="0.2">
      <c r="H22751" s="1"/>
      <c r="I22751" s="1"/>
    </row>
    <row r="22752" spans="8:9" x14ac:dyDescent="0.2">
      <c r="H22752" s="1"/>
      <c r="I22752" s="1"/>
    </row>
    <row r="22753" spans="8:9" x14ac:dyDescent="0.2">
      <c r="H22753" s="1"/>
      <c r="I22753" s="1"/>
    </row>
    <row r="22754" spans="8:9" x14ac:dyDescent="0.2">
      <c r="H22754" s="1"/>
      <c r="I22754" s="1"/>
    </row>
    <row r="22755" spans="8:9" x14ac:dyDescent="0.2">
      <c r="H22755" s="1"/>
      <c r="I22755" s="1"/>
    </row>
    <row r="22756" spans="8:9" x14ac:dyDescent="0.2">
      <c r="H22756" s="1"/>
      <c r="I22756" s="1"/>
    </row>
    <row r="22757" spans="8:9" x14ac:dyDescent="0.2">
      <c r="H22757" s="1"/>
      <c r="I22757" s="1"/>
    </row>
    <row r="22758" spans="8:9" x14ac:dyDescent="0.2">
      <c r="H22758" s="1"/>
      <c r="I22758" s="1"/>
    </row>
    <row r="22759" spans="8:9" x14ac:dyDescent="0.2">
      <c r="H22759" s="1"/>
      <c r="I22759" s="1"/>
    </row>
    <row r="22760" spans="8:9" x14ac:dyDescent="0.2">
      <c r="H22760" s="1"/>
      <c r="I22760" s="1"/>
    </row>
    <row r="22761" spans="8:9" x14ac:dyDescent="0.2">
      <c r="H22761" s="1"/>
      <c r="I22761" s="1"/>
    </row>
    <row r="22762" spans="8:9" x14ac:dyDescent="0.2">
      <c r="H22762" s="1"/>
      <c r="I22762" s="1"/>
    </row>
    <row r="22763" spans="8:9" x14ac:dyDescent="0.2">
      <c r="H22763" s="1"/>
      <c r="I22763" s="1"/>
    </row>
    <row r="22764" spans="8:9" x14ac:dyDescent="0.2">
      <c r="H22764" s="1"/>
      <c r="I22764" s="1"/>
    </row>
    <row r="22765" spans="8:9" x14ac:dyDescent="0.2">
      <c r="H22765" s="1"/>
      <c r="I22765" s="1"/>
    </row>
    <row r="22766" spans="8:9" x14ac:dyDescent="0.2">
      <c r="H22766" s="1"/>
      <c r="I22766" s="1"/>
    </row>
    <row r="22767" spans="8:9" x14ac:dyDescent="0.2">
      <c r="H22767" s="1"/>
      <c r="I22767" s="1"/>
    </row>
    <row r="22768" spans="8:9" x14ac:dyDescent="0.2">
      <c r="H22768" s="1"/>
      <c r="I22768" s="1"/>
    </row>
    <row r="22769" spans="8:9" x14ac:dyDescent="0.2">
      <c r="H22769" s="1"/>
      <c r="I22769" s="1"/>
    </row>
    <row r="22770" spans="8:9" x14ac:dyDescent="0.2">
      <c r="H22770" s="1"/>
      <c r="I22770" s="1"/>
    </row>
    <row r="22771" spans="8:9" x14ac:dyDescent="0.2">
      <c r="H22771" s="1"/>
      <c r="I22771" s="1"/>
    </row>
    <row r="22772" spans="8:9" x14ac:dyDescent="0.2">
      <c r="H22772" s="1"/>
      <c r="I22772" s="1"/>
    </row>
    <row r="22773" spans="8:9" x14ac:dyDescent="0.2">
      <c r="H22773" s="1"/>
      <c r="I22773" s="1"/>
    </row>
    <row r="22774" spans="8:9" x14ac:dyDescent="0.2">
      <c r="H22774" s="1"/>
      <c r="I22774" s="1"/>
    </row>
    <row r="22775" spans="8:9" x14ac:dyDescent="0.2">
      <c r="H22775" s="1"/>
      <c r="I22775" s="1"/>
    </row>
    <row r="22776" spans="8:9" x14ac:dyDescent="0.2">
      <c r="H22776" s="1"/>
      <c r="I22776" s="1"/>
    </row>
    <row r="22777" spans="8:9" x14ac:dyDescent="0.2">
      <c r="H22777" s="1"/>
      <c r="I22777" s="1"/>
    </row>
    <row r="22778" spans="8:9" x14ac:dyDescent="0.2">
      <c r="H22778" s="1"/>
      <c r="I22778" s="1"/>
    </row>
    <row r="22779" spans="8:9" x14ac:dyDescent="0.2">
      <c r="H22779" s="1"/>
      <c r="I22779" s="1"/>
    </row>
    <row r="22780" spans="8:9" x14ac:dyDescent="0.2">
      <c r="H22780" s="1"/>
      <c r="I22780" s="1"/>
    </row>
    <row r="22781" spans="8:9" x14ac:dyDescent="0.2">
      <c r="H22781" s="1"/>
      <c r="I22781" s="1"/>
    </row>
    <row r="22782" spans="8:9" x14ac:dyDescent="0.2">
      <c r="H22782" s="1"/>
      <c r="I22782" s="1"/>
    </row>
    <row r="22783" spans="8:9" x14ac:dyDescent="0.2">
      <c r="H22783" s="1"/>
      <c r="I22783" s="1"/>
    </row>
    <row r="22784" spans="8:9" x14ac:dyDescent="0.2">
      <c r="H22784" s="1"/>
      <c r="I22784" s="1"/>
    </row>
    <row r="22785" spans="8:9" x14ac:dyDescent="0.2">
      <c r="H22785" s="1"/>
      <c r="I22785" s="1"/>
    </row>
    <row r="22786" spans="8:9" x14ac:dyDescent="0.2">
      <c r="H22786" s="1"/>
      <c r="I22786" s="1"/>
    </row>
    <row r="22787" spans="8:9" x14ac:dyDescent="0.2">
      <c r="H22787" s="1"/>
      <c r="I22787" s="1"/>
    </row>
    <row r="22788" spans="8:9" x14ac:dyDescent="0.2">
      <c r="H22788" s="1"/>
      <c r="I22788" s="1"/>
    </row>
    <row r="22789" spans="8:9" x14ac:dyDescent="0.2">
      <c r="H22789" s="1"/>
      <c r="I22789" s="1"/>
    </row>
    <row r="22790" spans="8:9" x14ac:dyDescent="0.2">
      <c r="H22790" s="1"/>
      <c r="I22790" s="1"/>
    </row>
    <row r="22791" spans="8:9" x14ac:dyDescent="0.2">
      <c r="H22791" s="1"/>
      <c r="I22791" s="1"/>
    </row>
    <row r="22792" spans="8:9" x14ac:dyDescent="0.2">
      <c r="H22792" s="1"/>
      <c r="I22792" s="1"/>
    </row>
    <row r="22793" spans="8:9" x14ac:dyDescent="0.2">
      <c r="H22793" s="1"/>
      <c r="I22793" s="1"/>
    </row>
    <row r="22794" spans="8:9" x14ac:dyDescent="0.2">
      <c r="H22794" s="1"/>
      <c r="I22794" s="1"/>
    </row>
    <row r="22795" spans="8:9" x14ac:dyDescent="0.2">
      <c r="H22795" s="1"/>
      <c r="I22795" s="1"/>
    </row>
    <row r="22796" spans="8:9" x14ac:dyDescent="0.2">
      <c r="H22796" s="1"/>
      <c r="I22796" s="1"/>
    </row>
    <row r="22797" spans="8:9" x14ac:dyDescent="0.2">
      <c r="H22797" s="1"/>
      <c r="I22797" s="1"/>
    </row>
    <row r="22798" spans="8:9" x14ac:dyDescent="0.2">
      <c r="H22798" s="1"/>
      <c r="I22798" s="1"/>
    </row>
    <row r="22799" spans="8:9" x14ac:dyDescent="0.2">
      <c r="H22799" s="1"/>
      <c r="I22799" s="1"/>
    </row>
    <row r="22800" spans="8:9" x14ac:dyDescent="0.2">
      <c r="H22800" s="1"/>
      <c r="I22800" s="1"/>
    </row>
    <row r="22801" spans="8:9" x14ac:dyDescent="0.2">
      <c r="H22801" s="1"/>
      <c r="I22801" s="1"/>
    </row>
    <row r="22802" spans="8:9" x14ac:dyDescent="0.2">
      <c r="H22802" s="1"/>
      <c r="I22802" s="1"/>
    </row>
    <row r="22803" spans="8:9" x14ac:dyDescent="0.2">
      <c r="H22803" s="1"/>
      <c r="I22803" s="1"/>
    </row>
    <row r="22804" spans="8:9" x14ac:dyDescent="0.2">
      <c r="H22804" s="1"/>
      <c r="I22804" s="1"/>
    </row>
    <row r="22805" spans="8:9" x14ac:dyDescent="0.2">
      <c r="H22805" s="1"/>
      <c r="I22805" s="1"/>
    </row>
    <row r="22806" spans="8:9" x14ac:dyDescent="0.2">
      <c r="H22806" s="1"/>
      <c r="I22806" s="1"/>
    </row>
    <row r="22807" spans="8:9" x14ac:dyDescent="0.2">
      <c r="H22807" s="1"/>
      <c r="I22807" s="1"/>
    </row>
    <row r="22808" spans="8:9" x14ac:dyDescent="0.2">
      <c r="H22808" s="1"/>
      <c r="I22808" s="1"/>
    </row>
    <row r="22809" spans="8:9" x14ac:dyDescent="0.2">
      <c r="H22809" s="1"/>
      <c r="I22809" s="1"/>
    </row>
    <row r="22810" spans="8:9" x14ac:dyDescent="0.2">
      <c r="H22810" s="1"/>
      <c r="I22810" s="1"/>
    </row>
    <row r="22811" spans="8:9" x14ac:dyDescent="0.2">
      <c r="H22811" s="1"/>
      <c r="I22811" s="1"/>
    </row>
    <row r="22812" spans="8:9" x14ac:dyDescent="0.2">
      <c r="H22812" s="1"/>
      <c r="I22812" s="1"/>
    </row>
    <row r="22813" spans="8:9" x14ac:dyDescent="0.2">
      <c r="H22813" s="1"/>
      <c r="I22813" s="1"/>
    </row>
    <row r="22814" spans="8:9" x14ac:dyDescent="0.2">
      <c r="H22814" s="1"/>
      <c r="I22814" s="1"/>
    </row>
    <row r="22815" spans="8:9" x14ac:dyDescent="0.2">
      <c r="H22815" s="1"/>
      <c r="I22815" s="1"/>
    </row>
    <row r="22816" spans="8:9" x14ac:dyDescent="0.2">
      <c r="H22816" s="1"/>
      <c r="I22816" s="1"/>
    </row>
    <row r="22817" spans="8:9" x14ac:dyDescent="0.2">
      <c r="H22817" s="1"/>
      <c r="I22817" s="1"/>
    </row>
    <row r="22818" spans="8:9" x14ac:dyDescent="0.2">
      <c r="H22818" s="1"/>
      <c r="I22818" s="1"/>
    </row>
    <row r="22819" spans="8:9" x14ac:dyDescent="0.2">
      <c r="H22819" s="1"/>
      <c r="I22819" s="1"/>
    </row>
    <row r="22820" spans="8:9" x14ac:dyDescent="0.2">
      <c r="H22820" s="1"/>
      <c r="I22820" s="1"/>
    </row>
    <row r="22821" spans="8:9" x14ac:dyDescent="0.2">
      <c r="H22821" s="1"/>
      <c r="I22821" s="1"/>
    </row>
    <row r="22822" spans="8:9" x14ac:dyDescent="0.2">
      <c r="H22822" s="1"/>
      <c r="I22822" s="1"/>
    </row>
    <row r="22823" spans="8:9" x14ac:dyDescent="0.2">
      <c r="H22823" s="1"/>
      <c r="I22823" s="1"/>
    </row>
    <row r="22824" spans="8:9" x14ac:dyDescent="0.2">
      <c r="H22824" s="1"/>
      <c r="I22824" s="1"/>
    </row>
    <row r="22825" spans="8:9" x14ac:dyDescent="0.2">
      <c r="H22825" s="1"/>
      <c r="I22825" s="1"/>
    </row>
    <row r="22826" spans="8:9" x14ac:dyDescent="0.2">
      <c r="H22826" s="1"/>
      <c r="I22826" s="1"/>
    </row>
    <row r="22827" spans="8:9" x14ac:dyDescent="0.2">
      <c r="H22827" s="1"/>
      <c r="I22827" s="1"/>
    </row>
    <row r="22828" spans="8:9" x14ac:dyDescent="0.2">
      <c r="H22828" s="1"/>
      <c r="I22828" s="1"/>
    </row>
    <row r="22829" spans="8:9" x14ac:dyDescent="0.2">
      <c r="H22829" s="1"/>
      <c r="I22829" s="1"/>
    </row>
    <row r="22830" spans="8:9" x14ac:dyDescent="0.2">
      <c r="H22830" s="1"/>
      <c r="I22830" s="1"/>
    </row>
    <row r="22831" spans="8:9" x14ac:dyDescent="0.2">
      <c r="H22831" s="1"/>
      <c r="I22831" s="1"/>
    </row>
    <row r="22832" spans="8:9" x14ac:dyDescent="0.2">
      <c r="H22832" s="1"/>
      <c r="I22832" s="1"/>
    </row>
    <row r="22833" spans="8:9" x14ac:dyDescent="0.2">
      <c r="H22833" s="1"/>
      <c r="I22833" s="1"/>
    </row>
    <row r="22834" spans="8:9" x14ac:dyDescent="0.2">
      <c r="H22834" s="1"/>
      <c r="I22834" s="1"/>
    </row>
    <row r="22835" spans="8:9" x14ac:dyDescent="0.2">
      <c r="H22835" s="1"/>
      <c r="I22835" s="1"/>
    </row>
    <row r="22836" spans="8:9" x14ac:dyDescent="0.2">
      <c r="H22836" s="1"/>
      <c r="I22836" s="1"/>
    </row>
    <row r="22837" spans="8:9" x14ac:dyDescent="0.2">
      <c r="H22837" s="1"/>
      <c r="I22837" s="1"/>
    </row>
    <row r="22838" spans="8:9" x14ac:dyDescent="0.2">
      <c r="H22838" s="1"/>
      <c r="I22838" s="1"/>
    </row>
    <row r="22839" spans="8:9" x14ac:dyDescent="0.2">
      <c r="H22839" s="1"/>
      <c r="I22839" s="1"/>
    </row>
    <row r="22840" spans="8:9" x14ac:dyDescent="0.2">
      <c r="H22840" s="1"/>
      <c r="I22840" s="1"/>
    </row>
    <row r="22841" spans="8:9" x14ac:dyDescent="0.2">
      <c r="H22841" s="1"/>
      <c r="I22841" s="1"/>
    </row>
    <row r="22842" spans="8:9" x14ac:dyDescent="0.2">
      <c r="H22842" s="1"/>
      <c r="I22842" s="1"/>
    </row>
    <row r="22843" spans="8:9" x14ac:dyDescent="0.2">
      <c r="H22843" s="1"/>
      <c r="I22843" s="1"/>
    </row>
    <row r="22844" spans="8:9" x14ac:dyDescent="0.2">
      <c r="H22844" s="1"/>
      <c r="I22844" s="1"/>
    </row>
    <row r="22845" spans="8:9" x14ac:dyDescent="0.2">
      <c r="H22845" s="1"/>
      <c r="I22845" s="1"/>
    </row>
    <row r="22846" spans="8:9" x14ac:dyDescent="0.2">
      <c r="H22846" s="1"/>
      <c r="I22846" s="1"/>
    </row>
    <row r="22847" spans="8:9" x14ac:dyDescent="0.2">
      <c r="H22847" s="1"/>
      <c r="I22847" s="1"/>
    </row>
    <row r="22848" spans="8:9" x14ac:dyDescent="0.2">
      <c r="H22848" s="1"/>
      <c r="I22848" s="1"/>
    </row>
    <row r="22849" spans="8:9" x14ac:dyDescent="0.2">
      <c r="H22849" s="1"/>
      <c r="I22849" s="1"/>
    </row>
    <row r="22850" spans="8:9" x14ac:dyDescent="0.2">
      <c r="H22850" s="1"/>
      <c r="I22850" s="1"/>
    </row>
    <row r="22851" spans="8:9" x14ac:dyDescent="0.2">
      <c r="H22851" s="1"/>
      <c r="I22851" s="1"/>
    </row>
    <row r="22852" spans="8:9" x14ac:dyDescent="0.2">
      <c r="H22852" s="1"/>
      <c r="I22852" s="1"/>
    </row>
    <row r="22853" spans="8:9" x14ac:dyDescent="0.2">
      <c r="H22853" s="1"/>
      <c r="I22853" s="1"/>
    </row>
    <row r="22854" spans="8:9" x14ac:dyDescent="0.2">
      <c r="H22854" s="1"/>
      <c r="I22854" s="1"/>
    </row>
    <row r="22855" spans="8:9" x14ac:dyDescent="0.2">
      <c r="H22855" s="1"/>
      <c r="I22855" s="1"/>
    </row>
    <row r="22856" spans="8:9" x14ac:dyDescent="0.2">
      <c r="H22856" s="1"/>
      <c r="I22856" s="1"/>
    </row>
    <row r="22857" spans="8:9" x14ac:dyDescent="0.2">
      <c r="H22857" s="1"/>
      <c r="I22857" s="1"/>
    </row>
    <row r="22858" spans="8:9" x14ac:dyDescent="0.2">
      <c r="H22858" s="1"/>
      <c r="I22858" s="1"/>
    </row>
    <row r="22859" spans="8:9" x14ac:dyDescent="0.2">
      <c r="H22859" s="1"/>
      <c r="I22859" s="1"/>
    </row>
    <row r="22860" spans="8:9" x14ac:dyDescent="0.2">
      <c r="H22860" s="1"/>
      <c r="I22860" s="1"/>
    </row>
    <row r="22861" spans="8:9" x14ac:dyDescent="0.2">
      <c r="H22861" s="1"/>
      <c r="I22861" s="1"/>
    </row>
    <row r="22862" spans="8:9" x14ac:dyDescent="0.2">
      <c r="H22862" s="1"/>
      <c r="I22862" s="1"/>
    </row>
    <row r="22863" spans="8:9" x14ac:dyDescent="0.2">
      <c r="H22863" s="1"/>
      <c r="I22863" s="1"/>
    </row>
    <row r="22864" spans="8:9" x14ac:dyDescent="0.2">
      <c r="H22864" s="1"/>
      <c r="I22864" s="1"/>
    </row>
    <row r="22865" spans="8:9" x14ac:dyDescent="0.2">
      <c r="H22865" s="1"/>
      <c r="I22865" s="1"/>
    </row>
    <row r="22866" spans="8:9" x14ac:dyDescent="0.2">
      <c r="H22866" s="1"/>
      <c r="I22866" s="1"/>
    </row>
    <row r="22867" spans="8:9" x14ac:dyDescent="0.2">
      <c r="H22867" s="1"/>
      <c r="I22867" s="1"/>
    </row>
    <row r="22868" spans="8:9" x14ac:dyDescent="0.2">
      <c r="H22868" s="1"/>
      <c r="I22868" s="1"/>
    </row>
    <row r="22869" spans="8:9" x14ac:dyDescent="0.2">
      <c r="H22869" s="1"/>
      <c r="I22869" s="1"/>
    </row>
    <row r="22870" spans="8:9" x14ac:dyDescent="0.2">
      <c r="H22870" s="1"/>
      <c r="I22870" s="1"/>
    </row>
    <row r="22871" spans="8:9" x14ac:dyDescent="0.2">
      <c r="H22871" s="1"/>
      <c r="I22871" s="1"/>
    </row>
    <row r="22872" spans="8:9" x14ac:dyDescent="0.2">
      <c r="H22872" s="1"/>
      <c r="I22872" s="1"/>
    </row>
    <row r="22873" spans="8:9" x14ac:dyDescent="0.2">
      <c r="H22873" s="1"/>
      <c r="I22873" s="1"/>
    </row>
    <row r="22874" spans="8:9" x14ac:dyDescent="0.2">
      <c r="H22874" s="1"/>
      <c r="I22874" s="1"/>
    </row>
    <row r="22875" spans="8:9" x14ac:dyDescent="0.2">
      <c r="H22875" s="1"/>
      <c r="I22875" s="1"/>
    </row>
    <row r="22876" spans="8:9" x14ac:dyDescent="0.2">
      <c r="H22876" s="1"/>
      <c r="I22876" s="1"/>
    </row>
    <row r="22877" spans="8:9" x14ac:dyDescent="0.2">
      <c r="H22877" s="1"/>
      <c r="I22877" s="1"/>
    </row>
    <row r="22878" spans="8:9" x14ac:dyDescent="0.2">
      <c r="H22878" s="1"/>
      <c r="I22878" s="1"/>
    </row>
    <row r="22879" spans="8:9" x14ac:dyDescent="0.2">
      <c r="H22879" s="1"/>
      <c r="I22879" s="1"/>
    </row>
    <row r="22880" spans="8:9" x14ac:dyDescent="0.2">
      <c r="H22880" s="1"/>
      <c r="I22880" s="1"/>
    </row>
    <row r="22881" spans="8:9" x14ac:dyDescent="0.2">
      <c r="H22881" s="1"/>
      <c r="I22881" s="1"/>
    </row>
    <row r="22882" spans="8:9" x14ac:dyDescent="0.2">
      <c r="H22882" s="1"/>
      <c r="I22882" s="1"/>
    </row>
    <row r="22883" spans="8:9" x14ac:dyDescent="0.2">
      <c r="H22883" s="1"/>
      <c r="I22883" s="1"/>
    </row>
    <row r="22884" spans="8:9" x14ac:dyDescent="0.2">
      <c r="H22884" s="1"/>
      <c r="I22884" s="1"/>
    </row>
    <row r="22885" spans="8:9" x14ac:dyDescent="0.2">
      <c r="H22885" s="1"/>
      <c r="I22885" s="1"/>
    </row>
    <row r="22886" spans="8:9" x14ac:dyDescent="0.2">
      <c r="H22886" s="1"/>
      <c r="I22886" s="1"/>
    </row>
    <row r="22887" spans="8:9" x14ac:dyDescent="0.2">
      <c r="H22887" s="1"/>
      <c r="I22887" s="1"/>
    </row>
    <row r="22888" spans="8:9" x14ac:dyDescent="0.2">
      <c r="H22888" s="1"/>
      <c r="I22888" s="1"/>
    </row>
    <row r="22889" spans="8:9" x14ac:dyDescent="0.2">
      <c r="H22889" s="1"/>
      <c r="I22889" s="1"/>
    </row>
    <row r="22890" spans="8:9" x14ac:dyDescent="0.2">
      <c r="H22890" s="1"/>
      <c r="I22890" s="1"/>
    </row>
    <row r="22891" spans="8:9" x14ac:dyDescent="0.2">
      <c r="H22891" s="1"/>
      <c r="I22891" s="1"/>
    </row>
    <row r="22892" spans="8:9" x14ac:dyDescent="0.2">
      <c r="H22892" s="1"/>
      <c r="I22892" s="1"/>
    </row>
    <row r="22893" spans="8:9" x14ac:dyDescent="0.2">
      <c r="H22893" s="1"/>
      <c r="I22893" s="1"/>
    </row>
    <row r="22894" spans="8:9" x14ac:dyDescent="0.2">
      <c r="H22894" s="1"/>
      <c r="I22894" s="1"/>
    </row>
    <row r="22895" spans="8:9" x14ac:dyDescent="0.2">
      <c r="H22895" s="1"/>
      <c r="I22895" s="1"/>
    </row>
    <row r="22896" spans="8:9" x14ac:dyDescent="0.2">
      <c r="H22896" s="1"/>
      <c r="I22896" s="1"/>
    </row>
    <row r="22897" spans="8:9" x14ac:dyDescent="0.2">
      <c r="H22897" s="1"/>
      <c r="I22897" s="1"/>
    </row>
    <row r="22898" spans="8:9" x14ac:dyDescent="0.2">
      <c r="H22898" s="1"/>
      <c r="I22898" s="1"/>
    </row>
    <row r="22899" spans="8:9" x14ac:dyDescent="0.2">
      <c r="H22899" s="1"/>
      <c r="I22899" s="1"/>
    </row>
    <row r="22900" spans="8:9" x14ac:dyDescent="0.2">
      <c r="H22900" s="1"/>
      <c r="I22900" s="1"/>
    </row>
    <row r="22901" spans="8:9" x14ac:dyDescent="0.2">
      <c r="H22901" s="1"/>
      <c r="I22901" s="1"/>
    </row>
    <row r="22902" spans="8:9" x14ac:dyDescent="0.2">
      <c r="H22902" s="1"/>
      <c r="I22902" s="1"/>
    </row>
    <row r="22903" spans="8:9" x14ac:dyDescent="0.2">
      <c r="H22903" s="1"/>
      <c r="I22903" s="1"/>
    </row>
    <row r="22904" spans="8:9" x14ac:dyDescent="0.2">
      <c r="H22904" s="1"/>
      <c r="I22904" s="1"/>
    </row>
    <row r="22905" spans="8:9" x14ac:dyDescent="0.2">
      <c r="H22905" s="1"/>
      <c r="I22905" s="1"/>
    </row>
    <row r="22906" spans="8:9" x14ac:dyDescent="0.2">
      <c r="H22906" s="1"/>
      <c r="I22906" s="1"/>
    </row>
    <row r="22907" spans="8:9" x14ac:dyDescent="0.2">
      <c r="H22907" s="1"/>
      <c r="I22907" s="1"/>
    </row>
    <row r="22908" spans="8:9" x14ac:dyDescent="0.2">
      <c r="H22908" s="1"/>
      <c r="I22908" s="1"/>
    </row>
    <row r="22909" spans="8:9" x14ac:dyDescent="0.2">
      <c r="H22909" s="1"/>
      <c r="I22909" s="1"/>
    </row>
    <row r="22910" spans="8:9" x14ac:dyDescent="0.2">
      <c r="H22910" s="1"/>
      <c r="I22910" s="1"/>
    </row>
    <row r="22911" spans="8:9" x14ac:dyDescent="0.2">
      <c r="H22911" s="1"/>
      <c r="I22911" s="1"/>
    </row>
    <row r="22912" spans="8:9" x14ac:dyDescent="0.2">
      <c r="H22912" s="1"/>
      <c r="I22912" s="1"/>
    </row>
    <row r="22913" spans="8:9" x14ac:dyDescent="0.2">
      <c r="H22913" s="1"/>
      <c r="I22913" s="1"/>
    </row>
    <row r="22914" spans="8:9" x14ac:dyDescent="0.2">
      <c r="H22914" s="1"/>
      <c r="I22914" s="1"/>
    </row>
    <row r="22915" spans="8:9" x14ac:dyDescent="0.2">
      <c r="H22915" s="1"/>
      <c r="I22915" s="1"/>
    </row>
    <row r="22916" spans="8:9" x14ac:dyDescent="0.2">
      <c r="H22916" s="1"/>
      <c r="I22916" s="1"/>
    </row>
    <row r="22917" spans="8:9" x14ac:dyDescent="0.2">
      <c r="H22917" s="1"/>
      <c r="I22917" s="1"/>
    </row>
    <row r="22918" spans="8:9" x14ac:dyDescent="0.2">
      <c r="H22918" s="1"/>
      <c r="I22918" s="1"/>
    </row>
    <row r="22919" spans="8:9" x14ac:dyDescent="0.2">
      <c r="H22919" s="1"/>
      <c r="I22919" s="1"/>
    </row>
    <row r="22920" spans="8:9" x14ac:dyDescent="0.2">
      <c r="H22920" s="1"/>
      <c r="I22920" s="1"/>
    </row>
    <row r="22921" spans="8:9" x14ac:dyDescent="0.2">
      <c r="H22921" s="1"/>
      <c r="I22921" s="1"/>
    </row>
    <row r="22922" spans="8:9" x14ac:dyDescent="0.2">
      <c r="H22922" s="1"/>
      <c r="I22922" s="1"/>
    </row>
    <row r="22923" spans="8:9" x14ac:dyDescent="0.2">
      <c r="H22923" s="1"/>
      <c r="I22923" s="1"/>
    </row>
    <row r="22924" spans="8:9" x14ac:dyDescent="0.2">
      <c r="H22924" s="1"/>
      <c r="I22924" s="1"/>
    </row>
    <row r="22925" spans="8:9" x14ac:dyDescent="0.2">
      <c r="H22925" s="1"/>
      <c r="I22925" s="1"/>
    </row>
    <row r="22926" spans="8:9" x14ac:dyDescent="0.2">
      <c r="H22926" s="1"/>
      <c r="I22926" s="1"/>
    </row>
    <row r="22927" spans="8:9" x14ac:dyDescent="0.2">
      <c r="H22927" s="1"/>
      <c r="I22927" s="1"/>
    </row>
    <row r="22928" spans="8:9" x14ac:dyDescent="0.2">
      <c r="H22928" s="1"/>
      <c r="I22928" s="1"/>
    </row>
    <row r="22929" spans="8:9" x14ac:dyDescent="0.2">
      <c r="H22929" s="1"/>
      <c r="I22929" s="1"/>
    </row>
    <row r="22930" spans="8:9" x14ac:dyDescent="0.2">
      <c r="H22930" s="1"/>
      <c r="I22930" s="1"/>
    </row>
    <row r="22931" spans="8:9" x14ac:dyDescent="0.2">
      <c r="H22931" s="1"/>
      <c r="I22931" s="1"/>
    </row>
    <row r="22932" spans="8:9" x14ac:dyDescent="0.2">
      <c r="H22932" s="1"/>
      <c r="I22932" s="1"/>
    </row>
    <row r="22933" spans="8:9" x14ac:dyDescent="0.2">
      <c r="H22933" s="1"/>
      <c r="I22933" s="1"/>
    </row>
    <row r="22934" spans="8:9" x14ac:dyDescent="0.2">
      <c r="H22934" s="1"/>
      <c r="I22934" s="1"/>
    </row>
    <row r="22935" spans="8:9" x14ac:dyDescent="0.2">
      <c r="H22935" s="1"/>
      <c r="I22935" s="1"/>
    </row>
    <row r="22936" spans="8:9" x14ac:dyDescent="0.2">
      <c r="H22936" s="1"/>
      <c r="I22936" s="1"/>
    </row>
    <row r="22937" spans="8:9" x14ac:dyDescent="0.2">
      <c r="H22937" s="1"/>
      <c r="I22937" s="1"/>
    </row>
    <row r="22938" spans="8:9" x14ac:dyDescent="0.2">
      <c r="H22938" s="1"/>
      <c r="I22938" s="1"/>
    </row>
    <row r="22939" spans="8:9" x14ac:dyDescent="0.2">
      <c r="H22939" s="1"/>
      <c r="I22939" s="1"/>
    </row>
    <row r="22940" spans="8:9" x14ac:dyDescent="0.2">
      <c r="H22940" s="1"/>
      <c r="I22940" s="1"/>
    </row>
    <row r="22941" spans="8:9" x14ac:dyDescent="0.2">
      <c r="H22941" s="1"/>
      <c r="I22941" s="1"/>
    </row>
    <row r="22942" spans="8:9" x14ac:dyDescent="0.2">
      <c r="H22942" s="1"/>
      <c r="I22942" s="1"/>
    </row>
    <row r="22943" spans="8:9" x14ac:dyDescent="0.2">
      <c r="H22943" s="1"/>
      <c r="I22943" s="1"/>
    </row>
    <row r="22944" spans="8:9" x14ac:dyDescent="0.2">
      <c r="H22944" s="1"/>
      <c r="I22944" s="1"/>
    </row>
    <row r="22945" spans="8:9" x14ac:dyDescent="0.2">
      <c r="H22945" s="1"/>
      <c r="I22945" s="1"/>
    </row>
    <row r="22946" spans="8:9" x14ac:dyDescent="0.2">
      <c r="H22946" s="1"/>
      <c r="I22946" s="1"/>
    </row>
    <row r="22947" spans="8:9" x14ac:dyDescent="0.2">
      <c r="H22947" s="1"/>
      <c r="I22947" s="1"/>
    </row>
    <row r="22948" spans="8:9" x14ac:dyDescent="0.2">
      <c r="H22948" s="1"/>
      <c r="I22948" s="1"/>
    </row>
    <row r="22949" spans="8:9" x14ac:dyDescent="0.2">
      <c r="H22949" s="1"/>
      <c r="I22949" s="1"/>
    </row>
    <row r="22950" spans="8:9" x14ac:dyDescent="0.2">
      <c r="H22950" s="1"/>
      <c r="I22950" s="1"/>
    </row>
    <row r="22951" spans="8:9" x14ac:dyDescent="0.2">
      <c r="H22951" s="1"/>
      <c r="I22951" s="1"/>
    </row>
    <row r="22952" spans="8:9" x14ac:dyDescent="0.2">
      <c r="H22952" s="1"/>
      <c r="I22952" s="1"/>
    </row>
    <row r="22953" spans="8:9" x14ac:dyDescent="0.2">
      <c r="H22953" s="1"/>
      <c r="I22953" s="1"/>
    </row>
    <row r="22954" spans="8:9" x14ac:dyDescent="0.2">
      <c r="H22954" s="1"/>
      <c r="I22954" s="1"/>
    </row>
    <row r="22955" spans="8:9" x14ac:dyDescent="0.2">
      <c r="H22955" s="1"/>
      <c r="I22955" s="1"/>
    </row>
    <row r="22956" spans="8:9" x14ac:dyDescent="0.2">
      <c r="H22956" s="1"/>
      <c r="I22956" s="1"/>
    </row>
    <row r="22957" spans="8:9" x14ac:dyDescent="0.2">
      <c r="H22957" s="1"/>
      <c r="I22957" s="1"/>
    </row>
    <row r="22958" spans="8:9" x14ac:dyDescent="0.2">
      <c r="H22958" s="1"/>
      <c r="I22958" s="1"/>
    </row>
    <row r="22959" spans="8:9" x14ac:dyDescent="0.2">
      <c r="H22959" s="1"/>
      <c r="I22959" s="1"/>
    </row>
    <row r="22960" spans="8:9" x14ac:dyDescent="0.2">
      <c r="H22960" s="1"/>
      <c r="I22960" s="1"/>
    </row>
    <row r="22961" spans="8:9" x14ac:dyDescent="0.2">
      <c r="H22961" s="1"/>
      <c r="I22961" s="1"/>
    </row>
    <row r="22962" spans="8:9" x14ac:dyDescent="0.2">
      <c r="H22962" s="1"/>
      <c r="I22962" s="1"/>
    </row>
    <row r="22963" spans="8:9" x14ac:dyDescent="0.2">
      <c r="H22963" s="1"/>
      <c r="I22963" s="1"/>
    </row>
    <row r="22964" spans="8:9" x14ac:dyDescent="0.2">
      <c r="H22964" s="1"/>
      <c r="I22964" s="1"/>
    </row>
    <row r="22965" spans="8:9" x14ac:dyDescent="0.2">
      <c r="H22965" s="1"/>
      <c r="I22965" s="1"/>
    </row>
    <row r="22966" spans="8:9" x14ac:dyDescent="0.2">
      <c r="H22966" s="1"/>
      <c r="I22966" s="1"/>
    </row>
    <row r="22967" spans="8:9" x14ac:dyDescent="0.2">
      <c r="H22967" s="1"/>
      <c r="I22967" s="1"/>
    </row>
    <row r="22968" spans="8:9" x14ac:dyDescent="0.2">
      <c r="H22968" s="1"/>
      <c r="I22968" s="1"/>
    </row>
    <row r="22969" spans="8:9" x14ac:dyDescent="0.2">
      <c r="H22969" s="1"/>
      <c r="I22969" s="1"/>
    </row>
    <row r="22970" spans="8:9" x14ac:dyDescent="0.2">
      <c r="H22970" s="1"/>
      <c r="I22970" s="1"/>
    </row>
    <row r="22971" spans="8:9" x14ac:dyDescent="0.2">
      <c r="H22971" s="1"/>
      <c r="I22971" s="1"/>
    </row>
    <row r="22972" spans="8:9" x14ac:dyDescent="0.2">
      <c r="H22972" s="1"/>
      <c r="I22972" s="1"/>
    </row>
    <row r="22973" spans="8:9" x14ac:dyDescent="0.2">
      <c r="H22973" s="1"/>
      <c r="I22973" s="1"/>
    </row>
    <row r="22974" spans="8:9" x14ac:dyDescent="0.2">
      <c r="H22974" s="1"/>
      <c r="I22974" s="1"/>
    </row>
    <row r="22975" spans="8:9" x14ac:dyDescent="0.2">
      <c r="H22975" s="1"/>
      <c r="I22975" s="1"/>
    </row>
    <row r="22976" spans="8:9" x14ac:dyDescent="0.2">
      <c r="H22976" s="1"/>
      <c r="I22976" s="1"/>
    </row>
    <row r="22977" spans="8:9" x14ac:dyDescent="0.2">
      <c r="H22977" s="1"/>
      <c r="I22977" s="1"/>
    </row>
    <row r="22978" spans="8:9" x14ac:dyDescent="0.2">
      <c r="H22978" s="1"/>
      <c r="I22978" s="1"/>
    </row>
    <row r="22979" spans="8:9" x14ac:dyDescent="0.2">
      <c r="H22979" s="1"/>
      <c r="I22979" s="1"/>
    </row>
    <row r="22980" spans="8:9" x14ac:dyDescent="0.2">
      <c r="H22980" s="1"/>
      <c r="I22980" s="1"/>
    </row>
    <row r="22981" spans="8:9" x14ac:dyDescent="0.2">
      <c r="H22981" s="1"/>
      <c r="I22981" s="1"/>
    </row>
    <row r="22982" spans="8:9" x14ac:dyDescent="0.2">
      <c r="H22982" s="1"/>
      <c r="I22982" s="1"/>
    </row>
    <row r="22983" spans="8:9" x14ac:dyDescent="0.2">
      <c r="H22983" s="1"/>
      <c r="I22983" s="1"/>
    </row>
    <row r="22984" spans="8:9" x14ac:dyDescent="0.2">
      <c r="H22984" s="1"/>
      <c r="I22984" s="1"/>
    </row>
    <row r="22985" spans="8:9" x14ac:dyDescent="0.2">
      <c r="H22985" s="1"/>
      <c r="I22985" s="1"/>
    </row>
    <row r="22986" spans="8:9" x14ac:dyDescent="0.2">
      <c r="H22986" s="1"/>
      <c r="I22986" s="1"/>
    </row>
    <row r="22987" spans="8:9" x14ac:dyDescent="0.2">
      <c r="H22987" s="1"/>
      <c r="I22987" s="1"/>
    </row>
    <row r="22988" spans="8:9" x14ac:dyDescent="0.2">
      <c r="H22988" s="1"/>
      <c r="I22988" s="1"/>
    </row>
    <row r="22989" spans="8:9" x14ac:dyDescent="0.2">
      <c r="H22989" s="1"/>
      <c r="I22989" s="1"/>
    </row>
    <row r="22990" spans="8:9" x14ac:dyDescent="0.2">
      <c r="H22990" s="1"/>
      <c r="I22990" s="1"/>
    </row>
    <row r="22991" spans="8:9" x14ac:dyDescent="0.2">
      <c r="H22991" s="1"/>
      <c r="I22991" s="1"/>
    </row>
    <row r="22992" spans="8:9" x14ac:dyDescent="0.2">
      <c r="H22992" s="1"/>
      <c r="I22992" s="1"/>
    </row>
    <row r="22993" spans="8:9" x14ac:dyDescent="0.2">
      <c r="H22993" s="1"/>
      <c r="I22993" s="1"/>
    </row>
    <row r="22994" spans="8:9" x14ac:dyDescent="0.2">
      <c r="H22994" s="1"/>
      <c r="I22994" s="1"/>
    </row>
    <row r="22995" spans="8:9" x14ac:dyDescent="0.2">
      <c r="H22995" s="1"/>
      <c r="I22995" s="1"/>
    </row>
    <row r="22996" spans="8:9" x14ac:dyDescent="0.2">
      <c r="H22996" s="1"/>
      <c r="I22996" s="1"/>
    </row>
    <row r="22997" spans="8:9" x14ac:dyDescent="0.2">
      <c r="H22997" s="1"/>
      <c r="I22997" s="1"/>
    </row>
    <row r="22998" spans="8:9" x14ac:dyDescent="0.2">
      <c r="H22998" s="1"/>
      <c r="I22998" s="1"/>
    </row>
    <row r="22999" spans="8:9" x14ac:dyDescent="0.2">
      <c r="H22999" s="1"/>
      <c r="I22999" s="1"/>
    </row>
    <row r="23000" spans="8:9" x14ac:dyDescent="0.2">
      <c r="H23000" s="1"/>
      <c r="I23000" s="1"/>
    </row>
    <row r="23001" spans="8:9" x14ac:dyDescent="0.2">
      <c r="H23001" s="1"/>
      <c r="I23001" s="1"/>
    </row>
    <row r="23002" spans="8:9" x14ac:dyDescent="0.2">
      <c r="H23002" s="1"/>
      <c r="I23002" s="1"/>
    </row>
    <row r="23003" spans="8:9" x14ac:dyDescent="0.2">
      <c r="H23003" s="1"/>
      <c r="I23003" s="1"/>
    </row>
    <row r="23004" spans="8:9" x14ac:dyDescent="0.2">
      <c r="H23004" s="1"/>
      <c r="I23004" s="1"/>
    </row>
    <row r="23005" spans="8:9" x14ac:dyDescent="0.2">
      <c r="H23005" s="1"/>
      <c r="I23005" s="1"/>
    </row>
    <row r="23006" spans="8:9" x14ac:dyDescent="0.2">
      <c r="H23006" s="1"/>
      <c r="I23006" s="1"/>
    </row>
    <row r="23007" spans="8:9" x14ac:dyDescent="0.2">
      <c r="H23007" s="1"/>
      <c r="I23007" s="1"/>
    </row>
    <row r="23008" spans="8:9" x14ac:dyDescent="0.2">
      <c r="H23008" s="1"/>
      <c r="I23008" s="1"/>
    </row>
    <row r="23009" spans="8:9" x14ac:dyDescent="0.2">
      <c r="H23009" s="1"/>
      <c r="I23009" s="1"/>
    </row>
    <row r="23010" spans="8:9" x14ac:dyDescent="0.2">
      <c r="H23010" s="1"/>
      <c r="I23010" s="1"/>
    </row>
    <row r="23011" spans="8:9" x14ac:dyDescent="0.2">
      <c r="H23011" s="1"/>
      <c r="I23011" s="1"/>
    </row>
    <row r="23012" spans="8:9" x14ac:dyDescent="0.2">
      <c r="H23012" s="1"/>
      <c r="I23012" s="1"/>
    </row>
    <row r="23013" spans="8:9" x14ac:dyDescent="0.2">
      <c r="H23013" s="1"/>
      <c r="I23013" s="1"/>
    </row>
    <row r="23014" spans="8:9" x14ac:dyDescent="0.2">
      <c r="H23014" s="1"/>
      <c r="I23014" s="1"/>
    </row>
    <row r="23015" spans="8:9" x14ac:dyDescent="0.2">
      <c r="H23015" s="1"/>
      <c r="I23015" s="1"/>
    </row>
    <row r="23016" spans="8:9" x14ac:dyDescent="0.2">
      <c r="H23016" s="1"/>
      <c r="I23016" s="1"/>
    </row>
    <row r="23017" spans="8:9" x14ac:dyDescent="0.2">
      <c r="H23017" s="1"/>
      <c r="I23017" s="1"/>
    </row>
    <row r="23018" spans="8:9" x14ac:dyDescent="0.2">
      <c r="H23018" s="1"/>
      <c r="I23018" s="1"/>
    </row>
    <row r="23019" spans="8:9" x14ac:dyDescent="0.2">
      <c r="H23019" s="1"/>
      <c r="I23019" s="1"/>
    </row>
    <row r="23020" spans="8:9" x14ac:dyDescent="0.2">
      <c r="H23020" s="1"/>
      <c r="I23020" s="1"/>
    </row>
    <row r="23021" spans="8:9" x14ac:dyDescent="0.2">
      <c r="H23021" s="1"/>
      <c r="I23021" s="1"/>
    </row>
    <row r="23022" spans="8:9" x14ac:dyDescent="0.2">
      <c r="H23022" s="1"/>
      <c r="I23022" s="1"/>
    </row>
    <row r="23023" spans="8:9" x14ac:dyDescent="0.2">
      <c r="H23023" s="1"/>
      <c r="I23023" s="1"/>
    </row>
    <row r="23024" spans="8:9" x14ac:dyDescent="0.2">
      <c r="H23024" s="1"/>
      <c r="I23024" s="1"/>
    </row>
    <row r="23025" spans="8:9" x14ac:dyDescent="0.2">
      <c r="H23025" s="1"/>
      <c r="I23025" s="1"/>
    </row>
    <row r="23026" spans="8:9" x14ac:dyDescent="0.2">
      <c r="H23026" s="1"/>
      <c r="I23026" s="1"/>
    </row>
    <row r="23027" spans="8:9" x14ac:dyDescent="0.2">
      <c r="H23027" s="1"/>
      <c r="I23027" s="1"/>
    </row>
    <row r="23028" spans="8:9" x14ac:dyDescent="0.2">
      <c r="H23028" s="1"/>
      <c r="I23028" s="1"/>
    </row>
    <row r="23029" spans="8:9" x14ac:dyDescent="0.2">
      <c r="H23029" s="1"/>
      <c r="I23029" s="1"/>
    </row>
    <row r="23030" spans="8:9" x14ac:dyDescent="0.2">
      <c r="H23030" s="1"/>
      <c r="I23030" s="1"/>
    </row>
    <row r="23031" spans="8:9" x14ac:dyDescent="0.2">
      <c r="H23031" s="1"/>
      <c r="I23031" s="1"/>
    </row>
    <row r="23032" spans="8:9" x14ac:dyDescent="0.2">
      <c r="H23032" s="1"/>
      <c r="I23032" s="1"/>
    </row>
    <row r="23033" spans="8:9" x14ac:dyDescent="0.2">
      <c r="H23033" s="1"/>
      <c r="I23033" s="1"/>
    </row>
    <row r="23034" spans="8:9" x14ac:dyDescent="0.2">
      <c r="H23034" s="1"/>
      <c r="I23034" s="1"/>
    </row>
    <row r="23035" spans="8:9" x14ac:dyDescent="0.2">
      <c r="H23035" s="1"/>
      <c r="I23035" s="1"/>
    </row>
    <row r="23036" spans="8:9" x14ac:dyDescent="0.2">
      <c r="H23036" s="1"/>
      <c r="I23036" s="1"/>
    </row>
    <row r="23037" spans="8:9" x14ac:dyDescent="0.2">
      <c r="H23037" s="1"/>
      <c r="I23037" s="1"/>
    </row>
    <row r="23038" spans="8:9" x14ac:dyDescent="0.2">
      <c r="H23038" s="1"/>
      <c r="I23038" s="1"/>
    </row>
    <row r="23039" spans="8:9" x14ac:dyDescent="0.2">
      <c r="H23039" s="1"/>
      <c r="I23039" s="1"/>
    </row>
    <row r="23040" spans="8:9" x14ac:dyDescent="0.2">
      <c r="H23040" s="1"/>
      <c r="I23040" s="1"/>
    </row>
    <row r="23041" spans="8:9" x14ac:dyDescent="0.2">
      <c r="H23041" s="1"/>
      <c r="I23041" s="1"/>
    </row>
    <row r="23042" spans="8:9" x14ac:dyDescent="0.2">
      <c r="H23042" s="1"/>
      <c r="I23042" s="1"/>
    </row>
    <row r="23043" spans="8:9" x14ac:dyDescent="0.2">
      <c r="H23043" s="1"/>
      <c r="I23043" s="1"/>
    </row>
    <row r="23044" spans="8:9" x14ac:dyDescent="0.2">
      <c r="H23044" s="1"/>
      <c r="I23044" s="1"/>
    </row>
    <row r="23045" spans="8:9" x14ac:dyDescent="0.2">
      <c r="H23045" s="1"/>
      <c r="I23045" s="1"/>
    </row>
    <row r="23046" spans="8:9" x14ac:dyDescent="0.2">
      <c r="H23046" s="1"/>
      <c r="I23046" s="1"/>
    </row>
    <row r="23047" spans="8:9" x14ac:dyDescent="0.2">
      <c r="H23047" s="1"/>
      <c r="I23047" s="1"/>
    </row>
    <row r="23048" spans="8:9" x14ac:dyDescent="0.2">
      <c r="H23048" s="1"/>
      <c r="I23048" s="1"/>
    </row>
    <row r="23049" spans="8:9" x14ac:dyDescent="0.2">
      <c r="H23049" s="1"/>
      <c r="I23049" s="1"/>
    </row>
    <row r="23050" spans="8:9" x14ac:dyDescent="0.2">
      <c r="H23050" s="1"/>
      <c r="I23050" s="1"/>
    </row>
    <row r="23051" spans="8:9" x14ac:dyDescent="0.2">
      <c r="H23051" s="1"/>
      <c r="I23051" s="1"/>
    </row>
    <row r="23052" spans="8:9" x14ac:dyDescent="0.2">
      <c r="H23052" s="1"/>
      <c r="I23052" s="1"/>
    </row>
    <row r="23053" spans="8:9" x14ac:dyDescent="0.2">
      <c r="H23053" s="1"/>
      <c r="I23053" s="1"/>
    </row>
    <row r="23054" spans="8:9" x14ac:dyDescent="0.2">
      <c r="H23054" s="1"/>
      <c r="I23054" s="1"/>
    </row>
    <row r="23055" spans="8:9" x14ac:dyDescent="0.2">
      <c r="H23055" s="1"/>
      <c r="I23055" s="1"/>
    </row>
    <row r="23056" spans="8:9" x14ac:dyDescent="0.2">
      <c r="H23056" s="1"/>
      <c r="I23056" s="1"/>
    </row>
    <row r="23057" spans="8:9" x14ac:dyDescent="0.2">
      <c r="H23057" s="1"/>
      <c r="I23057" s="1"/>
    </row>
    <row r="23058" spans="8:9" x14ac:dyDescent="0.2">
      <c r="H23058" s="1"/>
      <c r="I23058" s="1"/>
    </row>
    <row r="23059" spans="8:9" x14ac:dyDescent="0.2">
      <c r="H23059" s="1"/>
      <c r="I23059" s="1"/>
    </row>
    <row r="23060" spans="8:9" x14ac:dyDescent="0.2">
      <c r="H23060" s="1"/>
      <c r="I23060" s="1"/>
    </row>
    <row r="23061" spans="8:9" x14ac:dyDescent="0.2">
      <c r="H23061" s="1"/>
      <c r="I23061" s="1"/>
    </row>
    <row r="23062" spans="8:9" x14ac:dyDescent="0.2">
      <c r="H23062" s="1"/>
      <c r="I23062" s="1"/>
    </row>
    <row r="23063" spans="8:9" x14ac:dyDescent="0.2">
      <c r="H23063" s="1"/>
      <c r="I23063" s="1"/>
    </row>
    <row r="23064" spans="8:9" x14ac:dyDescent="0.2">
      <c r="H23064" s="1"/>
      <c r="I23064" s="1"/>
    </row>
    <row r="23065" spans="8:9" x14ac:dyDescent="0.2">
      <c r="H23065" s="1"/>
      <c r="I23065" s="1"/>
    </row>
    <row r="23066" spans="8:9" x14ac:dyDescent="0.2">
      <c r="H23066" s="1"/>
      <c r="I23066" s="1"/>
    </row>
    <row r="23067" spans="8:9" x14ac:dyDescent="0.2">
      <c r="H23067" s="1"/>
      <c r="I23067" s="1"/>
    </row>
    <row r="23068" spans="8:9" x14ac:dyDescent="0.2">
      <c r="H23068" s="1"/>
      <c r="I23068" s="1"/>
    </row>
    <row r="23069" spans="8:9" x14ac:dyDescent="0.2">
      <c r="H23069" s="1"/>
      <c r="I23069" s="1"/>
    </row>
    <row r="23070" spans="8:9" x14ac:dyDescent="0.2">
      <c r="H23070" s="1"/>
      <c r="I23070" s="1"/>
    </row>
    <row r="23071" spans="8:9" x14ac:dyDescent="0.2">
      <c r="H23071" s="1"/>
      <c r="I23071" s="1"/>
    </row>
    <row r="23072" spans="8:9" x14ac:dyDescent="0.2">
      <c r="H23072" s="1"/>
      <c r="I23072" s="1"/>
    </row>
    <row r="23073" spans="8:9" x14ac:dyDescent="0.2">
      <c r="H23073" s="1"/>
      <c r="I23073" s="1"/>
    </row>
    <row r="23074" spans="8:9" x14ac:dyDescent="0.2">
      <c r="H23074" s="1"/>
      <c r="I23074" s="1"/>
    </row>
    <row r="23075" spans="8:9" x14ac:dyDescent="0.2">
      <c r="H23075" s="1"/>
      <c r="I23075" s="1"/>
    </row>
    <row r="23076" spans="8:9" x14ac:dyDescent="0.2">
      <c r="H23076" s="1"/>
      <c r="I23076" s="1"/>
    </row>
    <row r="23077" spans="8:9" x14ac:dyDescent="0.2">
      <c r="H23077" s="1"/>
      <c r="I23077" s="1"/>
    </row>
    <row r="23078" spans="8:9" x14ac:dyDescent="0.2">
      <c r="H23078" s="1"/>
      <c r="I23078" s="1"/>
    </row>
    <row r="23079" spans="8:9" x14ac:dyDescent="0.2">
      <c r="H23079" s="1"/>
      <c r="I23079" s="1"/>
    </row>
    <row r="23080" spans="8:9" x14ac:dyDescent="0.2">
      <c r="H23080" s="1"/>
      <c r="I23080" s="1"/>
    </row>
    <row r="23081" spans="8:9" x14ac:dyDescent="0.2">
      <c r="H23081" s="1"/>
      <c r="I23081" s="1"/>
    </row>
    <row r="23082" spans="8:9" x14ac:dyDescent="0.2">
      <c r="H23082" s="1"/>
      <c r="I23082" s="1"/>
    </row>
    <row r="23083" spans="8:9" x14ac:dyDescent="0.2">
      <c r="H23083" s="1"/>
      <c r="I23083" s="1"/>
    </row>
    <row r="23084" spans="8:9" x14ac:dyDescent="0.2">
      <c r="H23084" s="1"/>
      <c r="I23084" s="1"/>
    </row>
    <row r="23085" spans="8:9" x14ac:dyDescent="0.2">
      <c r="H23085" s="1"/>
      <c r="I23085" s="1"/>
    </row>
    <row r="23086" spans="8:9" x14ac:dyDescent="0.2">
      <c r="H23086" s="1"/>
      <c r="I23086" s="1"/>
    </row>
    <row r="23087" spans="8:9" x14ac:dyDescent="0.2">
      <c r="H23087" s="1"/>
      <c r="I23087" s="1"/>
    </row>
    <row r="23088" spans="8:9" x14ac:dyDescent="0.2">
      <c r="H23088" s="1"/>
      <c r="I23088" s="1"/>
    </row>
    <row r="23089" spans="8:9" x14ac:dyDescent="0.2">
      <c r="H23089" s="1"/>
      <c r="I23089" s="1"/>
    </row>
    <row r="23090" spans="8:9" x14ac:dyDescent="0.2">
      <c r="H23090" s="1"/>
      <c r="I23090" s="1"/>
    </row>
    <row r="23091" spans="8:9" x14ac:dyDescent="0.2">
      <c r="H23091" s="1"/>
      <c r="I23091" s="1"/>
    </row>
    <row r="23092" spans="8:9" x14ac:dyDescent="0.2">
      <c r="H23092" s="1"/>
      <c r="I23092" s="1"/>
    </row>
    <row r="23093" spans="8:9" x14ac:dyDescent="0.2">
      <c r="H23093" s="1"/>
      <c r="I23093" s="1"/>
    </row>
    <row r="23094" spans="8:9" x14ac:dyDescent="0.2">
      <c r="H23094" s="1"/>
      <c r="I23094" s="1"/>
    </row>
    <row r="23095" spans="8:9" x14ac:dyDescent="0.2">
      <c r="H23095" s="1"/>
      <c r="I23095" s="1"/>
    </row>
    <row r="23096" spans="8:9" x14ac:dyDescent="0.2">
      <c r="H23096" s="1"/>
      <c r="I23096" s="1"/>
    </row>
    <row r="23097" spans="8:9" x14ac:dyDescent="0.2">
      <c r="H23097" s="1"/>
      <c r="I23097" s="1"/>
    </row>
    <row r="23098" spans="8:9" x14ac:dyDescent="0.2">
      <c r="H23098" s="1"/>
      <c r="I23098" s="1"/>
    </row>
    <row r="23099" spans="8:9" x14ac:dyDescent="0.2">
      <c r="H23099" s="1"/>
      <c r="I23099" s="1"/>
    </row>
    <row r="23100" spans="8:9" x14ac:dyDescent="0.2">
      <c r="H23100" s="1"/>
      <c r="I23100" s="1"/>
    </row>
    <row r="23101" spans="8:9" x14ac:dyDescent="0.2">
      <c r="H23101" s="1"/>
      <c r="I23101" s="1"/>
    </row>
    <row r="23102" spans="8:9" x14ac:dyDescent="0.2">
      <c r="H23102" s="1"/>
      <c r="I23102" s="1"/>
    </row>
    <row r="23103" spans="8:9" x14ac:dyDescent="0.2">
      <c r="H23103" s="1"/>
      <c r="I23103" s="1"/>
    </row>
    <row r="23104" spans="8:9" x14ac:dyDescent="0.2">
      <c r="H23104" s="1"/>
      <c r="I23104" s="1"/>
    </row>
    <row r="23105" spans="8:9" x14ac:dyDescent="0.2">
      <c r="H23105" s="1"/>
      <c r="I23105" s="1"/>
    </row>
    <row r="23106" spans="8:9" x14ac:dyDescent="0.2">
      <c r="H23106" s="1"/>
      <c r="I23106" s="1"/>
    </row>
    <row r="23107" spans="8:9" x14ac:dyDescent="0.2">
      <c r="H23107" s="1"/>
      <c r="I23107" s="1"/>
    </row>
    <row r="23108" spans="8:9" x14ac:dyDescent="0.2">
      <c r="H23108" s="1"/>
      <c r="I23108" s="1"/>
    </row>
    <row r="23109" spans="8:9" x14ac:dyDescent="0.2">
      <c r="H23109" s="1"/>
      <c r="I23109" s="1"/>
    </row>
    <row r="23110" spans="8:9" x14ac:dyDescent="0.2">
      <c r="H23110" s="1"/>
      <c r="I23110" s="1"/>
    </row>
    <row r="23111" spans="8:9" x14ac:dyDescent="0.2">
      <c r="H23111" s="1"/>
      <c r="I23111" s="1"/>
    </row>
    <row r="23112" spans="8:9" x14ac:dyDescent="0.2">
      <c r="H23112" s="1"/>
      <c r="I23112" s="1"/>
    </row>
    <row r="23113" spans="8:9" x14ac:dyDescent="0.2">
      <c r="H23113" s="1"/>
      <c r="I23113" s="1"/>
    </row>
    <row r="23114" spans="8:9" x14ac:dyDescent="0.2">
      <c r="H23114" s="1"/>
      <c r="I23114" s="1"/>
    </row>
    <row r="23115" spans="8:9" x14ac:dyDescent="0.2">
      <c r="H23115" s="1"/>
      <c r="I23115" s="1"/>
    </row>
    <row r="23116" spans="8:9" x14ac:dyDescent="0.2">
      <c r="H23116" s="1"/>
      <c r="I23116" s="1"/>
    </row>
    <row r="23117" spans="8:9" x14ac:dyDescent="0.2">
      <c r="H23117" s="1"/>
      <c r="I23117" s="1"/>
    </row>
    <row r="23118" spans="8:9" x14ac:dyDescent="0.2">
      <c r="H23118" s="1"/>
      <c r="I23118" s="1"/>
    </row>
    <row r="23119" spans="8:9" x14ac:dyDescent="0.2">
      <c r="H23119" s="1"/>
      <c r="I23119" s="1"/>
    </row>
    <row r="23120" spans="8:9" x14ac:dyDescent="0.2">
      <c r="H23120" s="1"/>
      <c r="I23120" s="1"/>
    </row>
    <row r="23121" spans="8:9" x14ac:dyDescent="0.2">
      <c r="H23121" s="1"/>
      <c r="I23121" s="1"/>
    </row>
    <row r="23122" spans="8:9" x14ac:dyDescent="0.2">
      <c r="H23122" s="1"/>
      <c r="I23122" s="1"/>
    </row>
    <row r="23123" spans="8:9" x14ac:dyDescent="0.2">
      <c r="H23123" s="1"/>
      <c r="I23123" s="1"/>
    </row>
    <row r="23124" spans="8:9" x14ac:dyDescent="0.2">
      <c r="H23124" s="1"/>
      <c r="I23124" s="1"/>
    </row>
    <row r="23125" spans="8:9" x14ac:dyDescent="0.2">
      <c r="H23125" s="1"/>
      <c r="I23125" s="1"/>
    </row>
    <row r="23126" spans="8:9" x14ac:dyDescent="0.2">
      <c r="H23126" s="1"/>
      <c r="I23126" s="1"/>
    </row>
    <row r="23127" spans="8:9" x14ac:dyDescent="0.2">
      <c r="H23127" s="1"/>
      <c r="I23127" s="1"/>
    </row>
    <row r="23128" spans="8:9" x14ac:dyDescent="0.2">
      <c r="H23128" s="1"/>
      <c r="I23128" s="1"/>
    </row>
    <row r="23129" spans="8:9" x14ac:dyDescent="0.2">
      <c r="H23129" s="1"/>
      <c r="I23129" s="1"/>
    </row>
    <row r="23130" spans="8:9" x14ac:dyDescent="0.2">
      <c r="H23130" s="1"/>
      <c r="I23130" s="1"/>
    </row>
    <row r="23131" spans="8:9" x14ac:dyDescent="0.2">
      <c r="H23131" s="1"/>
      <c r="I23131" s="1"/>
    </row>
    <row r="23132" spans="8:9" x14ac:dyDescent="0.2">
      <c r="H23132" s="1"/>
      <c r="I23132" s="1"/>
    </row>
    <row r="23133" spans="8:9" x14ac:dyDescent="0.2">
      <c r="H23133" s="1"/>
      <c r="I23133" s="1"/>
    </row>
    <row r="23134" spans="8:9" x14ac:dyDescent="0.2">
      <c r="H23134" s="1"/>
      <c r="I23134" s="1"/>
    </row>
    <row r="23135" spans="8:9" x14ac:dyDescent="0.2">
      <c r="H23135" s="1"/>
      <c r="I23135" s="1"/>
    </row>
    <row r="23136" spans="8:9" x14ac:dyDescent="0.2">
      <c r="H23136" s="1"/>
      <c r="I23136" s="1"/>
    </row>
    <row r="23137" spans="8:9" x14ac:dyDescent="0.2">
      <c r="H23137" s="1"/>
      <c r="I23137" s="1"/>
    </row>
    <row r="23138" spans="8:9" x14ac:dyDescent="0.2">
      <c r="H23138" s="1"/>
      <c r="I23138" s="1"/>
    </row>
    <row r="23139" spans="8:9" x14ac:dyDescent="0.2">
      <c r="H23139" s="1"/>
      <c r="I23139" s="1"/>
    </row>
    <row r="23140" spans="8:9" x14ac:dyDescent="0.2">
      <c r="H23140" s="1"/>
      <c r="I23140" s="1"/>
    </row>
    <row r="23141" spans="8:9" x14ac:dyDescent="0.2">
      <c r="H23141" s="1"/>
      <c r="I23141" s="1"/>
    </row>
    <row r="23142" spans="8:9" x14ac:dyDescent="0.2">
      <c r="H23142" s="1"/>
      <c r="I23142" s="1"/>
    </row>
    <row r="23143" spans="8:9" x14ac:dyDescent="0.2">
      <c r="H23143" s="1"/>
      <c r="I23143" s="1"/>
    </row>
    <row r="23144" spans="8:9" x14ac:dyDescent="0.2">
      <c r="H23144" s="1"/>
      <c r="I23144" s="1"/>
    </row>
    <row r="23145" spans="8:9" x14ac:dyDescent="0.2">
      <c r="H23145" s="1"/>
      <c r="I23145" s="1"/>
    </row>
    <row r="23146" spans="8:9" x14ac:dyDescent="0.2">
      <c r="H23146" s="1"/>
      <c r="I23146" s="1"/>
    </row>
    <row r="23147" spans="8:9" x14ac:dyDescent="0.2">
      <c r="H23147" s="1"/>
      <c r="I23147" s="1"/>
    </row>
    <row r="23148" spans="8:9" x14ac:dyDescent="0.2">
      <c r="H23148" s="1"/>
      <c r="I23148" s="1"/>
    </row>
    <row r="23149" spans="8:9" x14ac:dyDescent="0.2">
      <c r="H23149" s="1"/>
      <c r="I23149" s="1"/>
    </row>
    <row r="23150" spans="8:9" x14ac:dyDescent="0.2">
      <c r="H23150" s="1"/>
      <c r="I23150" s="1"/>
    </row>
    <row r="23151" spans="8:9" x14ac:dyDescent="0.2">
      <c r="H23151" s="1"/>
      <c r="I23151" s="1"/>
    </row>
    <row r="23152" spans="8:9" x14ac:dyDescent="0.2">
      <c r="H23152" s="1"/>
      <c r="I23152" s="1"/>
    </row>
    <row r="23153" spans="8:9" x14ac:dyDescent="0.2">
      <c r="H23153" s="1"/>
      <c r="I23153" s="1"/>
    </row>
    <row r="23154" spans="8:9" x14ac:dyDescent="0.2">
      <c r="H23154" s="1"/>
      <c r="I23154" s="1"/>
    </row>
    <row r="23155" spans="8:9" x14ac:dyDescent="0.2">
      <c r="H23155" s="1"/>
      <c r="I23155" s="1"/>
    </row>
    <row r="23156" spans="8:9" x14ac:dyDescent="0.2">
      <c r="H23156" s="1"/>
      <c r="I23156" s="1"/>
    </row>
    <row r="23157" spans="8:9" x14ac:dyDescent="0.2">
      <c r="H23157" s="1"/>
      <c r="I23157" s="1"/>
    </row>
    <row r="23158" spans="8:9" x14ac:dyDescent="0.2">
      <c r="H23158" s="1"/>
      <c r="I23158" s="1"/>
    </row>
    <row r="23159" spans="8:9" x14ac:dyDescent="0.2">
      <c r="H23159" s="1"/>
      <c r="I23159" s="1"/>
    </row>
    <row r="23160" spans="8:9" x14ac:dyDescent="0.2">
      <c r="H23160" s="1"/>
      <c r="I23160" s="1"/>
    </row>
    <row r="23161" spans="8:9" x14ac:dyDescent="0.2">
      <c r="H23161" s="1"/>
      <c r="I23161" s="1"/>
    </row>
    <row r="23162" spans="8:9" x14ac:dyDescent="0.2">
      <c r="H23162" s="1"/>
      <c r="I23162" s="1"/>
    </row>
    <row r="23163" spans="8:9" x14ac:dyDescent="0.2">
      <c r="H23163" s="1"/>
      <c r="I23163" s="1"/>
    </row>
    <row r="23164" spans="8:9" x14ac:dyDescent="0.2">
      <c r="H23164" s="1"/>
      <c r="I23164" s="1"/>
    </row>
    <row r="23165" spans="8:9" x14ac:dyDescent="0.2">
      <c r="H23165" s="1"/>
      <c r="I23165" s="1"/>
    </row>
    <row r="23166" spans="8:9" x14ac:dyDescent="0.2">
      <c r="H23166" s="1"/>
      <c r="I23166" s="1"/>
    </row>
    <row r="23167" spans="8:9" x14ac:dyDescent="0.2">
      <c r="H23167" s="1"/>
      <c r="I23167" s="1"/>
    </row>
    <row r="23168" spans="8:9" x14ac:dyDescent="0.2">
      <c r="H23168" s="1"/>
      <c r="I23168" s="1"/>
    </row>
    <row r="23169" spans="8:9" x14ac:dyDescent="0.2">
      <c r="H23169" s="1"/>
      <c r="I23169" s="1"/>
    </row>
    <row r="23170" spans="8:9" x14ac:dyDescent="0.2">
      <c r="H23170" s="1"/>
      <c r="I23170" s="1"/>
    </row>
    <row r="23171" spans="8:9" x14ac:dyDescent="0.2">
      <c r="H23171" s="1"/>
      <c r="I23171" s="1"/>
    </row>
    <row r="23172" spans="8:9" x14ac:dyDescent="0.2">
      <c r="H23172" s="1"/>
      <c r="I23172" s="1"/>
    </row>
    <row r="23173" spans="8:9" x14ac:dyDescent="0.2">
      <c r="H23173" s="1"/>
      <c r="I23173" s="1"/>
    </row>
    <row r="23174" spans="8:9" x14ac:dyDescent="0.2">
      <c r="H23174" s="1"/>
      <c r="I23174" s="1"/>
    </row>
    <row r="23175" spans="8:9" x14ac:dyDescent="0.2">
      <c r="H23175" s="1"/>
      <c r="I23175" s="1"/>
    </row>
    <row r="23176" spans="8:9" x14ac:dyDescent="0.2">
      <c r="H23176" s="1"/>
      <c r="I23176" s="1"/>
    </row>
    <row r="23177" spans="8:9" x14ac:dyDescent="0.2">
      <c r="H23177" s="1"/>
      <c r="I23177" s="1"/>
    </row>
    <row r="23178" spans="8:9" x14ac:dyDescent="0.2">
      <c r="H23178" s="1"/>
      <c r="I23178" s="1"/>
    </row>
    <row r="23179" spans="8:9" x14ac:dyDescent="0.2">
      <c r="H23179" s="1"/>
      <c r="I23179" s="1"/>
    </row>
    <row r="23180" spans="8:9" x14ac:dyDescent="0.2">
      <c r="H23180" s="1"/>
      <c r="I23180" s="1"/>
    </row>
    <row r="23181" spans="8:9" x14ac:dyDescent="0.2">
      <c r="H23181" s="1"/>
      <c r="I23181" s="1"/>
    </row>
    <row r="23182" spans="8:9" x14ac:dyDescent="0.2">
      <c r="H23182" s="1"/>
      <c r="I23182" s="1"/>
    </row>
    <row r="23183" spans="8:9" x14ac:dyDescent="0.2">
      <c r="H23183" s="1"/>
      <c r="I23183" s="1"/>
    </row>
    <row r="23184" spans="8:9" x14ac:dyDescent="0.2">
      <c r="H23184" s="1"/>
      <c r="I23184" s="1"/>
    </row>
    <row r="23185" spans="8:9" x14ac:dyDescent="0.2">
      <c r="H23185" s="1"/>
      <c r="I23185" s="1"/>
    </row>
    <row r="23186" spans="8:9" x14ac:dyDescent="0.2">
      <c r="H23186" s="1"/>
      <c r="I23186" s="1"/>
    </row>
    <row r="23187" spans="8:9" x14ac:dyDescent="0.2">
      <c r="H23187" s="1"/>
      <c r="I23187" s="1"/>
    </row>
    <row r="23188" spans="8:9" x14ac:dyDescent="0.2">
      <c r="H23188" s="1"/>
      <c r="I23188" s="1"/>
    </row>
    <row r="23189" spans="8:9" x14ac:dyDescent="0.2">
      <c r="H23189" s="1"/>
      <c r="I23189" s="1"/>
    </row>
    <row r="23190" spans="8:9" x14ac:dyDescent="0.2">
      <c r="H23190" s="1"/>
      <c r="I23190" s="1"/>
    </row>
    <row r="23191" spans="8:9" x14ac:dyDescent="0.2">
      <c r="H23191" s="1"/>
      <c r="I23191" s="1"/>
    </row>
    <row r="23192" spans="8:9" x14ac:dyDescent="0.2">
      <c r="H23192" s="1"/>
      <c r="I23192" s="1"/>
    </row>
    <row r="23193" spans="8:9" x14ac:dyDescent="0.2">
      <c r="H23193" s="1"/>
      <c r="I23193" s="1"/>
    </row>
    <row r="23194" spans="8:9" x14ac:dyDescent="0.2">
      <c r="H23194" s="1"/>
      <c r="I23194" s="1"/>
    </row>
    <row r="23195" spans="8:9" x14ac:dyDescent="0.2">
      <c r="H23195" s="1"/>
      <c r="I23195" s="1"/>
    </row>
    <row r="23196" spans="8:9" x14ac:dyDescent="0.2">
      <c r="H23196" s="1"/>
      <c r="I23196" s="1"/>
    </row>
    <row r="23197" spans="8:9" x14ac:dyDescent="0.2">
      <c r="H23197" s="1"/>
      <c r="I23197" s="1"/>
    </row>
    <row r="23198" spans="8:9" x14ac:dyDescent="0.2">
      <c r="H23198" s="1"/>
      <c r="I23198" s="1"/>
    </row>
    <row r="23199" spans="8:9" x14ac:dyDescent="0.2">
      <c r="H23199" s="1"/>
      <c r="I23199" s="1"/>
    </row>
    <row r="23200" spans="8:9" x14ac:dyDescent="0.2">
      <c r="H23200" s="1"/>
      <c r="I23200" s="1"/>
    </row>
    <row r="23201" spans="8:9" x14ac:dyDescent="0.2">
      <c r="H23201" s="1"/>
      <c r="I23201" s="1"/>
    </row>
    <row r="23202" spans="8:9" x14ac:dyDescent="0.2">
      <c r="H23202" s="1"/>
      <c r="I23202" s="1"/>
    </row>
    <row r="23203" spans="8:9" x14ac:dyDescent="0.2">
      <c r="H23203" s="1"/>
      <c r="I23203" s="1"/>
    </row>
    <row r="23204" spans="8:9" x14ac:dyDescent="0.2">
      <c r="H23204" s="1"/>
      <c r="I23204" s="1"/>
    </row>
    <row r="23205" spans="8:9" x14ac:dyDescent="0.2">
      <c r="H23205" s="1"/>
      <c r="I23205" s="1"/>
    </row>
    <row r="23206" spans="8:9" x14ac:dyDescent="0.2">
      <c r="H23206" s="1"/>
      <c r="I23206" s="1"/>
    </row>
    <row r="23207" spans="8:9" x14ac:dyDescent="0.2">
      <c r="H23207" s="1"/>
      <c r="I23207" s="1"/>
    </row>
    <row r="23208" spans="8:9" x14ac:dyDescent="0.2">
      <c r="H23208" s="1"/>
      <c r="I23208" s="1"/>
    </row>
    <row r="23209" spans="8:9" x14ac:dyDescent="0.2">
      <c r="H23209" s="1"/>
      <c r="I23209" s="1"/>
    </row>
    <row r="23210" spans="8:9" x14ac:dyDescent="0.2">
      <c r="H23210" s="1"/>
      <c r="I23210" s="1"/>
    </row>
    <row r="23211" spans="8:9" x14ac:dyDescent="0.2">
      <c r="H23211" s="1"/>
      <c r="I23211" s="1"/>
    </row>
    <row r="23212" spans="8:9" x14ac:dyDescent="0.2">
      <c r="H23212" s="1"/>
      <c r="I23212" s="1"/>
    </row>
    <row r="23213" spans="8:9" x14ac:dyDescent="0.2">
      <c r="H23213" s="1"/>
      <c r="I23213" s="1"/>
    </row>
    <row r="23214" spans="8:9" x14ac:dyDescent="0.2">
      <c r="H23214" s="1"/>
      <c r="I23214" s="1"/>
    </row>
    <row r="23215" spans="8:9" x14ac:dyDescent="0.2">
      <c r="H23215" s="1"/>
      <c r="I23215" s="1"/>
    </row>
    <row r="23216" spans="8:9" x14ac:dyDescent="0.2">
      <c r="H23216" s="1"/>
      <c r="I23216" s="1"/>
    </row>
    <row r="23217" spans="8:9" x14ac:dyDescent="0.2">
      <c r="H23217" s="1"/>
      <c r="I23217" s="1"/>
    </row>
    <row r="23218" spans="8:9" x14ac:dyDescent="0.2">
      <c r="H23218" s="1"/>
      <c r="I23218" s="1"/>
    </row>
    <row r="23219" spans="8:9" x14ac:dyDescent="0.2">
      <c r="H23219" s="1"/>
      <c r="I23219" s="1"/>
    </row>
    <row r="23220" spans="8:9" x14ac:dyDescent="0.2">
      <c r="H23220" s="1"/>
      <c r="I23220" s="1"/>
    </row>
    <row r="23221" spans="8:9" x14ac:dyDescent="0.2">
      <c r="H23221" s="1"/>
      <c r="I23221" s="1"/>
    </row>
    <row r="23222" spans="8:9" x14ac:dyDescent="0.2">
      <c r="H23222" s="1"/>
      <c r="I23222" s="1"/>
    </row>
    <row r="23223" spans="8:9" x14ac:dyDescent="0.2">
      <c r="H23223" s="1"/>
      <c r="I23223" s="1"/>
    </row>
    <row r="23224" spans="8:9" x14ac:dyDescent="0.2">
      <c r="H23224" s="1"/>
      <c r="I23224" s="1"/>
    </row>
    <row r="23225" spans="8:9" x14ac:dyDescent="0.2">
      <c r="H23225" s="1"/>
      <c r="I23225" s="1"/>
    </row>
    <row r="23226" spans="8:9" x14ac:dyDescent="0.2">
      <c r="H23226" s="1"/>
      <c r="I23226" s="1"/>
    </row>
    <row r="23227" spans="8:9" x14ac:dyDescent="0.2">
      <c r="H23227" s="1"/>
      <c r="I23227" s="1"/>
    </row>
    <row r="23228" spans="8:9" x14ac:dyDescent="0.2">
      <c r="H23228" s="1"/>
      <c r="I23228" s="1"/>
    </row>
    <row r="23229" spans="8:9" x14ac:dyDescent="0.2">
      <c r="H23229" s="1"/>
      <c r="I23229" s="1"/>
    </row>
    <row r="23230" spans="8:9" x14ac:dyDescent="0.2">
      <c r="H23230" s="1"/>
      <c r="I23230" s="1"/>
    </row>
    <row r="23231" spans="8:9" x14ac:dyDescent="0.2">
      <c r="H23231" s="1"/>
      <c r="I23231" s="1"/>
    </row>
    <row r="23232" spans="8:9" x14ac:dyDescent="0.2">
      <c r="H23232" s="1"/>
      <c r="I23232" s="1"/>
    </row>
    <row r="23233" spans="8:9" x14ac:dyDescent="0.2">
      <c r="H23233" s="1"/>
      <c r="I23233" s="1"/>
    </row>
    <row r="23234" spans="8:9" x14ac:dyDescent="0.2">
      <c r="H23234" s="1"/>
      <c r="I23234" s="1"/>
    </row>
    <row r="23235" spans="8:9" x14ac:dyDescent="0.2">
      <c r="H23235" s="1"/>
      <c r="I23235" s="1"/>
    </row>
    <row r="23236" spans="8:9" x14ac:dyDescent="0.2">
      <c r="H23236" s="1"/>
      <c r="I23236" s="1"/>
    </row>
    <row r="23237" spans="8:9" x14ac:dyDescent="0.2">
      <c r="H23237" s="1"/>
      <c r="I23237" s="1"/>
    </row>
    <row r="23238" spans="8:9" x14ac:dyDescent="0.2">
      <c r="H23238" s="1"/>
      <c r="I23238" s="1"/>
    </row>
    <row r="23239" spans="8:9" x14ac:dyDescent="0.2">
      <c r="H23239" s="1"/>
      <c r="I23239" s="1"/>
    </row>
    <row r="23240" spans="8:9" x14ac:dyDescent="0.2">
      <c r="H23240" s="1"/>
      <c r="I23240" s="1"/>
    </row>
    <row r="23241" spans="8:9" x14ac:dyDescent="0.2">
      <c r="H23241" s="1"/>
      <c r="I23241" s="1"/>
    </row>
    <row r="23242" spans="8:9" x14ac:dyDescent="0.2">
      <c r="H23242" s="1"/>
      <c r="I23242" s="1"/>
    </row>
    <row r="23243" spans="8:9" x14ac:dyDescent="0.2">
      <c r="H23243" s="1"/>
      <c r="I23243" s="1"/>
    </row>
    <row r="23244" spans="8:9" x14ac:dyDescent="0.2">
      <c r="H23244" s="1"/>
      <c r="I23244" s="1"/>
    </row>
    <row r="23245" spans="8:9" x14ac:dyDescent="0.2">
      <c r="H23245" s="1"/>
      <c r="I23245" s="1"/>
    </row>
    <row r="23246" spans="8:9" x14ac:dyDescent="0.2">
      <c r="H23246" s="1"/>
      <c r="I23246" s="1"/>
    </row>
    <row r="23247" spans="8:9" x14ac:dyDescent="0.2">
      <c r="H23247" s="1"/>
      <c r="I23247" s="1"/>
    </row>
    <row r="23248" spans="8:9" x14ac:dyDescent="0.2">
      <c r="H23248" s="1"/>
      <c r="I23248" s="1"/>
    </row>
    <row r="23249" spans="8:9" x14ac:dyDescent="0.2">
      <c r="H23249" s="1"/>
      <c r="I23249" s="1"/>
    </row>
    <row r="23250" spans="8:9" x14ac:dyDescent="0.2">
      <c r="H23250" s="1"/>
      <c r="I23250" s="1"/>
    </row>
    <row r="23251" spans="8:9" x14ac:dyDescent="0.2">
      <c r="H23251" s="1"/>
      <c r="I23251" s="1"/>
    </row>
    <row r="23252" spans="8:9" x14ac:dyDescent="0.2">
      <c r="H23252" s="1"/>
      <c r="I23252" s="1"/>
    </row>
    <row r="23253" spans="8:9" x14ac:dyDescent="0.2">
      <c r="H23253" s="1"/>
      <c r="I23253" s="1"/>
    </row>
    <row r="23254" spans="8:9" x14ac:dyDescent="0.2">
      <c r="H23254" s="1"/>
      <c r="I23254" s="1"/>
    </row>
    <row r="23255" spans="8:9" x14ac:dyDescent="0.2">
      <c r="H23255" s="1"/>
      <c r="I23255" s="1"/>
    </row>
    <row r="23256" spans="8:9" x14ac:dyDescent="0.2">
      <c r="H23256" s="1"/>
      <c r="I23256" s="1"/>
    </row>
    <row r="23257" spans="8:9" x14ac:dyDescent="0.2">
      <c r="H23257" s="1"/>
      <c r="I23257" s="1"/>
    </row>
    <row r="23258" spans="8:9" x14ac:dyDescent="0.2">
      <c r="H23258" s="1"/>
      <c r="I23258" s="1"/>
    </row>
    <row r="23259" spans="8:9" x14ac:dyDescent="0.2">
      <c r="H23259" s="1"/>
      <c r="I23259" s="1"/>
    </row>
    <row r="23260" spans="8:9" x14ac:dyDescent="0.2">
      <c r="H23260" s="1"/>
      <c r="I23260" s="1"/>
    </row>
    <row r="23261" spans="8:9" x14ac:dyDescent="0.2">
      <c r="H23261" s="1"/>
      <c r="I23261" s="1"/>
    </row>
    <row r="23262" spans="8:9" x14ac:dyDescent="0.2">
      <c r="H23262" s="1"/>
      <c r="I23262" s="1"/>
    </row>
    <row r="23263" spans="8:9" x14ac:dyDescent="0.2">
      <c r="H23263" s="1"/>
      <c r="I23263" s="1"/>
    </row>
    <row r="23264" spans="8:9" x14ac:dyDescent="0.2">
      <c r="H23264" s="1"/>
      <c r="I23264" s="1"/>
    </row>
    <row r="23265" spans="8:9" x14ac:dyDescent="0.2">
      <c r="H23265" s="1"/>
      <c r="I23265" s="1"/>
    </row>
    <row r="23266" spans="8:9" x14ac:dyDescent="0.2">
      <c r="H23266" s="1"/>
      <c r="I23266" s="1"/>
    </row>
    <row r="23267" spans="8:9" x14ac:dyDescent="0.2">
      <c r="H23267" s="1"/>
      <c r="I23267" s="1"/>
    </row>
    <row r="23268" spans="8:9" x14ac:dyDescent="0.2">
      <c r="H23268" s="1"/>
      <c r="I23268" s="1"/>
    </row>
    <row r="23269" spans="8:9" x14ac:dyDescent="0.2">
      <c r="H23269" s="1"/>
      <c r="I23269" s="1"/>
    </row>
    <row r="23270" spans="8:9" x14ac:dyDescent="0.2">
      <c r="H23270" s="1"/>
      <c r="I23270" s="1"/>
    </row>
    <row r="23271" spans="8:9" x14ac:dyDescent="0.2">
      <c r="H23271" s="1"/>
      <c r="I23271" s="1"/>
    </row>
    <row r="23272" spans="8:9" x14ac:dyDescent="0.2">
      <c r="H23272" s="1"/>
      <c r="I23272" s="1"/>
    </row>
    <row r="23273" spans="8:9" x14ac:dyDescent="0.2">
      <c r="H23273" s="1"/>
      <c r="I23273" s="1"/>
    </row>
    <row r="23274" spans="8:9" x14ac:dyDescent="0.2">
      <c r="H23274" s="1"/>
      <c r="I23274" s="1"/>
    </row>
    <row r="23275" spans="8:9" x14ac:dyDescent="0.2">
      <c r="H23275" s="1"/>
      <c r="I23275" s="1"/>
    </row>
    <row r="23276" spans="8:9" x14ac:dyDescent="0.2">
      <c r="H23276" s="1"/>
      <c r="I23276" s="1"/>
    </row>
    <row r="23277" spans="8:9" x14ac:dyDescent="0.2">
      <c r="H23277" s="1"/>
      <c r="I23277" s="1"/>
    </row>
    <row r="23278" spans="8:9" x14ac:dyDescent="0.2">
      <c r="H23278" s="1"/>
      <c r="I23278" s="1"/>
    </row>
    <row r="23279" spans="8:9" x14ac:dyDescent="0.2">
      <c r="H23279" s="1"/>
      <c r="I23279" s="1"/>
    </row>
    <row r="23280" spans="8:9" x14ac:dyDescent="0.2">
      <c r="H23280" s="1"/>
      <c r="I23280" s="1"/>
    </row>
    <row r="23281" spans="8:9" x14ac:dyDescent="0.2">
      <c r="H23281" s="1"/>
      <c r="I23281" s="1"/>
    </row>
    <row r="23282" spans="8:9" x14ac:dyDescent="0.2">
      <c r="H23282" s="1"/>
      <c r="I23282" s="1"/>
    </row>
    <row r="23283" spans="8:9" x14ac:dyDescent="0.2">
      <c r="H23283" s="1"/>
      <c r="I23283" s="1"/>
    </row>
    <row r="23284" spans="8:9" x14ac:dyDescent="0.2">
      <c r="H23284" s="1"/>
      <c r="I23284" s="1"/>
    </row>
    <row r="23285" spans="8:9" x14ac:dyDescent="0.2">
      <c r="H23285" s="1"/>
      <c r="I23285" s="1"/>
    </row>
    <row r="23286" spans="8:9" x14ac:dyDescent="0.2">
      <c r="H23286" s="1"/>
      <c r="I23286" s="1"/>
    </row>
    <row r="23287" spans="8:9" x14ac:dyDescent="0.2">
      <c r="H23287" s="1"/>
      <c r="I23287" s="1"/>
    </row>
    <row r="23288" spans="8:9" x14ac:dyDescent="0.2">
      <c r="H23288" s="1"/>
      <c r="I23288" s="1"/>
    </row>
    <row r="23289" spans="8:9" x14ac:dyDescent="0.2">
      <c r="H23289" s="1"/>
      <c r="I23289" s="1"/>
    </row>
    <row r="23290" spans="8:9" x14ac:dyDescent="0.2">
      <c r="H23290" s="1"/>
      <c r="I23290" s="1"/>
    </row>
    <row r="23291" spans="8:9" x14ac:dyDescent="0.2">
      <c r="H23291" s="1"/>
      <c r="I23291" s="1"/>
    </row>
    <row r="23292" spans="8:9" x14ac:dyDescent="0.2">
      <c r="H23292" s="1"/>
      <c r="I23292" s="1"/>
    </row>
    <row r="23293" spans="8:9" x14ac:dyDescent="0.2">
      <c r="H23293" s="1"/>
      <c r="I23293" s="1"/>
    </row>
    <row r="23294" spans="8:9" x14ac:dyDescent="0.2">
      <c r="H23294" s="1"/>
      <c r="I23294" s="1"/>
    </row>
    <row r="23295" spans="8:9" x14ac:dyDescent="0.2">
      <c r="H23295" s="1"/>
      <c r="I23295" s="1"/>
    </row>
    <row r="23296" spans="8:9" x14ac:dyDescent="0.2">
      <c r="H23296" s="1"/>
      <c r="I23296" s="1"/>
    </row>
    <row r="23297" spans="8:9" x14ac:dyDescent="0.2">
      <c r="H23297" s="1"/>
      <c r="I23297" s="1"/>
    </row>
    <row r="23298" spans="8:9" x14ac:dyDescent="0.2">
      <c r="H23298" s="1"/>
      <c r="I23298" s="1"/>
    </row>
    <row r="23299" spans="8:9" x14ac:dyDescent="0.2">
      <c r="H23299" s="1"/>
      <c r="I23299" s="1"/>
    </row>
    <row r="23300" spans="8:9" x14ac:dyDescent="0.2">
      <c r="H23300" s="1"/>
      <c r="I23300" s="1"/>
    </row>
    <row r="23301" spans="8:9" x14ac:dyDescent="0.2">
      <c r="H23301" s="1"/>
      <c r="I23301" s="1"/>
    </row>
    <row r="23302" spans="8:9" x14ac:dyDescent="0.2">
      <c r="H23302" s="1"/>
      <c r="I23302" s="1"/>
    </row>
    <row r="23303" spans="8:9" x14ac:dyDescent="0.2">
      <c r="H23303" s="1"/>
      <c r="I23303" s="1"/>
    </row>
    <row r="23304" spans="8:9" x14ac:dyDescent="0.2">
      <c r="H23304" s="1"/>
      <c r="I23304" s="1"/>
    </row>
    <row r="23305" spans="8:9" x14ac:dyDescent="0.2">
      <c r="H23305" s="1"/>
      <c r="I23305" s="1"/>
    </row>
    <row r="23306" spans="8:9" x14ac:dyDescent="0.2">
      <c r="H23306" s="1"/>
      <c r="I23306" s="1"/>
    </row>
    <row r="23307" spans="8:9" x14ac:dyDescent="0.2">
      <c r="H23307" s="1"/>
      <c r="I23307" s="1"/>
    </row>
    <row r="23308" spans="8:9" x14ac:dyDescent="0.2">
      <c r="H23308" s="1"/>
      <c r="I23308" s="1"/>
    </row>
    <row r="23309" spans="8:9" x14ac:dyDescent="0.2">
      <c r="H23309" s="1"/>
      <c r="I23309" s="1"/>
    </row>
    <row r="23310" spans="8:9" x14ac:dyDescent="0.2">
      <c r="H23310" s="1"/>
      <c r="I23310" s="1"/>
    </row>
    <row r="23311" spans="8:9" x14ac:dyDescent="0.2">
      <c r="H23311" s="1"/>
      <c r="I23311" s="1"/>
    </row>
    <row r="23312" spans="8:9" x14ac:dyDescent="0.2">
      <c r="H23312" s="1"/>
      <c r="I23312" s="1"/>
    </row>
    <row r="23313" spans="8:9" x14ac:dyDescent="0.2">
      <c r="H23313" s="1"/>
      <c r="I23313" s="1"/>
    </row>
    <row r="23314" spans="8:9" x14ac:dyDescent="0.2">
      <c r="H23314" s="1"/>
      <c r="I23314" s="1"/>
    </row>
    <row r="23315" spans="8:9" x14ac:dyDescent="0.2">
      <c r="H23315" s="1"/>
      <c r="I23315" s="1"/>
    </row>
    <row r="23316" spans="8:9" x14ac:dyDescent="0.2">
      <c r="H23316" s="1"/>
      <c r="I23316" s="1"/>
    </row>
    <row r="23317" spans="8:9" x14ac:dyDescent="0.2">
      <c r="H23317" s="1"/>
      <c r="I23317" s="1"/>
    </row>
    <row r="23318" spans="8:9" x14ac:dyDescent="0.2">
      <c r="H23318" s="1"/>
      <c r="I23318" s="1"/>
    </row>
    <row r="23319" spans="8:9" x14ac:dyDescent="0.2">
      <c r="H23319" s="1"/>
      <c r="I23319" s="1"/>
    </row>
    <row r="23320" spans="8:9" x14ac:dyDescent="0.2">
      <c r="H23320" s="1"/>
      <c r="I23320" s="1"/>
    </row>
    <row r="23321" spans="8:9" x14ac:dyDescent="0.2">
      <c r="H23321" s="1"/>
      <c r="I23321" s="1"/>
    </row>
    <row r="23322" spans="8:9" x14ac:dyDescent="0.2">
      <c r="H23322" s="1"/>
      <c r="I23322" s="1"/>
    </row>
    <row r="23323" spans="8:9" x14ac:dyDescent="0.2">
      <c r="H23323" s="1"/>
      <c r="I23323" s="1"/>
    </row>
    <row r="23324" spans="8:9" x14ac:dyDescent="0.2">
      <c r="H23324" s="1"/>
      <c r="I23324" s="1"/>
    </row>
    <row r="23325" spans="8:9" x14ac:dyDescent="0.2">
      <c r="H23325" s="1"/>
      <c r="I23325" s="1"/>
    </row>
    <row r="23326" spans="8:9" x14ac:dyDescent="0.2">
      <c r="H23326" s="1"/>
      <c r="I23326" s="1"/>
    </row>
    <row r="23327" spans="8:9" x14ac:dyDescent="0.2">
      <c r="H23327" s="1"/>
      <c r="I23327" s="1"/>
    </row>
    <row r="23328" spans="8:9" x14ac:dyDescent="0.2">
      <c r="H23328" s="1"/>
      <c r="I23328" s="1"/>
    </row>
    <row r="23329" spans="8:9" x14ac:dyDescent="0.2">
      <c r="H23329" s="1"/>
      <c r="I23329" s="1"/>
    </row>
    <row r="23330" spans="8:9" x14ac:dyDescent="0.2">
      <c r="H23330" s="1"/>
      <c r="I23330" s="1"/>
    </row>
    <row r="23331" spans="8:9" x14ac:dyDescent="0.2">
      <c r="H23331" s="1"/>
      <c r="I23331" s="1"/>
    </row>
    <row r="23332" spans="8:9" x14ac:dyDescent="0.2">
      <c r="H23332" s="1"/>
      <c r="I23332" s="1"/>
    </row>
    <row r="23333" spans="8:9" x14ac:dyDescent="0.2">
      <c r="H23333" s="1"/>
      <c r="I23333" s="1"/>
    </row>
    <row r="23334" spans="8:9" x14ac:dyDescent="0.2">
      <c r="H23334" s="1"/>
      <c r="I23334" s="1"/>
    </row>
    <row r="23335" spans="8:9" x14ac:dyDescent="0.2">
      <c r="H23335" s="1"/>
      <c r="I23335" s="1"/>
    </row>
    <row r="23336" spans="8:9" x14ac:dyDescent="0.2">
      <c r="H23336" s="1"/>
      <c r="I23336" s="1"/>
    </row>
    <row r="23337" spans="8:9" x14ac:dyDescent="0.2">
      <c r="H23337" s="1"/>
      <c r="I23337" s="1"/>
    </row>
    <row r="23338" spans="8:9" x14ac:dyDescent="0.2">
      <c r="H23338" s="1"/>
      <c r="I23338" s="1"/>
    </row>
    <row r="23339" spans="8:9" x14ac:dyDescent="0.2">
      <c r="H23339" s="1"/>
      <c r="I23339" s="1"/>
    </row>
    <row r="23340" spans="8:9" x14ac:dyDescent="0.2">
      <c r="H23340" s="1"/>
      <c r="I23340" s="1"/>
    </row>
    <row r="23341" spans="8:9" x14ac:dyDescent="0.2">
      <c r="H23341" s="1"/>
      <c r="I23341" s="1"/>
    </row>
    <row r="23342" spans="8:9" x14ac:dyDescent="0.2">
      <c r="H23342" s="1"/>
      <c r="I23342" s="1"/>
    </row>
    <row r="23343" spans="8:9" x14ac:dyDescent="0.2">
      <c r="H23343" s="1"/>
      <c r="I23343" s="1"/>
    </row>
    <row r="23344" spans="8:9" x14ac:dyDescent="0.2">
      <c r="H23344" s="1"/>
      <c r="I23344" s="1"/>
    </row>
    <row r="23345" spans="8:9" x14ac:dyDescent="0.2">
      <c r="H23345" s="1"/>
      <c r="I23345" s="1"/>
    </row>
    <row r="23346" spans="8:9" x14ac:dyDescent="0.2">
      <c r="H23346" s="1"/>
      <c r="I23346" s="1"/>
    </row>
    <row r="23347" spans="8:9" x14ac:dyDescent="0.2">
      <c r="H23347" s="1"/>
      <c r="I23347" s="1"/>
    </row>
    <row r="23348" spans="8:9" x14ac:dyDescent="0.2">
      <c r="H23348" s="1"/>
      <c r="I23348" s="1"/>
    </row>
    <row r="23349" spans="8:9" x14ac:dyDescent="0.2">
      <c r="H23349" s="1"/>
      <c r="I23349" s="1"/>
    </row>
    <row r="23350" spans="8:9" x14ac:dyDescent="0.2">
      <c r="H23350" s="1"/>
      <c r="I23350" s="1"/>
    </row>
    <row r="23351" spans="8:9" x14ac:dyDescent="0.2">
      <c r="H23351" s="1"/>
      <c r="I23351" s="1"/>
    </row>
    <row r="23352" spans="8:9" x14ac:dyDescent="0.2">
      <c r="H23352" s="1"/>
      <c r="I23352" s="1"/>
    </row>
    <row r="23353" spans="8:9" x14ac:dyDescent="0.2">
      <c r="H23353" s="1"/>
      <c r="I23353" s="1"/>
    </row>
    <row r="23354" spans="8:9" x14ac:dyDescent="0.2">
      <c r="H23354" s="1"/>
      <c r="I23354" s="1"/>
    </row>
    <row r="23355" spans="8:9" x14ac:dyDescent="0.2">
      <c r="H23355" s="1"/>
      <c r="I23355" s="1"/>
    </row>
    <row r="23356" spans="8:9" x14ac:dyDescent="0.2">
      <c r="H23356" s="1"/>
      <c r="I23356" s="1"/>
    </row>
    <row r="23357" spans="8:9" x14ac:dyDescent="0.2">
      <c r="H23357" s="1"/>
      <c r="I23357" s="1"/>
    </row>
    <row r="23358" spans="8:9" x14ac:dyDescent="0.2">
      <c r="H23358" s="1"/>
      <c r="I23358" s="1"/>
    </row>
    <row r="23359" spans="8:9" x14ac:dyDescent="0.2">
      <c r="H23359" s="1"/>
      <c r="I23359" s="1"/>
    </row>
    <row r="23360" spans="8:9" x14ac:dyDescent="0.2">
      <c r="H23360" s="1"/>
      <c r="I23360" s="1"/>
    </row>
    <row r="23361" spans="8:9" x14ac:dyDescent="0.2">
      <c r="H23361" s="1"/>
      <c r="I23361" s="1"/>
    </row>
    <row r="23362" spans="8:9" x14ac:dyDescent="0.2">
      <c r="H23362" s="1"/>
      <c r="I23362" s="1"/>
    </row>
    <row r="23363" spans="8:9" x14ac:dyDescent="0.2">
      <c r="H23363" s="1"/>
      <c r="I23363" s="1"/>
    </row>
    <row r="23364" spans="8:9" x14ac:dyDescent="0.2">
      <c r="H23364" s="1"/>
      <c r="I23364" s="1"/>
    </row>
    <row r="23365" spans="8:9" x14ac:dyDescent="0.2">
      <c r="H23365" s="1"/>
      <c r="I23365" s="1"/>
    </row>
    <row r="23366" spans="8:9" x14ac:dyDescent="0.2">
      <c r="H23366" s="1"/>
      <c r="I23366" s="1"/>
    </row>
    <row r="23367" spans="8:9" x14ac:dyDescent="0.2">
      <c r="H23367" s="1"/>
      <c r="I23367" s="1"/>
    </row>
    <row r="23368" spans="8:9" x14ac:dyDescent="0.2">
      <c r="H23368" s="1"/>
      <c r="I23368" s="1"/>
    </row>
    <row r="23369" spans="8:9" x14ac:dyDescent="0.2">
      <c r="H23369" s="1"/>
      <c r="I23369" s="1"/>
    </row>
    <row r="23370" spans="8:9" x14ac:dyDescent="0.2">
      <c r="H23370" s="1"/>
      <c r="I23370" s="1"/>
    </row>
    <row r="23371" spans="8:9" x14ac:dyDescent="0.2">
      <c r="H23371" s="1"/>
      <c r="I23371" s="1"/>
    </row>
    <row r="23372" spans="8:9" x14ac:dyDescent="0.2">
      <c r="H23372" s="1"/>
      <c r="I23372" s="1"/>
    </row>
    <row r="23373" spans="8:9" x14ac:dyDescent="0.2">
      <c r="H23373" s="1"/>
      <c r="I23373" s="1"/>
    </row>
    <row r="23374" spans="8:9" x14ac:dyDescent="0.2">
      <c r="H23374" s="1"/>
      <c r="I23374" s="1"/>
    </row>
    <row r="23375" spans="8:9" x14ac:dyDescent="0.2">
      <c r="H23375" s="1"/>
      <c r="I23375" s="1"/>
    </row>
    <row r="23376" spans="8:9" x14ac:dyDescent="0.2">
      <c r="H23376" s="1"/>
      <c r="I23376" s="1"/>
    </row>
    <row r="23377" spans="8:9" x14ac:dyDescent="0.2">
      <c r="H23377" s="1"/>
      <c r="I23377" s="1"/>
    </row>
    <row r="23378" spans="8:9" x14ac:dyDescent="0.2">
      <c r="H23378" s="1"/>
      <c r="I23378" s="1"/>
    </row>
    <row r="23379" spans="8:9" x14ac:dyDescent="0.2">
      <c r="H23379" s="1"/>
      <c r="I23379" s="1"/>
    </row>
    <row r="23380" spans="8:9" x14ac:dyDescent="0.2">
      <c r="H23380" s="1"/>
      <c r="I23380" s="1"/>
    </row>
    <row r="23381" spans="8:9" x14ac:dyDescent="0.2">
      <c r="H23381" s="1"/>
      <c r="I23381" s="1"/>
    </row>
    <row r="23382" spans="8:9" x14ac:dyDescent="0.2">
      <c r="H23382" s="1"/>
      <c r="I23382" s="1"/>
    </row>
    <row r="23383" spans="8:9" x14ac:dyDescent="0.2">
      <c r="H23383" s="1"/>
      <c r="I23383" s="1"/>
    </row>
    <row r="23384" spans="8:9" x14ac:dyDescent="0.2">
      <c r="H23384" s="1"/>
      <c r="I23384" s="1"/>
    </row>
    <row r="23385" spans="8:9" x14ac:dyDescent="0.2">
      <c r="H23385" s="1"/>
      <c r="I23385" s="1"/>
    </row>
    <row r="23386" spans="8:9" x14ac:dyDescent="0.2">
      <c r="H23386" s="1"/>
      <c r="I23386" s="1"/>
    </row>
    <row r="23387" spans="8:9" x14ac:dyDescent="0.2">
      <c r="H23387" s="1"/>
      <c r="I23387" s="1"/>
    </row>
    <row r="23388" spans="8:9" x14ac:dyDescent="0.2">
      <c r="H23388" s="1"/>
      <c r="I23388" s="1"/>
    </row>
    <row r="23389" spans="8:9" x14ac:dyDescent="0.2">
      <c r="H23389" s="1"/>
      <c r="I23389" s="1"/>
    </row>
    <row r="23390" spans="8:9" x14ac:dyDescent="0.2">
      <c r="H23390" s="1"/>
      <c r="I23390" s="1"/>
    </row>
    <row r="23391" spans="8:9" x14ac:dyDescent="0.2">
      <c r="H23391" s="1"/>
      <c r="I23391" s="1"/>
    </row>
    <row r="23392" spans="8:9" x14ac:dyDescent="0.2">
      <c r="H23392" s="1"/>
      <c r="I23392" s="1"/>
    </row>
    <row r="23393" spans="8:9" x14ac:dyDescent="0.2">
      <c r="H23393" s="1"/>
      <c r="I23393" s="1"/>
    </row>
    <row r="23394" spans="8:9" x14ac:dyDescent="0.2">
      <c r="H23394" s="1"/>
      <c r="I23394" s="1"/>
    </row>
    <row r="23395" spans="8:9" x14ac:dyDescent="0.2">
      <c r="H23395" s="1"/>
      <c r="I23395" s="1"/>
    </row>
    <row r="23396" spans="8:9" x14ac:dyDescent="0.2">
      <c r="H23396" s="1"/>
      <c r="I23396" s="1"/>
    </row>
    <row r="23397" spans="8:9" x14ac:dyDescent="0.2">
      <c r="H23397" s="1"/>
      <c r="I23397" s="1"/>
    </row>
    <row r="23398" spans="8:9" x14ac:dyDescent="0.2">
      <c r="H23398" s="1"/>
      <c r="I23398" s="1"/>
    </row>
    <row r="23399" spans="8:9" x14ac:dyDescent="0.2">
      <c r="H23399" s="1"/>
      <c r="I23399" s="1"/>
    </row>
    <row r="23400" spans="8:9" x14ac:dyDescent="0.2">
      <c r="H23400" s="1"/>
      <c r="I23400" s="1"/>
    </row>
    <row r="23401" spans="8:9" x14ac:dyDescent="0.2">
      <c r="H23401" s="1"/>
      <c r="I23401" s="1"/>
    </row>
    <row r="23402" spans="8:9" x14ac:dyDescent="0.2">
      <c r="H23402" s="1"/>
      <c r="I23402" s="1"/>
    </row>
    <row r="23403" spans="8:9" x14ac:dyDescent="0.2">
      <c r="H23403" s="1"/>
      <c r="I23403" s="1"/>
    </row>
    <row r="23404" spans="8:9" x14ac:dyDescent="0.2">
      <c r="H23404" s="1"/>
      <c r="I23404" s="1"/>
    </row>
    <row r="23405" spans="8:9" x14ac:dyDescent="0.2">
      <c r="H23405" s="1"/>
      <c r="I23405" s="1"/>
    </row>
    <row r="23406" spans="8:9" x14ac:dyDescent="0.2">
      <c r="H23406" s="1"/>
      <c r="I23406" s="1"/>
    </row>
    <row r="23407" spans="8:9" x14ac:dyDescent="0.2">
      <c r="H23407" s="1"/>
      <c r="I23407" s="1"/>
    </row>
    <row r="23408" spans="8:9" x14ac:dyDescent="0.2">
      <c r="H23408" s="1"/>
      <c r="I23408" s="1"/>
    </row>
    <row r="23409" spans="8:9" x14ac:dyDescent="0.2">
      <c r="H23409" s="1"/>
      <c r="I23409" s="1"/>
    </row>
    <row r="23410" spans="8:9" x14ac:dyDescent="0.2">
      <c r="H23410" s="1"/>
      <c r="I23410" s="1"/>
    </row>
    <row r="23411" spans="8:9" x14ac:dyDescent="0.2">
      <c r="H23411" s="1"/>
      <c r="I23411" s="1"/>
    </row>
    <row r="23412" spans="8:9" x14ac:dyDescent="0.2">
      <c r="H23412" s="1"/>
      <c r="I23412" s="1"/>
    </row>
    <row r="23413" spans="8:9" x14ac:dyDescent="0.2">
      <c r="H23413" s="1"/>
      <c r="I23413" s="1"/>
    </row>
    <row r="23414" spans="8:9" x14ac:dyDescent="0.2">
      <c r="H23414" s="1"/>
      <c r="I23414" s="1"/>
    </row>
    <row r="23415" spans="8:9" x14ac:dyDescent="0.2">
      <c r="H23415" s="1"/>
      <c r="I23415" s="1"/>
    </row>
    <row r="23416" spans="8:9" x14ac:dyDescent="0.2">
      <c r="H23416" s="1"/>
      <c r="I23416" s="1"/>
    </row>
    <row r="23417" spans="8:9" x14ac:dyDescent="0.2">
      <c r="H23417" s="1"/>
      <c r="I23417" s="1"/>
    </row>
    <row r="23418" spans="8:9" x14ac:dyDescent="0.2">
      <c r="H23418" s="1"/>
      <c r="I23418" s="1"/>
    </row>
    <row r="23419" spans="8:9" x14ac:dyDescent="0.2">
      <c r="H23419" s="1"/>
      <c r="I23419" s="1"/>
    </row>
    <row r="23420" spans="8:9" x14ac:dyDescent="0.2">
      <c r="H23420" s="1"/>
      <c r="I23420" s="1"/>
    </row>
    <row r="23421" spans="8:9" x14ac:dyDescent="0.2">
      <c r="H23421" s="1"/>
      <c r="I23421" s="1"/>
    </row>
    <row r="23422" spans="8:9" x14ac:dyDescent="0.2">
      <c r="H23422" s="1"/>
      <c r="I23422" s="1"/>
    </row>
    <row r="23423" spans="8:9" x14ac:dyDescent="0.2">
      <c r="H23423" s="1"/>
      <c r="I23423" s="1"/>
    </row>
    <row r="23424" spans="8:9" x14ac:dyDescent="0.2">
      <c r="H23424" s="1"/>
      <c r="I23424" s="1"/>
    </row>
    <row r="23425" spans="8:9" x14ac:dyDescent="0.2">
      <c r="H23425" s="1"/>
      <c r="I23425" s="1"/>
    </row>
    <row r="23426" spans="8:9" x14ac:dyDescent="0.2">
      <c r="H23426" s="1"/>
      <c r="I23426" s="1"/>
    </row>
    <row r="23427" spans="8:9" x14ac:dyDescent="0.2">
      <c r="H23427" s="1"/>
      <c r="I23427" s="1"/>
    </row>
    <row r="23428" spans="8:9" x14ac:dyDescent="0.2">
      <c r="H23428" s="1"/>
      <c r="I23428" s="1"/>
    </row>
    <row r="23429" spans="8:9" x14ac:dyDescent="0.2">
      <c r="H23429" s="1"/>
      <c r="I23429" s="1"/>
    </row>
    <row r="23430" spans="8:9" x14ac:dyDescent="0.2">
      <c r="H23430" s="1"/>
      <c r="I23430" s="1"/>
    </row>
    <row r="23431" spans="8:9" x14ac:dyDescent="0.2">
      <c r="H23431" s="1"/>
      <c r="I23431" s="1"/>
    </row>
    <row r="23432" spans="8:9" x14ac:dyDescent="0.2">
      <c r="H23432" s="1"/>
      <c r="I23432" s="1"/>
    </row>
    <row r="23433" spans="8:9" x14ac:dyDescent="0.2">
      <c r="H23433" s="1"/>
      <c r="I23433" s="1"/>
    </row>
    <row r="23434" spans="8:9" x14ac:dyDescent="0.2">
      <c r="H23434" s="1"/>
      <c r="I23434" s="1"/>
    </row>
    <row r="23435" spans="8:9" x14ac:dyDescent="0.2">
      <c r="H23435" s="1"/>
      <c r="I23435" s="1"/>
    </row>
    <row r="23436" spans="8:9" x14ac:dyDescent="0.2">
      <c r="H23436" s="1"/>
      <c r="I23436" s="1"/>
    </row>
    <row r="23437" spans="8:9" x14ac:dyDescent="0.2">
      <c r="H23437" s="1"/>
      <c r="I23437" s="1"/>
    </row>
    <row r="23438" spans="8:9" x14ac:dyDescent="0.2">
      <c r="H23438" s="1"/>
      <c r="I23438" s="1"/>
    </row>
    <row r="23439" spans="8:9" x14ac:dyDescent="0.2">
      <c r="H23439" s="1"/>
      <c r="I23439" s="1"/>
    </row>
    <row r="23440" spans="8:9" x14ac:dyDescent="0.2">
      <c r="H23440" s="1"/>
      <c r="I23440" s="1"/>
    </row>
    <row r="23441" spans="8:9" x14ac:dyDescent="0.2">
      <c r="H23441" s="1"/>
      <c r="I23441" s="1"/>
    </row>
    <row r="23442" spans="8:9" x14ac:dyDescent="0.2">
      <c r="H23442" s="1"/>
      <c r="I23442" s="1"/>
    </row>
    <row r="23443" spans="8:9" x14ac:dyDescent="0.2">
      <c r="H23443" s="1"/>
      <c r="I23443" s="1"/>
    </row>
    <row r="23444" spans="8:9" x14ac:dyDescent="0.2">
      <c r="H23444" s="1"/>
      <c r="I23444" s="1"/>
    </row>
    <row r="23445" spans="8:9" x14ac:dyDescent="0.2">
      <c r="H23445" s="1"/>
      <c r="I23445" s="1"/>
    </row>
    <row r="23446" spans="8:9" x14ac:dyDescent="0.2">
      <c r="H23446" s="1"/>
      <c r="I23446" s="1"/>
    </row>
    <row r="23447" spans="8:9" x14ac:dyDescent="0.2">
      <c r="H23447" s="1"/>
      <c r="I23447" s="1"/>
    </row>
    <row r="23448" spans="8:9" x14ac:dyDescent="0.2">
      <c r="H23448" s="1"/>
      <c r="I23448" s="1"/>
    </row>
    <row r="23449" spans="8:9" x14ac:dyDescent="0.2">
      <c r="H23449" s="1"/>
      <c r="I23449" s="1"/>
    </row>
    <row r="23450" spans="8:9" x14ac:dyDescent="0.2">
      <c r="H23450" s="1"/>
      <c r="I23450" s="1"/>
    </row>
    <row r="23451" spans="8:9" x14ac:dyDescent="0.2">
      <c r="H23451" s="1"/>
      <c r="I23451" s="1"/>
    </row>
    <row r="23452" spans="8:9" x14ac:dyDescent="0.2">
      <c r="H23452" s="1"/>
      <c r="I23452" s="1"/>
    </row>
    <row r="23453" spans="8:9" x14ac:dyDescent="0.2">
      <c r="H23453" s="1"/>
      <c r="I23453" s="1"/>
    </row>
    <row r="23454" spans="8:9" x14ac:dyDescent="0.2">
      <c r="H23454" s="1"/>
      <c r="I23454" s="1"/>
    </row>
    <row r="23455" spans="8:9" x14ac:dyDescent="0.2">
      <c r="H23455" s="1"/>
      <c r="I23455" s="1"/>
    </row>
    <row r="23456" spans="8:9" x14ac:dyDescent="0.2">
      <c r="H23456" s="1"/>
      <c r="I23456" s="1"/>
    </row>
    <row r="23457" spans="8:9" x14ac:dyDescent="0.2">
      <c r="H23457" s="1"/>
      <c r="I23457" s="1"/>
    </row>
    <row r="23458" spans="8:9" x14ac:dyDescent="0.2">
      <c r="H23458" s="1"/>
      <c r="I23458" s="1"/>
    </row>
    <row r="23459" spans="8:9" x14ac:dyDescent="0.2">
      <c r="H23459" s="1"/>
      <c r="I23459" s="1"/>
    </row>
    <row r="23460" spans="8:9" x14ac:dyDescent="0.2">
      <c r="H23460" s="1"/>
      <c r="I23460" s="1"/>
    </row>
    <row r="23461" spans="8:9" x14ac:dyDescent="0.2">
      <c r="H23461" s="1"/>
      <c r="I23461" s="1"/>
    </row>
    <row r="23462" spans="8:9" x14ac:dyDescent="0.2">
      <c r="H23462" s="1"/>
      <c r="I23462" s="1"/>
    </row>
    <row r="23463" spans="8:9" x14ac:dyDescent="0.2">
      <c r="H23463" s="1"/>
      <c r="I23463" s="1"/>
    </row>
    <row r="23464" spans="8:9" x14ac:dyDescent="0.2">
      <c r="H23464" s="1"/>
      <c r="I23464" s="1"/>
    </row>
    <row r="23465" spans="8:9" x14ac:dyDescent="0.2">
      <c r="H23465" s="1"/>
      <c r="I23465" s="1"/>
    </row>
    <row r="23466" spans="8:9" x14ac:dyDescent="0.2">
      <c r="H23466" s="1"/>
      <c r="I23466" s="1"/>
    </row>
    <row r="23467" spans="8:9" x14ac:dyDescent="0.2">
      <c r="H23467" s="1"/>
      <c r="I23467" s="1"/>
    </row>
    <row r="23468" spans="8:9" x14ac:dyDescent="0.2">
      <c r="H23468" s="1"/>
      <c r="I23468" s="1"/>
    </row>
    <row r="23469" spans="8:9" x14ac:dyDescent="0.2">
      <c r="H23469" s="1"/>
      <c r="I23469" s="1"/>
    </row>
    <row r="23470" spans="8:9" x14ac:dyDescent="0.2">
      <c r="H23470" s="1"/>
      <c r="I23470" s="1"/>
    </row>
    <row r="23471" spans="8:9" x14ac:dyDescent="0.2">
      <c r="H23471" s="1"/>
      <c r="I23471" s="1"/>
    </row>
    <row r="23472" spans="8:9" x14ac:dyDescent="0.2">
      <c r="H23472" s="1"/>
      <c r="I23472" s="1"/>
    </row>
    <row r="23473" spans="8:9" x14ac:dyDescent="0.2">
      <c r="H23473" s="1"/>
      <c r="I23473" s="1"/>
    </row>
    <row r="23474" spans="8:9" x14ac:dyDescent="0.2">
      <c r="H23474" s="1"/>
      <c r="I23474" s="1"/>
    </row>
    <row r="23475" spans="8:9" x14ac:dyDescent="0.2">
      <c r="H23475" s="1"/>
      <c r="I23475" s="1"/>
    </row>
    <row r="23476" spans="8:9" x14ac:dyDescent="0.2">
      <c r="H23476" s="1"/>
      <c r="I23476" s="1"/>
    </row>
    <row r="23477" spans="8:9" x14ac:dyDescent="0.2">
      <c r="H23477" s="1"/>
      <c r="I23477" s="1"/>
    </row>
    <row r="23478" spans="8:9" x14ac:dyDescent="0.2">
      <c r="H23478" s="1"/>
      <c r="I23478" s="1"/>
    </row>
    <row r="23479" spans="8:9" x14ac:dyDescent="0.2">
      <c r="H23479" s="1"/>
      <c r="I23479" s="1"/>
    </row>
    <row r="23480" spans="8:9" x14ac:dyDescent="0.2">
      <c r="H23480" s="1"/>
      <c r="I23480" s="1"/>
    </row>
    <row r="23481" spans="8:9" x14ac:dyDescent="0.2">
      <c r="H23481" s="1"/>
      <c r="I23481" s="1"/>
    </row>
    <row r="23482" spans="8:9" x14ac:dyDescent="0.2">
      <c r="H23482" s="1"/>
      <c r="I23482" s="1"/>
    </row>
    <row r="23483" spans="8:9" x14ac:dyDescent="0.2">
      <c r="H23483" s="1"/>
      <c r="I23483" s="1"/>
    </row>
    <row r="23484" spans="8:9" x14ac:dyDescent="0.2">
      <c r="H23484" s="1"/>
      <c r="I23484" s="1"/>
    </row>
    <row r="23485" spans="8:9" x14ac:dyDescent="0.2">
      <c r="H23485" s="1"/>
      <c r="I23485" s="1"/>
    </row>
    <row r="23486" spans="8:9" x14ac:dyDescent="0.2">
      <c r="H23486" s="1"/>
      <c r="I23486" s="1"/>
    </row>
    <row r="23487" spans="8:9" x14ac:dyDescent="0.2">
      <c r="H23487" s="1"/>
      <c r="I23487" s="1"/>
    </row>
    <row r="23488" spans="8:9" x14ac:dyDescent="0.2">
      <c r="H23488" s="1"/>
      <c r="I23488" s="1"/>
    </row>
    <row r="23489" spans="8:9" x14ac:dyDescent="0.2">
      <c r="H23489" s="1"/>
      <c r="I23489" s="1"/>
    </row>
    <row r="23490" spans="8:9" x14ac:dyDescent="0.2">
      <c r="H23490" s="1"/>
      <c r="I23490" s="1"/>
    </row>
    <row r="23491" spans="8:9" x14ac:dyDescent="0.2">
      <c r="H23491" s="1"/>
      <c r="I23491" s="1"/>
    </row>
    <row r="23492" spans="8:9" x14ac:dyDescent="0.2">
      <c r="H23492" s="1"/>
      <c r="I23492" s="1"/>
    </row>
    <row r="23493" spans="8:9" x14ac:dyDescent="0.2">
      <c r="H23493" s="1"/>
      <c r="I23493" s="1"/>
    </row>
    <row r="23494" spans="8:9" x14ac:dyDescent="0.2">
      <c r="H23494" s="1"/>
      <c r="I23494" s="1"/>
    </row>
    <row r="23495" spans="8:9" x14ac:dyDescent="0.2">
      <c r="H23495" s="1"/>
      <c r="I23495" s="1"/>
    </row>
    <row r="23496" spans="8:9" x14ac:dyDescent="0.2">
      <c r="H23496" s="1"/>
      <c r="I23496" s="1"/>
    </row>
    <row r="23497" spans="8:9" x14ac:dyDescent="0.2">
      <c r="H23497" s="1"/>
      <c r="I23497" s="1"/>
    </row>
    <row r="23498" spans="8:9" x14ac:dyDescent="0.2">
      <c r="H23498" s="1"/>
      <c r="I23498" s="1"/>
    </row>
    <row r="23499" spans="8:9" x14ac:dyDescent="0.2">
      <c r="H23499" s="1"/>
      <c r="I23499" s="1"/>
    </row>
    <row r="23500" spans="8:9" x14ac:dyDescent="0.2">
      <c r="H23500" s="1"/>
      <c r="I23500" s="1"/>
    </row>
    <row r="23501" spans="8:9" x14ac:dyDescent="0.2">
      <c r="H23501" s="1"/>
      <c r="I23501" s="1"/>
    </row>
    <row r="23502" spans="8:9" x14ac:dyDescent="0.2">
      <c r="H23502" s="1"/>
      <c r="I23502" s="1"/>
    </row>
    <row r="23503" spans="8:9" x14ac:dyDescent="0.2">
      <c r="H23503" s="1"/>
      <c r="I23503" s="1"/>
    </row>
    <row r="23504" spans="8:9" x14ac:dyDescent="0.2">
      <c r="H23504" s="1"/>
      <c r="I23504" s="1"/>
    </row>
    <row r="23505" spans="8:9" x14ac:dyDescent="0.2">
      <c r="H23505" s="1"/>
      <c r="I23505" s="1"/>
    </row>
    <row r="23506" spans="8:9" x14ac:dyDescent="0.2">
      <c r="H23506" s="1"/>
      <c r="I23506" s="1"/>
    </row>
    <row r="23507" spans="8:9" x14ac:dyDescent="0.2">
      <c r="H23507" s="1"/>
      <c r="I23507" s="1"/>
    </row>
    <row r="23508" spans="8:9" x14ac:dyDescent="0.2">
      <c r="H23508" s="1"/>
      <c r="I23508" s="1"/>
    </row>
    <row r="23509" spans="8:9" x14ac:dyDescent="0.2">
      <c r="H23509" s="1"/>
      <c r="I23509" s="1"/>
    </row>
    <row r="23510" spans="8:9" x14ac:dyDescent="0.2">
      <c r="H23510" s="1"/>
      <c r="I23510" s="1"/>
    </row>
    <row r="23511" spans="8:9" x14ac:dyDescent="0.2">
      <c r="H23511" s="1"/>
      <c r="I23511" s="1"/>
    </row>
    <row r="23512" spans="8:9" x14ac:dyDescent="0.2">
      <c r="H23512" s="1"/>
      <c r="I23512" s="1"/>
    </row>
    <row r="23513" spans="8:9" x14ac:dyDescent="0.2">
      <c r="H23513" s="1"/>
      <c r="I23513" s="1"/>
    </row>
    <row r="23514" spans="8:9" x14ac:dyDescent="0.2">
      <c r="H23514" s="1"/>
      <c r="I23514" s="1"/>
    </row>
    <row r="23515" spans="8:9" x14ac:dyDescent="0.2">
      <c r="H23515" s="1"/>
      <c r="I23515" s="1"/>
    </row>
    <row r="23516" spans="8:9" x14ac:dyDescent="0.2">
      <c r="H23516" s="1"/>
      <c r="I23516" s="1"/>
    </row>
    <row r="23517" spans="8:9" x14ac:dyDescent="0.2">
      <c r="H23517" s="1"/>
      <c r="I23517" s="1"/>
    </row>
    <row r="23518" spans="8:9" x14ac:dyDescent="0.2">
      <c r="H23518" s="1"/>
      <c r="I23518" s="1"/>
    </row>
    <row r="23519" spans="8:9" x14ac:dyDescent="0.2">
      <c r="H23519" s="1"/>
      <c r="I23519" s="1"/>
    </row>
    <row r="23520" spans="8:9" x14ac:dyDescent="0.2">
      <c r="H23520" s="1"/>
      <c r="I23520" s="1"/>
    </row>
    <row r="23521" spans="8:9" x14ac:dyDescent="0.2">
      <c r="H23521" s="1"/>
      <c r="I23521" s="1"/>
    </row>
    <row r="23522" spans="8:9" x14ac:dyDescent="0.2">
      <c r="H23522" s="1"/>
      <c r="I23522" s="1"/>
    </row>
    <row r="23523" spans="8:9" x14ac:dyDescent="0.2">
      <c r="H23523" s="1"/>
      <c r="I23523" s="1"/>
    </row>
    <row r="23524" spans="8:9" x14ac:dyDescent="0.2">
      <c r="H23524" s="1"/>
      <c r="I23524" s="1"/>
    </row>
    <row r="23525" spans="8:9" x14ac:dyDescent="0.2">
      <c r="H23525" s="1"/>
      <c r="I23525" s="1"/>
    </row>
    <row r="23526" spans="8:9" x14ac:dyDescent="0.2">
      <c r="H23526" s="1"/>
      <c r="I23526" s="1"/>
    </row>
    <row r="23527" spans="8:9" x14ac:dyDescent="0.2">
      <c r="H23527" s="1"/>
      <c r="I23527" s="1"/>
    </row>
    <row r="23528" spans="8:9" x14ac:dyDescent="0.2">
      <c r="H23528" s="1"/>
      <c r="I23528" s="1"/>
    </row>
    <row r="23529" spans="8:9" x14ac:dyDescent="0.2">
      <c r="H23529" s="1"/>
      <c r="I23529" s="1"/>
    </row>
    <row r="23530" spans="8:9" x14ac:dyDescent="0.2">
      <c r="H23530" s="1"/>
      <c r="I23530" s="1"/>
    </row>
    <row r="23531" spans="8:9" x14ac:dyDescent="0.2">
      <c r="H23531" s="1"/>
      <c r="I23531" s="1"/>
    </row>
    <row r="23532" spans="8:9" x14ac:dyDescent="0.2">
      <c r="H23532" s="1"/>
      <c r="I23532" s="1"/>
    </row>
    <row r="23533" spans="8:9" x14ac:dyDescent="0.2">
      <c r="H23533" s="1"/>
      <c r="I23533" s="1"/>
    </row>
    <row r="23534" spans="8:9" x14ac:dyDescent="0.2">
      <c r="H23534" s="1"/>
      <c r="I23534" s="1"/>
    </row>
    <row r="23535" spans="8:9" x14ac:dyDescent="0.2">
      <c r="H23535" s="1"/>
      <c r="I23535" s="1"/>
    </row>
    <row r="23536" spans="8:9" x14ac:dyDescent="0.2">
      <c r="H23536" s="1"/>
      <c r="I23536" s="1"/>
    </row>
    <row r="23537" spans="8:9" x14ac:dyDescent="0.2">
      <c r="H23537" s="1"/>
      <c r="I23537" s="1"/>
    </row>
    <row r="23538" spans="8:9" x14ac:dyDescent="0.2">
      <c r="H23538" s="1"/>
      <c r="I23538" s="1"/>
    </row>
    <row r="23539" spans="8:9" x14ac:dyDescent="0.2">
      <c r="H23539" s="1"/>
      <c r="I23539" s="1"/>
    </row>
    <row r="23540" spans="8:9" x14ac:dyDescent="0.2">
      <c r="H23540" s="1"/>
      <c r="I23540" s="1"/>
    </row>
    <row r="23541" spans="8:9" x14ac:dyDescent="0.2">
      <c r="H23541" s="1"/>
      <c r="I23541" s="1"/>
    </row>
    <row r="23542" spans="8:9" x14ac:dyDescent="0.2">
      <c r="H23542" s="1"/>
      <c r="I23542" s="1"/>
    </row>
    <row r="23543" spans="8:9" x14ac:dyDescent="0.2">
      <c r="H23543" s="1"/>
      <c r="I23543" s="1"/>
    </row>
    <row r="23544" spans="8:9" x14ac:dyDescent="0.2">
      <c r="H23544" s="1"/>
      <c r="I23544" s="1"/>
    </row>
    <row r="23545" spans="8:9" x14ac:dyDescent="0.2">
      <c r="H23545" s="1"/>
      <c r="I23545" s="1"/>
    </row>
    <row r="23546" spans="8:9" x14ac:dyDescent="0.2">
      <c r="H23546" s="1"/>
      <c r="I23546" s="1"/>
    </row>
    <row r="23547" spans="8:9" x14ac:dyDescent="0.2">
      <c r="H23547" s="1"/>
      <c r="I23547" s="1"/>
    </row>
    <row r="23548" spans="8:9" x14ac:dyDescent="0.2">
      <c r="H23548" s="1"/>
      <c r="I23548" s="1"/>
    </row>
    <row r="23549" spans="8:9" x14ac:dyDescent="0.2">
      <c r="H23549" s="1"/>
      <c r="I23549" s="1"/>
    </row>
    <row r="23550" spans="8:9" x14ac:dyDescent="0.2">
      <c r="H23550" s="1"/>
      <c r="I23550" s="1"/>
    </row>
    <row r="23551" spans="8:9" x14ac:dyDescent="0.2">
      <c r="H23551" s="1"/>
      <c r="I23551" s="1"/>
    </row>
    <row r="23552" spans="8:9" x14ac:dyDescent="0.2">
      <c r="H23552" s="1"/>
      <c r="I23552" s="1"/>
    </row>
    <row r="23553" spans="8:9" x14ac:dyDescent="0.2">
      <c r="H23553" s="1"/>
      <c r="I23553" s="1"/>
    </row>
    <row r="23554" spans="8:9" x14ac:dyDescent="0.2">
      <c r="H23554" s="1"/>
      <c r="I23554" s="1"/>
    </row>
    <row r="23555" spans="8:9" x14ac:dyDescent="0.2">
      <c r="H23555" s="1"/>
      <c r="I23555" s="1"/>
    </row>
    <row r="23556" spans="8:9" x14ac:dyDescent="0.2">
      <c r="H23556" s="1"/>
      <c r="I23556" s="1"/>
    </row>
    <row r="23557" spans="8:9" x14ac:dyDescent="0.2">
      <c r="H23557" s="1"/>
      <c r="I23557" s="1"/>
    </row>
    <row r="23558" spans="8:9" x14ac:dyDescent="0.2">
      <c r="H23558" s="1"/>
      <c r="I23558" s="1"/>
    </row>
    <row r="23559" spans="8:9" x14ac:dyDescent="0.2">
      <c r="H23559" s="1"/>
      <c r="I23559" s="1"/>
    </row>
    <row r="23560" spans="8:9" x14ac:dyDescent="0.2">
      <c r="H23560" s="1"/>
      <c r="I23560" s="1"/>
    </row>
    <row r="23561" spans="8:9" x14ac:dyDescent="0.2">
      <c r="H23561" s="1"/>
      <c r="I23561" s="1"/>
    </row>
    <row r="23562" spans="8:9" x14ac:dyDescent="0.2">
      <c r="H23562" s="1"/>
      <c r="I23562" s="1"/>
    </row>
    <row r="23563" spans="8:9" x14ac:dyDescent="0.2">
      <c r="H23563" s="1"/>
      <c r="I23563" s="1"/>
    </row>
    <row r="23564" spans="8:9" x14ac:dyDescent="0.2">
      <c r="H23564" s="1"/>
      <c r="I23564" s="1"/>
    </row>
    <row r="23565" spans="8:9" x14ac:dyDescent="0.2">
      <c r="H23565" s="1"/>
      <c r="I23565" s="1"/>
    </row>
    <row r="23566" spans="8:9" x14ac:dyDescent="0.2">
      <c r="H23566" s="1"/>
      <c r="I23566" s="1"/>
    </row>
    <row r="23567" spans="8:9" x14ac:dyDescent="0.2">
      <c r="H23567" s="1"/>
      <c r="I23567" s="1"/>
    </row>
    <row r="23568" spans="8:9" x14ac:dyDescent="0.2">
      <c r="H23568" s="1"/>
      <c r="I23568" s="1"/>
    </row>
    <row r="23569" spans="8:9" x14ac:dyDescent="0.2">
      <c r="H23569" s="1"/>
      <c r="I23569" s="1"/>
    </row>
    <row r="23570" spans="8:9" x14ac:dyDescent="0.2">
      <c r="H23570" s="1"/>
      <c r="I23570" s="1"/>
    </row>
    <row r="23571" spans="8:9" x14ac:dyDescent="0.2">
      <c r="H23571" s="1"/>
      <c r="I23571" s="1"/>
    </row>
    <row r="23572" spans="8:9" x14ac:dyDescent="0.2">
      <c r="H23572" s="1"/>
      <c r="I23572" s="1"/>
    </row>
    <row r="23573" spans="8:9" x14ac:dyDescent="0.2">
      <c r="H23573" s="1"/>
      <c r="I23573" s="1"/>
    </row>
    <row r="23574" spans="8:9" x14ac:dyDescent="0.2">
      <c r="H23574" s="1"/>
      <c r="I23574" s="1"/>
    </row>
    <row r="23575" spans="8:9" x14ac:dyDescent="0.2">
      <c r="H23575" s="1"/>
      <c r="I23575" s="1"/>
    </row>
    <row r="23576" spans="8:9" x14ac:dyDescent="0.2">
      <c r="H23576" s="1"/>
      <c r="I23576" s="1"/>
    </row>
    <row r="23577" spans="8:9" x14ac:dyDescent="0.2">
      <c r="H23577" s="1"/>
      <c r="I23577" s="1"/>
    </row>
    <row r="23578" spans="8:9" x14ac:dyDescent="0.2">
      <c r="H23578" s="1"/>
      <c r="I23578" s="1"/>
    </row>
    <row r="23579" spans="8:9" x14ac:dyDescent="0.2">
      <c r="H23579" s="1"/>
      <c r="I23579" s="1"/>
    </row>
    <row r="23580" spans="8:9" x14ac:dyDescent="0.2">
      <c r="H23580" s="1"/>
      <c r="I23580" s="1"/>
    </row>
    <row r="23581" spans="8:9" x14ac:dyDescent="0.2">
      <c r="H23581" s="1"/>
      <c r="I23581" s="1"/>
    </row>
    <row r="23582" spans="8:9" x14ac:dyDescent="0.2">
      <c r="H23582" s="1"/>
      <c r="I23582" s="1"/>
    </row>
    <row r="23583" spans="8:9" x14ac:dyDescent="0.2">
      <c r="H23583" s="1"/>
      <c r="I23583" s="1"/>
    </row>
    <row r="23584" spans="8:9" x14ac:dyDescent="0.2">
      <c r="H23584" s="1"/>
      <c r="I23584" s="1"/>
    </row>
    <row r="23585" spans="8:9" x14ac:dyDescent="0.2">
      <c r="H23585" s="1"/>
      <c r="I23585" s="1"/>
    </row>
    <row r="23586" spans="8:9" x14ac:dyDescent="0.2">
      <c r="H23586" s="1"/>
      <c r="I23586" s="1"/>
    </row>
    <row r="23587" spans="8:9" x14ac:dyDescent="0.2">
      <c r="H23587" s="1"/>
      <c r="I23587" s="1"/>
    </row>
    <row r="23588" spans="8:9" x14ac:dyDescent="0.2">
      <c r="H23588" s="1"/>
      <c r="I23588" s="1"/>
    </row>
    <row r="23589" spans="8:9" x14ac:dyDescent="0.2">
      <c r="H23589" s="1"/>
      <c r="I23589" s="1"/>
    </row>
    <row r="23590" spans="8:9" x14ac:dyDescent="0.2">
      <c r="H23590" s="1"/>
      <c r="I23590" s="1"/>
    </row>
    <row r="23591" spans="8:9" x14ac:dyDescent="0.2">
      <c r="H23591" s="1"/>
      <c r="I23591" s="1"/>
    </row>
    <row r="23592" spans="8:9" x14ac:dyDescent="0.2">
      <c r="H23592" s="1"/>
      <c r="I23592" s="1"/>
    </row>
    <row r="23593" spans="8:9" x14ac:dyDescent="0.2">
      <c r="H23593" s="1"/>
      <c r="I23593" s="1"/>
    </row>
    <row r="23594" spans="8:9" x14ac:dyDescent="0.2">
      <c r="H23594" s="1"/>
      <c r="I23594" s="1"/>
    </row>
    <row r="23595" spans="8:9" x14ac:dyDescent="0.2">
      <c r="H23595" s="1"/>
      <c r="I23595" s="1"/>
    </row>
    <row r="23596" spans="8:9" x14ac:dyDescent="0.2">
      <c r="H23596" s="1"/>
      <c r="I23596" s="1"/>
    </row>
    <row r="23597" spans="8:9" x14ac:dyDescent="0.2">
      <c r="H23597" s="1"/>
      <c r="I23597" s="1"/>
    </row>
    <row r="23598" spans="8:9" x14ac:dyDescent="0.2">
      <c r="H23598" s="1"/>
      <c r="I23598" s="1"/>
    </row>
    <row r="23599" spans="8:9" x14ac:dyDescent="0.2">
      <c r="H23599" s="1"/>
      <c r="I23599" s="1"/>
    </row>
    <row r="23600" spans="8:9" x14ac:dyDescent="0.2">
      <c r="H23600" s="1"/>
      <c r="I23600" s="1"/>
    </row>
    <row r="23601" spans="8:9" x14ac:dyDescent="0.2">
      <c r="H23601" s="1"/>
      <c r="I23601" s="1"/>
    </row>
    <row r="23602" spans="8:9" x14ac:dyDescent="0.2">
      <c r="H23602" s="1"/>
      <c r="I23602" s="1"/>
    </row>
    <row r="23603" spans="8:9" x14ac:dyDescent="0.2">
      <c r="H23603" s="1"/>
      <c r="I23603" s="1"/>
    </row>
    <row r="23604" spans="8:9" x14ac:dyDescent="0.2">
      <c r="H23604" s="1"/>
      <c r="I23604" s="1"/>
    </row>
    <row r="23605" spans="8:9" x14ac:dyDescent="0.2">
      <c r="H23605" s="1"/>
      <c r="I23605" s="1"/>
    </row>
    <row r="23606" spans="8:9" x14ac:dyDescent="0.2">
      <c r="H23606" s="1"/>
      <c r="I23606" s="1"/>
    </row>
    <row r="23607" spans="8:9" x14ac:dyDescent="0.2">
      <c r="H23607" s="1"/>
      <c r="I23607" s="1"/>
    </row>
    <row r="23608" spans="8:9" x14ac:dyDescent="0.2">
      <c r="H23608" s="1"/>
      <c r="I23608" s="1"/>
    </row>
    <row r="23609" spans="8:9" x14ac:dyDescent="0.2">
      <c r="H23609" s="1"/>
      <c r="I23609" s="1"/>
    </row>
    <row r="23610" spans="8:9" x14ac:dyDescent="0.2">
      <c r="H23610" s="1"/>
      <c r="I23610" s="1"/>
    </row>
    <row r="23611" spans="8:9" x14ac:dyDescent="0.2">
      <c r="H23611" s="1"/>
      <c r="I23611" s="1"/>
    </row>
    <row r="23612" spans="8:9" x14ac:dyDescent="0.2">
      <c r="H23612" s="1"/>
      <c r="I23612" s="1"/>
    </row>
    <row r="23613" spans="8:9" x14ac:dyDescent="0.2">
      <c r="H23613" s="1"/>
      <c r="I23613" s="1"/>
    </row>
    <row r="23614" spans="8:9" x14ac:dyDescent="0.2">
      <c r="H23614" s="1"/>
      <c r="I23614" s="1"/>
    </row>
    <row r="23615" spans="8:9" x14ac:dyDescent="0.2">
      <c r="H23615" s="1"/>
      <c r="I23615" s="1"/>
    </row>
    <row r="23616" spans="8:9" x14ac:dyDescent="0.2">
      <c r="H23616" s="1"/>
      <c r="I23616" s="1"/>
    </row>
    <row r="23617" spans="8:9" x14ac:dyDescent="0.2">
      <c r="H23617" s="1"/>
      <c r="I23617" s="1"/>
    </row>
    <row r="23618" spans="8:9" x14ac:dyDescent="0.2">
      <c r="H23618" s="1"/>
      <c r="I23618" s="1"/>
    </row>
    <row r="23619" spans="8:9" x14ac:dyDescent="0.2">
      <c r="H23619" s="1"/>
      <c r="I23619" s="1"/>
    </row>
    <row r="23620" spans="8:9" x14ac:dyDescent="0.2">
      <c r="H23620" s="1"/>
      <c r="I23620" s="1"/>
    </row>
    <row r="23621" spans="8:9" x14ac:dyDescent="0.2">
      <c r="H23621" s="1"/>
      <c r="I23621" s="1"/>
    </row>
    <row r="23622" spans="8:9" x14ac:dyDescent="0.2">
      <c r="H23622" s="1"/>
      <c r="I23622" s="1"/>
    </row>
    <row r="23623" spans="8:9" x14ac:dyDescent="0.2">
      <c r="H23623" s="1"/>
      <c r="I23623" s="1"/>
    </row>
    <row r="23624" spans="8:9" x14ac:dyDescent="0.2">
      <c r="H23624" s="1"/>
      <c r="I23624" s="1"/>
    </row>
    <row r="23625" spans="8:9" x14ac:dyDescent="0.2">
      <c r="H23625" s="1"/>
      <c r="I23625" s="1"/>
    </row>
    <row r="23626" spans="8:9" x14ac:dyDescent="0.2">
      <c r="H23626" s="1"/>
      <c r="I23626" s="1"/>
    </row>
    <row r="23627" spans="8:9" x14ac:dyDescent="0.2">
      <c r="H23627" s="1"/>
      <c r="I23627" s="1"/>
    </row>
    <row r="23628" spans="8:9" x14ac:dyDescent="0.2">
      <c r="H23628" s="1"/>
      <c r="I23628" s="1"/>
    </row>
    <row r="23629" spans="8:9" x14ac:dyDescent="0.2">
      <c r="H23629" s="1"/>
      <c r="I23629" s="1"/>
    </row>
    <row r="23630" spans="8:9" x14ac:dyDescent="0.2">
      <c r="H23630" s="1"/>
      <c r="I23630" s="1"/>
    </row>
    <row r="23631" spans="8:9" x14ac:dyDescent="0.2">
      <c r="H23631" s="1"/>
      <c r="I23631" s="1"/>
    </row>
    <row r="23632" spans="8:9" x14ac:dyDescent="0.2">
      <c r="H23632" s="1"/>
      <c r="I23632" s="1"/>
    </row>
    <row r="23633" spans="8:9" x14ac:dyDescent="0.2">
      <c r="H23633" s="1"/>
      <c r="I23633" s="1"/>
    </row>
    <row r="23634" spans="8:9" x14ac:dyDescent="0.2">
      <c r="H23634" s="1"/>
      <c r="I23634" s="1"/>
    </row>
    <row r="23635" spans="8:9" x14ac:dyDescent="0.2">
      <c r="H23635" s="1"/>
      <c r="I23635" s="1"/>
    </row>
    <row r="23636" spans="8:9" x14ac:dyDescent="0.2">
      <c r="H23636" s="1"/>
      <c r="I23636" s="1"/>
    </row>
    <row r="23637" spans="8:9" x14ac:dyDescent="0.2">
      <c r="H23637" s="1"/>
      <c r="I23637" s="1"/>
    </row>
    <row r="23638" spans="8:9" x14ac:dyDescent="0.2">
      <c r="H23638" s="1"/>
      <c r="I23638" s="1"/>
    </row>
    <row r="23639" spans="8:9" x14ac:dyDescent="0.2">
      <c r="H23639" s="1"/>
      <c r="I23639" s="1"/>
    </row>
    <row r="23640" spans="8:9" x14ac:dyDescent="0.2">
      <c r="H23640" s="1"/>
      <c r="I23640" s="1"/>
    </row>
    <row r="23641" spans="8:9" x14ac:dyDescent="0.2">
      <c r="H23641" s="1"/>
      <c r="I23641" s="1"/>
    </row>
    <row r="23642" spans="8:9" x14ac:dyDescent="0.2">
      <c r="H23642" s="1"/>
      <c r="I23642" s="1"/>
    </row>
    <row r="23643" spans="8:9" x14ac:dyDescent="0.2">
      <c r="H23643" s="1"/>
      <c r="I23643" s="1"/>
    </row>
    <row r="23644" spans="8:9" x14ac:dyDescent="0.2">
      <c r="H23644" s="1"/>
      <c r="I23644" s="1"/>
    </row>
    <row r="23645" spans="8:9" x14ac:dyDescent="0.2">
      <c r="H23645" s="1"/>
      <c r="I23645" s="1"/>
    </row>
    <row r="23646" spans="8:9" x14ac:dyDescent="0.2">
      <c r="H23646" s="1"/>
      <c r="I23646" s="1"/>
    </row>
    <row r="23647" spans="8:9" x14ac:dyDescent="0.2">
      <c r="H23647" s="1"/>
      <c r="I23647" s="1"/>
    </row>
    <row r="23648" spans="8:9" x14ac:dyDescent="0.2">
      <c r="H23648" s="1"/>
      <c r="I23648" s="1"/>
    </row>
    <row r="23649" spans="8:9" x14ac:dyDescent="0.2">
      <c r="H23649" s="1"/>
      <c r="I23649" s="1"/>
    </row>
    <row r="23650" spans="8:9" x14ac:dyDescent="0.2">
      <c r="H23650" s="1"/>
      <c r="I23650" s="1"/>
    </row>
    <row r="23651" spans="8:9" x14ac:dyDescent="0.2">
      <c r="H23651" s="1"/>
      <c r="I23651" s="1"/>
    </row>
    <row r="23652" spans="8:9" x14ac:dyDescent="0.2">
      <c r="H23652" s="1"/>
      <c r="I23652" s="1"/>
    </row>
    <row r="23653" spans="8:9" x14ac:dyDescent="0.2">
      <c r="H23653" s="1"/>
      <c r="I23653" s="1"/>
    </row>
    <row r="23654" spans="8:9" x14ac:dyDescent="0.2">
      <c r="H23654" s="1"/>
      <c r="I23654" s="1"/>
    </row>
    <row r="23655" spans="8:9" x14ac:dyDescent="0.2">
      <c r="H23655" s="1"/>
      <c r="I23655" s="1"/>
    </row>
    <row r="23656" spans="8:9" x14ac:dyDescent="0.2">
      <c r="H23656" s="1"/>
      <c r="I23656" s="1"/>
    </row>
    <row r="23657" spans="8:9" x14ac:dyDescent="0.2">
      <c r="H23657" s="1"/>
      <c r="I23657" s="1"/>
    </row>
    <row r="23658" spans="8:9" x14ac:dyDescent="0.2">
      <c r="H23658" s="1"/>
      <c r="I23658" s="1"/>
    </row>
    <row r="23659" spans="8:9" x14ac:dyDescent="0.2">
      <c r="H23659" s="1"/>
      <c r="I23659" s="1"/>
    </row>
    <row r="23660" spans="8:9" x14ac:dyDescent="0.2">
      <c r="H23660" s="1"/>
      <c r="I23660" s="1"/>
    </row>
    <row r="23661" spans="8:9" x14ac:dyDescent="0.2">
      <c r="H23661" s="1"/>
      <c r="I23661" s="1"/>
    </row>
    <row r="23662" spans="8:9" x14ac:dyDescent="0.2">
      <c r="H23662" s="1"/>
      <c r="I23662" s="1"/>
    </row>
    <row r="23663" spans="8:9" x14ac:dyDescent="0.2">
      <c r="H23663" s="1"/>
      <c r="I23663" s="1"/>
    </row>
    <row r="23664" spans="8:9" x14ac:dyDescent="0.2">
      <c r="H23664" s="1"/>
      <c r="I23664" s="1"/>
    </row>
    <row r="23665" spans="8:9" x14ac:dyDescent="0.2">
      <c r="H23665" s="1"/>
      <c r="I23665" s="1"/>
    </row>
    <row r="23666" spans="8:9" x14ac:dyDescent="0.2">
      <c r="H23666" s="1"/>
      <c r="I23666" s="1"/>
    </row>
    <row r="23667" spans="8:9" x14ac:dyDescent="0.2">
      <c r="H23667" s="1"/>
      <c r="I23667" s="1"/>
    </row>
    <row r="23668" spans="8:9" x14ac:dyDescent="0.2">
      <c r="H23668" s="1"/>
      <c r="I23668" s="1"/>
    </row>
    <row r="23669" spans="8:9" x14ac:dyDescent="0.2">
      <c r="H23669" s="1"/>
      <c r="I23669" s="1"/>
    </row>
    <row r="23670" spans="8:9" x14ac:dyDescent="0.2">
      <c r="H23670" s="1"/>
      <c r="I23670" s="1"/>
    </row>
    <row r="23671" spans="8:9" x14ac:dyDescent="0.2">
      <c r="H23671" s="1"/>
      <c r="I23671" s="1"/>
    </row>
    <row r="23672" spans="8:9" x14ac:dyDescent="0.2">
      <c r="H23672" s="1"/>
      <c r="I23672" s="1"/>
    </row>
    <row r="23673" spans="8:9" x14ac:dyDescent="0.2">
      <c r="H23673" s="1"/>
      <c r="I23673" s="1"/>
    </row>
    <row r="23674" spans="8:9" x14ac:dyDescent="0.2">
      <c r="H23674" s="1"/>
      <c r="I23674" s="1"/>
    </row>
    <row r="23675" spans="8:9" x14ac:dyDescent="0.2">
      <c r="H23675" s="1"/>
      <c r="I23675" s="1"/>
    </row>
    <row r="23676" spans="8:9" x14ac:dyDescent="0.2">
      <c r="H23676" s="1"/>
      <c r="I23676" s="1"/>
    </row>
    <row r="23677" spans="8:9" x14ac:dyDescent="0.2">
      <c r="H23677" s="1"/>
      <c r="I23677" s="1"/>
    </row>
    <row r="23678" spans="8:9" x14ac:dyDescent="0.2">
      <c r="H23678" s="1"/>
      <c r="I23678" s="1"/>
    </row>
    <row r="23679" spans="8:9" x14ac:dyDescent="0.2">
      <c r="H23679" s="1"/>
      <c r="I23679" s="1"/>
    </row>
    <row r="23680" spans="8:9" x14ac:dyDescent="0.2">
      <c r="H23680" s="1"/>
      <c r="I23680" s="1"/>
    </row>
    <row r="23681" spans="8:9" x14ac:dyDescent="0.2">
      <c r="H23681" s="1"/>
      <c r="I23681" s="1"/>
    </row>
    <row r="23682" spans="8:9" x14ac:dyDescent="0.2">
      <c r="H23682" s="1"/>
      <c r="I23682" s="1"/>
    </row>
    <row r="23683" spans="8:9" x14ac:dyDescent="0.2">
      <c r="H23683" s="1"/>
      <c r="I23683" s="1"/>
    </row>
    <row r="23684" spans="8:9" x14ac:dyDescent="0.2">
      <c r="H23684" s="1"/>
      <c r="I23684" s="1"/>
    </row>
    <row r="23685" spans="8:9" x14ac:dyDescent="0.2">
      <c r="H23685" s="1"/>
      <c r="I23685" s="1"/>
    </row>
    <row r="23686" spans="8:9" x14ac:dyDescent="0.2">
      <c r="H23686" s="1"/>
      <c r="I23686" s="1"/>
    </row>
    <row r="23687" spans="8:9" x14ac:dyDescent="0.2">
      <c r="H23687" s="1"/>
      <c r="I23687" s="1"/>
    </row>
    <row r="23688" spans="8:9" x14ac:dyDescent="0.2">
      <c r="H23688" s="1"/>
      <c r="I23688" s="1"/>
    </row>
    <row r="23689" spans="8:9" x14ac:dyDescent="0.2">
      <c r="H23689" s="1"/>
      <c r="I23689" s="1"/>
    </row>
    <row r="23690" spans="8:9" x14ac:dyDescent="0.2">
      <c r="H23690" s="1"/>
      <c r="I23690" s="1"/>
    </row>
    <row r="23691" spans="8:9" x14ac:dyDescent="0.2">
      <c r="H23691" s="1"/>
      <c r="I23691" s="1"/>
    </row>
    <row r="23692" spans="8:9" x14ac:dyDescent="0.2">
      <c r="H23692" s="1"/>
      <c r="I23692" s="1"/>
    </row>
    <row r="23693" spans="8:9" x14ac:dyDescent="0.2">
      <c r="H23693" s="1"/>
      <c r="I23693" s="1"/>
    </row>
    <row r="23694" spans="8:9" x14ac:dyDescent="0.2">
      <c r="H23694" s="1"/>
      <c r="I23694" s="1"/>
    </row>
    <row r="23695" spans="8:9" x14ac:dyDescent="0.2">
      <c r="H23695" s="1"/>
      <c r="I23695" s="1"/>
    </row>
    <row r="23696" spans="8:9" x14ac:dyDescent="0.2">
      <c r="H23696" s="1"/>
      <c r="I23696" s="1"/>
    </row>
    <row r="23697" spans="8:9" x14ac:dyDescent="0.2">
      <c r="H23697" s="1"/>
      <c r="I23697" s="1"/>
    </row>
    <row r="23698" spans="8:9" x14ac:dyDescent="0.2">
      <c r="H23698" s="1"/>
      <c r="I23698" s="1"/>
    </row>
    <row r="23699" spans="8:9" x14ac:dyDescent="0.2">
      <c r="H23699" s="1"/>
      <c r="I23699" s="1"/>
    </row>
    <row r="23700" spans="8:9" x14ac:dyDescent="0.2">
      <c r="H23700" s="1"/>
      <c r="I23700" s="1"/>
    </row>
    <row r="23701" spans="8:9" x14ac:dyDescent="0.2">
      <c r="H23701" s="1"/>
      <c r="I23701" s="1"/>
    </row>
    <row r="23702" spans="8:9" x14ac:dyDescent="0.2">
      <c r="H23702" s="1"/>
      <c r="I23702" s="1"/>
    </row>
    <row r="23703" spans="8:9" x14ac:dyDescent="0.2">
      <c r="H23703" s="1"/>
      <c r="I23703" s="1"/>
    </row>
    <row r="23704" spans="8:9" x14ac:dyDescent="0.2">
      <c r="H23704" s="1"/>
      <c r="I23704" s="1"/>
    </row>
    <row r="23705" spans="8:9" x14ac:dyDescent="0.2">
      <c r="H23705" s="1"/>
      <c r="I23705" s="1"/>
    </row>
    <row r="23706" spans="8:9" x14ac:dyDescent="0.2">
      <c r="H23706" s="1"/>
      <c r="I23706" s="1"/>
    </row>
    <row r="23707" spans="8:9" x14ac:dyDescent="0.2">
      <c r="H23707" s="1"/>
      <c r="I23707" s="1"/>
    </row>
    <row r="23708" spans="8:9" x14ac:dyDescent="0.2">
      <c r="H23708" s="1"/>
      <c r="I23708" s="1"/>
    </row>
    <row r="23709" spans="8:9" x14ac:dyDescent="0.2">
      <c r="H23709" s="1"/>
      <c r="I23709" s="1"/>
    </row>
    <row r="23710" spans="8:9" x14ac:dyDescent="0.2">
      <c r="H23710" s="1"/>
      <c r="I23710" s="1"/>
    </row>
    <row r="23711" spans="8:9" x14ac:dyDescent="0.2">
      <c r="H23711" s="1"/>
      <c r="I23711" s="1"/>
    </row>
    <row r="23712" spans="8:9" x14ac:dyDescent="0.2">
      <c r="H23712" s="1"/>
      <c r="I23712" s="1"/>
    </row>
    <row r="23713" spans="8:9" x14ac:dyDescent="0.2">
      <c r="H23713" s="1"/>
      <c r="I23713" s="1"/>
    </row>
    <row r="23714" spans="8:9" x14ac:dyDescent="0.2">
      <c r="H23714" s="1"/>
      <c r="I23714" s="1"/>
    </row>
    <row r="23715" spans="8:9" x14ac:dyDescent="0.2">
      <c r="H23715" s="1"/>
      <c r="I23715" s="1"/>
    </row>
    <row r="23716" spans="8:9" x14ac:dyDescent="0.2">
      <c r="H23716" s="1"/>
      <c r="I23716" s="1"/>
    </row>
    <row r="23717" spans="8:9" x14ac:dyDescent="0.2">
      <c r="H23717" s="1"/>
      <c r="I23717" s="1"/>
    </row>
    <row r="23718" spans="8:9" x14ac:dyDescent="0.2">
      <c r="H23718" s="1"/>
      <c r="I23718" s="1"/>
    </row>
    <row r="23719" spans="8:9" x14ac:dyDescent="0.2">
      <c r="H23719" s="1"/>
      <c r="I23719" s="1"/>
    </row>
    <row r="23720" spans="8:9" x14ac:dyDescent="0.2">
      <c r="H23720" s="1"/>
      <c r="I23720" s="1"/>
    </row>
    <row r="23721" spans="8:9" x14ac:dyDescent="0.2">
      <c r="H23721" s="1"/>
      <c r="I23721" s="1"/>
    </row>
    <row r="23722" spans="8:9" x14ac:dyDescent="0.2">
      <c r="H23722" s="1"/>
      <c r="I23722" s="1"/>
    </row>
    <row r="23723" spans="8:9" x14ac:dyDescent="0.2">
      <c r="H23723" s="1"/>
      <c r="I23723" s="1"/>
    </row>
    <row r="23724" spans="8:9" x14ac:dyDescent="0.2">
      <c r="H23724" s="1"/>
      <c r="I23724" s="1"/>
    </row>
    <row r="23725" spans="8:9" x14ac:dyDescent="0.2">
      <c r="H23725" s="1"/>
      <c r="I23725" s="1"/>
    </row>
    <row r="23726" spans="8:9" x14ac:dyDescent="0.2">
      <c r="H23726" s="1"/>
      <c r="I23726" s="1"/>
    </row>
    <row r="23727" spans="8:9" x14ac:dyDescent="0.2">
      <c r="H23727" s="1"/>
      <c r="I23727" s="1"/>
    </row>
    <row r="23728" spans="8:9" x14ac:dyDescent="0.2">
      <c r="H23728" s="1"/>
      <c r="I23728" s="1"/>
    </row>
    <row r="23729" spans="8:9" x14ac:dyDescent="0.2">
      <c r="H23729" s="1"/>
      <c r="I23729" s="1"/>
    </row>
    <row r="23730" spans="8:9" x14ac:dyDescent="0.2">
      <c r="H23730" s="1"/>
      <c r="I23730" s="1"/>
    </row>
    <row r="23731" spans="8:9" x14ac:dyDescent="0.2">
      <c r="H23731" s="1"/>
      <c r="I23731" s="1"/>
    </row>
    <row r="23732" spans="8:9" x14ac:dyDescent="0.2">
      <c r="H23732" s="1"/>
      <c r="I23732" s="1"/>
    </row>
    <row r="23733" spans="8:9" x14ac:dyDescent="0.2">
      <c r="H23733" s="1"/>
      <c r="I23733" s="1"/>
    </row>
    <row r="23734" spans="8:9" x14ac:dyDescent="0.2">
      <c r="H23734" s="1"/>
      <c r="I23734" s="1"/>
    </row>
    <row r="23735" spans="8:9" x14ac:dyDescent="0.2">
      <c r="H23735" s="1"/>
      <c r="I23735" s="1"/>
    </row>
    <row r="23736" spans="8:9" x14ac:dyDescent="0.2">
      <c r="H23736" s="1"/>
      <c r="I23736" s="1"/>
    </row>
    <row r="23737" spans="8:9" x14ac:dyDescent="0.2">
      <c r="H23737" s="1"/>
      <c r="I23737" s="1"/>
    </row>
    <row r="23738" spans="8:9" x14ac:dyDescent="0.2">
      <c r="H23738" s="1"/>
      <c r="I23738" s="1"/>
    </row>
    <row r="23739" spans="8:9" x14ac:dyDescent="0.2">
      <c r="H23739" s="1"/>
      <c r="I23739" s="1"/>
    </row>
    <row r="23740" spans="8:9" x14ac:dyDescent="0.2">
      <c r="H23740" s="1"/>
      <c r="I23740" s="1"/>
    </row>
    <row r="23741" spans="8:9" x14ac:dyDescent="0.2">
      <c r="H23741" s="1"/>
      <c r="I23741" s="1"/>
    </row>
    <row r="23742" spans="8:9" x14ac:dyDescent="0.2">
      <c r="H23742" s="1"/>
      <c r="I23742" s="1"/>
    </row>
    <row r="23743" spans="8:9" x14ac:dyDescent="0.2">
      <c r="H23743" s="1"/>
      <c r="I23743" s="1"/>
    </row>
    <row r="23744" spans="8:9" x14ac:dyDescent="0.2">
      <c r="H23744" s="1"/>
      <c r="I23744" s="1"/>
    </row>
    <row r="23745" spans="8:9" x14ac:dyDescent="0.2">
      <c r="H23745" s="1"/>
      <c r="I23745" s="1"/>
    </row>
    <row r="23746" spans="8:9" x14ac:dyDescent="0.2">
      <c r="H23746" s="1"/>
      <c r="I23746" s="1"/>
    </row>
    <row r="23747" spans="8:9" x14ac:dyDescent="0.2">
      <c r="H23747" s="1"/>
      <c r="I23747" s="1"/>
    </row>
    <row r="23748" spans="8:9" x14ac:dyDescent="0.2">
      <c r="H23748" s="1"/>
      <c r="I23748" s="1"/>
    </row>
    <row r="23749" spans="8:9" x14ac:dyDescent="0.2">
      <c r="H23749" s="1"/>
      <c r="I23749" s="1"/>
    </row>
    <row r="23750" spans="8:9" x14ac:dyDescent="0.2">
      <c r="H23750" s="1"/>
      <c r="I23750" s="1"/>
    </row>
    <row r="23751" spans="8:9" x14ac:dyDescent="0.2">
      <c r="H23751" s="1"/>
      <c r="I23751" s="1"/>
    </row>
    <row r="23752" spans="8:9" x14ac:dyDescent="0.2">
      <c r="H23752" s="1"/>
      <c r="I23752" s="1"/>
    </row>
    <row r="23753" spans="8:9" x14ac:dyDescent="0.2">
      <c r="H23753" s="1"/>
      <c r="I23753" s="1"/>
    </row>
    <row r="23754" spans="8:9" x14ac:dyDescent="0.2">
      <c r="H23754" s="1"/>
      <c r="I23754" s="1"/>
    </row>
    <row r="23755" spans="8:9" x14ac:dyDescent="0.2">
      <c r="H23755" s="1"/>
      <c r="I23755" s="1"/>
    </row>
    <row r="23756" spans="8:9" x14ac:dyDescent="0.2">
      <c r="H23756" s="1"/>
      <c r="I23756" s="1"/>
    </row>
    <row r="23757" spans="8:9" x14ac:dyDescent="0.2">
      <c r="H23757" s="1"/>
      <c r="I23757" s="1"/>
    </row>
    <row r="23758" spans="8:9" x14ac:dyDescent="0.2">
      <c r="H23758" s="1"/>
      <c r="I23758" s="1"/>
    </row>
    <row r="23759" spans="8:9" x14ac:dyDescent="0.2">
      <c r="H23759" s="1"/>
      <c r="I23759" s="1"/>
    </row>
    <row r="23760" spans="8:9" x14ac:dyDescent="0.2">
      <c r="H23760" s="1"/>
      <c r="I23760" s="1"/>
    </row>
    <row r="23761" spans="8:9" x14ac:dyDescent="0.2">
      <c r="H23761" s="1"/>
      <c r="I23761" s="1"/>
    </row>
    <row r="23762" spans="8:9" x14ac:dyDescent="0.2">
      <c r="H23762" s="1"/>
      <c r="I23762" s="1"/>
    </row>
    <row r="23763" spans="8:9" x14ac:dyDescent="0.2">
      <c r="H23763" s="1"/>
      <c r="I23763" s="1"/>
    </row>
    <row r="23764" spans="8:9" x14ac:dyDescent="0.2">
      <c r="H23764" s="1"/>
      <c r="I23764" s="1"/>
    </row>
    <row r="23765" spans="8:9" x14ac:dyDescent="0.2">
      <c r="H23765" s="1"/>
      <c r="I23765" s="1"/>
    </row>
    <row r="23766" spans="8:9" x14ac:dyDescent="0.2">
      <c r="H23766" s="1"/>
      <c r="I23766" s="1"/>
    </row>
    <row r="23767" spans="8:9" x14ac:dyDescent="0.2">
      <c r="H23767" s="1"/>
      <c r="I23767" s="1"/>
    </row>
    <row r="23768" spans="8:9" x14ac:dyDescent="0.2">
      <c r="H23768" s="1"/>
      <c r="I23768" s="1"/>
    </row>
    <row r="23769" spans="8:9" x14ac:dyDescent="0.2">
      <c r="H23769" s="1"/>
      <c r="I23769" s="1"/>
    </row>
    <row r="23770" spans="8:9" x14ac:dyDescent="0.2">
      <c r="H23770" s="1"/>
      <c r="I23770" s="1"/>
    </row>
    <row r="23771" spans="8:9" x14ac:dyDescent="0.2">
      <c r="H23771" s="1"/>
      <c r="I23771" s="1"/>
    </row>
    <row r="23772" spans="8:9" x14ac:dyDescent="0.2">
      <c r="H23772" s="1"/>
      <c r="I23772" s="1"/>
    </row>
    <row r="23773" spans="8:9" x14ac:dyDescent="0.2">
      <c r="H23773" s="1"/>
      <c r="I23773" s="1"/>
    </row>
    <row r="23774" spans="8:9" x14ac:dyDescent="0.2">
      <c r="H23774" s="1"/>
      <c r="I23774" s="1"/>
    </row>
    <row r="23775" spans="8:9" x14ac:dyDescent="0.2">
      <c r="H23775" s="1"/>
      <c r="I23775" s="1"/>
    </row>
    <row r="23776" spans="8:9" x14ac:dyDescent="0.2">
      <c r="H23776" s="1"/>
      <c r="I23776" s="1"/>
    </row>
    <row r="23777" spans="8:9" x14ac:dyDescent="0.2">
      <c r="H23777" s="1"/>
      <c r="I23777" s="1"/>
    </row>
    <row r="23778" spans="8:9" x14ac:dyDescent="0.2">
      <c r="H23778" s="1"/>
      <c r="I23778" s="1"/>
    </row>
    <row r="23779" spans="8:9" x14ac:dyDescent="0.2">
      <c r="H23779" s="1"/>
      <c r="I23779" s="1"/>
    </row>
    <row r="23780" spans="8:9" x14ac:dyDescent="0.2">
      <c r="H23780" s="1"/>
      <c r="I23780" s="1"/>
    </row>
    <row r="23781" spans="8:9" x14ac:dyDescent="0.2">
      <c r="H23781" s="1"/>
      <c r="I23781" s="1"/>
    </row>
    <row r="23782" spans="8:9" x14ac:dyDescent="0.2">
      <c r="H23782" s="1"/>
      <c r="I23782" s="1"/>
    </row>
    <row r="23783" spans="8:9" x14ac:dyDescent="0.2">
      <c r="H23783" s="1"/>
      <c r="I23783" s="1"/>
    </row>
    <row r="23784" spans="8:9" x14ac:dyDescent="0.2">
      <c r="H23784" s="1"/>
      <c r="I23784" s="1"/>
    </row>
    <row r="23785" spans="8:9" x14ac:dyDescent="0.2">
      <c r="H23785" s="1"/>
      <c r="I23785" s="1"/>
    </row>
    <row r="23786" spans="8:9" x14ac:dyDescent="0.2">
      <c r="H23786" s="1"/>
      <c r="I23786" s="1"/>
    </row>
    <row r="23787" spans="8:9" x14ac:dyDescent="0.2">
      <c r="H23787" s="1"/>
      <c r="I23787" s="1"/>
    </row>
    <row r="23788" spans="8:9" x14ac:dyDescent="0.2">
      <c r="H23788" s="1"/>
      <c r="I23788" s="1"/>
    </row>
    <row r="23789" spans="8:9" x14ac:dyDescent="0.2">
      <c r="H23789" s="1"/>
      <c r="I23789" s="1"/>
    </row>
    <row r="23790" spans="8:9" x14ac:dyDescent="0.2">
      <c r="H23790" s="1"/>
      <c r="I23790" s="1"/>
    </row>
    <row r="23791" spans="8:9" x14ac:dyDescent="0.2">
      <c r="H23791" s="1"/>
      <c r="I23791" s="1"/>
    </row>
    <row r="23792" spans="8:9" x14ac:dyDescent="0.2">
      <c r="H23792" s="1"/>
      <c r="I23792" s="1"/>
    </row>
    <row r="23793" spans="8:9" x14ac:dyDescent="0.2">
      <c r="H23793" s="1"/>
      <c r="I23793" s="1"/>
    </row>
    <row r="23794" spans="8:9" x14ac:dyDescent="0.2">
      <c r="H23794" s="1"/>
      <c r="I23794" s="1"/>
    </row>
    <row r="23795" spans="8:9" x14ac:dyDescent="0.2">
      <c r="H23795" s="1"/>
      <c r="I23795" s="1"/>
    </row>
    <row r="23796" spans="8:9" x14ac:dyDescent="0.2">
      <c r="H23796" s="1"/>
      <c r="I23796" s="1"/>
    </row>
    <row r="23797" spans="8:9" x14ac:dyDescent="0.2">
      <c r="H23797" s="1"/>
      <c r="I23797" s="1"/>
    </row>
    <row r="23798" spans="8:9" x14ac:dyDescent="0.2">
      <c r="H23798" s="1"/>
      <c r="I23798" s="1"/>
    </row>
    <row r="23799" spans="8:9" x14ac:dyDescent="0.2">
      <c r="H23799" s="1"/>
      <c r="I23799" s="1"/>
    </row>
    <row r="23800" spans="8:9" x14ac:dyDescent="0.2">
      <c r="H23800" s="1"/>
      <c r="I23800" s="1"/>
    </row>
    <row r="23801" spans="8:9" x14ac:dyDescent="0.2">
      <c r="H23801" s="1"/>
      <c r="I23801" s="1"/>
    </row>
    <row r="23802" spans="8:9" x14ac:dyDescent="0.2">
      <c r="H23802" s="1"/>
      <c r="I23802" s="1"/>
    </row>
    <row r="23803" spans="8:9" x14ac:dyDescent="0.2">
      <c r="H23803" s="1"/>
      <c r="I23803" s="1"/>
    </row>
    <row r="23804" spans="8:9" x14ac:dyDescent="0.2">
      <c r="H23804" s="1"/>
      <c r="I23804" s="1"/>
    </row>
    <row r="23805" spans="8:9" x14ac:dyDescent="0.2">
      <c r="H23805" s="1"/>
      <c r="I23805" s="1"/>
    </row>
    <row r="23806" spans="8:9" x14ac:dyDescent="0.2">
      <c r="H23806" s="1"/>
      <c r="I23806" s="1"/>
    </row>
    <row r="23807" spans="8:9" x14ac:dyDescent="0.2">
      <c r="H23807" s="1"/>
      <c r="I23807" s="1"/>
    </row>
    <row r="23808" spans="8:9" x14ac:dyDescent="0.2">
      <c r="H23808" s="1"/>
      <c r="I23808" s="1"/>
    </row>
    <row r="23809" spans="8:9" x14ac:dyDescent="0.2">
      <c r="H23809" s="1"/>
      <c r="I23809" s="1"/>
    </row>
    <row r="23810" spans="8:9" x14ac:dyDescent="0.2">
      <c r="H23810" s="1"/>
      <c r="I23810" s="1"/>
    </row>
    <row r="23811" spans="8:9" x14ac:dyDescent="0.2">
      <c r="H23811" s="1"/>
      <c r="I23811" s="1"/>
    </row>
    <row r="23812" spans="8:9" x14ac:dyDescent="0.2">
      <c r="H23812" s="1"/>
      <c r="I23812" s="1"/>
    </row>
    <row r="23813" spans="8:9" x14ac:dyDescent="0.2">
      <c r="H23813" s="1"/>
      <c r="I23813" s="1"/>
    </row>
    <row r="23814" spans="8:9" x14ac:dyDescent="0.2">
      <c r="H23814" s="1"/>
      <c r="I23814" s="1"/>
    </row>
    <row r="23815" spans="8:9" x14ac:dyDescent="0.2">
      <c r="H23815" s="1"/>
      <c r="I23815" s="1"/>
    </row>
    <row r="23816" spans="8:9" x14ac:dyDescent="0.2">
      <c r="H23816" s="1"/>
      <c r="I23816" s="1"/>
    </row>
    <row r="23817" spans="8:9" x14ac:dyDescent="0.2">
      <c r="H23817" s="1"/>
      <c r="I23817" s="1"/>
    </row>
    <row r="23818" spans="8:9" x14ac:dyDescent="0.2">
      <c r="H23818" s="1"/>
      <c r="I23818" s="1"/>
    </row>
    <row r="23819" spans="8:9" x14ac:dyDescent="0.2">
      <c r="H23819" s="1"/>
      <c r="I23819" s="1"/>
    </row>
    <row r="23820" spans="8:9" x14ac:dyDescent="0.2">
      <c r="H23820" s="1"/>
      <c r="I23820" s="1"/>
    </row>
    <row r="23821" spans="8:9" x14ac:dyDescent="0.2">
      <c r="H23821" s="1"/>
      <c r="I23821" s="1"/>
    </row>
    <row r="23822" spans="8:9" x14ac:dyDescent="0.2">
      <c r="H23822" s="1"/>
      <c r="I23822" s="1"/>
    </row>
    <row r="23823" spans="8:9" x14ac:dyDescent="0.2">
      <c r="H23823" s="1"/>
      <c r="I23823" s="1"/>
    </row>
    <row r="23824" spans="8:9" x14ac:dyDescent="0.2">
      <c r="H23824" s="1"/>
      <c r="I23824" s="1"/>
    </row>
    <row r="23825" spans="8:9" x14ac:dyDescent="0.2">
      <c r="H23825" s="1"/>
      <c r="I23825" s="1"/>
    </row>
    <row r="23826" spans="8:9" x14ac:dyDescent="0.2">
      <c r="H23826" s="1"/>
      <c r="I23826" s="1"/>
    </row>
    <row r="23827" spans="8:9" x14ac:dyDescent="0.2">
      <c r="H23827" s="1"/>
      <c r="I23827" s="1"/>
    </row>
    <row r="23828" spans="8:9" x14ac:dyDescent="0.2">
      <c r="H23828" s="1"/>
      <c r="I23828" s="1"/>
    </row>
    <row r="23829" spans="8:9" x14ac:dyDescent="0.2">
      <c r="H23829" s="1"/>
      <c r="I23829" s="1"/>
    </row>
    <row r="23830" spans="8:9" x14ac:dyDescent="0.2">
      <c r="H23830" s="1"/>
      <c r="I23830" s="1"/>
    </row>
    <row r="23831" spans="8:9" x14ac:dyDescent="0.2">
      <c r="H23831" s="1"/>
      <c r="I23831" s="1"/>
    </row>
    <row r="23832" spans="8:9" x14ac:dyDescent="0.2">
      <c r="H23832" s="1"/>
      <c r="I23832" s="1"/>
    </row>
    <row r="23833" spans="8:9" x14ac:dyDescent="0.2">
      <c r="H23833" s="1"/>
      <c r="I23833" s="1"/>
    </row>
    <row r="23834" spans="8:9" x14ac:dyDescent="0.2">
      <c r="H23834" s="1"/>
      <c r="I23834" s="1"/>
    </row>
    <row r="23835" spans="8:9" x14ac:dyDescent="0.2">
      <c r="H23835" s="1"/>
      <c r="I23835" s="1"/>
    </row>
    <row r="23836" spans="8:9" x14ac:dyDescent="0.2">
      <c r="H23836" s="1"/>
      <c r="I23836" s="1"/>
    </row>
    <row r="23837" spans="8:9" x14ac:dyDescent="0.2">
      <c r="H23837" s="1"/>
      <c r="I23837" s="1"/>
    </row>
    <row r="23838" spans="8:9" x14ac:dyDescent="0.2">
      <c r="H23838" s="1"/>
      <c r="I23838" s="1"/>
    </row>
    <row r="23839" spans="8:9" x14ac:dyDescent="0.2">
      <c r="H23839" s="1"/>
      <c r="I23839" s="1"/>
    </row>
    <row r="23840" spans="8:9" x14ac:dyDescent="0.2">
      <c r="H23840" s="1"/>
      <c r="I23840" s="1"/>
    </row>
    <row r="23841" spans="8:9" x14ac:dyDescent="0.2">
      <c r="H23841" s="1"/>
      <c r="I23841" s="1"/>
    </row>
    <row r="23842" spans="8:9" x14ac:dyDescent="0.2">
      <c r="H23842" s="1"/>
      <c r="I23842" s="1"/>
    </row>
    <row r="23843" spans="8:9" x14ac:dyDescent="0.2">
      <c r="H23843" s="1"/>
      <c r="I23843" s="1"/>
    </row>
    <row r="23844" spans="8:9" x14ac:dyDescent="0.2">
      <c r="H23844" s="1"/>
      <c r="I23844" s="1"/>
    </row>
    <row r="23845" spans="8:9" x14ac:dyDescent="0.2">
      <c r="H23845" s="1"/>
      <c r="I23845" s="1"/>
    </row>
    <row r="23846" spans="8:9" x14ac:dyDescent="0.2">
      <c r="H23846" s="1"/>
      <c r="I23846" s="1"/>
    </row>
    <row r="23847" spans="8:9" x14ac:dyDescent="0.2">
      <c r="H23847" s="1"/>
      <c r="I23847" s="1"/>
    </row>
    <row r="23848" spans="8:9" x14ac:dyDescent="0.2">
      <c r="H23848" s="1"/>
      <c r="I23848" s="1"/>
    </row>
    <row r="23849" spans="8:9" x14ac:dyDescent="0.2">
      <c r="H23849" s="1"/>
      <c r="I23849" s="1"/>
    </row>
    <row r="23850" spans="8:9" x14ac:dyDescent="0.2">
      <c r="H23850" s="1"/>
      <c r="I23850" s="1"/>
    </row>
    <row r="23851" spans="8:9" x14ac:dyDescent="0.2">
      <c r="H23851" s="1"/>
      <c r="I23851" s="1"/>
    </row>
    <row r="23852" spans="8:9" x14ac:dyDescent="0.2">
      <c r="H23852" s="1"/>
      <c r="I23852" s="1"/>
    </row>
    <row r="23853" spans="8:9" x14ac:dyDescent="0.2">
      <c r="H23853" s="1"/>
      <c r="I23853" s="1"/>
    </row>
    <row r="23854" spans="8:9" x14ac:dyDescent="0.2">
      <c r="H23854" s="1"/>
      <c r="I23854" s="1"/>
    </row>
    <row r="23855" spans="8:9" x14ac:dyDescent="0.2">
      <c r="H23855" s="1"/>
      <c r="I23855" s="1"/>
    </row>
    <row r="23856" spans="8:9" x14ac:dyDescent="0.2">
      <c r="H23856" s="1"/>
      <c r="I23856" s="1"/>
    </row>
    <row r="23857" spans="8:9" x14ac:dyDescent="0.2">
      <c r="H23857" s="1"/>
      <c r="I23857" s="1"/>
    </row>
    <row r="23858" spans="8:9" x14ac:dyDescent="0.2">
      <c r="H23858" s="1"/>
      <c r="I23858" s="1"/>
    </row>
    <row r="23859" spans="8:9" x14ac:dyDescent="0.2">
      <c r="H23859" s="1"/>
      <c r="I23859" s="1"/>
    </row>
    <row r="23860" spans="8:9" x14ac:dyDescent="0.2">
      <c r="H23860" s="1"/>
      <c r="I23860" s="1"/>
    </row>
    <row r="23861" spans="8:9" x14ac:dyDescent="0.2">
      <c r="H23861" s="1"/>
      <c r="I23861" s="1"/>
    </row>
    <row r="23862" spans="8:9" x14ac:dyDescent="0.2">
      <c r="H23862" s="1"/>
      <c r="I23862" s="1"/>
    </row>
    <row r="23863" spans="8:9" x14ac:dyDescent="0.2">
      <c r="H23863" s="1"/>
      <c r="I23863" s="1"/>
    </row>
    <row r="23864" spans="8:9" x14ac:dyDescent="0.2">
      <c r="H23864" s="1"/>
      <c r="I23864" s="1"/>
    </row>
    <row r="23865" spans="8:9" x14ac:dyDescent="0.2">
      <c r="H23865" s="1"/>
      <c r="I23865" s="1"/>
    </row>
    <row r="23866" spans="8:9" x14ac:dyDescent="0.2">
      <c r="H23866" s="1"/>
      <c r="I23866" s="1"/>
    </row>
    <row r="23867" spans="8:9" x14ac:dyDescent="0.2">
      <c r="H23867" s="1"/>
      <c r="I23867" s="1"/>
    </row>
    <row r="23868" spans="8:9" x14ac:dyDescent="0.2">
      <c r="H23868" s="1"/>
      <c r="I23868" s="1"/>
    </row>
    <row r="23869" spans="8:9" x14ac:dyDescent="0.2">
      <c r="H23869" s="1"/>
      <c r="I23869" s="1"/>
    </row>
    <row r="23870" spans="8:9" x14ac:dyDescent="0.2">
      <c r="H23870" s="1"/>
      <c r="I23870" s="1"/>
    </row>
    <row r="23871" spans="8:9" x14ac:dyDescent="0.2">
      <c r="H23871" s="1"/>
      <c r="I23871" s="1"/>
    </row>
    <row r="23872" spans="8:9" x14ac:dyDescent="0.2">
      <c r="H23872" s="1"/>
      <c r="I23872" s="1"/>
    </row>
    <row r="23873" spans="8:9" x14ac:dyDescent="0.2">
      <c r="H23873" s="1"/>
      <c r="I23873" s="1"/>
    </row>
    <row r="23874" spans="8:9" x14ac:dyDescent="0.2">
      <c r="H23874" s="1"/>
      <c r="I23874" s="1"/>
    </row>
    <row r="23875" spans="8:9" x14ac:dyDescent="0.2">
      <c r="H23875" s="1"/>
      <c r="I23875" s="1"/>
    </row>
    <row r="23876" spans="8:9" x14ac:dyDescent="0.2">
      <c r="H23876" s="1"/>
      <c r="I23876" s="1"/>
    </row>
    <row r="23877" spans="8:9" x14ac:dyDescent="0.2">
      <c r="H23877" s="1"/>
      <c r="I23877" s="1"/>
    </row>
    <row r="23878" spans="8:9" x14ac:dyDescent="0.2">
      <c r="H23878" s="1"/>
      <c r="I23878" s="1"/>
    </row>
    <row r="23879" spans="8:9" x14ac:dyDescent="0.2">
      <c r="H23879" s="1"/>
      <c r="I23879" s="1"/>
    </row>
    <row r="23880" spans="8:9" x14ac:dyDescent="0.2">
      <c r="H23880" s="1"/>
      <c r="I23880" s="1"/>
    </row>
    <row r="23881" spans="8:9" x14ac:dyDescent="0.2">
      <c r="H23881" s="1"/>
      <c r="I23881" s="1"/>
    </row>
    <row r="23882" spans="8:9" x14ac:dyDescent="0.2">
      <c r="H23882" s="1"/>
      <c r="I23882" s="1"/>
    </row>
    <row r="23883" spans="8:9" x14ac:dyDescent="0.2">
      <c r="H23883" s="1"/>
      <c r="I23883" s="1"/>
    </row>
    <row r="23884" spans="8:9" x14ac:dyDescent="0.2">
      <c r="H23884" s="1"/>
      <c r="I23884" s="1"/>
    </row>
    <row r="23885" spans="8:9" x14ac:dyDescent="0.2">
      <c r="H23885" s="1"/>
      <c r="I23885" s="1"/>
    </row>
    <row r="23886" spans="8:9" x14ac:dyDescent="0.2">
      <c r="H23886" s="1"/>
      <c r="I23886" s="1"/>
    </row>
    <row r="23887" spans="8:9" x14ac:dyDescent="0.2">
      <c r="H23887" s="1"/>
      <c r="I23887" s="1"/>
    </row>
    <row r="23888" spans="8:9" x14ac:dyDescent="0.2">
      <c r="H23888" s="1"/>
      <c r="I23888" s="1"/>
    </row>
    <row r="23889" spans="8:9" x14ac:dyDescent="0.2">
      <c r="H23889" s="1"/>
      <c r="I23889" s="1"/>
    </row>
    <row r="23890" spans="8:9" x14ac:dyDescent="0.2">
      <c r="H23890" s="1"/>
      <c r="I23890" s="1"/>
    </row>
    <row r="23891" spans="8:9" x14ac:dyDescent="0.2">
      <c r="H23891" s="1"/>
      <c r="I23891" s="1"/>
    </row>
    <row r="23892" spans="8:9" x14ac:dyDescent="0.2">
      <c r="H23892" s="1"/>
      <c r="I23892" s="1"/>
    </row>
    <row r="23893" spans="8:9" x14ac:dyDescent="0.2">
      <c r="H23893" s="1"/>
      <c r="I23893" s="1"/>
    </row>
    <row r="23894" spans="8:9" x14ac:dyDescent="0.2">
      <c r="H23894" s="1"/>
      <c r="I23894" s="1"/>
    </row>
    <row r="23895" spans="8:9" x14ac:dyDescent="0.2">
      <c r="H23895" s="1"/>
      <c r="I23895" s="1"/>
    </row>
    <row r="23896" spans="8:9" x14ac:dyDescent="0.2">
      <c r="H23896" s="1"/>
      <c r="I23896" s="1"/>
    </row>
    <row r="23897" spans="8:9" x14ac:dyDescent="0.2">
      <c r="H23897" s="1"/>
      <c r="I23897" s="1"/>
    </row>
    <row r="23898" spans="8:9" x14ac:dyDescent="0.2">
      <c r="H23898" s="1"/>
      <c r="I23898" s="1"/>
    </row>
    <row r="23899" spans="8:9" x14ac:dyDescent="0.2">
      <c r="H23899" s="1"/>
      <c r="I23899" s="1"/>
    </row>
    <row r="23900" spans="8:9" x14ac:dyDescent="0.2">
      <c r="H23900" s="1"/>
      <c r="I23900" s="1"/>
    </row>
    <row r="23901" spans="8:9" x14ac:dyDescent="0.2">
      <c r="H23901" s="1"/>
      <c r="I23901" s="1"/>
    </row>
    <row r="23902" spans="8:9" x14ac:dyDescent="0.2">
      <c r="H23902" s="1"/>
      <c r="I23902" s="1"/>
    </row>
    <row r="23903" spans="8:9" x14ac:dyDescent="0.2">
      <c r="H23903" s="1"/>
      <c r="I23903" s="1"/>
    </row>
    <row r="23904" spans="8:9" x14ac:dyDescent="0.2">
      <c r="H23904" s="1"/>
      <c r="I23904" s="1"/>
    </row>
    <row r="23905" spans="8:9" x14ac:dyDescent="0.2">
      <c r="H23905" s="1"/>
      <c r="I23905" s="1"/>
    </row>
    <row r="23906" spans="8:9" x14ac:dyDescent="0.2">
      <c r="H23906" s="1"/>
      <c r="I23906" s="1"/>
    </row>
    <row r="23907" spans="8:9" x14ac:dyDescent="0.2">
      <c r="H23907" s="1"/>
      <c r="I23907" s="1"/>
    </row>
    <row r="23908" spans="8:9" x14ac:dyDescent="0.2">
      <c r="H23908" s="1"/>
      <c r="I23908" s="1"/>
    </row>
    <row r="23909" spans="8:9" x14ac:dyDescent="0.2">
      <c r="H23909" s="1"/>
      <c r="I23909" s="1"/>
    </row>
    <row r="23910" spans="8:9" x14ac:dyDescent="0.2">
      <c r="H23910" s="1"/>
      <c r="I23910" s="1"/>
    </row>
    <row r="23911" spans="8:9" x14ac:dyDescent="0.2">
      <c r="H23911" s="1"/>
      <c r="I23911" s="1"/>
    </row>
    <row r="23912" spans="8:9" x14ac:dyDescent="0.2">
      <c r="H23912" s="1"/>
      <c r="I23912" s="1"/>
    </row>
    <row r="23913" spans="8:9" x14ac:dyDescent="0.2">
      <c r="H23913" s="1"/>
      <c r="I23913" s="1"/>
    </row>
    <row r="23914" spans="8:9" x14ac:dyDescent="0.2">
      <c r="H23914" s="1"/>
      <c r="I23914" s="1"/>
    </row>
    <row r="23915" spans="8:9" x14ac:dyDescent="0.2">
      <c r="H23915" s="1"/>
      <c r="I23915" s="1"/>
    </row>
    <row r="23916" spans="8:9" x14ac:dyDescent="0.2">
      <c r="H23916" s="1"/>
      <c r="I23916" s="1"/>
    </row>
    <row r="23917" spans="8:9" x14ac:dyDescent="0.2">
      <c r="H23917" s="1"/>
      <c r="I23917" s="1"/>
    </row>
    <row r="23918" spans="8:9" x14ac:dyDescent="0.2">
      <c r="H23918" s="1"/>
      <c r="I23918" s="1"/>
    </row>
    <row r="23919" spans="8:9" x14ac:dyDescent="0.2">
      <c r="H23919" s="1"/>
      <c r="I23919" s="1"/>
    </row>
    <row r="23920" spans="8:9" x14ac:dyDescent="0.2">
      <c r="H23920" s="1"/>
      <c r="I23920" s="1"/>
    </row>
    <row r="23921" spans="8:9" x14ac:dyDescent="0.2">
      <c r="H23921" s="1"/>
      <c r="I23921" s="1"/>
    </row>
    <row r="23922" spans="8:9" x14ac:dyDescent="0.2">
      <c r="H23922" s="1"/>
      <c r="I23922" s="1"/>
    </row>
    <row r="23923" spans="8:9" x14ac:dyDescent="0.2">
      <c r="H23923" s="1"/>
      <c r="I23923" s="1"/>
    </row>
    <row r="23924" spans="8:9" x14ac:dyDescent="0.2">
      <c r="H23924" s="1"/>
      <c r="I23924" s="1"/>
    </row>
    <row r="23925" spans="8:9" x14ac:dyDescent="0.2">
      <c r="H23925" s="1"/>
      <c r="I23925" s="1"/>
    </row>
    <row r="23926" spans="8:9" x14ac:dyDescent="0.2">
      <c r="H23926" s="1"/>
      <c r="I23926" s="1"/>
    </row>
    <row r="23927" spans="8:9" x14ac:dyDescent="0.2">
      <c r="H23927" s="1"/>
      <c r="I23927" s="1"/>
    </row>
    <row r="23928" spans="8:9" x14ac:dyDescent="0.2">
      <c r="H23928" s="1"/>
      <c r="I23928" s="1"/>
    </row>
    <row r="23929" spans="8:9" x14ac:dyDescent="0.2">
      <c r="H23929" s="1"/>
      <c r="I23929" s="1"/>
    </row>
    <row r="23930" spans="8:9" x14ac:dyDescent="0.2">
      <c r="H23930" s="1"/>
      <c r="I23930" s="1"/>
    </row>
    <row r="23931" spans="8:9" x14ac:dyDescent="0.2">
      <c r="H23931" s="1"/>
      <c r="I23931" s="1"/>
    </row>
    <row r="23932" spans="8:9" x14ac:dyDescent="0.2">
      <c r="H23932" s="1"/>
      <c r="I23932" s="1"/>
    </row>
    <row r="23933" spans="8:9" x14ac:dyDescent="0.2">
      <c r="H23933" s="1"/>
      <c r="I23933" s="1"/>
    </row>
    <row r="23934" spans="8:9" x14ac:dyDescent="0.2">
      <c r="H23934" s="1"/>
      <c r="I23934" s="1"/>
    </row>
    <row r="23935" spans="8:9" x14ac:dyDescent="0.2">
      <c r="H23935" s="1"/>
      <c r="I23935" s="1"/>
    </row>
    <row r="23936" spans="8:9" x14ac:dyDescent="0.2">
      <c r="H23936" s="1"/>
      <c r="I23936" s="1"/>
    </row>
    <row r="23937" spans="8:9" x14ac:dyDescent="0.2">
      <c r="H23937" s="1"/>
      <c r="I23937" s="1"/>
    </row>
    <row r="23938" spans="8:9" x14ac:dyDescent="0.2">
      <c r="H23938" s="1"/>
      <c r="I23938" s="1"/>
    </row>
    <row r="23939" spans="8:9" x14ac:dyDescent="0.2">
      <c r="H23939" s="1"/>
      <c r="I23939" s="1"/>
    </row>
    <row r="23940" spans="8:9" x14ac:dyDescent="0.2">
      <c r="H23940" s="1"/>
      <c r="I23940" s="1"/>
    </row>
    <row r="23941" spans="8:9" x14ac:dyDescent="0.2">
      <c r="H23941" s="1"/>
      <c r="I23941" s="1"/>
    </row>
    <row r="23942" spans="8:9" x14ac:dyDescent="0.2">
      <c r="H23942" s="1"/>
      <c r="I23942" s="1"/>
    </row>
    <row r="23943" spans="8:9" x14ac:dyDescent="0.2">
      <c r="H23943" s="1"/>
      <c r="I23943" s="1"/>
    </row>
    <row r="23944" spans="8:9" x14ac:dyDescent="0.2">
      <c r="H23944" s="1"/>
      <c r="I23944" s="1"/>
    </row>
    <row r="23945" spans="8:9" x14ac:dyDescent="0.2">
      <c r="H23945" s="1"/>
      <c r="I23945" s="1"/>
    </row>
    <row r="23946" spans="8:9" x14ac:dyDescent="0.2">
      <c r="H23946" s="1"/>
      <c r="I23946" s="1"/>
    </row>
    <row r="23947" spans="8:9" x14ac:dyDescent="0.2">
      <c r="H23947" s="1"/>
      <c r="I23947" s="1"/>
    </row>
    <row r="23948" spans="8:9" x14ac:dyDescent="0.2">
      <c r="H23948" s="1"/>
      <c r="I23948" s="1"/>
    </row>
    <row r="23949" spans="8:9" x14ac:dyDescent="0.2">
      <c r="H23949" s="1"/>
      <c r="I23949" s="1"/>
    </row>
    <row r="23950" spans="8:9" x14ac:dyDescent="0.2">
      <c r="H23950" s="1"/>
      <c r="I23950" s="1"/>
    </row>
    <row r="23951" spans="8:9" x14ac:dyDescent="0.2">
      <c r="H23951" s="1"/>
      <c r="I23951" s="1"/>
    </row>
    <row r="23952" spans="8:9" x14ac:dyDescent="0.2">
      <c r="H23952" s="1"/>
      <c r="I23952" s="1"/>
    </row>
    <row r="23953" spans="8:9" x14ac:dyDescent="0.2">
      <c r="H23953" s="1"/>
      <c r="I23953" s="1"/>
    </row>
    <row r="23954" spans="8:9" x14ac:dyDescent="0.2">
      <c r="H23954" s="1"/>
      <c r="I23954" s="1"/>
    </row>
    <row r="23955" spans="8:9" x14ac:dyDescent="0.2">
      <c r="H23955" s="1"/>
      <c r="I23955" s="1"/>
    </row>
    <row r="23956" spans="8:9" x14ac:dyDescent="0.2">
      <c r="H23956" s="1"/>
      <c r="I23956" s="1"/>
    </row>
    <row r="23957" spans="8:9" x14ac:dyDescent="0.2">
      <c r="H23957" s="1"/>
      <c r="I23957" s="1"/>
    </row>
    <row r="23958" spans="8:9" x14ac:dyDescent="0.2">
      <c r="H23958" s="1"/>
      <c r="I23958" s="1"/>
    </row>
    <row r="23959" spans="8:9" x14ac:dyDescent="0.2">
      <c r="H23959" s="1"/>
      <c r="I23959" s="1"/>
    </row>
    <row r="23960" spans="8:9" x14ac:dyDescent="0.2">
      <c r="H23960" s="1"/>
      <c r="I23960" s="1"/>
    </row>
    <row r="23961" spans="8:9" x14ac:dyDescent="0.2">
      <c r="H23961" s="1"/>
      <c r="I23961" s="1"/>
    </row>
    <row r="23962" spans="8:9" x14ac:dyDescent="0.2">
      <c r="H23962" s="1"/>
      <c r="I23962" s="1"/>
    </row>
    <row r="23963" spans="8:9" x14ac:dyDescent="0.2">
      <c r="H23963" s="1"/>
      <c r="I23963" s="1"/>
    </row>
    <row r="23964" spans="8:9" x14ac:dyDescent="0.2">
      <c r="H23964" s="1"/>
      <c r="I23964" s="1"/>
    </row>
    <row r="23965" spans="8:9" x14ac:dyDescent="0.2">
      <c r="H23965" s="1"/>
      <c r="I23965" s="1"/>
    </row>
    <row r="23966" spans="8:9" x14ac:dyDescent="0.2">
      <c r="H23966" s="1"/>
      <c r="I23966" s="1"/>
    </row>
    <row r="23967" spans="8:9" x14ac:dyDescent="0.2">
      <c r="H23967" s="1"/>
      <c r="I23967" s="1"/>
    </row>
    <row r="23968" spans="8:9" x14ac:dyDescent="0.2">
      <c r="H23968" s="1"/>
      <c r="I23968" s="1"/>
    </row>
    <row r="23969" spans="8:9" x14ac:dyDescent="0.2">
      <c r="H23969" s="1"/>
      <c r="I23969" s="1"/>
    </row>
    <row r="23970" spans="8:9" x14ac:dyDescent="0.2">
      <c r="H23970" s="1"/>
      <c r="I23970" s="1"/>
    </row>
    <row r="23971" spans="8:9" x14ac:dyDescent="0.2">
      <c r="H23971" s="1"/>
      <c r="I23971" s="1"/>
    </row>
    <row r="23972" spans="8:9" x14ac:dyDescent="0.2">
      <c r="H23972" s="1"/>
      <c r="I23972" s="1"/>
    </row>
    <row r="23973" spans="8:9" x14ac:dyDescent="0.2">
      <c r="H23973" s="1"/>
      <c r="I23973" s="1"/>
    </row>
    <row r="23974" spans="8:9" x14ac:dyDescent="0.2">
      <c r="H23974" s="1"/>
      <c r="I23974" s="1"/>
    </row>
    <row r="23975" spans="8:9" x14ac:dyDescent="0.2">
      <c r="H23975" s="1"/>
      <c r="I23975" s="1"/>
    </row>
    <row r="23976" spans="8:9" x14ac:dyDescent="0.2">
      <c r="H23976" s="1"/>
      <c r="I23976" s="1"/>
    </row>
    <row r="23977" spans="8:9" x14ac:dyDescent="0.2">
      <c r="H23977" s="1"/>
      <c r="I23977" s="1"/>
    </row>
    <row r="23978" spans="8:9" x14ac:dyDescent="0.2">
      <c r="H23978" s="1"/>
      <c r="I23978" s="1"/>
    </row>
    <row r="23979" spans="8:9" x14ac:dyDescent="0.2">
      <c r="H23979" s="1"/>
      <c r="I23979" s="1"/>
    </row>
    <row r="23980" spans="8:9" x14ac:dyDescent="0.2">
      <c r="H23980" s="1"/>
      <c r="I23980" s="1"/>
    </row>
    <row r="23981" spans="8:9" x14ac:dyDescent="0.2">
      <c r="H23981" s="1"/>
      <c r="I23981" s="1"/>
    </row>
    <row r="23982" spans="8:9" x14ac:dyDescent="0.2">
      <c r="H23982" s="1"/>
      <c r="I23982" s="1"/>
    </row>
    <row r="23983" spans="8:9" x14ac:dyDescent="0.2">
      <c r="H23983" s="1"/>
      <c r="I23983" s="1"/>
    </row>
    <row r="23984" spans="8:9" x14ac:dyDescent="0.2">
      <c r="H23984" s="1"/>
      <c r="I23984" s="1"/>
    </row>
    <row r="23985" spans="8:9" x14ac:dyDescent="0.2">
      <c r="H23985" s="1"/>
      <c r="I23985" s="1"/>
    </row>
    <row r="23986" spans="8:9" x14ac:dyDescent="0.2">
      <c r="H23986" s="1"/>
      <c r="I23986" s="1"/>
    </row>
    <row r="23987" spans="8:9" x14ac:dyDescent="0.2">
      <c r="H23987" s="1"/>
      <c r="I23987" s="1"/>
    </row>
    <row r="23988" spans="8:9" x14ac:dyDescent="0.2">
      <c r="H23988" s="1"/>
      <c r="I23988" s="1"/>
    </row>
    <row r="23989" spans="8:9" x14ac:dyDescent="0.2">
      <c r="H23989" s="1"/>
      <c r="I23989" s="1"/>
    </row>
    <row r="23990" spans="8:9" x14ac:dyDescent="0.2">
      <c r="H23990" s="1"/>
      <c r="I23990" s="1"/>
    </row>
    <row r="23991" spans="8:9" x14ac:dyDescent="0.2">
      <c r="H23991" s="1"/>
      <c r="I23991" s="1"/>
    </row>
    <row r="23992" spans="8:9" x14ac:dyDescent="0.2">
      <c r="H23992" s="1"/>
      <c r="I23992" s="1"/>
    </row>
    <row r="23993" spans="8:9" x14ac:dyDescent="0.2">
      <c r="H23993" s="1"/>
      <c r="I23993" s="1"/>
    </row>
    <row r="23994" spans="8:9" x14ac:dyDescent="0.2">
      <c r="H23994" s="1"/>
      <c r="I23994" s="1"/>
    </row>
    <row r="23995" spans="8:9" x14ac:dyDescent="0.2">
      <c r="H23995" s="1"/>
      <c r="I23995" s="1"/>
    </row>
    <row r="23996" spans="8:9" x14ac:dyDescent="0.2">
      <c r="H23996" s="1"/>
      <c r="I23996" s="1"/>
    </row>
    <row r="23997" spans="8:9" x14ac:dyDescent="0.2">
      <c r="H23997" s="1"/>
      <c r="I23997" s="1"/>
    </row>
    <row r="23998" spans="8:9" x14ac:dyDescent="0.2">
      <c r="H23998" s="1"/>
      <c r="I23998" s="1"/>
    </row>
    <row r="23999" spans="8:9" x14ac:dyDescent="0.2">
      <c r="H23999" s="1"/>
      <c r="I23999" s="1"/>
    </row>
    <row r="24000" spans="8:9" x14ac:dyDescent="0.2">
      <c r="H24000" s="1"/>
      <c r="I24000" s="1"/>
    </row>
    <row r="24001" spans="8:9" x14ac:dyDescent="0.2">
      <c r="H24001" s="1"/>
      <c r="I24001" s="1"/>
    </row>
    <row r="24002" spans="8:9" x14ac:dyDescent="0.2">
      <c r="H24002" s="1"/>
      <c r="I24002" s="1"/>
    </row>
    <row r="24003" spans="8:9" x14ac:dyDescent="0.2">
      <c r="H24003" s="1"/>
      <c r="I24003" s="1"/>
    </row>
    <row r="24004" spans="8:9" x14ac:dyDescent="0.2">
      <c r="H24004" s="1"/>
      <c r="I24004" s="1"/>
    </row>
    <row r="24005" spans="8:9" x14ac:dyDescent="0.2">
      <c r="H24005" s="1"/>
      <c r="I24005" s="1"/>
    </row>
    <row r="24006" spans="8:9" x14ac:dyDescent="0.2">
      <c r="H24006" s="1"/>
      <c r="I24006" s="1"/>
    </row>
    <row r="24007" spans="8:9" x14ac:dyDescent="0.2">
      <c r="H24007" s="1"/>
      <c r="I24007" s="1"/>
    </row>
    <row r="24008" spans="8:9" x14ac:dyDescent="0.2">
      <c r="H24008" s="1"/>
      <c r="I24008" s="1"/>
    </row>
    <row r="24009" spans="8:9" x14ac:dyDescent="0.2">
      <c r="H24009" s="1"/>
      <c r="I24009" s="1"/>
    </row>
    <row r="24010" spans="8:9" x14ac:dyDescent="0.2">
      <c r="H24010" s="1"/>
      <c r="I24010" s="1"/>
    </row>
    <row r="24011" spans="8:9" x14ac:dyDescent="0.2">
      <c r="H24011" s="1"/>
      <c r="I24011" s="1"/>
    </row>
    <row r="24012" spans="8:9" x14ac:dyDescent="0.2">
      <c r="H24012" s="1"/>
      <c r="I24012" s="1"/>
    </row>
    <row r="24013" spans="8:9" x14ac:dyDescent="0.2">
      <c r="H24013" s="1"/>
      <c r="I24013" s="1"/>
    </row>
    <row r="24014" spans="8:9" x14ac:dyDescent="0.2">
      <c r="H24014" s="1"/>
      <c r="I24014" s="1"/>
    </row>
    <row r="24015" spans="8:9" x14ac:dyDescent="0.2">
      <c r="H24015" s="1"/>
      <c r="I24015" s="1"/>
    </row>
    <row r="24016" spans="8:9" x14ac:dyDescent="0.2">
      <c r="H24016" s="1"/>
      <c r="I24016" s="1"/>
    </row>
    <row r="24017" spans="8:9" x14ac:dyDescent="0.2">
      <c r="H24017" s="1"/>
      <c r="I24017" s="1"/>
    </row>
    <row r="24018" spans="8:9" x14ac:dyDescent="0.2">
      <c r="H24018" s="1"/>
      <c r="I24018" s="1"/>
    </row>
    <row r="24019" spans="8:9" x14ac:dyDescent="0.2">
      <c r="H24019" s="1"/>
      <c r="I24019" s="1"/>
    </row>
    <row r="24020" spans="8:9" x14ac:dyDescent="0.2">
      <c r="H24020" s="1"/>
      <c r="I24020" s="1"/>
    </row>
    <row r="24021" spans="8:9" x14ac:dyDescent="0.2">
      <c r="H24021" s="1"/>
      <c r="I24021" s="1"/>
    </row>
    <row r="24022" spans="8:9" x14ac:dyDescent="0.2">
      <c r="H24022" s="1"/>
      <c r="I24022" s="1"/>
    </row>
    <row r="24023" spans="8:9" x14ac:dyDescent="0.2">
      <c r="H24023" s="1"/>
      <c r="I24023" s="1"/>
    </row>
    <row r="24024" spans="8:9" x14ac:dyDescent="0.2">
      <c r="H24024" s="1"/>
      <c r="I24024" s="1"/>
    </row>
    <row r="24025" spans="8:9" x14ac:dyDescent="0.2">
      <c r="H24025" s="1"/>
      <c r="I24025" s="1"/>
    </row>
    <row r="24026" spans="8:9" x14ac:dyDescent="0.2">
      <c r="H24026" s="1"/>
      <c r="I24026" s="1"/>
    </row>
    <row r="24027" spans="8:9" x14ac:dyDescent="0.2">
      <c r="H24027" s="1"/>
      <c r="I24027" s="1"/>
    </row>
    <row r="24028" spans="8:9" x14ac:dyDescent="0.2">
      <c r="H24028" s="1"/>
      <c r="I24028" s="1"/>
    </row>
    <row r="24029" spans="8:9" x14ac:dyDescent="0.2">
      <c r="H24029" s="1"/>
      <c r="I24029" s="1"/>
    </row>
    <row r="24030" spans="8:9" x14ac:dyDescent="0.2">
      <c r="H24030" s="1"/>
      <c r="I24030" s="1"/>
    </row>
    <row r="24031" spans="8:9" x14ac:dyDescent="0.2">
      <c r="H24031" s="1"/>
      <c r="I24031" s="1"/>
    </row>
    <row r="24032" spans="8:9" x14ac:dyDescent="0.2">
      <c r="H24032" s="1"/>
      <c r="I24032" s="1"/>
    </row>
    <row r="24033" spans="8:9" x14ac:dyDescent="0.2">
      <c r="H24033" s="1"/>
      <c r="I24033" s="1"/>
    </row>
    <row r="24034" spans="8:9" x14ac:dyDescent="0.2">
      <c r="H24034" s="1"/>
      <c r="I24034" s="1"/>
    </row>
    <row r="24035" spans="8:9" x14ac:dyDescent="0.2">
      <c r="H24035" s="1"/>
      <c r="I24035" s="1"/>
    </row>
    <row r="24036" spans="8:9" x14ac:dyDescent="0.2">
      <c r="H24036" s="1"/>
      <c r="I24036" s="1"/>
    </row>
    <row r="24037" spans="8:9" x14ac:dyDescent="0.2">
      <c r="H24037" s="1"/>
      <c r="I24037" s="1"/>
    </row>
    <row r="24038" spans="8:9" x14ac:dyDescent="0.2">
      <c r="H24038" s="1"/>
      <c r="I24038" s="1"/>
    </row>
    <row r="24039" spans="8:9" x14ac:dyDescent="0.2">
      <c r="H24039" s="1"/>
      <c r="I24039" s="1"/>
    </row>
    <row r="24040" spans="8:9" x14ac:dyDescent="0.2">
      <c r="H24040" s="1"/>
      <c r="I24040" s="1"/>
    </row>
    <row r="24041" spans="8:9" x14ac:dyDescent="0.2">
      <c r="H24041" s="1"/>
      <c r="I24041" s="1"/>
    </row>
    <row r="24042" spans="8:9" x14ac:dyDescent="0.2">
      <c r="H24042" s="1"/>
      <c r="I24042" s="1"/>
    </row>
    <row r="24043" spans="8:9" x14ac:dyDescent="0.2">
      <c r="H24043" s="1"/>
      <c r="I24043" s="1"/>
    </row>
    <row r="24044" spans="8:9" x14ac:dyDescent="0.2">
      <c r="H24044" s="1"/>
      <c r="I24044" s="1"/>
    </row>
    <row r="24045" spans="8:9" x14ac:dyDescent="0.2">
      <c r="H24045" s="1"/>
      <c r="I24045" s="1"/>
    </row>
    <row r="24046" spans="8:9" x14ac:dyDescent="0.2">
      <c r="H24046" s="1"/>
      <c r="I24046" s="1"/>
    </row>
    <row r="24047" spans="8:9" x14ac:dyDescent="0.2">
      <c r="H24047" s="1"/>
      <c r="I24047" s="1"/>
    </row>
    <row r="24048" spans="8:9" x14ac:dyDescent="0.2">
      <c r="H24048" s="1"/>
      <c r="I24048" s="1"/>
    </row>
    <row r="24049" spans="8:9" x14ac:dyDescent="0.2">
      <c r="H24049" s="1"/>
      <c r="I24049" s="1"/>
    </row>
    <row r="24050" spans="8:9" x14ac:dyDescent="0.2">
      <c r="H24050" s="1"/>
      <c r="I24050" s="1"/>
    </row>
    <row r="24051" spans="8:9" x14ac:dyDescent="0.2">
      <c r="H24051" s="1"/>
      <c r="I24051" s="1"/>
    </row>
    <row r="24052" spans="8:9" x14ac:dyDescent="0.2">
      <c r="H24052" s="1"/>
      <c r="I24052" s="1"/>
    </row>
    <row r="24053" spans="8:9" x14ac:dyDescent="0.2">
      <c r="H24053" s="1"/>
      <c r="I24053" s="1"/>
    </row>
    <row r="24054" spans="8:9" x14ac:dyDescent="0.2">
      <c r="H24054" s="1"/>
      <c r="I24054" s="1"/>
    </row>
    <row r="24055" spans="8:9" x14ac:dyDescent="0.2">
      <c r="H24055" s="1"/>
      <c r="I24055" s="1"/>
    </row>
    <row r="24056" spans="8:9" x14ac:dyDescent="0.2">
      <c r="H24056" s="1"/>
      <c r="I24056" s="1"/>
    </row>
    <row r="24057" spans="8:9" x14ac:dyDescent="0.2">
      <c r="H24057" s="1"/>
      <c r="I24057" s="1"/>
    </row>
    <row r="24058" spans="8:9" x14ac:dyDescent="0.2">
      <c r="H24058" s="1"/>
      <c r="I24058" s="1"/>
    </row>
    <row r="24059" spans="8:9" x14ac:dyDescent="0.2">
      <c r="H24059" s="1"/>
      <c r="I24059" s="1"/>
    </row>
    <row r="24060" spans="8:9" x14ac:dyDescent="0.2">
      <c r="H24060" s="1"/>
      <c r="I24060" s="1"/>
    </row>
    <row r="24061" spans="8:9" x14ac:dyDescent="0.2">
      <c r="H24061" s="1"/>
      <c r="I24061" s="1"/>
    </row>
    <row r="24062" spans="8:9" x14ac:dyDescent="0.2">
      <c r="H24062" s="1"/>
      <c r="I24062" s="1"/>
    </row>
    <row r="24063" spans="8:9" x14ac:dyDescent="0.2">
      <c r="H24063" s="1"/>
      <c r="I24063" s="1"/>
    </row>
    <row r="24064" spans="8:9" x14ac:dyDescent="0.2">
      <c r="H24064" s="1"/>
      <c r="I24064" s="1"/>
    </row>
    <row r="24065" spans="8:9" x14ac:dyDescent="0.2">
      <c r="H24065" s="1"/>
      <c r="I24065" s="1"/>
    </row>
    <row r="24066" spans="8:9" x14ac:dyDescent="0.2">
      <c r="H24066" s="1"/>
      <c r="I24066" s="1"/>
    </row>
    <row r="24067" spans="8:9" x14ac:dyDescent="0.2">
      <c r="H24067" s="1"/>
      <c r="I24067" s="1"/>
    </row>
    <row r="24068" spans="8:9" x14ac:dyDescent="0.2">
      <c r="H24068" s="1"/>
      <c r="I24068" s="1"/>
    </row>
    <row r="24069" spans="8:9" x14ac:dyDescent="0.2">
      <c r="H24069" s="1"/>
      <c r="I24069" s="1"/>
    </row>
    <row r="24070" spans="8:9" x14ac:dyDescent="0.2">
      <c r="H24070" s="1"/>
      <c r="I24070" s="1"/>
    </row>
    <row r="24071" spans="8:9" x14ac:dyDescent="0.2">
      <c r="H24071" s="1"/>
      <c r="I24071" s="1"/>
    </row>
    <row r="24072" spans="8:9" x14ac:dyDescent="0.2">
      <c r="H24072" s="1"/>
      <c r="I24072" s="1"/>
    </row>
    <row r="24073" spans="8:9" x14ac:dyDescent="0.2">
      <c r="H24073" s="1"/>
      <c r="I24073" s="1"/>
    </row>
    <row r="24074" spans="8:9" x14ac:dyDescent="0.2">
      <c r="H24074" s="1"/>
      <c r="I24074" s="1"/>
    </row>
    <row r="24075" spans="8:9" x14ac:dyDescent="0.2">
      <c r="H24075" s="1"/>
      <c r="I24075" s="1"/>
    </row>
    <row r="24076" spans="8:9" x14ac:dyDescent="0.2">
      <c r="H24076" s="1"/>
      <c r="I24076" s="1"/>
    </row>
    <row r="24077" spans="8:9" x14ac:dyDescent="0.2">
      <c r="H24077" s="1"/>
      <c r="I24077" s="1"/>
    </row>
    <row r="24078" spans="8:9" x14ac:dyDescent="0.2">
      <c r="H24078" s="1"/>
      <c r="I24078" s="1"/>
    </row>
    <row r="24079" spans="8:9" x14ac:dyDescent="0.2">
      <c r="H24079" s="1"/>
      <c r="I24079" s="1"/>
    </row>
    <row r="24080" spans="8:9" x14ac:dyDescent="0.2">
      <c r="H24080" s="1"/>
      <c r="I24080" s="1"/>
    </row>
    <row r="24081" spans="8:9" x14ac:dyDescent="0.2">
      <c r="H24081" s="1"/>
      <c r="I24081" s="1"/>
    </row>
    <row r="24082" spans="8:9" x14ac:dyDescent="0.2">
      <c r="H24082" s="1"/>
      <c r="I24082" s="1"/>
    </row>
    <row r="24083" spans="8:9" x14ac:dyDescent="0.2">
      <c r="H24083" s="1"/>
      <c r="I24083" s="1"/>
    </row>
    <row r="24084" spans="8:9" x14ac:dyDescent="0.2">
      <c r="H24084" s="1"/>
      <c r="I24084" s="1"/>
    </row>
    <row r="24085" spans="8:9" x14ac:dyDescent="0.2">
      <c r="H24085" s="1"/>
      <c r="I24085" s="1"/>
    </row>
    <row r="24086" spans="8:9" x14ac:dyDescent="0.2">
      <c r="H24086" s="1"/>
      <c r="I24086" s="1"/>
    </row>
    <row r="24087" spans="8:9" x14ac:dyDescent="0.2">
      <c r="H24087" s="1"/>
      <c r="I24087" s="1"/>
    </row>
    <row r="24088" spans="8:9" x14ac:dyDescent="0.2">
      <c r="H24088" s="1"/>
      <c r="I24088" s="1"/>
    </row>
    <row r="24089" spans="8:9" x14ac:dyDescent="0.2">
      <c r="H24089" s="1"/>
      <c r="I24089" s="1"/>
    </row>
    <row r="24090" spans="8:9" x14ac:dyDescent="0.2">
      <c r="H24090" s="1"/>
      <c r="I24090" s="1"/>
    </row>
    <row r="24091" spans="8:9" x14ac:dyDescent="0.2">
      <c r="H24091" s="1"/>
      <c r="I24091" s="1"/>
    </row>
    <row r="24092" spans="8:9" x14ac:dyDescent="0.2">
      <c r="H24092" s="1"/>
      <c r="I24092" s="1"/>
    </row>
    <row r="24093" spans="8:9" x14ac:dyDescent="0.2">
      <c r="H24093" s="1"/>
      <c r="I24093" s="1"/>
    </row>
    <row r="24094" spans="8:9" x14ac:dyDescent="0.2">
      <c r="H24094" s="1"/>
      <c r="I24094" s="1"/>
    </row>
    <row r="24095" spans="8:9" x14ac:dyDescent="0.2">
      <c r="H24095" s="1"/>
      <c r="I24095" s="1"/>
    </row>
    <row r="24096" spans="8:9" x14ac:dyDescent="0.2">
      <c r="H24096" s="1"/>
      <c r="I24096" s="1"/>
    </row>
    <row r="24097" spans="8:9" x14ac:dyDescent="0.2">
      <c r="H24097" s="1"/>
      <c r="I24097" s="1"/>
    </row>
    <row r="24098" spans="8:9" x14ac:dyDescent="0.2">
      <c r="H24098" s="1"/>
      <c r="I24098" s="1"/>
    </row>
    <row r="24099" spans="8:9" x14ac:dyDescent="0.2">
      <c r="H24099" s="1"/>
      <c r="I24099" s="1"/>
    </row>
    <row r="24100" spans="8:9" x14ac:dyDescent="0.2">
      <c r="H24100" s="1"/>
      <c r="I24100" s="1"/>
    </row>
    <row r="24101" spans="8:9" x14ac:dyDescent="0.2">
      <c r="H24101" s="1"/>
      <c r="I24101" s="1"/>
    </row>
    <row r="24102" spans="8:9" x14ac:dyDescent="0.2">
      <c r="H24102" s="1"/>
      <c r="I24102" s="1"/>
    </row>
    <row r="24103" spans="8:9" x14ac:dyDescent="0.2">
      <c r="H24103" s="1"/>
      <c r="I24103" s="1"/>
    </row>
    <row r="24104" spans="8:9" x14ac:dyDescent="0.2">
      <c r="H24104" s="1"/>
      <c r="I24104" s="1"/>
    </row>
    <row r="24105" spans="8:9" x14ac:dyDescent="0.2">
      <c r="H24105" s="1"/>
      <c r="I24105" s="1"/>
    </row>
    <row r="24106" spans="8:9" x14ac:dyDescent="0.2">
      <c r="H24106" s="1"/>
      <c r="I24106" s="1"/>
    </row>
    <row r="24107" spans="8:9" x14ac:dyDescent="0.2">
      <c r="H24107" s="1"/>
      <c r="I24107" s="1"/>
    </row>
    <row r="24108" spans="8:9" x14ac:dyDescent="0.2">
      <c r="H24108" s="1"/>
      <c r="I24108" s="1"/>
    </row>
    <row r="24109" spans="8:9" x14ac:dyDescent="0.2">
      <c r="H24109" s="1"/>
      <c r="I24109" s="1"/>
    </row>
    <row r="24110" spans="8:9" x14ac:dyDescent="0.2">
      <c r="H24110" s="1"/>
      <c r="I24110" s="1"/>
    </row>
    <row r="24111" spans="8:9" x14ac:dyDescent="0.2">
      <c r="H24111" s="1"/>
      <c r="I24111" s="1"/>
    </row>
    <row r="24112" spans="8:9" x14ac:dyDescent="0.2">
      <c r="H24112" s="1"/>
      <c r="I24112" s="1"/>
    </row>
    <row r="24113" spans="8:9" x14ac:dyDescent="0.2">
      <c r="H24113" s="1"/>
      <c r="I24113" s="1"/>
    </row>
    <row r="24114" spans="8:9" x14ac:dyDescent="0.2">
      <c r="H24114" s="1"/>
      <c r="I24114" s="1"/>
    </row>
    <row r="24115" spans="8:9" x14ac:dyDescent="0.2">
      <c r="H24115" s="1"/>
      <c r="I24115" s="1"/>
    </row>
    <row r="24116" spans="8:9" x14ac:dyDescent="0.2">
      <c r="H24116" s="1"/>
      <c r="I24116" s="1"/>
    </row>
    <row r="24117" spans="8:9" x14ac:dyDescent="0.2">
      <c r="H24117" s="1"/>
      <c r="I24117" s="1"/>
    </row>
    <row r="24118" spans="8:9" x14ac:dyDescent="0.2">
      <c r="H24118" s="1"/>
      <c r="I24118" s="1"/>
    </row>
    <row r="24119" spans="8:9" x14ac:dyDescent="0.2">
      <c r="H24119" s="1"/>
      <c r="I24119" s="1"/>
    </row>
    <row r="24120" spans="8:9" x14ac:dyDescent="0.2">
      <c r="H24120" s="1"/>
      <c r="I24120" s="1"/>
    </row>
    <row r="24121" spans="8:9" x14ac:dyDescent="0.2">
      <c r="H24121" s="1"/>
      <c r="I24121" s="1"/>
    </row>
    <row r="24122" spans="8:9" x14ac:dyDescent="0.2">
      <c r="H24122" s="1"/>
      <c r="I24122" s="1"/>
    </row>
    <row r="24123" spans="8:9" x14ac:dyDescent="0.2">
      <c r="H24123" s="1"/>
      <c r="I24123" s="1"/>
    </row>
    <row r="24124" spans="8:9" x14ac:dyDescent="0.2">
      <c r="H24124" s="1"/>
      <c r="I24124" s="1"/>
    </row>
    <row r="24125" spans="8:9" x14ac:dyDescent="0.2">
      <c r="H24125" s="1"/>
      <c r="I24125" s="1"/>
    </row>
    <row r="24126" spans="8:9" x14ac:dyDescent="0.2">
      <c r="H24126" s="1"/>
      <c r="I24126" s="1"/>
    </row>
    <row r="24127" spans="8:9" x14ac:dyDescent="0.2">
      <c r="H24127" s="1"/>
      <c r="I24127" s="1"/>
    </row>
    <row r="24128" spans="8:9" x14ac:dyDescent="0.2">
      <c r="H24128" s="1"/>
      <c r="I24128" s="1"/>
    </row>
    <row r="24129" spans="8:9" x14ac:dyDescent="0.2">
      <c r="H24129" s="1"/>
      <c r="I24129" s="1"/>
    </row>
    <row r="24130" spans="8:9" x14ac:dyDescent="0.2">
      <c r="H24130" s="1"/>
      <c r="I24130" s="1"/>
    </row>
    <row r="24131" spans="8:9" x14ac:dyDescent="0.2">
      <c r="H24131" s="1"/>
      <c r="I24131" s="1"/>
    </row>
    <row r="24132" spans="8:9" x14ac:dyDescent="0.2">
      <c r="H24132" s="1"/>
      <c r="I24132" s="1"/>
    </row>
    <row r="24133" spans="8:9" x14ac:dyDescent="0.2">
      <c r="H24133" s="1"/>
      <c r="I24133" s="1"/>
    </row>
    <row r="24134" spans="8:9" x14ac:dyDescent="0.2">
      <c r="H24134" s="1"/>
      <c r="I24134" s="1"/>
    </row>
    <row r="24135" spans="8:9" x14ac:dyDescent="0.2">
      <c r="H24135" s="1"/>
      <c r="I24135" s="1"/>
    </row>
    <row r="24136" spans="8:9" x14ac:dyDescent="0.2">
      <c r="H24136" s="1"/>
      <c r="I24136" s="1"/>
    </row>
    <row r="24137" spans="8:9" x14ac:dyDescent="0.2">
      <c r="H24137" s="1"/>
      <c r="I24137" s="1"/>
    </row>
    <row r="24138" spans="8:9" x14ac:dyDescent="0.2">
      <c r="H24138" s="1"/>
      <c r="I24138" s="1"/>
    </row>
    <row r="24139" spans="8:9" x14ac:dyDescent="0.2">
      <c r="H24139" s="1"/>
      <c r="I24139" s="1"/>
    </row>
    <row r="24140" spans="8:9" x14ac:dyDescent="0.2">
      <c r="H24140" s="1"/>
      <c r="I24140" s="1"/>
    </row>
    <row r="24141" spans="8:9" x14ac:dyDescent="0.2">
      <c r="H24141" s="1"/>
      <c r="I24141" s="1"/>
    </row>
    <row r="24142" spans="8:9" x14ac:dyDescent="0.2">
      <c r="H24142" s="1"/>
      <c r="I24142" s="1"/>
    </row>
    <row r="24143" spans="8:9" x14ac:dyDescent="0.2">
      <c r="H24143" s="1"/>
      <c r="I24143" s="1"/>
    </row>
    <row r="24144" spans="8:9" x14ac:dyDescent="0.2">
      <c r="H24144" s="1"/>
      <c r="I24144" s="1"/>
    </row>
    <row r="24145" spans="8:9" x14ac:dyDescent="0.2">
      <c r="H24145" s="1"/>
      <c r="I24145" s="1"/>
    </row>
    <row r="24146" spans="8:9" x14ac:dyDescent="0.2">
      <c r="H24146" s="1"/>
      <c r="I24146" s="1"/>
    </row>
    <row r="24147" spans="8:9" x14ac:dyDescent="0.2">
      <c r="H24147" s="1"/>
      <c r="I24147" s="1"/>
    </row>
    <row r="24148" spans="8:9" x14ac:dyDescent="0.2">
      <c r="H24148" s="1"/>
      <c r="I24148" s="1"/>
    </row>
    <row r="24149" spans="8:9" x14ac:dyDescent="0.2">
      <c r="H24149" s="1"/>
      <c r="I24149" s="1"/>
    </row>
    <row r="24150" spans="8:9" x14ac:dyDescent="0.2">
      <c r="H24150" s="1"/>
      <c r="I24150" s="1"/>
    </row>
    <row r="24151" spans="8:9" x14ac:dyDescent="0.2">
      <c r="H24151" s="1"/>
      <c r="I24151" s="1"/>
    </row>
    <row r="24152" spans="8:9" x14ac:dyDescent="0.2">
      <c r="H24152" s="1"/>
      <c r="I24152" s="1"/>
    </row>
    <row r="24153" spans="8:9" x14ac:dyDescent="0.2">
      <c r="H24153" s="1"/>
      <c r="I24153" s="1"/>
    </row>
    <row r="24154" spans="8:9" x14ac:dyDescent="0.2">
      <c r="H24154" s="1"/>
      <c r="I24154" s="1"/>
    </row>
    <row r="24155" spans="8:9" x14ac:dyDescent="0.2">
      <c r="H24155" s="1"/>
      <c r="I24155" s="1"/>
    </row>
    <row r="24156" spans="8:9" x14ac:dyDescent="0.2">
      <c r="H24156" s="1"/>
      <c r="I24156" s="1"/>
    </row>
    <row r="24157" spans="8:9" x14ac:dyDescent="0.2">
      <c r="H24157" s="1"/>
      <c r="I24157" s="1"/>
    </row>
    <row r="24158" spans="8:9" x14ac:dyDescent="0.2">
      <c r="H24158" s="1"/>
      <c r="I24158" s="1"/>
    </row>
    <row r="24159" spans="8:9" x14ac:dyDescent="0.2">
      <c r="H24159" s="1"/>
      <c r="I24159" s="1"/>
    </row>
    <row r="24160" spans="8:9" x14ac:dyDescent="0.2">
      <c r="H24160" s="1"/>
      <c r="I24160" s="1"/>
    </row>
    <row r="24161" spans="8:9" x14ac:dyDescent="0.2">
      <c r="H24161" s="1"/>
      <c r="I24161" s="1"/>
    </row>
    <row r="24162" spans="8:9" x14ac:dyDescent="0.2">
      <c r="H24162" s="1"/>
      <c r="I24162" s="1"/>
    </row>
    <row r="24163" spans="8:9" x14ac:dyDescent="0.2">
      <c r="H24163" s="1"/>
      <c r="I24163" s="1"/>
    </row>
    <row r="24164" spans="8:9" x14ac:dyDescent="0.2">
      <c r="H24164" s="1"/>
      <c r="I24164" s="1"/>
    </row>
    <row r="24165" spans="8:9" x14ac:dyDescent="0.2">
      <c r="H24165" s="1"/>
      <c r="I24165" s="1"/>
    </row>
    <row r="24166" spans="8:9" x14ac:dyDescent="0.2">
      <c r="H24166" s="1"/>
      <c r="I24166" s="1"/>
    </row>
    <row r="24167" spans="8:9" x14ac:dyDescent="0.2">
      <c r="H24167" s="1"/>
      <c r="I24167" s="1"/>
    </row>
    <row r="24168" spans="8:9" x14ac:dyDescent="0.2">
      <c r="H24168" s="1"/>
      <c r="I24168" s="1"/>
    </row>
    <row r="24169" spans="8:9" x14ac:dyDescent="0.2">
      <c r="H24169" s="1"/>
      <c r="I24169" s="1"/>
    </row>
    <row r="24170" spans="8:9" x14ac:dyDescent="0.2">
      <c r="H24170" s="1"/>
      <c r="I24170" s="1"/>
    </row>
    <row r="24171" spans="8:9" x14ac:dyDescent="0.2">
      <c r="H24171" s="1"/>
      <c r="I24171" s="1"/>
    </row>
    <row r="24172" spans="8:9" x14ac:dyDescent="0.2">
      <c r="H24172" s="1"/>
      <c r="I24172" s="1"/>
    </row>
    <row r="24173" spans="8:9" x14ac:dyDescent="0.2">
      <c r="H24173" s="1"/>
      <c r="I24173" s="1"/>
    </row>
    <row r="24174" spans="8:9" x14ac:dyDescent="0.2">
      <c r="H24174" s="1"/>
      <c r="I24174" s="1"/>
    </row>
    <row r="24175" spans="8:9" x14ac:dyDescent="0.2">
      <c r="H24175" s="1"/>
      <c r="I24175" s="1"/>
    </row>
    <row r="24176" spans="8:9" x14ac:dyDescent="0.2">
      <c r="H24176" s="1"/>
      <c r="I24176" s="1"/>
    </row>
    <row r="24177" spans="8:9" x14ac:dyDescent="0.2">
      <c r="H24177" s="1"/>
      <c r="I24177" s="1"/>
    </row>
    <row r="24178" spans="8:9" x14ac:dyDescent="0.2">
      <c r="H24178" s="1"/>
      <c r="I24178" s="1"/>
    </row>
    <row r="24179" spans="8:9" x14ac:dyDescent="0.2">
      <c r="H24179" s="1"/>
      <c r="I24179" s="1"/>
    </row>
    <row r="24180" spans="8:9" x14ac:dyDescent="0.2">
      <c r="H24180" s="1"/>
      <c r="I24180" s="1"/>
    </row>
    <row r="24181" spans="8:9" x14ac:dyDescent="0.2">
      <c r="H24181" s="1"/>
      <c r="I24181" s="1"/>
    </row>
    <row r="24182" spans="8:9" x14ac:dyDescent="0.2">
      <c r="H24182" s="1"/>
      <c r="I24182" s="1"/>
    </row>
    <row r="24183" spans="8:9" x14ac:dyDescent="0.2">
      <c r="H24183" s="1"/>
      <c r="I24183" s="1"/>
    </row>
    <row r="24184" spans="8:9" x14ac:dyDescent="0.2">
      <c r="H24184" s="1"/>
      <c r="I24184" s="1"/>
    </row>
    <row r="24185" spans="8:9" x14ac:dyDescent="0.2">
      <c r="H24185" s="1"/>
      <c r="I24185" s="1"/>
    </row>
    <row r="24186" spans="8:9" x14ac:dyDescent="0.2">
      <c r="H24186" s="1"/>
      <c r="I24186" s="1"/>
    </row>
    <row r="24187" spans="8:9" x14ac:dyDescent="0.2">
      <c r="H24187" s="1"/>
      <c r="I24187" s="1"/>
    </row>
    <row r="24188" spans="8:9" x14ac:dyDescent="0.2">
      <c r="H24188" s="1"/>
      <c r="I24188" s="1"/>
    </row>
    <row r="24189" spans="8:9" x14ac:dyDescent="0.2">
      <c r="H24189" s="1"/>
      <c r="I24189" s="1"/>
    </row>
    <row r="24190" spans="8:9" x14ac:dyDescent="0.2">
      <c r="H24190" s="1"/>
      <c r="I24190" s="1"/>
    </row>
    <row r="24191" spans="8:9" x14ac:dyDescent="0.2">
      <c r="H24191" s="1"/>
      <c r="I24191" s="1"/>
    </row>
    <row r="24192" spans="8:9" x14ac:dyDescent="0.2">
      <c r="H24192" s="1"/>
      <c r="I24192" s="1"/>
    </row>
    <row r="24193" spans="8:9" x14ac:dyDescent="0.2">
      <c r="H24193" s="1"/>
      <c r="I24193" s="1"/>
    </row>
    <row r="24194" spans="8:9" x14ac:dyDescent="0.2">
      <c r="H24194" s="1"/>
      <c r="I24194" s="1"/>
    </row>
    <row r="24195" spans="8:9" x14ac:dyDescent="0.2">
      <c r="H24195" s="1"/>
      <c r="I24195" s="1"/>
    </row>
    <row r="24196" spans="8:9" x14ac:dyDescent="0.2">
      <c r="H24196" s="1"/>
      <c r="I24196" s="1"/>
    </row>
    <row r="24197" spans="8:9" x14ac:dyDescent="0.2">
      <c r="H24197" s="1"/>
      <c r="I24197" s="1"/>
    </row>
    <row r="24198" spans="8:9" x14ac:dyDescent="0.2">
      <c r="H24198" s="1"/>
      <c r="I24198" s="1"/>
    </row>
    <row r="24199" spans="8:9" x14ac:dyDescent="0.2">
      <c r="H24199" s="1"/>
      <c r="I24199" s="1"/>
    </row>
    <row r="24200" spans="8:9" x14ac:dyDescent="0.2">
      <c r="H24200" s="1"/>
      <c r="I24200" s="1"/>
    </row>
    <row r="24201" spans="8:9" x14ac:dyDescent="0.2">
      <c r="H24201" s="1"/>
      <c r="I24201" s="1"/>
    </row>
    <row r="24202" spans="8:9" x14ac:dyDescent="0.2">
      <c r="H24202" s="1"/>
      <c r="I24202" s="1"/>
    </row>
    <row r="24203" spans="8:9" x14ac:dyDescent="0.2">
      <c r="H24203" s="1"/>
      <c r="I24203" s="1"/>
    </row>
    <row r="24204" spans="8:9" x14ac:dyDescent="0.2">
      <c r="H24204" s="1"/>
      <c r="I24204" s="1"/>
    </row>
    <row r="24205" spans="8:9" x14ac:dyDescent="0.2">
      <c r="H24205" s="1"/>
      <c r="I24205" s="1"/>
    </row>
    <row r="24206" spans="8:9" x14ac:dyDescent="0.2">
      <c r="H24206" s="1"/>
      <c r="I24206" s="1"/>
    </row>
    <row r="24207" spans="8:9" x14ac:dyDescent="0.2">
      <c r="H24207" s="1"/>
      <c r="I24207" s="1"/>
    </row>
    <row r="24208" spans="8:9" x14ac:dyDescent="0.2">
      <c r="H24208" s="1"/>
      <c r="I24208" s="1"/>
    </row>
    <row r="24209" spans="8:9" x14ac:dyDescent="0.2">
      <c r="H24209" s="1"/>
      <c r="I24209" s="1"/>
    </row>
    <row r="24210" spans="8:9" x14ac:dyDescent="0.2">
      <c r="H24210" s="1"/>
      <c r="I24210" s="1"/>
    </row>
    <row r="24211" spans="8:9" x14ac:dyDescent="0.2">
      <c r="H24211" s="1"/>
      <c r="I24211" s="1"/>
    </row>
    <row r="24212" spans="8:9" x14ac:dyDescent="0.2">
      <c r="H24212" s="1"/>
      <c r="I24212" s="1"/>
    </row>
    <row r="24213" spans="8:9" x14ac:dyDescent="0.2">
      <c r="H24213" s="1"/>
      <c r="I24213" s="1"/>
    </row>
    <row r="24214" spans="8:9" x14ac:dyDescent="0.2">
      <c r="H24214" s="1"/>
      <c r="I24214" s="1"/>
    </row>
    <row r="24215" spans="8:9" x14ac:dyDescent="0.2">
      <c r="H24215" s="1"/>
      <c r="I24215" s="1"/>
    </row>
    <row r="24216" spans="8:9" x14ac:dyDescent="0.2">
      <c r="H24216" s="1"/>
      <c r="I24216" s="1"/>
    </row>
    <row r="24217" spans="8:9" x14ac:dyDescent="0.2">
      <c r="H24217" s="1"/>
      <c r="I24217" s="1"/>
    </row>
    <row r="24218" spans="8:9" x14ac:dyDescent="0.2">
      <c r="H24218" s="1"/>
      <c r="I24218" s="1"/>
    </row>
    <row r="24219" spans="8:9" x14ac:dyDescent="0.2">
      <c r="H24219" s="1"/>
      <c r="I24219" s="1"/>
    </row>
    <row r="24220" spans="8:9" x14ac:dyDescent="0.2">
      <c r="H24220" s="1"/>
      <c r="I24220" s="1"/>
    </row>
    <row r="24221" spans="8:9" x14ac:dyDescent="0.2">
      <c r="H24221" s="1"/>
      <c r="I24221" s="1"/>
    </row>
    <row r="24222" spans="8:9" x14ac:dyDescent="0.2">
      <c r="H24222" s="1"/>
      <c r="I24222" s="1"/>
    </row>
    <row r="24223" spans="8:9" x14ac:dyDescent="0.2">
      <c r="H24223" s="1"/>
      <c r="I24223" s="1"/>
    </row>
    <row r="24224" spans="8:9" x14ac:dyDescent="0.2">
      <c r="H24224" s="1"/>
      <c r="I24224" s="1"/>
    </row>
    <row r="24225" spans="8:9" x14ac:dyDescent="0.2">
      <c r="H24225" s="1"/>
      <c r="I24225" s="1"/>
    </row>
    <row r="24226" spans="8:9" x14ac:dyDescent="0.2">
      <c r="H24226" s="1"/>
      <c r="I24226" s="1"/>
    </row>
    <row r="24227" spans="8:9" x14ac:dyDescent="0.2">
      <c r="H24227" s="1"/>
      <c r="I24227" s="1"/>
    </row>
    <row r="24228" spans="8:9" x14ac:dyDescent="0.2">
      <c r="H24228" s="1"/>
      <c r="I24228" s="1"/>
    </row>
    <row r="24229" spans="8:9" x14ac:dyDescent="0.2">
      <c r="H24229" s="1"/>
      <c r="I24229" s="1"/>
    </row>
    <row r="24230" spans="8:9" x14ac:dyDescent="0.2">
      <c r="H24230" s="1"/>
      <c r="I24230" s="1"/>
    </row>
    <row r="24231" spans="8:9" x14ac:dyDescent="0.2">
      <c r="H24231" s="1"/>
      <c r="I24231" s="1"/>
    </row>
    <row r="24232" spans="8:9" x14ac:dyDescent="0.2">
      <c r="H24232" s="1"/>
      <c r="I24232" s="1"/>
    </row>
    <row r="24233" spans="8:9" x14ac:dyDescent="0.2">
      <c r="H24233" s="1"/>
      <c r="I24233" s="1"/>
    </row>
    <row r="24234" spans="8:9" x14ac:dyDescent="0.2">
      <c r="H24234" s="1"/>
      <c r="I24234" s="1"/>
    </row>
    <row r="24235" spans="8:9" x14ac:dyDescent="0.2">
      <c r="H24235" s="1"/>
      <c r="I24235" s="1"/>
    </row>
    <row r="24236" spans="8:9" x14ac:dyDescent="0.2">
      <c r="H24236" s="1"/>
      <c r="I24236" s="1"/>
    </row>
    <row r="24237" spans="8:9" x14ac:dyDescent="0.2">
      <c r="H24237" s="1"/>
      <c r="I24237" s="1"/>
    </row>
    <row r="24238" spans="8:9" x14ac:dyDescent="0.2">
      <c r="H24238" s="1"/>
      <c r="I24238" s="1"/>
    </row>
    <row r="24239" spans="8:9" x14ac:dyDescent="0.2">
      <c r="H24239" s="1"/>
      <c r="I24239" s="1"/>
    </row>
    <row r="24240" spans="8:9" x14ac:dyDescent="0.2">
      <c r="H24240" s="1"/>
      <c r="I24240" s="1"/>
    </row>
    <row r="24241" spans="8:9" x14ac:dyDescent="0.2">
      <c r="H24241" s="1"/>
      <c r="I24241" s="1"/>
    </row>
    <row r="24242" spans="8:9" x14ac:dyDescent="0.2">
      <c r="H24242" s="1"/>
      <c r="I24242" s="1"/>
    </row>
    <row r="24243" spans="8:9" x14ac:dyDescent="0.2">
      <c r="H24243" s="1"/>
      <c r="I24243" s="1"/>
    </row>
    <row r="24244" spans="8:9" x14ac:dyDescent="0.2">
      <c r="H24244" s="1"/>
      <c r="I24244" s="1"/>
    </row>
    <row r="24245" spans="8:9" x14ac:dyDescent="0.2">
      <c r="H24245" s="1"/>
      <c r="I24245" s="1"/>
    </row>
    <row r="24246" spans="8:9" x14ac:dyDescent="0.2">
      <c r="H24246" s="1"/>
      <c r="I24246" s="1"/>
    </row>
    <row r="24247" spans="8:9" x14ac:dyDescent="0.2">
      <c r="H24247" s="1"/>
      <c r="I24247" s="1"/>
    </row>
    <row r="24248" spans="8:9" x14ac:dyDescent="0.2">
      <c r="H24248" s="1"/>
      <c r="I24248" s="1"/>
    </row>
    <row r="24249" spans="8:9" x14ac:dyDescent="0.2">
      <c r="H24249" s="1"/>
      <c r="I24249" s="1"/>
    </row>
    <row r="24250" spans="8:9" x14ac:dyDescent="0.2">
      <c r="H24250" s="1"/>
      <c r="I24250" s="1"/>
    </row>
    <row r="24251" spans="8:9" x14ac:dyDescent="0.2">
      <c r="H24251" s="1"/>
      <c r="I24251" s="1"/>
    </row>
    <row r="24252" spans="8:9" x14ac:dyDescent="0.2">
      <c r="H24252" s="1"/>
      <c r="I24252" s="1"/>
    </row>
    <row r="24253" spans="8:9" x14ac:dyDescent="0.2">
      <c r="H24253" s="1"/>
      <c r="I24253" s="1"/>
    </row>
    <row r="24254" spans="8:9" x14ac:dyDescent="0.2">
      <c r="H24254" s="1"/>
      <c r="I24254" s="1"/>
    </row>
    <row r="24255" spans="8:9" x14ac:dyDescent="0.2">
      <c r="H24255" s="1"/>
      <c r="I24255" s="1"/>
    </row>
    <row r="24256" spans="8:9" x14ac:dyDescent="0.2">
      <c r="H24256" s="1"/>
      <c r="I24256" s="1"/>
    </row>
    <row r="24257" spans="8:9" x14ac:dyDescent="0.2">
      <c r="H24257" s="1"/>
      <c r="I24257" s="1"/>
    </row>
    <row r="24258" spans="8:9" x14ac:dyDescent="0.2">
      <c r="H24258" s="1"/>
      <c r="I24258" s="1"/>
    </row>
    <row r="24259" spans="8:9" x14ac:dyDescent="0.2">
      <c r="H24259" s="1"/>
      <c r="I24259" s="1"/>
    </row>
    <row r="24260" spans="8:9" x14ac:dyDescent="0.2">
      <c r="H24260" s="1"/>
      <c r="I24260" s="1"/>
    </row>
    <row r="24261" spans="8:9" x14ac:dyDescent="0.2">
      <c r="H24261" s="1"/>
      <c r="I24261" s="1"/>
    </row>
    <row r="24262" spans="8:9" x14ac:dyDescent="0.2">
      <c r="H24262" s="1"/>
      <c r="I24262" s="1"/>
    </row>
    <row r="24263" spans="8:9" x14ac:dyDescent="0.2">
      <c r="H24263" s="1"/>
      <c r="I24263" s="1"/>
    </row>
    <row r="24264" spans="8:9" x14ac:dyDescent="0.2">
      <c r="H24264" s="1"/>
      <c r="I24264" s="1"/>
    </row>
    <row r="24265" spans="8:9" x14ac:dyDescent="0.2">
      <c r="H24265" s="1"/>
      <c r="I24265" s="1"/>
    </row>
    <row r="24266" spans="8:9" x14ac:dyDescent="0.2">
      <c r="H24266" s="1"/>
      <c r="I24266" s="1"/>
    </row>
    <row r="24267" spans="8:9" x14ac:dyDescent="0.2">
      <c r="H24267" s="1"/>
      <c r="I24267" s="1"/>
    </row>
    <row r="24268" spans="8:9" x14ac:dyDescent="0.2">
      <c r="H24268" s="1"/>
      <c r="I24268" s="1"/>
    </row>
    <row r="24269" spans="8:9" x14ac:dyDescent="0.2">
      <c r="H24269" s="1"/>
      <c r="I24269" s="1"/>
    </row>
    <row r="24270" spans="8:9" x14ac:dyDescent="0.2">
      <c r="H24270" s="1"/>
      <c r="I24270" s="1"/>
    </row>
    <row r="24271" spans="8:9" x14ac:dyDescent="0.2">
      <c r="H24271" s="1"/>
      <c r="I24271" s="1"/>
    </row>
    <row r="24272" spans="8:9" x14ac:dyDescent="0.2">
      <c r="H24272" s="1"/>
      <c r="I24272" s="1"/>
    </row>
    <row r="24273" spans="8:9" x14ac:dyDescent="0.2">
      <c r="H24273" s="1"/>
      <c r="I24273" s="1"/>
    </row>
    <row r="24274" spans="8:9" x14ac:dyDescent="0.2">
      <c r="H24274" s="1"/>
      <c r="I24274" s="1"/>
    </row>
    <row r="24275" spans="8:9" x14ac:dyDescent="0.2">
      <c r="H24275" s="1"/>
      <c r="I24275" s="1"/>
    </row>
    <row r="24276" spans="8:9" x14ac:dyDescent="0.2">
      <c r="H24276" s="1"/>
      <c r="I24276" s="1"/>
    </row>
    <row r="24277" spans="8:9" x14ac:dyDescent="0.2">
      <c r="H24277" s="1"/>
      <c r="I24277" s="1"/>
    </row>
    <row r="24278" spans="8:9" x14ac:dyDescent="0.2">
      <c r="H24278" s="1"/>
      <c r="I24278" s="1"/>
    </row>
    <row r="24279" spans="8:9" x14ac:dyDescent="0.2">
      <c r="H24279" s="1"/>
      <c r="I24279" s="1"/>
    </row>
    <row r="24280" spans="8:9" x14ac:dyDescent="0.2">
      <c r="H24280" s="1"/>
      <c r="I24280" s="1"/>
    </row>
    <row r="24281" spans="8:9" x14ac:dyDescent="0.2">
      <c r="H24281" s="1"/>
      <c r="I24281" s="1"/>
    </row>
    <row r="24282" spans="8:9" x14ac:dyDescent="0.2">
      <c r="H24282" s="1"/>
      <c r="I24282" s="1"/>
    </row>
    <row r="24283" spans="8:9" x14ac:dyDescent="0.2">
      <c r="H24283" s="1"/>
      <c r="I24283" s="1"/>
    </row>
    <row r="24284" spans="8:9" x14ac:dyDescent="0.2">
      <c r="H24284" s="1"/>
      <c r="I24284" s="1"/>
    </row>
    <row r="24285" spans="8:9" x14ac:dyDescent="0.2">
      <c r="H24285" s="1"/>
      <c r="I24285" s="1"/>
    </row>
    <row r="24286" spans="8:9" x14ac:dyDescent="0.2">
      <c r="H24286" s="1"/>
      <c r="I24286" s="1"/>
    </row>
    <row r="24287" spans="8:9" x14ac:dyDescent="0.2">
      <c r="H24287" s="1"/>
      <c r="I24287" s="1"/>
    </row>
    <row r="24288" spans="8:9" x14ac:dyDescent="0.2">
      <c r="H24288" s="1"/>
      <c r="I24288" s="1"/>
    </row>
    <row r="24289" spans="8:9" x14ac:dyDescent="0.2">
      <c r="H24289" s="1"/>
      <c r="I24289" s="1"/>
    </row>
    <row r="24290" spans="8:9" x14ac:dyDescent="0.2">
      <c r="H24290" s="1"/>
      <c r="I24290" s="1"/>
    </row>
    <row r="24291" spans="8:9" x14ac:dyDescent="0.2">
      <c r="H24291" s="1"/>
      <c r="I24291" s="1"/>
    </row>
    <row r="24292" spans="8:9" x14ac:dyDescent="0.2">
      <c r="H24292" s="1"/>
      <c r="I24292" s="1"/>
    </row>
    <row r="24293" spans="8:9" x14ac:dyDescent="0.2">
      <c r="H24293" s="1"/>
      <c r="I24293" s="1"/>
    </row>
    <row r="24294" spans="8:9" x14ac:dyDescent="0.2">
      <c r="H24294" s="1"/>
      <c r="I24294" s="1"/>
    </row>
    <row r="24295" spans="8:9" x14ac:dyDescent="0.2">
      <c r="H24295" s="1"/>
      <c r="I24295" s="1"/>
    </row>
    <row r="24296" spans="8:9" x14ac:dyDescent="0.2">
      <c r="H24296" s="1"/>
      <c r="I24296" s="1"/>
    </row>
    <row r="24297" spans="8:9" x14ac:dyDescent="0.2">
      <c r="H24297" s="1"/>
      <c r="I24297" s="1"/>
    </row>
    <row r="24298" spans="8:9" x14ac:dyDescent="0.2">
      <c r="H24298" s="1"/>
      <c r="I24298" s="1"/>
    </row>
    <row r="24299" spans="8:9" x14ac:dyDescent="0.2">
      <c r="H24299" s="1"/>
      <c r="I24299" s="1"/>
    </row>
    <row r="24300" spans="8:9" x14ac:dyDescent="0.2">
      <c r="H24300" s="1"/>
      <c r="I24300" s="1"/>
    </row>
    <row r="24301" spans="8:9" x14ac:dyDescent="0.2">
      <c r="H24301" s="1"/>
      <c r="I24301" s="1"/>
    </row>
    <row r="24302" spans="8:9" x14ac:dyDescent="0.2">
      <c r="H24302" s="1"/>
      <c r="I24302" s="1"/>
    </row>
    <row r="24303" spans="8:9" x14ac:dyDescent="0.2">
      <c r="H24303" s="1"/>
      <c r="I24303" s="1"/>
    </row>
    <row r="24304" spans="8:9" x14ac:dyDescent="0.2">
      <c r="H24304" s="1"/>
      <c r="I24304" s="1"/>
    </row>
    <row r="24305" spans="8:9" x14ac:dyDescent="0.2">
      <c r="H24305" s="1"/>
      <c r="I24305" s="1"/>
    </row>
    <row r="24306" spans="8:9" x14ac:dyDescent="0.2">
      <c r="H24306" s="1"/>
      <c r="I24306" s="1"/>
    </row>
    <row r="24307" spans="8:9" x14ac:dyDescent="0.2">
      <c r="H24307" s="1"/>
      <c r="I24307" s="1"/>
    </row>
    <row r="24308" spans="8:9" x14ac:dyDescent="0.2">
      <c r="H24308" s="1"/>
      <c r="I24308" s="1"/>
    </row>
    <row r="24309" spans="8:9" x14ac:dyDescent="0.2">
      <c r="H24309" s="1"/>
      <c r="I24309" s="1"/>
    </row>
    <row r="24310" spans="8:9" x14ac:dyDescent="0.2">
      <c r="H24310" s="1"/>
      <c r="I24310" s="1"/>
    </row>
    <row r="24311" spans="8:9" x14ac:dyDescent="0.2">
      <c r="H24311" s="1"/>
      <c r="I24311" s="1"/>
    </row>
    <row r="24312" spans="8:9" x14ac:dyDescent="0.2">
      <c r="H24312" s="1"/>
      <c r="I24312" s="1"/>
    </row>
    <row r="24313" spans="8:9" x14ac:dyDescent="0.2">
      <c r="H24313" s="1"/>
      <c r="I24313" s="1"/>
    </row>
    <row r="24314" spans="8:9" x14ac:dyDescent="0.2">
      <c r="H24314" s="1"/>
      <c r="I24314" s="1"/>
    </row>
    <row r="24315" spans="8:9" x14ac:dyDescent="0.2">
      <c r="H24315" s="1"/>
      <c r="I24315" s="1"/>
    </row>
    <row r="24316" spans="8:9" x14ac:dyDescent="0.2">
      <c r="H24316" s="1"/>
      <c r="I24316" s="1"/>
    </row>
    <row r="24317" spans="8:9" x14ac:dyDescent="0.2">
      <c r="H24317" s="1"/>
      <c r="I24317" s="1"/>
    </row>
    <row r="24318" spans="8:9" x14ac:dyDescent="0.2">
      <c r="H24318" s="1"/>
      <c r="I24318" s="1"/>
    </row>
    <row r="24319" spans="8:9" x14ac:dyDescent="0.2">
      <c r="H24319" s="1"/>
      <c r="I24319" s="1"/>
    </row>
    <row r="24320" spans="8:9" x14ac:dyDescent="0.2">
      <c r="H24320" s="1"/>
      <c r="I24320" s="1"/>
    </row>
    <row r="24321" spans="8:9" x14ac:dyDescent="0.2">
      <c r="H24321" s="1"/>
      <c r="I24321" s="1"/>
    </row>
    <row r="24322" spans="8:9" x14ac:dyDescent="0.2">
      <c r="H24322" s="1"/>
      <c r="I24322" s="1"/>
    </row>
    <row r="24323" spans="8:9" x14ac:dyDescent="0.2">
      <c r="H24323" s="1"/>
      <c r="I24323" s="1"/>
    </row>
    <row r="24324" spans="8:9" x14ac:dyDescent="0.2">
      <c r="H24324" s="1"/>
      <c r="I24324" s="1"/>
    </row>
    <row r="24325" spans="8:9" x14ac:dyDescent="0.2">
      <c r="H24325" s="1"/>
      <c r="I24325" s="1"/>
    </row>
    <row r="24326" spans="8:9" x14ac:dyDescent="0.2">
      <c r="H24326" s="1"/>
      <c r="I24326" s="1"/>
    </row>
    <row r="24327" spans="8:9" x14ac:dyDescent="0.2">
      <c r="H24327" s="1"/>
      <c r="I24327" s="1"/>
    </row>
    <row r="24328" spans="8:9" x14ac:dyDescent="0.2">
      <c r="H24328" s="1"/>
      <c r="I24328" s="1"/>
    </row>
    <row r="24329" spans="8:9" x14ac:dyDescent="0.2">
      <c r="H24329" s="1"/>
      <c r="I24329" s="1"/>
    </row>
    <row r="24330" spans="8:9" x14ac:dyDescent="0.2">
      <c r="H24330" s="1"/>
      <c r="I24330" s="1"/>
    </row>
    <row r="24331" spans="8:9" x14ac:dyDescent="0.2">
      <c r="H24331" s="1"/>
      <c r="I24331" s="1"/>
    </row>
    <row r="24332" spans="8:9" x14ac:dyDescent="0.2">
      <c r="H24332" s="1"/>
      <c r="I24332" s="1"/>
    </row>
    <row r="24333" spans="8:9" x14ac:dyDescent="0.2">
      <c r="H24333" s="1"/>
      <c r="I24333" s="1"/>
    </row>
    <row r="24334" spans="8:9" x14ac:dyDescent="0.2">
      <c r="H24334" s="1"/>
      <c r="I24334" s="1"/>
    </row>
    <row r="24335" spans="8:9" x14ac:dyDescent="0.2">
      <c r="H24335" s="1"/>
      <c r="I24335" s="1"/>
    </row>
    <row r="24336" spans="8:9" x14ac:dyDescent="0.2">
      <c r="H24336" s="1"/>
      <c r="I24336" s="1"/>
    </row>
    <row r="24337" spans="8:9" x14ac:dyDescent="0.2">
      <c r="H24337" s="1"/>
      <c r="I24337" s="1"/>
    </row>
    <row r="24338" spans="8:9" x14ac:dyDescent="0.2">
      <c r="H24338" s="1"/>
      <c r="I24338" s="1"/>
    </row>
    <row r="24339" spans="8:9" x14ac:dyDescent="0.2">
      <c r="H24339" s="1"/>
      <c r="I24339" s="1"/>
    </row>
    <row r="24340" spans="8:9" x14ac:dyDescent="0.2">
      <c r="H24340" s="1"/>
      <c r="I24340" s="1"/>
    </row>
    <row r="24341" spans="8:9" x14ac:dyDescent="0.2">
      <c r="H24341" s="1"/>
      <c r="I24341" s="1"/>
    </row>
    <row r="24342" spans="8:9" x14ac:dyDescent="0.2">
      <c r="H24342" s="1"/>
      <c r="I24342" s="1"/>
    </row>
    <row r="24343" spans="8:9" x14ac:dyDescent="0.2">
      <c r="H24343" s="1"/>
      <c r="I24343" s="1"/>
    </row>
    <row r="24344" spans="8:9" x14ac:dyDescent="0.2">
      <c r="H24344" s="1"/>
      <c r="I24344" s="1"/>
    </row>
    <row r="24345" spans="8:9" x14ac:dyDescent="0.2">
      <c r="H24345" s="1"/>
      <c r="I24345" s="1"/>
    </row>
    <row r="24346" spans="8:9" x14ac:dyDescent="0.2">
      <c r="H24346" s="1"/>
      <c r="I24346" s="1"/>
    </row>
    <row r="24347" spans="8:9" x14ac:dyDescent="0.2">
      <c r="H24347" s="1"/>
      <c r="I24347" s="1"/>
    </row>
    <row r="24348" spans="8:9" x14ac:dyDescent="0.2">
      <c r="H24348" s="1"/>
      <c r="I24348" s="1"/>
    </row>
    <row r="24349" spans="8:9" x14ac:dyDescent="0.2">
      <c r="H24349" s="1"/>
      <c r="I24349" s="1"/>
    </row>
    <row r="24350" spans="8:9" x14ac:dyDescent="0.2">
      <c r="H24350" s="1"/>
      <c r="I24350" s="1"/>
    </row>
    <row r="24351" spans="8:9" x14ac:dyDescent="0.2">
      <c r="H24351" s="1"/>
      <c r="I24351" s="1"/>
    </row>
    <row r="24352" spans="8:9" x14ac:dyDescent="0.2">
      <c r="H24352" s="1"/>
      <c r="I24352" s="1"/>
    </row>
    <row r="24353" spans="8:9" x14ac:dyDescent="0.2">
      <c r="H24353" s="1"/>
      <c r="I24353" s="1"/>
    </row>
    <row r="24354" spans="8:9" x14ac:dyDescent="0.2">
      <c r="H24354" s="1"/>
      <c r="I24354" s="1"/>
    </row>
    <row r="24355" spans="8:9" x14ac:dyDescent="0.2">
      <c r="H24355" s="1"/>
      <c r="I24355" s="1"/>
    </row>
    <row r="24356" spans="8:9" x14ac:dyDescent="0.2">
      <c r="H24356" s="1"/>
      <c r="I24356" s="1"/>
    </row>
    <row r="24357" spans="8:9" x14ac:dyDescent="0.2">
      <c r="H24357" s="1"/>
      <c r="I24357" s="1"/>
    </row>
    <row r="24358" spans="8:9" x14ac:dyDescent="0.2">
      <c r="H24358" s="1"/>
      <c r="I24358" s="1"/>
    </row>
    <row r="24359" spans="8:9" x14ac:dyDescent="0.2">
      <c r="H24359" s="1"/>
      <c r="I24359" s="1"/>
    </row>
    <row r="24360" spans="8:9" x14ac:dyDescent="0.2">
      <c r="H24360" s="1"/>
      <c r="I24360" s="1"/>
    </row>
    <row r="24361" spans="8:9" x14ac:dyDescent="0.2">
      <c r="H24361" s="1"/>
      <c r="I24361" s="1"/>
    </row>
    <row r="24362" spans="8:9" x14ac:dyDescent="0.2">
      <c r="H24362" s="1"/>
      <c r="I24362" s="1"/>
    </row>
    <row r="24363" spans="8:9" x14ac:dyDescent="0.2">
      <c r="H24363" s="1"/>
      <c r="I24363" s="1"/>
    </row>
    <row r="24364" spans="8:9" x14ac:dyDescent="0.2">
      <c r="H24364" s="1"/>
      <c r="I24364" s="1"/>
    </row>
    <row r="24365" spans="8:9" x14ac:dyDescent="0.2">
      <c r="H24365" s="1"/>
      <c r="I24365" s="1"/>
    </row>
    <row r="24366" spans="8:9" x14ac:dyDescent="0.2">
      <c r="H24366" s="1"/>
      <c r="I24366" s="1"/>
    </row>
    <row r="24367" spans="8:9" x14ac:dyDescent="0.2">
      <c r="H24367" s="1"/>
      <c r="I24367" s="1"/>
    </row>
    <row r="24368" spans="8:9" x14ac:dyDescent="0.2">
      <c r="H24368" s="1"/>
      <c r="I24368" s="1"/>
    </row>
    <row r="24369" spans="8:9" x14ac:dyDescent="0.2">
      <c r="H24369" s="1"/>
      <c r="I24369" s="1"/>
    </row>
    <row r="24370" spans="8:9" x14ac:dyDescent="0.2">
      <c r="H24370" s="1"/>
      <c r="I24370" s="1"/>
    </row>
    <row r="24371" spans="8:9" x14ac:dyDescent="0.2">
      <c r="H24371" s="1"/>
      <c r="I24371" s="1"/>
    </row>
    <row r="24372" spans="8:9" x14ac:dyDescent="0.2">
      <c r="H24372" s="1"/>
      <c r="I24372" s="1"/>
    </row>
    <row r="24373" spans="8:9" x14ac:dyDescent="0.2">
      <c r="H24373" s="1"/>
      <c r="I24373" s="1"/>
    </row>
    <row r="24374" spans="8:9" x14ac:dyDescent="0.2">
      <c r="H24374" s="1"/>
      <c r="I24374" s="1"/>
    </row>
    <row r="24375" spans="8:9" x14ac:dyDescent="0.2">
      <c r="H24375" s="1"/>
      <c r="I24375" s="1"/>
    </row>
    <row r="24376" spans="8:9" x14ac:dyDescent="0.2">
      <c r="H24376" s="1"/>
      <c r="I24376" s="1"/>
    </row>
    <row r="24377" spans="8:9" x14ac:dyDescent="0.2">
      <c r="H24377" s="1"/>
      <c r="I24377" s="1"/>
    </row>
    <row r="24378" spans="8:9" x14ac:dyDescent="0.2">
      <c r="H24378" s="1"/>
      <c r="I24378" s="1"/>
    </row>
    <row r="24379" spans="8:9" x14ac:dyDescent="0.2">
      <c r="H24379" s="1"/>
      <c r="I24379" s="1"/>
    </row>
    <row r="24380" spans="8:9" x14ac:dyDescent="0.2">
      <c r="H24380" s="1"/>
      <c r="I24380" s="1"/>
    </row>
    <row r="24381" spans="8:9" x14ac:dyDescent="0.2">
      <c r="H24381" s="1"/>
      <c r="I24381" s="1"/>
    </row>
    <row r="24382" spans="8:9" x14ac:dyDescent="0.2">
      <c r="H24382" s="1"/>
      <c r="I24382" s="1"/>
    </row>
    <row r="24383" spans="8:9" x14ac:dyDescent="0.2">
      <c r="H24383" s="1"/>
      <c r="I24383" s="1"/>
    </row>
    <row r="24384" spans="8:9" x14ac:dyDescent="0.2">
      <c r="H24384" s="1"/>
      <c r="I24384" s="1"/>
    </row>
    <row r="24385" spans="8:9" x14ac:dyDescent="0.2">
      <c r="H24385" s="1"/>
      <c r="I24385" s="1"/>
    </row>
    <row r="24386" spans="8:9" x14ac:dyDescent="0.2">
      <c r="H24386" s="1"/>
      <c r="I24386" s="1"/>
    </row>
    <row r="24387" spans="8:9" x14ac:dyDescent="0.2">
      <c r="H24387" s="1"/>
      <c r="I24387" s="1"/>
    </row>
    <row r="24388" spans="8:9" x14ac:dyDescent="0.2">
      <c r="H24388" s="1"/>
      <c r="I24388" s="1"/>
    </row>
    <row r="24389" spans="8:9" x14ac:dyDescent="0.2">
      <c r="H24389" s="1"/>
      <c r="I24389" s="1"/>
    </row>
    <row r="24390" spans="8:9" x14ac:dyDescent="0.2">
      <c r="H24390" s="1"/>
      <c r="I24390" s="1"/>
    </row>
    <row r="24391" spans="8:9" x14ac:dyDescent="0.2">
      <c r="H24391" s="1"/>
      <c r="I24391" s="1"/>
    </row>
    <row r="24392" spans="8:9" x14ac:dyDescent="0.2">
      <c r="H24392" s="1"/>
      <c r="I24392" s="1"/>
    </row>
    <row r="24393" spans="8:9" x14ac:dyDescent="0.2">
      <c r="H24393" s="1"/>
      <c r="I24393" s="1"/>
    </row>
    <row r="24394" spans="8:9" x14ac:dyDescent="0.2">
      <c r="H24394" s="1"/>
      <c r="I24394" s="1"/>
    </row>
    <row r="24395" spans="8:9" x14ac:dyDescent="0.2">
      <c r="H24395" s="1"/>
      <c r="I24395" s="1"/>
    </row>
    <row r="24396" spans="8:9" x14ac:dyDescent="0.2">
      <c r="H24396" s="1"/>
      <c r="I24396" s="1"/>
    </row>
    <row r="24397" spans="8:9" x14ac:dyDescent="0.2">
      <c r="H24397" s="1"/>
      <c r="I24397" s="1"/>
    </row>
    <row r="24398" spans="8:9" x14ac:dyDescent="0.2">
      <c r="H24398" s="1"/>
      <c r="I24398" s="1"/>
    </row>
    <row r="24399" spans="8:9" x14ac:dyDescent="0.2">
      <c r="H24399" s="1"/>
      <c r="I24399" s="1"/>
    </row>
    <row r="24400" spans="8:9" x14ac:dyDescent="0.2">
      <c r="H24400" s="1"/>
      <c r="I24400" s="1"/>
    </row>
    <row r="24401" spans="8:9" x14ac:dyDescent="0.2">
      <c r="H24401" s="1"/>
      <c r="I24401" s="1"/>
    </row>
    <row r="24402" spans="8:9" x14ac:dyDescent="0.2">
      <c r="H24402" s="1"/>
      <c r="I24402" s="1"/>
    </row>
    <row r="24403" spans="8:9" x14ac:dyDescent="0.2">
      <c r="H24403" s="1"/>
      <c r="I24403" s="1"/>
    </row>
    <row r="24404" spans="8:9" x14ac:dyDescent="0.2">
      <c r="H24404" s="1"/>
      <c r="I24404" s="1"/>
    </row>
    <row r="24405" spans="8:9" x14ac:dyDescent="0.2">
      <c r="H24405" s="1"/>
      <c r="I24405" s="1"/>
    </row>
    <row r="24406" spans="8:9" x14ac:dyDescent="0.2">
      <c r="H24406" s="1"/>
      <c r="I24406" s="1"/>
    </row>
    <row r="24407" spans="8:9" x14ac:dyDescent="0.2">
      <c r="H24407" s="1"/>
      <c r="I24407" s="1"/>
    </row>
    <row r="24408" spans="8:9" x14ac:dyDescent="0.2">
      <c r="H24408" s="1"/>
      <c r="I24408" s="1"/>
    </row>
    <row r="24409" spans="8:9" x14ac:dyDescent="0.2">
      <c r="H24409" s="1"/>
      <c r="I24409" s="1"/>
    </row>
    <row r="24410" spans="8:9" x14ac:dyDescent="0.2">
      <c r="H24410" s="1"/>
      <c r="I24410" s="1"/>
    </row>
    <row r="24411" spans="8:9" x14ac:dyDescent="0.2">
      <c r="H24411" s="1"/>
      <c r="I24411" s="1"/>
    </row>
    <row r="24412" spans="8:9" x14ac:dyDescent="0.2">
      <c r="H24412" s="1"/>
      <c r="I24412" s="1"/>
    </row>
    <row r="24413" spans="8:9" x14ac:dyDescent="0.2">
      <c r="H24413" s="1"/>
      <c r="I24413" s="1"/>
    </row>
    <row r="24414" spans="8:9" x14ac:dyDescent="0.2">
      <c r="H24414" s="1"/>
      <c r="I24414" s="1"/>
    </row>
    <row r="24415" spans="8:9" x14ac:dyDescent="0.2">
      <c r="H24415" s="1"/>
      <c r="I24415" s="1"/>
    </row>
    <row r="24416" spans="8:9" x14ac:dyDescent="0.2">
      <c r="H24416" s="1"/>
      <c r="I24416" s="1"/>
    </row>
    <row r="24417" spans="8:9" x14ac:dyDescent="0.2">
      <c r="H24417" s="1"/>
      <c r="I24417" s="1"/>
    </row>
    <row r="24418" spans="8:9" x14ac:dyDescent="0.2">
      <c r="H24418" s="1"/>
      <c r="I24418" s="1"/>
    </row>
    <row r="24419" spans="8:9" x14ac:dyDescent="0.2">
      <c r="H24419" s="1"/>
      <c r="I24419" s="1"/>
    </row>
    <row r="24420" spans="8:9" x14ac:dyDescent="0.2">
      <c r="H24420" s="1"/>
      <c r="I24420" s="1"/>
    </row>
    <row r="24421" spans="8:9" x14ac:dyDescent="0.2">
      <c r="H24421" s="1"/>
      <c r="I24421" s="1"/>
    </row>
    <row r="24422" spans="8:9" x14ac:dyDescent="0.2">
      <c r="H24422" s="1"/>
      <c r="I24422" s="1"/>
    </row>
    <row r="24423" spans="8:9" x14ac:dyDescent="0.2">
      <c r="H24423" s="1"/>
      <c r="I24423" s="1"/>
    </row>
    <row r="24424" spans="8:9" x14ac:dyDescent="0.2">
      <c r="H24424" s="1"/>
      <c r="I24424" s="1"/>
    </row>
    <row r="24425" spans="8:9" x14ac:dyDescent="0.2">
      <c r="H24425" s="1"/>
      <c r="I24425" s="1"/>
    </row>
    <row r="24426" spans="8:9" x14ac:dyDescent="0.2">
      <c r="H24426" s="1"/>
      <c r="I24426" s="1"/>
    </row>
    <row r="24427" spans="8:9" x14ac:dyDescent="0.2">
      <c r="H24427" s="1"/>
      <c r="I24427" s="1"/>
    </row>
    <row r="24428" spans="8:9" x14ac:dyDescent="0.2">
      <c r="H24428" s="1"/>
      <c r="I24428" s="1"/>
    </row>
    <row r="24429" spans="8:9" x14ac:dyDescent="0.2">
      <c r="H24429" s="1"/>
      <c r="I24429" s="1"/>
    </row>
    <row r="24430" spans="8:9" x14ac:dyDescent="0.2">
      <c r="H24430" s="1"/>
      <c r="I24430" s="1"/>
    </row>
    <row r="24431" spans="8:9" x14ac:dyDescent="0.2">
      <c r="H24431" s="1"/>
      <c r="I24431" s="1"/>
    </row>
    <row r="24432" spans="8:9" x14ac:dyDescent="0.2">
      <c r="H24432" s="1"/>
      <c r="I24432" s="1"/>
    </row>
    <row r="24433" spans="8:9" x14ac:dyDescent="0.2">
      <c r="H24433" s="1"/>
      <c r="I24433" s="1"/>
    </row>
    <row r="24434" spans="8:9" x14ac:dyDescent="0.2">
      <c r="H24434" s="1"/>
      <c r="I24434" s="1"/>
    </row>
    <row r="24435" spans="8:9" x14ac:dyDescent="0.2">
      <c r="H24435" s="1"/>
      <c r="I24435" s="1"/>
    </row>
    <row r="24436" spans="8:9" x14ac:dyDescent="0.2">
      <c r="H24436" s="1"/>
      <c r="I24436" s="1"/>
    </row>
    <row r="24437" spans="8:9" x14ac:dyDescent="0.2">
      <c r="H24437" s="1"/>
      <c r="I24437" s="1"/>
    </row>
    <row r="24438" spans="8:9" x14ac:dyDescent="0.2">
      <c r="H24438" s="1"/>
      <c r="I24438" s="1"/>
    </row>
    <row r="24439" spans="8:9" x14ac:dyDescent="0.2">
      <c r="H24439" s="1"/>
      <c r="I24439" s="1"/>
    </row>
    <row r="24440" spans="8:9" x14ac:dyDescent="0.2">
      <c r="H24440" s="1"/>
      <c r="I24440" s="1"/>
    </row>
    <row r="24441" spans="8:9" x14ac:dyDescent="0.2">
      <c r="H24441" s="1"/>
      <c r="I24441" s="1"/>
    </row>
    <row r="24442" spans="8:9" x14ac:dyDescent="0.2">
      <c r="H24442" s="1"/>
      <c r="I24442" s="1"/>
    </row>
    <row r="24443" spans="8:9" x14ac:dyDescent="0.2">
      <c r="H24443" s="1"/>
      <c r="I24443" s="1"/>
    </row>
    <row r="24444" spans="8:9" x14ac:dyDescent="0.2">
      <c r="H24444" s="1"/>
      <c r="I24444" s="1"/>
    </row>
    <row r="24445" spans="8:9" x14ac:dyDescent="0.2">
      <c r="H24445" s="1"/>
      <c r="I24445" s="1"/>
    </row>
    <row r="24446" spans="8:9" x14ac:dyDescent="0.2">
      <c r="H24446" s="1"/>
      <c r="I24446" s="1"/>
    </row>
    <row r="24447" spans="8:9" x14ac:dyDescent="0.2">
      <c r="H24447" s="1"/>
      <c r="I24447" s="1"/>
    </row>
    <row r="24448" spans="8:9" x14ac:dyDescent="0.2">
      <c r="H24448" s="1"/>
      <c r="I24448" s="1"/>
    </row>
    <row r="24449" spans="8:9" x14ac:dyDescent="0.2">
      <c r="H24449" s="1"/>
      <c r="I24449" s="1"/>
    </row>
    <row r="24450" spans="8:9" x14ac:dyDescent="0.2">
      <c r="H24450" s="1"/>
      <c r="I24450" s="1"/>
    </row>
    <row r="24451" spans="8:9" x14ac:dyDescent="0.2">
      <c r="H24451" s="1"/>
      <c r="I24451" s="1"/>
    </row>
    <row r="24452" spans="8:9" x14ac:dyDescent="0.2">
      <c r="H24452" s="1"/>
      <c r="I24452" s="1"/>
    </row>
    <row r="24453" spans="8:9" x14ac:dyDescent="0.2">
      <c r="H24453" s="1"/>
      <c r="I24453" s="1"/>
    </row>
    <row r="24454" spans="8:9" x14ac:dyDescent="0.2">
      <c r="H24454" s="1"/>
      <c r="I24454" s="1"/>
    </row>
    <row r="24455" spans="8:9" x14ac:dyDescent="0.2">
      <c r="H24455" s="1"/>
      <c r="I24455" s="1"/>
    </row>
    <row r="24456" spans="8:9" x14ac:dyDescent="0.2">
      <c r="H24456" s="1"/>
      <c r="I24456" s="1"/>
    </row>
    <row r="24457" spans="8:9" x14ac:dyDescent="0.2">
      <c r="H24457" s="1"/>
      <c r="I24457" s="1"/>
    </row>
    <row r="24458" spans="8:9" x14ac:dyDescent="0.2">
      <c r="H24458" s="1"/>
      <c r="I24458" s="1"/>
    </row>
    <row r="24459" spans="8:9" x14ac:dyDescent="0.2">
      <c r="H24459" s="1"/>
      <c r="I24459" s="1"/>
    </row>
    <row r="24460" spans="8:9" x14ac:dyDescent="0.2">
      <c r="H24460" s="1"/>
      <c r="I24460" s="1"/>
    </row>
    <row r="24461" spans="8:9" x14ac:dyDescent="0.2">
      <c r="H24461" s="1"/>
      <c r="I24461" s="1"/>
    </row>
    <row r="24462" spans="8:9" x14ac:dyDescent="0.2">
      <c r="H24462" s="1"/>
      <c r="I24462" s="1"/>
    </row>
    <row r="24463" spans="8:9" x14ac:dyDescent="0.2">
      <c r="H24463" s="1"/>
      <c r="I24463" s="1"/>
    </row>
    <row r="24464" spans="8:9" x14ac:dyDescent="0.2">
      <c r="H24464" s="1"/>
      <c r="I24464" s="1"/>
    </row>
    <row r="24465" spans="8:9" x14ac:dyDescent="0.2">
      <c r="H24465" s="1"/>
      <c r="I24465" s="1"/>
    </row>
    <row r="24466" spans="8:9" x14ac:dyDescent="0.2">
      <c r="H24466" s="1"/>
      <c r="I24466" s="1"/>
    </row>
    <row r="24467" spans="8:9" x14ac:dyDescent="0.2">
      <c r="H24467" s="1"/>
      <c r="I24467" s="1"/>
    </row>
    <row r="24468" spans="8:9" x14ac:dyDescent="0.2">
      <c r="H24468" s="1"/>
      <c r="I24468" s="1"/>
    </row>
    <row r="24469" spans="8:9" x14ac:dyDescent="0.2">
      <c r="H24469" s="1"/>
      <c r="I24469" s="1"/>
    </row>
    <row r="24470" spans="8:9" x14ac:dyDescent="0.2">
      <c r="H24470" s="1"/>
      <c r="I24470" s="1"/>
    </row>
    <row r="24471" spans="8:9" x14ac:dyDescent="0.2">
      <c r="H24471" s="1"/>
      <c r="I24471" s="1"/>
    </row>
    <row r="24472" spans="8:9" x14ac:dyDescent="0.2">
      <c r="H24472" s="1"/>
      <c r="I24472" s="1"/>
    </row>
    <row r="24473" spans="8:9" x14ac:dyDescent="0.2">
      <c r="H24473" s="1"/>
      <c r="I24473" s="1"/>
    </row>
    <row r="24474" spans="8:9" x14ac:dyDescent="0.2">
      <c r="H24474" s="1"/>
      <c r="I24474" s="1"/>
    </row>
    <row r="24475" spans="8:9" x14ac:dyDescent="0.2">
      <c r="H24475" s="1"/>
      <c r="I24475" s="1"/>
    </row>
    <row r="24476" spans="8:9" x14ac:dyDescent="0.2">
      <c r="H24476" s="1"/>
      <c r="I24476" s="1"/>
    </row>
    <row r="24477" spans="8:9" x14ac:dyDescent="0.2">
      <c r="H24477" s="1"/>
      <c r="I24477" s="1"/>
    </row>
    <row r="24478" spans="8:9" x14ac:dyDescent="0.2">
      <c r="H24478" s="1"/>
      <c r="I24478" s="1"/>
    </row>
    <row r="24479" spans="8:9" x14ac:dyDescent="0.2">
      <c r="H24479" s="1"/>
      <c r="I24479" s="1"/>
    </row>
    <row r="24480" spans="8:9" x14ac:dyDescent="0.2">
      <c r="H24480" s="1"/>
      <c r="I24480" s="1"/>
    </row>
    <row r="24481" spans="8:9" x14ac:dyDescent="0.2">
      <c r="H24481" s="1"/>
      <c r="I24481" s="1"/>
    </row>
    <row r="24482" spans="8:9" x14ac:dyDescent="0.2">
      <c r="H24482" s="1"/>
      <c r="I24482" s="1"/>
    </row>
    <row r="24483" spans="8:9" x14ac:dyDescent="0.2">
      <c r="H24483" s="1"/>
      <c r="I24483" s="1"/>
    </row>
    <row r="24484" spans="8:9" x14ac:dyDescent="0.2">
      <c r="H24484" s="1"/>
      <c r="I24484" s="1"/>
    </row>
    <row r="24485" spans="8:9" x14ac:dyDescent="0.2">
      <c r="H24485" s="1"/>
      <c r="I24485" s="1"/>
    </row>
    <row r="24486" spans="8:9" x14ac:dyDescent="0.2">
      <c r="H24486" s="1"/>
      <c r="I24486" s="1"/>
    </row>
    <row r="24487" spans="8:9" x14ac:dyDescent="0.2">
      <c r="H24487" s="1"/>
      <c r="I24487" s="1"/>
    </row>
    <row r="24488" spans="8:9" x14ac:dyDescent="0.2">
      <c r="H24488" s="1"/>
      <c r="I24488" s="1"/>
    </row>
    <row r="24489" spans="8:9" x14ac:dyDescent="0.2">
      <c r="H24489" s="1"/>
      <c r="I24489" s="1"/>
    </row>
    <row r="24490" spans="8:9" x14ac:dyDescent="0.2">
      <c r="H24490" s="1"/>
      <c r="I24490" s="1"/>
    </row>
    <row r="24491" spans="8:9" x14ac:dyDescent="0.2">
      <c r="H24491" s="1"/>
      <c r="I24491" s="1"/>
    </row>
    <row r="24492" spans="8:9" x14ac:dyDescent="0.2">
      <c r="H24492" s="1"/>
      <c r="I24492" s="1"/>
    </row>
    <row r="24493" spans="8:9" x14ac:dyDescent="0.2">
      <c r="H24493" s="1"/>
      <c r="I24493" s="1"/>
    </row>
    <row r="24494" spans="8:9" x14ac:dyDescent="0.2">
      <c r="H24494" s="1"/>
      <c r="I24494" s="1"/>
    </row>
    <row r="24495" spans="8:9" x14ac:dyDescent="0.2">
      <c r="H24495" s="1"/>
      <c r="I24495" s="1"/>
    </row>
    <row r="24496" spans="8:9" x14ac:dyDescent="0.2">
      <c r="H24496" s="1"/>
      <c r="I24496" s="1"/>
    </row>
    <row r="24497" spans="8:9" x14ac:dyDescent="0.2">
      <c r="H24497" s="1"/>
      <c r="I24497" s="1"/>
    </row>
    <row r="24498" spans="8:9" x14ac:dyDescent="0.2">
      <c r="H24498" s="1"/>
      <c r="I24498" s="1"/>
    </row>
    <row r="24499" spans="8:9" x14ac:dyDescent="0.2">
      <c r="H24499" s="1"/>
      <c r="I24499" s="1"/>
    </row>
    <row r="24500" spans="8:9" x14ac:dyDescent="0.2">
      <c r="H24500" s="1"/>
      <c r="I24500" s="1"/>
    </row>
    <row r="24501" spans="8:9" x14ac:dyDescent="0.2">
      <c r="H24501" s="1"/>
      <c r="I24501" s="1"/>
    </row>
    <row r="24502" spans="8:9" x14ac:dyDescent="0.2">
      <c r="H24502" s="1"/>
      <c r="I24502" s="1"/>
    </row>
    <row r="24503" spans="8:9" x14ac:dyDescent="0.2">
      <c r="H24503" s="1"/>
      <c r="I24503" s="1"/>
    </row>
    <row r="24504" spans="8:9" x14ac:dyDescent="0.2">
      <c r="H24504" s="1"/>
      <c r="I24504" s="1"/>
    </row>
    <row r="24505" spans="8:9" x14ac:dyDescent="0.2">
      <c r="H24505" s="1"/>
      <c r="I24505" s="1"/>
    </row>
    <row r="24506" spans="8:9" x14ac:dyDescent="0.2">
      <c r="H24506" s="1"/>
      <c r="I24506" s="1"/>
    </row>
    <row r="24507" spans="8:9" x14ac:dyDescent="0.2">
      <c r="H24507" s="1"/>
      <c r="I24507" s="1"/>
    </row>
    <row r="24508" spans="8:9" x14ac:dyDescent="0.2">
      <c r="H24508" s="1"/>
      <c r="I24508" s="1"/>
    </row>
    <row r="24509" spans="8:9" x14ac:dyDescent="0.2">
      <c r="H24509" s="1"/>
      <c r="I24509" s="1"/>
    </row>
    <row r="24510" spans="8:9" x14ac:dyDescent="0.2">
      <c r="H24510" s="1"/>
      <c r="I24510" s="1"/>
    </row>
    <row r="24511" spans="8:9" x14ac:dyDescent="0.2">
      <c r="H24511" s="1"/>
      <c r="I24511" s="1"/>
    </row>
    <row r="24512" spans="8:9" x14ac:dyDescent="0.2">
      <c r="H24512" s="1"/>
      <c r="I24512" s="1"/>
    </row>
    <row r="24513" spans="8:9" x14ac:dyDescent="0.2">
      <c r="H24513" s="1"/>
      <c r="I24513" s="1"/>
    </row>
    <row r="24514" spans="8:9" x14ac:dyDescent="0.2">
      <c r="H24514" s="1"/>
      <c r="I24514" s="1"/>
    </row>
    <row r="24515" spans="8:9" x14ac:dyDescent="0.2">
      <c r="H24515" s="1"/>
      <c r="I24515" s="1"/>
    </row>
    <row r="24516" spans="8:9" x14ac:dyDescent="0.2">
      <c r="H24516" s="1"/>
      <c r="I24516" s="1"/>
    </row>
    <row r="24517" spans="8:9" x14ac:dyDescent="0.2">
      <c r="H24517" s="1"/>
      <c r="I24517" s="1"/>
    </row>
    <row r="24518" spans="8:9" x14ac:dyDescent="0.2">
      <c r="H24518" s="1"/>
      <c r="I24518" s="1"/>
    </row>
    <row r="24519" spans="8:9" x14ac:dyDescent="0.2">
      <c r="H24519" s="1"/>
      <c r="I24519" s="1"/>
    </row>
    <row r="24520" spans="8:9" x14ac:dyDescent="0.2">
      <c r="H24520" s="1"/>
      <c r="I24520" s="1"/>
    </row>
    <row r="24521" spans="8:9" x14ac:dyDescent="0.2">
      <c r="H24521" s="1"/>
      <c r="I24521" s="1"/>
    </row>
    <row r="24522" spans="8:9" x14ac:dyDescent="0.2">
      <c r="H24522" s="1"/>
      <c r="I24522" s="1"/>
    </row>
    <row r="24523" spans="8:9" x14ac:dyDescent="0.2">
      <c r="H24523" s="1"/>
      <c r="I24523" s="1"/>
    </row>
    <row r="24524" spans="8:9" x14ac:dyDescent="0.2">
      <c r="H24524" s="1"/>
      <c r="I24524" s="1"/>
    </row>
    <row r="24525" spans="8:9" x14ac:dyDescent="0.2">
      <c r="H24525" s="1"/>
      <c r="I24525" s="1"/>
    </row>
    <row r="24526" spans="8:9" x14ac:dyDescent="0.2">
      <c r="H24526" s="1"/>
      <c r="I24526" s="1"/>
    </row>
    <row r="24527" spans="8:9" x14ac:dyDescent="0.2">
      <c r="H24527" s="1"/>
      <c r="I24527" s="1"/>
    </row>
    <row r="24528" spans="8:9" x14ac:dyDescent="0.2">
      <c r="H24528" s="1"/>
      <c r="I24528" s="1"/>
    </row>
    <row r="24529" spans="8:9" x14ac:dyDescent="0.2">
      <c r="H24529" s="1"/>
      <c r="I24529" s="1"/>
    </row>
    <row r="24530" spans="8:9" x14ac:dyDescent="0.2">
      <c r="H24530" s="1"/>
      <c r="I24530" s="1"/>
    </row>
    <row r="24531" spans="8:9" x14ac:dyDescent="0.2">
      <c r="H24531" s="1"/>
      <c r="I24531" s="1"/>
    </row>
    <row r="24532" spans="8:9" x14ac:dyDescent="0.2">
      <c r="H24532" s="1"/>
      <c r="I24532" s="1"/>
    </row>
    <row r="24533" spans="8:9" x14ac:dyDescent="0.2">
      <c r="H24533" s="1"/>
      <c r="I24533" s="1"/>
    </row>
    <row r="24534" spans="8:9" x14ac:dyDescent="0.2">
      <c r="H24534" s="1"/>
      <c r="I24534" s="1"/>
    </row>
    <row r="24535" spans="8:9" x14ac:dyDescent="0.2">
      <c r="H24535" s="1"/>
      <c r="I24535" s="1"/>
    </row>
    <row r="24536" spans="8:9" x14ac:dyDescent="0.2">
      <c r="H24536" s="1"/>
      <c r="I24536" s="1"/>
    </row>
    <row r="24537" spans="8:9" x14ac:dyDescent="0.2">
      <c r="H24537" s="1"/>
      <c r="I24537" s="1"/>
    </row>
    <row r="24538" spans="8:9" x14ac:dyDescent="0.2">
      <c r="H24538" s="1"/>
      <c r="I24538" s="1"/>
    </row>
    <row r="24539" spans="8:9" x14ac:dyDescent="0.2">
      <c r="H24539" s="1"/>
      <c r="I24539" s="1"/>
    </row>
    <row r="24540" spans="8:9" x14ac:dyDescent="0.2">
      <c r="H24540" s="1"/>
      <c r="I24540" s="1"/>
    </row>
    <row r="24541" spans="8:9" x14ac:dyDescent="0.2">
      <c r="H24541" s="1"/>
      <c r="I24541" s="1"/>
    </row>
    <row r="24542" spans="8:9" x14ac:dyDescent="0.2">
      <c r="H24542" s="1"/>
      <c r="I24542" s="1"/>
    </row>
    <row r="24543" spans="8:9" x14ac:dyDescent="0.2">
      <c r="H24543" s="1"/>
      <c r="I24543" s="1"/>
    </row>
    <row r="24544" spans="8:9" x14ac:dyDescent="0.2">
      <c r="H24544" s="1"/>
      <c r="I24544" s="1"/>
    </row>
    <row r="24545" spans="8:9" x14ac:dyDescent="0.2">
      <c r="H24545" s="1"/>
      <c r="I24545" s="1"/>
    </row>
    <row r="24546" spans="8:9" x14ac:dyDescent="0.2">
      <c r="H24546" s="1"/>
      <c r="I24546" s="1"/>
    </row>
    <row r="24547" spans="8:9" x14ac:dyDescent="0.2">
      <c r="H24547" s="1"/>
      <c r="I24547" s="1"/>
    </row>
    <row r="24548" spans="8:9" x14ac:dyDescent="0.2">
      <c r="H24548" s="1"/>
      <c r="I24548" s="1"/>
    </row>
    <row r="24549" spans="8:9" x14ac:dyDescent="0.2">
      <c r="H24549" s="1"/>
      <c r="I24549" s="1"/>
    </row>
    <row r="24550" spans="8:9" x14ac:dyDescent="0.2">
      <c r="H24550" s="1"/>
      <c r="I24550" s="1"/>
    </row>
    <row r="24551" spans="8:9" x14ac:dyDescent="0.2">
      <c r="H24551" s="1"/>
      <c r="I24551" s="1"/>
    </row>
    <row r="24552" spans="8:9" x14ac:dyDescent="0.2">
      <c r="H24552" s="1"/>
      <c r="I24552" s="1"/>
    </row>
    <row r="24553" spans="8:9" x14ac:dyDescent="0.2">
      <c r="H24553" s="1"/>
      <c r="I24553" s="1"/>
    </row>
    <row r="24554" spans="8:9" x14ac:dyDescent="0.2">
      <c r="H24554" s="1"/>
      <c r="I24554" s="1"/>
    </row>
    <row r="24555" spans="8:9" x14ac:dyDescent="0.2">
      <c r="H24555" s="1"/>
      <c r="I24555" s="1"/>
    </row>
    <row r="24556" spans="8:9" x14ac:dyDescent="0.2">
      <c r="H24556" s="1"/>
      <c r="I24556" s="1"/>
    </row>
    <row r="24557" spans="8:9" x14ac:dyDescent="0.2">
      <c r="H24557" s="1"/>
      <c r="I24557" s="1"/>
    </row>
    <row r="24558" spans="8:9" x14ac:dyDescent="0.2">
      <c r="H24558" s="1"/>
      <c r="I24558" s="1"/>
    </row>
    <row r="24559" spans="8:9" x14ac:dyDescent="0.2">
      <c r="H24559" s="1"/>
      <c r="I24559" s="1"/>
    </row>
    <row r="24560" spans="8:9" x14ac:dyDescent="0.2">
      <c r="H24560" s="1"/>
      <c r="I24560" s="1"/>
    </row>
    <row r="24561" spans="8:9" x14ac:dyDescent="0.2">
      <c r="H24561" s="1"/>
      <c r="I24561" s="1"/>
    </row>
    <row r="24562" spans="8:9" x14ac:dyDescent="0.2">
      <c r="H24562" s="1"/>
      <c r="I24562" s="1"/>
    </row>
    <row r="24563" spans="8:9" x14ac:dyDescent="0.2">
      <c r="H24563" s="1"/>
      <c r="I24563" s="1"/>
    </row>
    <row r="24564" spans="8:9" x14ac:dyDescent="0.2">
      <c r="H24564" s="1"/>
      <c r="I24564" s="1"/>
    </row>
    <row r="24565" spans="8:9" x14ac:dyDescent="0.2">
      <c r="H24565" s="1"/>
      <c r="I24565" s="1"/>
    </row>
    <row r="24566" spans="8:9" x14ac:dyDescent="0.2">
      <c r="H24566" s="1"/>
      <c r="I24566" s="1"/>
    </row>
    <row r="24567" spans="8:9" x14ac:dyDescent="0.2">
      <c r="H24567" s="1"/>
      <c r="I24567" s="1"/>
    </row>
    <row r="24568" spans="8:9" x14ac:dyDescent="0.2">
      <c r="H24568" s="1"/>
      <c r="I24568" s="1"/>
    </row>
    <row r="24569" spans="8:9" x14ac:dyDescent="0.2">
      <c r="H24569" s="1"/>
      <c r="I24569" s="1"/>
    </row>
    <row r="24570" spans="8:9" x14ac:dyDescent="0.2">
      <c r="H24570" s="1"/>
      <c r="I24570" s="1"/>
    </row>
    <row r="24571" spans="8:9" x14ac:dyDescent="0.2">
      <c r="H24571" s="1"/>
      <c r="I24571" s="1"/>
    </row>
    <row r="24572" spans="8:9" x14ac:dyDescent="0.2">
      <c r="H24572" s="1"/>
      <c r="I24572" s="1"/>
    </row>
    <row r="24573" spans="8:9" x14ac:dyDescent="0.2">
      <c r="H24573" s="1"/>
      <c r="I24573" s="1"/>
    </row>
    <row r="24574" spans="8:9" x14ac:dyDescent="0.2">
      <c r="H24574" s="1"/>
      <c r="I24574" s="1"/>
    </row>
    <row r="24575" spans="8:9" x14ac:dyDescent="0.2">
      <c r="H24575" s="1"/>
      <c r="I24575" s="1"/>
    </row>
    <row r="24576" spans="8:9" x14ac:dyDescent="0.2">
      <c r="H24576" s="1"/>
      <c r="I24576" s="1"/>
    </row>
    <row r="24577" spans="8:9" x14ac:dyDescent="0.2">
      <c r="H24577" s="1"/>
      <c r="I24577" s="1"/>
    </row>
    <row r="24578" spans="8:9" x14ac:dyDescent="0.2">
      <c r="H24578" s="1"/>
      <c r="I24578" s="1"/>
    </row>
    <row r="24579" spans="8:9" x14ac:dyDescent="0.2">
      <c r="H24579" s="1"/>
      <c r="I24579" s="1"/>
    </row>
    <row r="24580" spans="8:9" x14ac:dyDescent="0.2">
      <c r="H24580" s="1"/>
      <c r="I24580" s="1"/>
    </row>
    <row r="24581" spans="8:9" x14ac:dyDescent="0.2">
      <c r="H24581" s="1"/>
      <c r="I24581" s="1"/>
    </row>
    <row r="24582" spans="8:9" x14ac:dyDescent="0.2">
      <c r="H24582" s="1"/>
      <c r="I24582" s="1"/>
    </row>
    <row r="24583" spans="8:9" x14ac:dyDescent="0.2">
      <c r="H24583" s="1"/>
      <c r="I24583" s="1"/>
    </row>
    <row r="24584" spans="8:9" x14ac:dyDescent="0.2">
      <c r="H24584" s="1"/>
      <c r="I24584" s="1"/>
    </row>
    <row r="24585" spans="8:9" x14ac:dyDescent="0.2">
      <c r="H24585" s="1"/>
      <c r="I24585" s="1"/>
    </row>
    <row r="24586" spans="8:9" x14ac:dyDescent="0.2">
      <c r="H24586" s="1"/>
      <c r="I24586" s="1"/>
    </row>
    <row r="24587" spans="8:9" x14ac:dyDescent="0.2">
      <c r="H24587" s="1"/>
      <c r="I24587" s="1"/>
    </row>
    <row r="24588" spans="8:9" x14ac:dyDescent="0.2">
      <c r="H24588" s="1"/>
      <c r="I24588" s="1"/>
    </row>
    <row r="24589" spans="8:9" x14ac:dyDescent="0.2">
      <c r="H24589" s="1"/>
      <c r="I24589" s="1"/>
    </row>
    <row r="24590" spans="8:9" x14ac:dyDescent="0.2">
      <c r="H24590" s="1"/>
      <c r="I24590" s="1"/>
    </row>
    <row r="24591" spans="8:9" x14ac:dyDescent="0.2">
      <c r="H24591" s="1"/>
      <c r="I24591" s="1"/>
    </row>
    <row r="24592" spans="8:9" x14ac:dyDescent="0.2">
      <c r="H24592" s="1"/>
      <c r="I24592" s="1"/>
    </row>
    <row r="24593" spans="8:9" x14ac:dyDescent="0.2">
      <c r="H24593" s="1"/>
      <c r="I24593" s="1"/>
    </row>
    <row r="24594" spans="8:9" x14ac:dyDescent="0.2">
      <c r="H24594" s="1"/>
      <c r="I24594" s="1"/>
    </row>
    <row r="24595" spans="8:9" x14ac:dyDescent="0.2">
      <c r="H24595" s="1"/>
      <c r="I24595" s="1"/>
    </row>
    <row r="24596" spans="8:9" x14ac:dyDescent="0.2">
      <c r="H24596" s="1"/>
      <c r="I24596" s="1"/>
    </row>
    <row r="24597" spans="8:9" x14ac:dyDescent="0.2">
      <c r="H24597" s="1"/>
      <c r="I24597" s="1"/>
    </row>
    <row r="24598" spans="8:9" x14ac:dyDescent="0.2">
      <c r="H24598" s="1"/>
      <c r="I24598" s="1"/>
    </row>
    <row r="24599" spans="8:9" x14ac:dyDescent="0.2">
      <c r="H24599" s="1"/>
      <c r="I24599" s="1"/>
    </row>
    <row r="24600" spans="8:9" x14ac:dyDescent="0.2">
      <c r="H24600" s="1"/>
      <c r="I24600" s="1"/>
    </row>
    <row r="24601" spans="8:9" x14ac:dyDescent="0.2">
      <c r="H24601" s="1"/>
      <c r="I24601" s="1"/>
    </row>
    <row r="24602" spans="8:9" x14ac:dyDescent="0.2">
      <c r="H24602" s="1"/>
      <c r="I24602" s="1"/>
    </row>
    <row r="24603" spans="8:9" x14ac:dyDescent="0.2">
      <c r="H24603" s="1"/>
      <c r="I24603" s="1"/>
    </row>
    <row r="24604" spans="8:9" x14ac:dyDescent="0.2">
      <c r="H24604" s="1"/>
      <c r="I24604" s="1"/>
    </row>
    <row r="24605" spans="8:9" x14ac:dyDescent="0.2">
      <c r="H24605" s="1"/>
      <c r="I24605" s="1"/>
    </row>
    <row r="24606" spans="8:9" x14ac:dyDescent="0.2">
      <c r="H24606" s="1"/>
      <c r="I24606" s="1"/>
    </row>
    <row r="24607" spans="8:9" x14ac:dyDescent="0.2">
      <c r="H24607" s="1"/>
      <c r="I24607" s="1"/>
    </row>
    <row r="24608" spans="8:9" x14ac:dyDescent="0.2">
      <c r="H24608" s="1"/>
      <c r="I24608" s="1"/>
    </row>
    <row r="24609" spans="8:9" x14ac:dyDescent="0.2">
      <c r="H24609" s="1"/>
      <c r="I24609" s="1"/>
    </row>
    <row r="24610" spans="8:9" x14ac:dyDescent="0.2">
      <c r="H24610" s="1"/>
      <c r="I24610" s="1"/>
    </row>
    <row r="24611" spans="8:9" x14ac:dyDescent="0.2">
      <c r="H24611" s="1"/>
      <c r="I24611" s="1"/>
    </row>
    <row r="24612" spans="8:9" x14ac:dyDescent="0.2">
      <c r="H24612" s="1"/>
      <c r="I24612" s="1"/>
    </row>
    <row r="24613" spans="8:9" x14ac:dyDescent="0.2">
      <c r="H24613" s="1"/>
      <c r="I24613" s="1"/>
    </row>
    <row r="24614" spans="8:9" x14ac:dyDescent="0.2">
      <c r="H24614" s="1"/>
      <c r="I24614" s="1"/>
    </row>
    <row r="24615" spans="8:9" x14ac:dyDescent="0.2">
      <c r="H24615" s="1"/>
      <c r="I24615" s="1"/>
    </row>
    <row r="24616" spans="8:9" x14ac:dyDescent="0.2">
      <c r="H24616" s="1"/>
      <c r="I24616" s="1"/>
    </row>
    <row r="24617" spans="8:9" x14ac:dyDescent="0.2">
      <c r="H24617" s="1"/>
      <c r="I24617" s="1"/>
    </row>
    <row r="24618" spans="8:9" x14ac:dyDescent="0.2">
      <c r="H24618" s="1"/>
      <c r="I24618" s="1"/>
    </row>
    <row r="24619" spans="8:9" x14ac:dyDescent="0.2">
      <c r="H24619" s="1"/>
      <c r="I24619" s="1"/>
    </row>
    <row r="24620" spans="8:9" x14ac:dyDescent="0.2">
      <c r="H24620" s="1"/>
      <c r="I24620" s="1"/>
    </row>
    <row r="24621" spans="8:9" x14ac:dyDescent="0.2">
      <c r="H24621" s="1"/>
      <c r="I24621" s="1"/>
    </row>
    <row r="24622" spans="8:9" x14ac:dyDescent="0.2">
      <c r="H24622" s="1"/>
      <c r="I24622" s="1"/>
    </row>
    <row r="24623" spans="8:9" x14ac:dyDescent="0.2">
      <c r="H24623" s="1"/>
      <c r="I24623" s="1"/>
    </row>
    <row r="24624" spans="8:9" x14ac:dyDescent="0.2">
      <c r="H24624" s="1"/>
      <c r="I24624" s="1"/>
    </row>
    <row r="24625" spans="8:9" x14ac:dyDescent="0.2">
      <c r="H24625" s="1"/>
      <c r="I24625" s="1"/>
    </row>
    <row r="24626" spans="8:9" x14ac:dyDescent="0.2">
      <c r="H24626" s="1"/>
      <c r="I24626" s="1"/>
    </row>
    <row r="24627" spans="8:9" x14ac:dyDescent="0.2">
      <c r="H24627" s="1"/>
      <c r="I24627" s="1"/>
    </row>
    <row r="24628" spans="8:9" x14ac:dyDescent="0.2">
      <c r="H24628" s="1"/>
      <c r="I24628" s="1"/>
    </row>
    <row r="24629" spans="8:9" x14ac:dyDescent="0.2">
      <c r="H24629" s="1"/>
      <c r="I24629" s="1"/>
    </row>
    <row r="24630" spans="8:9" x14ac:dyDescent="0.2">
      <c r="H24630" s="1"/>
      <c r="I24630" s="1"/>
    </row>
    <row r="24631" spans="8:9" x14ac:dyDescent="0.2">
      <c r="H24631" s="1"/>
      <c r="I24631" s="1"/>
    </row>
    <row r="24632" spans="8:9" x14ac:dyDescent="0.2">
      <c r="H24632" s="1"/>
      <c r="I24632" s="1"/>
    </row>
    <row r="24633" spans="8:9" x14ac:dyDescent="0.2">
      <c r="H24633" s="1"/>
      <c r="I24633" s="1"/>
    </row>
    <row r="24634" spans="8:9" x14ac:dyDescent="0.2">
      <c r="H24634" s="1"/>
      <c r="I24634" s="1"/>
    </row>
    <row r="24635" spans="8:9" x14ac:dyDescent="0.2">
      <c r="H24635" s="1"/>
      <c r="I24635" s="1"/>
    </row>
    <row r="24636" spans="8:9" x14ac:dyDescent="0.2">
      <c r="H24636" s="1"/>
      <c r="I24636" s="1"/>
    </row>
    <row r="24637" spans="8:9" x14ac:dyDescent="0.2">
      <c r="H24637" s="1"/>
      <c r="I24637" s="1"/>
    </row>
    <row r="24638" spans="8:9" x14ac:dyDescent="0.2">
      <c r="H24638" s="1"/>
      <c r="I24638" s="1"/>
    </row>
    <row r="24639" spans="8:9" x14ac:dyDescent="0.2">
      <c r="H24639" s="1"/>
      <c r="I24639" s="1"/>
    </row>
    <row r="24640" spans="8:9" x14ac:dyDescent="0.2">
      <c r="H24640" s="1"/>
      <c r="I24640" s="1"/>
    </row>
    <row r="24641" spans="8:9" x14ac:dyDescent="0.2">
      <c r="H24641" s="1"/>
      <c r="I24641" s="1"/>
    </row>
    <row r="24642" spans="8:9" x14ac:dyDescent="0.2">
      <c r="H24642" s="1"/>
      <c r="I24642" s="1"/>
    </row>
    <row r="24643" spans="8:9" x14ac:dyDescent="0.2">
      <c r="H24643" s="1"/>
      <c r="I24643" s="1"/>
    </row>
    <row r="24644" spans="8:9" x14ac:dyDescent="0.2">
      <c r="H24644" s="1"/>
      <c r="I24644" s="1"/>
    </row>
    <row r="24645" spans="8:9" x14ac:dyDescent="0.2">
      <c r="H24645" s="1"/>
      <c r="I24645" s="1"/>
    </row>
    <row r="24646" spans="8:9" x14ac:dyDescent="0.2">
      <c r="H24646" s="1"/>
      <c r="I24646" s="1"/>
    </row>
    <row r="24647" spans="8:9" x14ac:dyDescent="0.2">
      <c r="H24647" s="1"/>
      <c r="I24647" s="1"/>
    </row>
    <row r="24648" spans="8:9" x14ac:dyDescent="0.2">
      <c r="H24648" s="1"/>
      <c r="I24648" s="1"/>
    </row>
    <row r="24649" spans="8:9" x14ac:dyDescent="0.2">
      <c r="H24649" s="1"/>
      <c r="I24649" s="1"/>
    </row>
    <row r="24650" spans="8:9" x14ac:dyDescent="0.2">
      <c r="H24650" s="1"/>
      <c r="I24650" s="1"/>
    </row>
    <row r="24651" spans="8:9" x14ac:dyDescent="0.2">
      <c r="H24651" s="1"/>
      <c r="I24651" s="1"/>
    </row>
    <row r="24652" spans="8:9" x14ac:dyDescent="0.2">
      <c r="H24652" s="1"/>
      <c r="I24652" s="1"/>
    </row>
    <row r="24653" spans="8:9" x14ac:dyDescent="0.2">
      <c r="H24653" s="1"/>
      <c r="I24653" s="1"/>
    </row>
    <row r="24654" spans="8:9" x14ac:dyDescent="0.2">
      <c r="H24654" s="1"/>
      <c r="I24654" s="1"/>
    </row>
    <row r="24655" spans="8:9" x14ac:dyDescent="0.2">
      <c r="H24655" s="1"/>
      <c r="I24655" s="1"/>
    </row>
    <row r="24656" spans="8:9" x14ac:dyDescent="0.2">
      <c r="H24656" s="1"/>
      <c r="I24656" s="1"/>
    </row>
    <row r="24657" spans="8:9" x14ac:dyDescent="0.2">
      <c r="H24657" s="1"/>
      <c r="I24657" s="1"/>
    </row>
    <row r="24658" spans="8:9" x14ac:dyDescent="0.2">
      <c r="H24658" s="1"/>
      <c r="I24658" s="1"/>
    </row>
    <row r="24659" spans="8:9" x14ac:dyDescent="0.2">
      <c r="H24659" s="1"/>
      <c r="I24659" s="1"/>
    </row>
    <row r="24660" spans="8:9" x14ac:dyDescent="0.2">
      <c r="H24660" s="1"/>
      <c r="I24660" s="1"/>
    </row>
    <row r="24661" spans="8:9" x14ac:dyDescent="0.2">
      <c r="H24661" s="1"/>
      <c r="I24661" s="1"/>
    </row>
    <row r="24662" spans="8:9" x14ac:dyDescent="0.2">
      <c r="H24662" s="1"/>
      <c r="I24662" s="1"/>
    </row>
    <row r="24663" spans="8:9" x14ac:dyDescent="0.2">
      <c r="H24663" s="1"/>
      <c r="I24663" s="1"/>
    </row>
    <row r="24664" spans="8:9" x14ac:dyDescent="0.2">
      <c r="H24664" s="1"/>
      <c r="I24664" s="1"/>
    </row>
    <row r="24665" spans="8:9" x14ac:dyDescent="0.2">
      <c r="H24665" s="1"/>
      <c r="I24665" s="1"/>
    </row>
    <row r="24666" spans="8:9" x14ac:dyDescent="0.2">
      <c r="H24666" s="1"/>
      <c r="I24666" s="1"/>
    </row>
    <row r="24667" spans="8:9" x14ac:dyDescent="0.2">
      <c r="H24667" s="1"/>
      <c r="I24667" s="1"/>
    </row>
    <row r="24668" spans="8:9" x14ac:dyDescent="0.2">
      <c r="H24668" s="1"/>
      <c r="I24668" s="1"/>
    </row>
    <row r="24669" spans="8:9" x14ac:dyDescent="0.2">
      <c r="H24669" s="1"/>
      <c r="I24669" s="1"/>
    </row>
    <row r="24670" spans="8:9" x14ac:dyDescent="0.2">
      <c r="H24670" s="1"/>
      <c r="I24670" s="1"/>
    </row>
    <row r="24671" spans="8:9" x14ac:dyDescent="0.2">
      <c r="H24671" s="1"/>
      <c r="I24671" s="1"/>
    </row>
    <row r="24672" spans="8:9" x14ac:dyDescent="0.2">
      <c r="H24672" s="1"/>
      <c r="I24672" s="1"/>
    </row>
    <row r="24673" spans="8:9" x14ac:dyDescent="0.2">
      <c r="H24673" s="1"/>
      <c r="I24673" s="1"/>
    </row>
    <row r="24674" spans="8:9" x14ac:dyDescent="0.2">
      <c r="H24674" s="1"/>
      <c r="I24674" s="1"/>
    </row>
    <row r="24675" spans="8:9" x14ac:dyDescent="0.2">
      <c r="H24675" s="1"/>
      <c r="I24675" s="1"/>
    </row>
    <row r="24676" spans="8:9" x14ac:dyDescent="0.2">
      <c r="H24676" s="1"/>
      <c r="I24676" s="1"/>
    </row>
    <row r="24677" spans="8:9" x14ac:dyDescent="0.2">
      <c r="H24677" s="1"/>
      <c r="I24677" s="1"/>
    </row>
    <row r="24678" spans="8:9" x14ac:dyDescent="0.2">
      <c r="H24678" s="1"/>
      <c r="I24678" s="1"/>
    </row>
    <row r="24679" spans="8:9" x14ac:dyDescent="0.2">
      <c r="H24679" s="1"/>
      <c r="I24679" s="1"/>
    </row>
    <row r="24680" spans="8:9" x14ac:dyDescent="0.2">
      <c r="H24680" s="1"/>
      <c r="I24680" s="1"/>
    </row>
    <row r="24681" spans="8:9" x14ac:dyDescent="0.2">
      <c r="H24681" s="1"/>
      <c r="I24681" s="1"/>
    </row>
    <row r="24682" spans="8:9" x14ac:dyDescent="0.2">
      <c r="H24682" s="1"/>
      <c r="I24682" s="1"/>
    </row>
    <row r="24683" spans="8:9" x14ac:dyDescent="0.2">
      <c r="H24683" s="1"/>
      <c r="I24683" s="1"/>
    </row>
    <row r="24684" spans="8:9" x14ac:dyDescent="0.2">
      <c r="H24684" s="1"/>
      <c r="I24684" s="1"/>
    </row>
    <row r="24685" spans="8:9" x14ac:dyDescent="0.2">
      <c r="H24685" s="1"/>
      <c r="I24685" s="1"/>
    </row>
    <row r="24686" spans="8:9" x14ac:dyDescent="0.2">
      <c r="H24686" s="1"/>
      <c r="I24686" s="1"/>
    </row>
    <row r="24687" spans="8:9" x14ac:dyDescent="0.2">
      <c r="H24687" s="1"/>
      <c r="I24687" s="1"/>
    </row>
    <row r="24688" spans="8:9" x14ac:dyDescent="0.2">
      <c r="H24688" s="1"/>
      <c r="I24688" s="1"/>
    </row>
    <row r="24689" spans="8:9" x14ac:dyDescent="0.2">
      <c r="H24689" s="1"/>
      <c r="I24689" s="1"/>
    </row>
    <row r="24690" spans="8:9" x14ac:dyDescent="0.2">
      <c r="H24690" s="1"/>
      <c r="I24690" s="1"/>
    </row>
    <row r="24691" spans="8:9" x14ac:dyDescent="0.2">
      <c r="H24691" s="1"/>
      <c r="I24691" s="1"/>
    </row>
    <row r="24692" spans="8:9" x14ac:dyDescent="0.2">
      <c r="H24692" s="1"/>
      <c r="I24692" s="1"/>
    </row>
    <row r="24693" spans="8:9" x14ac:dyDescent="0.2">
      <c r="H24693" s="1"/>
      <c r="I24693" s="1"/>
    </row>
    <row r="24694" spans="8:9" x14ac:dyDescent="0.2">
      <c r="H24694" s="1"/>
      <c r="I24694" s="1"/>
    </row>
    <row r="24695" spans="8:9" x14ac:dyDescent="0.2">
      <c r="H24695" s="1"/>
      <c r="I24695" s="1"/>
    </row>
    <row r="24696" spans="8:9" x14ac:dyDescent="0.2">
      <c r="H24696" s="1"/>
      <c r="I24696" s="1"/>
    </row>
    <row r="24697" spans="8:9" x14ac:dyDescent="0.2">
      <c r="H24697" s="1"/>
      <c r="I24697" s="1"/>
    </row>
    <row r="24698" spans="8:9" x14ac:dyDescent="0.2">
      <c r="H24698" s="1"/>
      <c r="I24698" s="1"/>
    </row>
    <row r="24699" spans="8:9" x14ac:dyDescent="0.2">
      <c r="H24699" s="1"/>
      <c r="I24699" s="1"/>
    </row>
    <row r="24700" spans="8:9" x14ac:dyDescent="0.2">
      <c r="H24700" s="1"/>
      <c r="I24700" s="1"/>
    </row>
    <row r="24701" spans="8:9" x14ac:dyDescent="0.2">
      <c r="H24701" s="1"/>
      <c r="I24701" s="1"/>
    </row>
    <row r="24702" spans="8:9" x14ac:dyDescent="0.2">
      <c r="H24702" s="1"/>
      <c r="I24702" s="1"/>
    </row>
    <row r="24703" spans="8:9" x14ac:dyDescent="0.2">
      <c r="H24703" s="1"/>
      <c r="I24703" s="1"/>
    </row>
    <row r="24704" spans="8:9" x14ac:dyDescent="0.2">
      <c r="H24704" s="1"/>
      <c r="I24704" s="1"/>
    </row>
    <row r="24705" spans="8:9" x14ac:dyDescent="0.2">
      <c r="H24705" s="1"/>
      <c r="I24705" s="1"/>
    </row>
    <row r="24706" spans="8:9" x14ac:dyDescent="0.2">
      <c r="H24706" s="1"/>
      <c r="I24706" s="1"/>
    </row>
    <row r="24707" spans="8:9" x14ac:dyDescent="0.2">
      <c r="H24707" s="1"/>
      <c r="I24707" s="1"/>
    </row>
    <row r="24708" spans="8:9" x14ac:dyDescent="0.2">
      <c r="H24708" s="1"/>
      <c r="I24708" s="1"/>
    </row>
    <row r="24709" spans="8:9" x14ac:dyDescent="0.2">
      <c r="H24709" s="1"/>
      <c r="I24709" s="1"/>
    </row>
    <row r="24710" spans="8:9" x14ac:dyDescent="0.2">
      <c r="H24710" s="1"/>
      <c r="I24710" s="1"/>
    </row>
    <row r="24711" spans="8:9" x14ac:dyDescent="0.2">
      <c r="H24711" s="1"/>
      <c r="I24711" s="1"/>
    </row>
    <row r="24712" spans="8:9" x14ac:dyDescent="0.2">
      <c r="H24712" s="1"/>
      <c r="I24712" s="1"/>
    </row>
    <row r="24713" spans="8:9" x14ac:dyDescent="0.2">
      <c r="H24713" s="1"/>
      <c r="I24713" s="1"/>
    </row>
    <row r="24714" spans="8:9" x14ac:dyDescent="0.2">
      <c r="H24714" s="1"/>
      <c r="I24714" s="1"/>
    </row>
    <row r="24715" spans="8:9" x14ac:dyDescent="0.2">
      <c r="H24715" s="1"/>
      <c r="I24715" s="1"/>
    </row>
    <row r="24716" spans="8:9" x14ac:dyDescent="0.2">
      <c r="H24716" s="1"/>
      <c r="I24716" s="1"/>
    </row>
    <row r="24717" spans="8:9" x14ac:dyDescent="0.2">
      <c r="H24717" s="1"/>
      <c r="I24717" s="1"/>
    </row>
    <row r="24718" spans="8:9" x14ac:dyDescent="0.2">
      <c r="H24718" s="1"/>
      <c r="I24718" s="1"/>
    </row>
    <row r="24719" spans="8:9" x14ac:dyDescent="0.2">
      <c r="H24719" s="1"/>
      <c r="I24719" s="1"/>
    </row>
    <row r="24720" spans="8:9" x14ac:dyDescent="0.2">
      <c r="H24720" s="1"/>
      <c r="I24720" s="1"/>
    </row>
    <row r="24721" spans="8:9" x14ac:dyDescent="0.2">
      <c r="H24721" s="1"/>
      <c r="I24721" s="1"/>
    </row>
    <row r="24722" spans="8:9" x14ac:dyDescent="0.2">
      <c r="H24722" s="1"/>
      <c r="I24722" s="1"/>
    </row>
    <row r="24723" spans="8:9" x14ac:dyDescent="0.2">
      <c r="H24723" s="1"/>
      <c r="I24723" s="1"/>
    </row>
    <row r="24724" spans="8:9" x14ac:dyDescent="0.2">
      <c r="H24724" s="1"/>
      <c r="I24724" s="1"/>
    </row>
    <row r="24725" spans="8:9" x14ac:dyDescent="0.2">
      <c r="H24725" s="1"/>
      <c r="I24725" s="1"/>
    </row>
    <row r="24726" spans="8:9" x14ac:dyDescent="0.2">
      <c r="H24726" s="1"/>
      <c r="I24726" s="1"/>
    </row>
    <row r="24727" spans="8:9" x14ac:dyDescent="0.2">
      <c r="H24727" s="1"/>
      <c r="I24727" s="1"/>
    </row>
    <row r="24728" spans="8:9" x14ac:dyDescent="0.2">
      <c r="H24728" s="1"/>
      <c r="I24728" s="1"/>
    </row>
    <row r="24729" spans="8:9" x14ac:dyDescent="0.2">
      <c r="H24729" s="1"/>
      <c r="I24729" s="1"/>
    </row>
    <row r="24730" spans="8:9" x14ac:dyDescent="0.2">
      <c r="H24730" s="1"/>
      <c r="I24730" s="1"/>
    </row>
    <row r="24731" spans="8:9" x14ac:dyDescent="0.2">
      <c r="H24731" s="1"/>
      <c r="I24731" s="1"/>
    </row>
    <row r="24732" spans="8:9" x14ac:dyDescent="0.2">
      <c r="H24732" s="1"/>
      <c r="I24732" s="1"/>
    </row>
    <row r="24733" spans="8:9" x14ac:dyDescent="0.2">
      <c r="H24733" s="1"/>
      <c r="I24733" s="1"/>
    </row>
    <row r="24734" spans="8:9" x14ac:dyDescent="0.2">
      <c r="H24734" s="1"/>
      <c r="I24734" s="1"/>
    </row>
    <row r="24735" spans="8:9" x14ac:dyDescent="0.2">
      <c r="H24735" s="1"/>
      <c r="I24735" s="1"/>
    </row>
    <row r="24736" spans="8:9" x14ac:dyDescent="0.2">
      <c r="H24736" s="1"/>
      <c r="I24736" s="1"/>
    </row>
    <row r="24737" spans="8:9" x14ac:dyDescent="0.2">
      <c r="H24737" s="1"/>
      <c r="I24737" s="1"/>
    </row>
    <row r="24738" spans="8:9" x14ac:dyDescent="0.2">
      <c r="H24738" s="1"/>
      <c r="I24738" s="1"/>
    </row>
    <row r="24739" spans="8:9" x14ac:dyDescent="0.2">
      <c r="H24739" s="1"/>
      <c r="I24739" s="1"/>
    </row>
    <row r="24740" spans="8:9" x14ac:dyDescent="0.2">
      <c r="H24740" s="1"/>
      <c r="I24740" s="1"/>
    </row>
    <row r="24741" spans="8:9" x14ac:dyDescent="0.2">
      <c r="H24741" s="1"/>
      <c r="I24741" s="1"/>
    </row>
    <row r="24742" spans="8:9" x14ac:dyDescent="0.2">
      <c r="H24742" s="1"/>
      <c r="I24742" s="1"/>
    </row>
    <row r="24743" spans="8:9" x14ac:dyDescent="0.2">
      <c r="H24743" s="1"/>
      <c r="I24743" s="1"/>
    </row>
    <row r="24744" spans="8:9" x14ac:dyDescent="0.2">
      <c r="H24744" s="1"/>
      <c r="I24744" s="1"/>
    </row>
    <row r="24745" spans="8:9" x14ac:dyDescent="0.2">
      <c r="H24745" s="1"/>
      <c r="I24745" s="1"/>
    </row>
    <row r="24746" spans="8:9" x14ac:dyDescent="0.2">
      <c r="H24746" s="1"/>
      <c r="I24746" s="1"/>
    </row>
    <row r="24747" spans="8:9" x14ac:dyDescent="0.2">
      <c r="H24747" s="1"/>
      <c r="I24747" s="1"/>
    </row>
    <row r="24748" spans="8:9" x14ac:dyDescent="0.2">
      <c r="H24748" s="1"/>
      <c r="I24748" s="1"/>
    </row>
    <row r="24749" spans="8:9" x14ac:dyDescent="0.2">
      <c r="H24749" s="1"/>
      <c r="I24749" s="1"/>
    </row>
    <row r="24750" spans="8:9" x14ac:dyDescent="0.2">
      <c r="H24750" s="1"/>
      <c r="I24750" s="1"/>
    </row>
    <row r="24751" spans="8:9" x14ac:dyDescent="0.2">
      <c r="H24751" s="1"/>
      <c r="I24751" s="1"/>
    </row>
    <row r="24752" spans="8:9" x14ac:dyDescent="0.2">
      <c r="H24752" s="1"/>
      <c r="I24752" s="1"/>
    </row>
    <row r="24753" spans="8:9" x14ac:dyDescent="0.2">
      <c r="H24753" s="1"/>
      <c r="I24753" s="1"/>
    </row>
    <row r="24754" spans="8:9" x14ac:dyDescent="0.2">
      <c r="H24754" s="1"/>
      <c r="I24754" s="1"/>
    </row>
    <row r="24755" spans="8:9" x14ac:dyDescent="0.2">
      <c r="H24755" s="1"/>
      <c r="I24755" s="1"/>
    </row>
    <row r="24756" spans="8:9" x14ac:dyDescent="0.2">
      <c r="H24756" s="1"/>
      <c r="I24756" s="1"/>
    </row>
    <row r="24757" spans="8:9" x14ac:dyDescent="0.2">
      <c r="H24757" s="1"/>
      <c r="I24757" s="1"/>
    </row>
    <row r="24758" spans="8:9" x14ac:dyDescent="0.2">
      <c r="H24758" s="1"/>
      <c r="I24758" s="1"/>
    </row>
    <row r="24759" spans="8:9" x14ac:dyDescent="0.2">
      <c r="H24759" s="1"/>
      <c r="I24759" s="1"/>
    </row>
    <row r="24760" spans="8:9" x14ac:dyDescent="0.2">
      <c r="H24760" s="1"/>
      <c r="I24760" s="1"/>
    </row>
    <row r="24761" spans="8:9" x14ac:dyDescent="0.2">
      <c r="H24761" s="1"/>
      <c r="I24761" s="1"/>
    </row>
    <row r="24762" spans="8:9" x14ac:dyDescent="0.2">
      <c r="H24762" s="1"/>
      <c r="I24762" s="1"/>
    </row>
    <row r="24763" spans="8:9" x14ac:dyDescent="0.2">
      <c r="H24763" s="1"/>
      <c r="I24763" s="1"/>
    </row>
    <row r="24764" spans="8:9" x14ac:dyDescent="0.2">
      <c r="H24764" s="1"/>
      <c r="I24764" s="1"/>
    </row>
    <row r="24765" spans="8:9" x14ac:dyDescent="0.2">
      <c r="H24765" s="1"/>
      <c r="I24765" s="1"/>
    </row>
    <row r="24766" spans="8:9" x14ac:dyDescent="0.2">
      <c r="H24766" s="1"/>
      <c r="I24766" s="1"/>
    </row>
    <row r="24767" spans="8:9" x14ac:dyDescent="0.2">
      <c r="H24767" s="1"/>
      <c r="I24767" s="1"/>
    </row>
    <row r="24768" spans="8:9" x14ac:dyDescent="0.2">
      <c r="H24768" s="1"/>
      <c r="I24768" s="1"/>
    </row>
    <row r="24769" spans="8:9" x14ac:dyDescent="0.2">
      <c r="H24769" s="1"/>
      <c r="I24769" s="1"/>
    </row>
    <row r="24770" spans="8:9" x14ac:dyDescent="0.2">
      <c r="H24770" s="1"/>
      <c r="I24770" s="1"/>
    </row>
    <row r="24771" spans="8:9" x14ac:dyDescent="0.2">
      <c r="H24771" s="1"/>
      <c r="I24771" s="1"/>
    </row>
    <row r="24772" spans="8:9" x14ac:dyDescent="0.2">
      <c r="H24772" s="1"/>
      <c r="I24772" s="1"/>
    </row>
    <row r="24773" spans="8:9" x14ac:dyDescent="0.2">
      <c r="H24773" s="1"/>
      <c r="I24773" s="1"/>
    </row>
    <row r="24774" spans="8:9" x14ac:dyDescent="0.2">
      <c r="H24774" s="1"/>
      <c r="I24774" s="1"/>
    </row>
    <row r="24775" spans="8:9" x14ac:dyDescent="0.2">
      <c r="H24775" s="1"/>
      <c r="I24775" s="1"/>
    </row>
    <row r="24776" spans="8:9" x14ac:dyDescent="0.2">
      <c r="H24776" s="1"/>
      <c r="I24776" s="1"/>
    </row>
    <row r="24777" spans="8:9" x14ac:dyDescent="0.2">
      <c r="H24777" s="1"/>
      <c r="I24777" s="1"/>
    </row>
    <row r="24778" spans="8:9" x14ac:dyDescent="0.2">
      <c r="H24778" s="1"/>
      <c r="I24778" s="1"/>
    </row>
    <row r="24779" spans="8:9" x14ac:dyDescent="0.2">
      <c r="H24779" s="1"/>
      <c r="I24779" s="1"/>
    </row>
    <row r="24780" spans="8:9" x14ac:dyDescent="0.2">
      <c r="H24780" s="1"/>
      <c r="I24780" s="1"/>
    </row>
    <row r="24781" spans="8:9" x14ac:dyDescent="0.2">
      <c r="H24781" s="1"/>
      <c r="I24781" s="1"/>
    </row>
    <row r="24782" spans="8:9" x14ac:dyDescent="0.2">
      <c r="H24782" s="1"/>
      <c r="I24782" s="1"/>
    </row>
    <row r="24783" spans="8:9" x14ac:dyDescent="0.2">
      <c r="H24783" s="1"/>
      <c r="I24783" s="1"/>
    </row>
    <row r="24784" spans="8:9" x14ac:dyDescent="0.2">
      <c r="H24784" s="1"/>
      <c r="I24784" s="1"/>
    </row>
    <row r="24785" spans="8:9" x14ac:dyDescent="0.2">
      <c r="H24785" s="1"/>
      <c r="I24785" s="1"/>
    </row>
    <row r="24786" spans="8:9" x14ac:dyDescent="0.2">
      <c r="H24786" s="1"/>
      <c r="I24786" s="1"/>
    </row>
    <row r="24787" spans="8:9" x14ac:dyDescent="0.2">
      <c r="H24787" s="1"/>
      <c r="I24787" s="1"/>
    </row>
    <row r="24788" spans="8:9" x14ac:dyDescent="0.2">
      <c r="H24788" s="1"/>
      <c r="I24788" s="1"/>
    </row>
    <row r="24789" spans="8:9" x14ac:dyDescent="0.2">
      <c r="H24789" s="1"/>
      <c r="I24789" s="1"/>
    </row>
    <row r="24790" spans="8:9" x14ac:dyDescent="0.2">
      <c r="H24790" s="1"/>
      <c r="I24790" s="1"/>
    </row>
    <row r="24791" spans="8:9" x14ac:dyDescent="0.2">
      <c r="H24791" s="1"/>
      <c r="I24791" s="1"/>
    </row>
    <row r="24792" spans="8:9" x14ac:dyDescent="0.2">
      <c r="H24792" s="1"/>
      <c r="I24792" s="1"/>
    </row>
    <row r="24793" spans="8:9" x14ac:dyDescent="0.2">
      <c r="H24793" s="1"/>
      <c r="I24793" s="1"/>
    </row>
    <row r="24794" spans="8:9" x14ac:dyDescent="0.2">
      <c r="H24794" s="1"/>
      <c r="I24794" s="1"/>
    </row>
    <row r="24795" spans="8:9" x14ac:dyDescent="0.2">
      <c r="H24795" s="1"/>
      <c r="I24795" s="1"/>
    </row>
    <row r="24796" spans="8:9" x14ac:dyDescent="0.2">
      <c r="H24796" s="1"/>
      <c r="I24796" s="1"/>
    </row>
    <row r="24797" spans="8:9" x14ac:dyDescent="0.2">
      <c r="H24797" s="1"/>
      <c r="I24797" s="1"/>
    </row>
    <row r="24798" spans="8:9" x14ac:dyDescent="0.2">
      <c r="H24798" s="1"/>
      <c r="I24798" s="1"/>
    </row>
    <row r="24799" spans="8:9" x14ac:dyDescent="0.2">
      <c r="H24799" s="1"/>
      <c r="I24799" s="1"/>
    </row>
    <row r="24800" spans="8:9" x14ac:dyDescent="0.2">
      <c r="H24800" s="1"/>
      <c r="I24800" s="1"/>
    </row>
    <row r="24801" spans="8:9" x14ac:dyDescent="0.2">
      <c r="H24801" s="1"/>
      <c r="I24801" s="1"/>
    </row>
    <row r="24802" spans="8:9" x14ac:dyDescent="0.2">
      <c r="H24802" s="1"/>
      <c r="I24802" s="1"/>
    </row>
    <row r="24803" spans="8:9" x14ac:dyDescent="0.2">
      <c r="H24803" s="1"/>
      <c r="I24803" s="1"/>
    </row>
    <row r="24804" spans="8:9" x14ac:dyDescent="0.2">
      <c r="H24804" s="1"/>
      <c r="I24804" s="1"/>
    </row>
    <row r="24805" spans="8:9" x14ac:dyDescent="0.2">
      <c r="H24805" s="1"/>
      <c r="I24805" s="1"/>
    </row>
    <row r="24806" spans="8:9" x14ac:dyDescent="0.2">
      <c r="H24806" s="1"/>
      <c r="I24806" s="1"/>
    </row>
    <row r="24807" spans="8:9" x14ac:dyDescent="0.2">
      <c r="H24807" s="1"/>
      <c r="I24807" s="1"/>
    </row>
    <row r="24808" spans="8:9" x14ac:dyDescent="0.2">
      <c r="H24808" s="1"/>
      <c r="I24808" s="1"/>
    </row>
    <row r="24809" spans="8:9" x14ac:dyDescent="0.2">
      <c r="H24809" s="1"/>
      <c r="I24809" s="1"/>
    </row>
    <row r="24810" spans="8:9" x14ac:dyDescent="0.2">
      <c r="H24810" s="1"/>
      <c r="I24810" s="1"/>
    </row>
    <row r="24811" spans="8:9" x14ac:dyDescent="0.2">
      <c r="H24811" s="1"/>
      <c r="I24811" s="1"/>
    </row>
    <row r="24812" spans="8:9" x14ac:dyDescent="0.2">
      <c r="H24812" s="1"/>
      <c r="I24812" s="1"/>
    </row>
    <row r="24813" spans="8:9" x14ac:dyDescent="0.2">
      <c r="H24813" s="1"/>
      <c r="I24813" s="1"/>
    </row>
    <row r="24814" spans="8:9" x14ac:dyDescent="0.2">
      <c r="H24814" s="1"/>
      <c r="I24814" s="1"/>
    </row>
    <row r="24815" spans="8:9" x14ac:dyDescent="0.2">
      <c r="H24815" s="1"/>
      <c r="I24815" s="1"/>
    </row>
    <row r="24816" spans="8:9" x14ac:dyDescent="0.2">
      <c r="H24816" s="1"/>
      <c r="I24816" s="1"/>
    </row>
    <row r="24817" spans="8:9" x14ac:dyDescent="0.2">
      <c r="H24817" s="1"/>
      <c r="I24817" s="1"/>
    </row>
    <row r="24818" spans="8:9" x14ac:dyDescent="0.2">
      <c r="H24818" s="1"/>
      <c r="I24818" s="1"/>
    </row>
    <row r="24819" spans="8:9" x14ac:dyDescent="0.2">
      <c r="H24819" s="1"/>
      <c r="I24819" s="1"/>
    </row>
    <row r="24820" spans="8:9" x14ac:dyDescent="0.2">
      <c r="H24820" s="1"/>
      <c r="I24820" s="1"/>
    </row>
    <row r="24821" spans="8:9" x14ac:dyDescent="0.2">
      <c r="H24821" s="1"/>
      <c r="I24821" s="1"/>
    </row>
    <row r="24822" spans="8:9" x14ac:dyDescent="0.2">
      <c r="H24822" s="1"/>
      <c r="I24822" s="1"/>
    </row>
    <row r="24823" spans="8:9" x14ac:dyDescent="0.2">
      <c r="H24823" s="1"/>
      <c r="I24823" s="1"/>
    </row>
    <row r="24824" spans="8:9" x14ac:dyDescent="0.2">
      <c r="H24824" s="1"/>
      <c r="I24824" s="1"/>
    </row>
    <row r="24825" spans="8:9" x14ac:dyDescent="0.2">
      <c r="H24825" s="1"/>
      <c r="I24825" s="1"/>
    </row>
    <row r="24826" spans="8:9" x14ac:dyDescent="0.2">
      <c r="H24826" s="1"/>
      <c r="I24826" s="1"/>
    </row>
    <row r="24827" spans="8:9" x14ac:dyDescent="0.2">
      <c r="H24827" s="1"/>
      <c r="I24827" s="1"/>
    </row>
    <row r="24828" spans="8:9" x14ac:dyDescent="0.2">
      <c r="H24828" s="1"/>
      <c r="I24828" s="1"/>
    </row>
    <row r="24829" spans="8:9" x14ac:dyDescent="0.2">
      <c r="H24829" s="1"/>
      <c r="I24829" s="1"/>
    </row>
    <row r="24830" spans="8:9" x14ac:dyDescent="0.2">
      <c r="H24830" s="1"/>
      <c r="I24830" s="1"/>
    </row>
    <row r="24831" spans="8:9" x14ac:dyDescent="0.2">
      <c r="H24831" s="1"/>
      <c r="I24831" s="1"/>
    </row>
    <row r="24832" spans="8:9" x14ac:dyDescent="0.2">
      <c r="H24832" s="1"/>
      <c r="I24832" s="1"/>
    </row>
    <row r="24833" spans="8:9" x14ac:dyDescent="0.2">
      <c r="H24833" s="1"/>
      <c r="I24833" s="1"/>
    </row>
    <row r="24834" spans="8:9" x14ac:dyDescent="0.2">
      <c r="H24834" s="1"/>
      <c r="I24834" s="1"/>
    </row>
    <row r="24835" spans="8:9" x14ac:dyDescent="0.2">
      <c r="H24835" s="1"/>
      <c r="I24835" s="1"/>
    </row>
    <row r="24836" spans="8:9" x14ac:dyDescent="0.2">
      <c r="H24836" s="1"/>
      <c r="I24836" s="1"/>
    </row>
    <row r="24837" spans="8:9" x14ac:dyDescent="0.2">
      <c r="H24837" s="1"/>
      <c r="I24837" s="1"/>
    </row>
    <row r="24838" spans="8:9" x14ac:dyDescent="0.2">
      <c r="H24838" s="1"/>
      <c r="I24838" s="1"/>
    </row>
    <row r="24839" spans="8:9" x14ac:dyDescent="0.2">
      <c r="H24839" s="1"/>
      <c r="I24839" s="1"/>
    </row>
    <row r="24840" spans="8:9" x14ac:dyDescent="0.2">
      <c r="H24840" s="1"/>
      <c r="I24840" s="1"/>
    </row>
    <row r="24841" spans="8:9" x14ac:dyDescent="0.2">
      <c r="H24841" s="1"/>
      <c r="I24841" s="1"/>
    </row>
    <row r="24842" spans="8:9" x14ac:dyDescent="0.2">
      <c r="H24842" s="1"/>
      <c r="I24842" s="1"/>
    </row>
    <row r="24843" spans="8:9" x14ac:dyDescent="0.2">
      <c r="H24843" s="1"/>
      <c r="I24843" s="1"/>
    </row>
    <row r="24844" spans="8:9" x14ac:dyDescent="0.2">
      <c r="H24844" s="1"/>
      <c r="I24844" s="1"/>
    </row>
    <row r="24845" spans="8:9" x14ac:dyDescent="0.2">
      <c r="H24845" s="1"/>
      <c r="I24845" s="1"/>
    </row>
    <row r="24846" spans="8:9" x14ac:dyDescent="0.2">
      <c r="H24846" s="1"/>
      <c r="I24846" s="1"/>
    </row>
    <row r="24847" spans="8:9" x14ac:dyDescent="0.2">
      <c r="H24847" s="1"/>
      <c r="I24847" s="1"/>
    </row>
    <row r="24848" spans="8:9" x14ac:dyDescent="0.2">
      <c r="H24848" s="1"/>
      <c r="I24848" s="1"/>
    </row>
    <row r="24849" spans="8:9" x14ac:dyDescent="0.2">
      <c r="H24849" s="1"/>
      <c r="I24849" s="1"/>
    </row>
    <row r="24850" spans="8:9" x14ac:dyDescent="0.2">
      <c r="H24850" s="1"/>
      <c r="I24850" s="1"/>
    </row>
    <row r="24851" spans="8:9" x14ac:dyDescent="0.2">
      <c r="H24851" s="1"/>
      <c r="I24851" s="1"/>
    </row>
    <row r="24852" spans="8:9" x14ac:dyDescent="0.2">
      <c r="H24852" s="1"/>
      <c r="I24852" s="1"/>
    </row>
    <row r="24853" spans="8:9" x14ac:dyDescent="0.2">
      <c r="H24853" s="1"/>
      <c r="I24853" s="1"/>
    </row>
    <row r="24854" spans="8:9" x14ac:dyDescent="0.2">
      <c r="H24854" s="1"/>
      <c r="I24854" s="1"/>
    </row>
    <row r="24855" spans="8:9" x14ac:dyDescent="0.2">
      <c r="H24855" s="1"/>
      <c r="I24855" s="1"/>
    </row>
    <row r="24856" spans="8:9" x14ac:dyDescent="0.2">
      <c r="H24856" s="1"/>
      <c r="I24856" s="1"/>
    </row>
    <row r="24857" spans="8:9" x14ac:dyDescent="0.2">
      <c r="H24857" s="1"/>
      <c r="I24857" s="1"/>
    </row>
    <row r="24858" spans="8:9" x14ac:dyDescent="0.2">
      <c r="H24858" s="1"/>
      <c r="I24858" s="1"/>
    </row>
    <row r="24859" spans="8:9" x14ac:dyDescent="0.2">
      <c r="H24859" s="1"/>
      <c r="I24859" s="1"/>
    </row>
    <row r="24860" spans="8:9" x14ac:dyDescent="0.2">
      <c r="H24860" s="1"/>
      <c r="I24860" s="1"/>
    </row>
    <row r="24861" spans="8:9" x14ac:dyDescent="0.2">
      <c r="H24861" s="1"/>
      <c r="I24861" s="1"/>
    </row>
    <row r="24862" spans="8:9" x14ac:dyDescent="0.2">
      <c r="H24862" s="1"/>
      <c r="I24862" s="1"/>
    </row>
    <row r="24863" spans="8:9" x14ac:dyDescent="0.2">
      <c r="H24863" s="1"/>
      <c r="I24863" s="1"/>
    </row>
    <row r="24864" spans="8:9" x14ac:dyDescent="0.2">
      <c r="H24864" s="1"/>
      <c r="I24864" s="1"/>
    </row>
    <row r="24865" spans="8:9" x14ac:dyDescent="0.2">
      <c r="H24865" s="1"/>
      <c r="I24865" s="1"/>
    </row>
    <row r="24866" spans="8:9" x14ac:dyDescent="0.2">
      <c r="H24866" s="1"/>
      <c r="I24866" s="1"/>
    </row>
    <row r="24867" spans="8:9" x14ac:dyDescent="0.2">
      <c r="H24867" s="1"/>
      <c r="I24867" s="1"/>
    </row>
    <row r="24868" spans="8:9" x14ac:dyDescent="0.2">
      <c r="H24868" s="1"/>
      <c r="I24868" s="1"/>
    </row>
    <row r="24869" spans="8:9" x14ac:dyDescent="0.2">
      <c r="H24869" s="1"/>
      <c r="I24869" s="1"/>
    </row>
    <row r="24870" spans="8:9" x14ac:dyDescent="0.2">
      <c r="H24870" s="1"/>
      <c r="I24870" s="1"/>
    </row>
    <row r="24871" spans="8:9" x14ac:dyDescent="0.2">
      <c r="H24871" s="1"/>
      <c r="I24871" s="1"/>
    </row>
    <row r="24872" spans="8:9" x14ac:dyDescent="0.2">
      <c r="H24872" s="1"/>
      <c r="I24872" s="1"/>
    </row>
    <row r="24873" spans="8:9" x14ac:dyDescent="0.2">
      <c r="H24873" s="1"/>
      <c r="I24873" s="1"/>
    </row>
    <row r="24874" spans="8:9" x14ac:dyDescent="0.2">
      <c r="H24874" s="1"/>
      <c r="I24874" s="1"/>
    </row>
    <row r="24875" spans="8:9" x14ac:dyDescent="0.2">
      <c r="H24875" s="1"/>
      <c r="I24875" s="1"/>
    </row>
    <row r="24876" spans="8:9" x14ac:dyDescent="0.2">
      <c r="H24876" s="1"/>
      <c r="I24876" s="1"/>
    </row>
    <row r="24877" spans="8:9" x14ac:dyDescent="0.2">
      <c r="H24877" s="1"/>
      <c r="I24877" s="1"/>
    </row>
    <row r="24878" spans="8:9" x14ac:dyDescent="0.2">
      <c r="H24878" s="1"/>
      <c r="I24878" s="1"/>
    </row>
    <row r="24879" spans="8:9" x14ac:dyDescent="0.2">
      <c r="H24879" s="1"/>
      <c r="I24879" s="1"/>
    </row>
    <row r="24880" spans="8:9" x14ac:dyDescent="0.2">
      <c r="H24880" s="1"/>
      <c r="I24880" s="1"/>
    </row>
    <row r="24881" spans="8:9" x14ac:dyDescent="0.2">
      <c r="H24881" s="1"/>
      <c r="I24881" s="1"/>
    </row>
    <row r="24882" spans="8:9" x14ac:dyDescent="0.2">
      <c r="H24882" s="1"/>
      <c r="I24882" s="1"/>
    </row>
    <row r="24883" spans="8:9" x14ac:dyDescent="0.2">
      <c r="H24883" s="1"/>
      <c r="I24883" s="1"/>
    </row>
    <row r="24884" spans="8:9" x14ac:dyDescent="0.2">
      <c r="H24884" s="1"/>
      <c r="I24884" s="1"/>
    </row>
    <row r="24885" spans="8:9" x14ac:dyDescent="0.2">
      <c r="H24885" s="1"/>
      <c r="I24885" s="1"/>
    </row>
    <row r="24886" spans="8:9" x14ac:dyDescent="0.2">
      <c r="H24886" s="1"/>
      <c r="I24886" s="1"/>
    </row>
    <row r="24887" spans="8:9" x14ac:dyDescent="0.2">
      <c r="H24887" s="1"/>
      <c r="I24887" s="1"/>
    </row>
    <row r="24888" spans="8:9" x14ac:dyDescent="0.2">
      <c r="H24888" s="1"/>
      <c r="I24888" s="1"/>
    </row>
    <row r="24889" spans="8:9" x14ac:dyDescent="0.2">
      <c r="H24889" s="1"/>
      <c r="I24889" s="1"/>
    </row>
    <row r="24890" spans="8:9" x14ac:dyDescent="0.2">
      <c r="H24890" s="1"/>
      <c r="I24890" s="1"/>
    </row>
    <row r="24891" spans="8:9" x14ac:dyDescent="0.2">
      <c r="H24891" s="1"/>
      <c r="I24891" s="1"/>
    </row>
    <row r="24892" spans="8:9" x14ac:dyDescent="0.2">
      <c r="H24892" s="1"/>
      <c r="I24892" s="1"/>
    </row>
    <row r="24893" spans="8:9" x14ac:dyDescent="0.2">
      <c r="H24893" s="1"/>
      <c r="I24893" s="1"/>
    </row>
    <row r="24894" spans="8:9" x14ac:dyDescent="0.2">
      <c r="H24894" s="1"/>
      <c r="I24894" s="1"/>
    </row>
    <row r="24895" spans="8:9" x14ac:dyDescent="0.2">
      <c r="H24895" s="1"/>
      <c r="I24895" s="1"/>
    </row>
    <row r="24896" spans="8:9" x14ac:dyDescent="0.2">
      <c r="H24896" s="1"/>
      <c r="I24896" s="1"/>
    </row>
    <row r="24897" spans="8:9" x14ac:dyDescent="0.2">
      <c r="H24897" s="1"/>
      <c r="I24897" s="1"/>
    </row>
    <row r="24898" spans="8:9" x14ac:dyDescent="0.2">
      <c r="H24898" s="1"/>
      <c r="I24898" s="1"/>
    </row>
    <row r="24899" spans="8:9" x14ac:dyDescent="0.2">
      <c r="H24899" s="1"/>
      <c r="I24899" s="1"/>
    </row>
    <row r="24900" spans="8:9" x14ac:dyDescent="0.2">
      <c r="H24900" s="1"/>
      <c r="I24900" s="1"/>
    </row>
    <row r="24901" spans="8:9" x14ac:dyDescent="0.2">
      <c r="H24901" s="1"/>
      <c r="I24901" s="1"/>
    </row>
    <row r="24902" spans="8:9" x14ac:dyDescent="0.2">
      <c r="H24902" s="1"/>
      <c r="I24902" s="1"/>
    </row>
    <row r="24903" spans="8:9" x14ac:dyDescent="0.2">
      <c r="H24903" s="1"/>
      <c r="I24903" s="1"/>
    </row>
    <row r="24904" spans="8:9" x14ac:dyDescent="0.2">
      <c r="H24904" s="1"/>
      <c r="I24904" s="1"/>
    </row>
    <row r="24905" spans="8:9" x14ac:dyDescent="0.2">
      <c r="H24905" s="1"/>
      <c r="I24905" s="1"/>
    </row>
    <row r="24906" spans="8:9" x14ac:dyDescent="0.2">
      <c r="H24906" s="1"/>
      <c r="I24906" s="1"/>
    </row>
    <row r="24907" spans="8:9" x14ac:dyDescent="0.2">
      <c r="H24907" s="1"/>
      <c r="I24907" s="1"/>
    </row>
    <row r="24908" spans="8:9" x14ac:dyDescent="0.2">
      <c r="H24908" s="1"/>
      <c r="I24908" s="1"/>
    </row>
    <row r="24909" spans="8:9" x14ac:dyDescent="0.2">
      <c r="H24909" s="1"/>
      <c r="I24909" s="1"/>
    </row>
    <row r="24910" spans="8:9" x14ac:dyDescent="0.2">
      <c r="H24910" s="1"/>
      <c r="I24910" s="1"/>
    </row>
    <row r="24911" spans="8:9" x14ac:dyDescent="0.2">
      <c r="H24911" s="1"/>
      <c r="I24911" s="1"/>
    </row>
    <row r="24912" spans="8:9" x14ac:dyDescent="0.2">
      <c r="H24912" s="1"/>
      <c r="I24912" s="1"/>
    </row>
    <row r="24913" spans="8:9" x14ac:dyDescent="0.2">
      <c r="H24913" s="1"/>
      <c r="I24913" s="1"/>
    </row>
    <row r="24914" spans="8:9" x14ac:dyDescent="0.2">
      <c r="H24914" s="1"/>
      <c r="I24914" s="1"/>
    </row>
    <row r="24915" spans="8:9" x14ac:dyDescent="0.2">
      <c r="H24915" s="1"/>
      <c r="I24915" s="1"/>
    </row>
    <row r="24916" spans="8:9" x14ac:dyDescent="0.2">
      <c r="H24916" s="1"/>
      <c r="I24916" s="1"/>
    </row>
    <row r="24917" spans="8:9" x14ac:dyDescent="0.2">
      <c r="H24917" s="1"/>
      <c r="I24917" s="1"/>
    </row>
    <row r="24918" spans="8:9" x14ac:dyDescent="0.2">
      <c r="H24918" s="1"/>
      <c r="I24918" s="1"/>
    </row>
    <row r="24919" spans="8:9" x14ac:dyDescent="0.2">
      <c r="H24919" s="1"/>
      <c r="I24919" s="1"/>
    </row>
    <row r="24920" spans="8:9" x14ac:dyDescent="0.2">
      <c r="H24920" s="1"/>
      <c r="I24920" s="1"/>
    </row>
    <row r="24921" spans="8:9" x14ac:dyDescent="0.2">
      <c r="H24921" s="1"/>
      <c r="I24921" s="1"/>
    </row>
    <row r="24922" spans="8:9" x14ac:dyDescent="0.2">
      <c r="H24922" s="1"/>
      <c r="I24922" s="1"/>
    </row>
    <row r="24923" spans="8:9" x14ac:dyDescent="0.2">
      <c r="H24923" s="1"/>
      <c r="I24923" s="1"/>
    </row>
    <row r="24924" spans="8:9" x14ac:dyDescent="0.2">
      <c r="H24924" s="1"/>
      <c r="I24924" s="1"/>
    </row>
    <row r="24925" spans="8:9" x14ac:dyDescent="0.2">
      <c r="H24925" s="1"/>
      <c r="I24925" s="1"/>
    </row>
    <row r="24926" spans="8:9" x14ac:dyDescent="0.2">
      <c r="H24926" s="1"/>
      <c r="I24926" s="1"/>
    </row>
    <row r="24927" spans="8:9" x14ac:dyDescent="0.2">
      <c r="H24927" s="1"/>
      <c r="I24927" s="1"/>
    </row>
    <row r="24928" spans="8:9" x14ac:dyDescent="0.2">
      <c r="H24928" s="1"/>
      <c r="I24928" s="1"/>
    </row>
    <row r="24929" spans="8:9" x14ac:dyDescent="0.2">
      <c r="H24929" s="1"/>
      <c r="I24929" s="1"/>
    </row>
    <row r="24930" spans="8:9" x14ac:dyDescent="0.2">
      <c r="H24930" s="1"/>
      <c r="I24930" s="1"/>
    </row>
    <row r="24931" spans="8:9" x14ac:dyDescent="0.2">
      <c r="H24931" s="1"/>
      <c r="I24931" s="1"/>
    </row>
    <row r="24932" spans="8:9" x14ac:dyDescent="0.2">
      <c r="H24932" s="1"/>
      <c r="I24932" s="1"/>
    </row>
    <row r="24933" spans="8:9" x14ac:dyDescent="0.2">
      <c r="H24933" s="1"/>
      <c r="I24933" s="1"/>
    </row>
    <row r="24934" spans="8:9" x14ac:dyDescent="0.2">
      <c r="H24934" s="1"/>
      <c r="I24934" s="1"/>
    </row>
    <row r="24935" spans="8:9" x14ac:dyDescent="0.2">
      <c r="H24935" s="1"/>
      <c r="I24935" s="1"/>
    </row>
    <row r="24936" spans="8:9" x14ac:dyDescent="0.2">
      <c r="H24936" s="1"/>
      <c r="I24936" s="1"/>
    </row>
    <row r="24937" spans="8:9" x14ac:dyDescent="0.2">
      <c r="H24937" s="1"/>
      <c r="I24937" s="1"/>
    </row>
    <row r="24938" spans="8:9" x14ac:dyDescent="0.2">
      <c r="H24938" s="1"/>
      <c r="I24938" s="1"/>
    </row>
    <row r="24939" spans="8:9" x14ac:dyDescent="0.2">
      <c r="H24939" s="1"/>
      <c r="I24939" s="1"/>
    </row>
    <row r="24940" spans="8:9" x14ac:dyDescent="0.2">
      <c r="H24940" s="1"/>
      <c r="I24940" s="1"/>
    </row>
    <row r="24941" spans="8:9" x14ac:dyDescent="0.2">
      <c r="H24941" s="1"/>
      <c r="I24941" s="1"/>
    </row>
    <row r="24942" spans="8:9" x14ac:dyDescent="0.2">
      <c r="H24942" s="1"/>
      <c r="I24942" s="1"/>
    </row>
    <row r="24943" spans="8:9" x14ac:dyDescent="0.2">
      <c r="H24943" s="1"/>
      <c r="I24943" s="1"/>
    </row>
    <row r="24944" spans="8:9" x14ac:dyDescent="0.2">
      <c r="H24944" s="1"/>
      <c r="I24944" s="1"/>
    </row>
    <row r="24945" spans="8:9" x14ac:dyDescent="0.2">
      <c r="H24945" s="1"/>
      <c r="I24945" s="1"/>
    </row>
    <row r="24946" spans="8:9" x14ac:dyDescent="0.2">
      <c r="H24946" s="1"/>
      <c r="I24946" s="1"/>
    </row>
    <row r="24947" spans="8:9" x14ac:dyDescent="0.2">
      <c r="H24947" s="1"/>
      <c r="I24947" s="1"/>
    </row>
    <row r="24948" spans="8:9" x14ac:dyDescent="0.2">
      <c r="H24948" s="1"/>
      <c r="I24948" s="1"/>
    </row>
    <row r="24949" spans="8:9" x14ac:dyDescent="0.2">
      <c r="H24949" s="1"/>
      <c r="I24949" s="1"/>
    </row>
    <row r="24950" spans="8:9" x14ac:dyDescent="0.2">
      <c r="H24950" s="1"/>
      <c r="I24950" s="1"/>
    </row>
    <row r="24951" spans="8:9" x14ac:dyDescent="0.2">
      <c r="H24951" s="1"/>
      <c r="I24951" s="1"/>
    </row>
    <row r="24952" spans="8:9" x14ac:dyDescent="0.2">
      <c r="H24952" s="1"/>
      <c r="I24952" s="1"/>
    </row>
    <row r="24953" spans="8:9" x14ac:dyDescent="0.2">
      <c r="H24953" s="1"/>
      <c r="I24953" s="1"/>
    </row>
    <row r="24954" spans="8:9" x14ac:dyDescent="0.2">
      <c r="H24954" s="1"/>
      <c r="I24954" s="1"/>
    </row>
    <row r="24955" spans="8:9" x14ac:dyDescent="0.2">
      <c r="H24955" s="1"/>
      <c r="I24955" s="1"/>
    </row>
    <row r="24956" spans="8:9" x14ac:dyDescent="0.2">
      <c r="H24956" s="1"/>
      <c r="I24956" s="1"/>
    </row>
    <row r="24957" spans="8:9" x14ac:dyDescent="0.2">
      <c r="H24957" s="1"/>
      <c r="I24957" s="1"/>
    </row>
    <row r="24958" spans="8:9" x14ac:dyDescent="0.2">
      <c r="H24958" s="1"/>
      <c r="I24958" s="1"/>
    </row>
    <row r="24959" spans="8:9" x14ac:dyDescent="0.2">
      <c r="H24959" s="1"/>
      <c r="I24959" s="1"/>
    </row>
    <row r="24960" spans="8:9" x14ac:dyDescent="0.2">
      <c r="H24960" s="1"/>
      <c r="I24960" s="1"/>
    </row>
    <row r="24961" spans="8:9" x14ac:dyDescent="0.2">
      <c r="H24961" s="1"/>
      <c r="I24961" s="1"/>
    </row>
    <row r="24962" spans="8:9" x14ac:dyDescent="0.2">
      <c r="H24962" s="1"/>
      <c r="I24962" s="1"/>
    </row>
    <row r="24963" spans="8:9" x14ac:dyDescent="0.2">
      <c r="H24963" s="1"/>
      <c r="I24963" s="1"/>
    </row>
    <row r="24964" spans="8:9" x14ac:dyDescent="0.2">
      <c r="H24964" s="1"/>
      <c r="I24964" s="1"/>
    </row>
    <row r="24965" spans="8:9" x14ac:dyDescent="0.2">
      <c r="H24965" s="1"/>
      <c r="I24965" s="1"/>
    </row>
    <row r="24966" spans="8:9" x14ac:dyDescent="0.2">
      <c r="H24966" s="1"/>
      <c r="I24966" s="1"/>
    </row>
    <row r="24967" spans="8:9" x14ac:dyDescent="0.2">
      <c r="H24967" s="1"/>
      <c r="I24967" s="1"/>
    </row>
    <row r="24968" spans="8:9" x14ac:dyDescent="0.2">
      <c r="H24968" s="1"/>
      <c r="I24968" s="1"/>
    </row>
    <row r="24969" spans="8:9" x14ac:dyDescent="0.2">
      <c r="H24969" s="1"/>
      <c r="I24969" s="1"/>
    </row>
    <row r="24970" spans="8:9" x14ac:dyDescent="0.2">
      <c r="H24970" s="1"/>
      <c r="I24970" s="1"/>
    </row>
    <row r="24971" spans="8:9" x14ac:dyDescent="0.2">
      <c r="H24971" s="1"/>
      <c r="I24971" s="1"/>
    </row>
    <row r="24972" spans="8:9" x14ac:dyDescent="0.2">
      <c r="H24972" s="1"/>
      <c r="I24972" s="1"/>
    </row>
    <row r="24973" spans="8:9" x14ac:dyDescent="0.2">
      <c r="H24973" s="1"/>
      <c r="I24973" s="1"/>
    </row>
    <row r="24974" spans="8:9" x14ac:dyDescent="0.2">
      <c r="H24974" s="1"/>
      <c r="I24974" s="1"/>
    </row>
    <row r="24975" spans="8:9" x14ac:dyDescent="0.2">
      <c r="H24975" s="1"/>
      <c r="I24975" s="1"/>
    </row>
    <row r="24976" spans="8:9" x14ac:dyDescent="0.2">
      <c r="H24976" s="1"/>
      <c r="I24976" s="1"/>
    </row>
    <row r="24977" spans="8:9" x14ac:dyDescent="0.2">
      <c r="H24977" s="1"/>
      <c r="I24977" s="1"/>
    </row>
    <row r="24978" spans="8:9" x14ac:dyDescent="0.2">
      <c r="H24978" s="1"/>
      <c r="I24978" s="1"/>
    </row>
    <row r="24979" spans="8:9" x14ac:dyDescent="0.2">
      <c r="H24979" s="1"/>
      <c r="I24979" s="1"/>
    </row>
    <row r="24980" spans="8:9" x14ac:dyDescent="0.2">
      <c r="H24980" s="1"/>
      <c r="I24980" s="1"/>
    </row>
    <row r="24981" spans="8:9" x14ac:dyDescent="0.2">
      <c r="H24981" s="1"/>
      <c r="I24981" s="1"/>
    </row>
    <row r="24982" spans="8:9" x14ac:dyDescent="0.2">
      <c r="H24982" s="1"/>
      <c r="I24982" s="1"/>
    </row>
    <row r="24983" spans="8:9" x14ac:dyDescent="0.2">
      <c r="H24983" s="1"/>
      <c r="I24983" s="1"/>
    </row>
    <row r="24984" spans="8:9" x14ac:dyDescent="0.2">
      <c r="H24984" s="1"/>
      <c r="I24984" s="1"/>
    </row>
    <row r="24985" spans="8:9" x14ac:dyDescent="0.2">
      <c r="H24985" s="1"/>
      <c r="I24985" s="1"/>
    </row>
    <row r="24986" spans="8:9" x14ac:dyDescent="0.2">
      <c r="H24986" s="1"/>
      <c r="I24986" s="1"/>
    </row>
    <row r="24987" spans="8:9" x14ac:dyDescent="0.2">
      <c r="H24987" s="1"/>
      <c r="I24987" s="1"/>
    </row>
    <row r="24988" spans="8:9" x14ac:dyDescent="0.2">
      <c r="H24988" s="1"/>
      <c r="I24988" s="1"/>
    </row>
    <row r="24989" spans="8:9" x14ac:dyDescent="0.2">
      <c r="H24989" s="1"/>
      <c r="I24989" s="1"/>
    </row>
    <row r="24990" spans="8:9" x14ac:dyDescent="0.2">
      <c r="H24990" s="1"/>
      <c r="I24990" s="1"/>
    </row>
    <row r="24991" spans="8:9" x14ac:dyDescent="0.2">
      <c r="H24991" s="1"/>
      <c r="I24991" s="1"/>
    </row>
    <row r="24992" spans="8:9" x14ac:dyDescent="0.2">
      <c r="H24992" s="1"/>
      <c r="I24992" s="1"/>
    </row>
    <row r="24993" spans="8:9" x14ac:dyDescent="0.2">
      <c r="H24993" s="1"/>
      <c r="I24993" s="1"/>
    </row>
    <row r="24994" spans="8:9" x14ac:dyDescent="0.2">
      <c r="H24994" s="1"/>
      <c r="I24994" s="1"/>
    </row>
    <row r="24995" spans="8:9" x14ac:dyDescent="0.2">
      <c r="H24995" s="1"/>
      <c r="I24995" s="1"/>
    </row>
    <row r="24996" spans="8:9" x14ac:dyDescent="0.2">
      <c r="H24996" s="1"/>
      <c r="I24996" s="1"/>
    </row>
    <row r="24997" spans="8:9" x14ac:dyDescent="0.2">
      <c r="H24997" s="1"/>
      <c r="I24997" s="1"/>
    </row>
    <row r="24998" spans="8:9" x14ac:dyDescent="0.2">
      <c r="H24998" s="1"/>
      <c r="I24998" s="1"/>
    </row>
    <row r="24999" spans="8:9" x14ac:dyDescent="0.2">
      <c r="H24999" s="1"/>
      <c r="I24999" s="1"/>
    </row>
    <row r="25000" spans="8:9" x14ac:dyDescent="0.2">
      <c r="H25000" s="1"/>
      <c r="I25000" s="1"/>
    </row>
    <row r="25001" spans="8:9" x14ac:dyDescent="0.2">
      <c r="H25001" s="1"/>
      <c r="I25001" s="1"/>
    </row>
    <row r="25002" spans="8:9" x14ac:dyDescent="0.2">
      <c r="H25002" s="1"/>
      <c r="I25002" s="1"/>
    </row>
    <row r="25003" spans="8:9" x14ac:dyDescent="0.2">
      <c r="H25003" s="1"/>
      <c r="I25003" s="1"/>
    </row>
    <row r="25004" spans="8:9" x14ac:dyDescent="0.2">
      <c r="H25004" s="1"/>
      <c r="I25004" s="1"/>
    </row>
    <row r="25005" spans="8:9" x14ac:dyDescent="0.2">
      <c r="H25005" s="1"/>
      <c r="I25005" s="1"/>
    </row>
    <row r="25006" spans="8:9" x14ac:dyDescent="0.2">
      <c r="H25006" s="1"/>
      <c r="I25006" s="1"/>
    </row>
    <row r="25007" spans="8:9" x14ac:dyDescent="0.2">
      <c r="H25007" s="1"/>
      <c r="I25007" s="1"/>
    </row>
    <row r="25008" spans="8:9" x14ac:dyDescent="0.2">
      <c r="H25008" s="1"/>
      <c r="I25008" s="1"/>
    </row>
    <row r="25009" spans="8:9" x14ac:dyDescent="0.2">
      <c r="H25009" s="1"/>
      <c r="I25009" s="1"/>
    </row>
    <row r="25010" spans="8:9" x14ac:dyDescent="0.2">
      <c r="H25010" s="1"/>
      <c r="I25010" s="1"/>
    </row>
    <row r="25011" spans="8:9" x14ac:dyDescent="0.2">
      <c r="H25011" s="1"/>
      <c r="I25011" s="1"/>
    </row>
    <row r="25012" spans="8:9" x14ac:dyDescent="0.2">
      <c r="H25012" s="1"/>
      <c r="I25012" s="1"/>
    </row>
    <row r="25013" spans="8:9" x14ac:dyDescent="0.2">
      <c r="H25013" s="1"/>
      <c r="I25013" s="1"/>
    </row>
    <row r="25014" spans="8:9" x14ac:dyDescent="0.2">
      <c r="H25014" s="1"/>
      <c r="I25014" s="1"/>
    </row>
    <row r="25015" spans="8:9" x14ac:dyDescent="0.2">
      <c r="H25015" s="1"/>
      <c r="I25015" s="1"/>
    </row>
    <row r="25016" spans="8:9" x14ac:dyDescent="0.2">
      <c r="H25016" s="1"/>
      <c r="I25016" s="1"/>
    </row>
    <row r="25017" spans="8:9" x14ac:dyDescent="0.2">
      <c r="H25017" s="1"/>
      <c r="I25017" s="1"/>
    </row>
    <row r="25018" spans="8:9" x14ac:dyDescent="0.2">
      <c r="H25018" s="1"/>
      <c r="I25018" s="1"/>
    </row>
    <row r="25019" spans="8:9" x14ac:dyDescent="0.2">
      <c r="H25019" s="1"/>
      <c r="I25019" s="1"/>
    </row>
    <row r="25020" spans="8:9" x14ac:dyDescent="0.2">
      <c r="H25020" s="1"/>
      <c r="I25020" s="1"/>
    </row>
    <row r="25021" spans="8:9" x14ac:dyDescent="0.2">
      <c r="H25021" s="1"/>
      <c r="I25021" s="1"/>
    </row>
    <row r="25022" spans="8:9" x14ac:dyDescent="0.2">
      <c r="H25022" s="1"/>
      <c r="I25022" s="1"/>
    </row>
    <row r="25023" spans="8:9" x14ac:dyDescent="0.2">
      <c r="H25023" s="1"/>
      <c r="I25023" s="1"/>
    </row>
    <row r="25024" spans="8:9" x14ac:dyDescent="0.2">
      <c r="H25024" s="1"/>
      <c r="I25024" s="1"/>
    </row>
    <row r="25025" spans="8:9" x14ac:dyDescent="0.2">
      <c r="H25025" s="1"/>
      <c r="I25025" s="1"/>
    </row>
    <row r="25026" spans="8:9" x14ac:dyDescent="0.2">
      <c r="H25026" s="1"/>
      <c r="I25026" s="1"/>
    </row>
    <row r="25027" spans="8:9" x14ac:dyDescent="0.2">
      <c r="H25027" s="1"/>
      <c r="I25027" s="1"/>
    </row>
    <row r="25028" spans="8:9" x14ac:dyDescent="0.2">
      <c r="H25028" s="1"/>
      <c r="I25028" s="1"/>
    </row>
    <row r="25029" spans="8:9" x14ac:dyDescent="0.2">
      <c r="H25029" s="1"/>
      <c r="I25029" s="1"/>
    </row>
    <row r="25030" spans="8:9" x14ac:dyDescent="0.2">
      <c r="H25030" s="1"/>
      <c r="I25030" s="1"/>
    </row>
    <row r="25031" spans="8:9" x14ac:dyDescent="0.2">
      <c r="H25031" s="1"/>
      <c r="I25031" s="1"/>
    </row>
    <row r="25032" spans="8:9" x14ac:dyDescent="0.2">
      <c r="H25032" s="1"/>
      <c r="I25032" s="1"/>
    </row>
    <row r="25033" spans="8:9" x14ac:dyDescent="0.2">
      <c r="H25033" s="1"/>
      <c r="I25033" s="1"/>
    </row>
    <row r="25034" spans="8:9" x14ac:dyDescent="0.2">
      <c r="H25034" s="1"/>
      <c r="I25034" s="1"/>
    </row>
    <row r="25035" spans="8:9" x14ac:dyDescent="0.2">
      <c r="H25035" s="1"/>
      <c r="I25035" s="1"/>
    </row>
    <row r="25036" spans="8:9" x14ac:dyDescent="0.2">
      <c r="H25036" s="1"/>
      <c r="I25036" s="1"/>
    </row>
    <row r="25037" spans="8:9" x14ac:dyDescent="0.2">
      <c r="H25037" s="1"/>
      <c r="I25037" s="1"/>
    </row>
    <row r="25038" spans="8:9" x14ac:dyDescent="0.2">
      <c r="H25038" s="1"/>
      <c r="I25038" s="1"/>
    </row>
    <row r="25039" spans="8:9" x14ac:dyDescent="0.2">
      <c r="H25039" s="1"/>
      <c r="I25039" s="1"/>
    </row>
    <row r="25040" spans="8:9" x14ac:dyDescent="0.2">
      <c r="H25040" s="1"/>
      <c r="I25040" s="1"/>
    </row>
    <row r="25041" spans="8:9" x14ac:dyDescent="0.2">
      <c r="H25041" s="1"/>
      <c r="I25041" s="1"/>
    </row>
    <row r="25042" spans="8:9" x14ac:dyDescent="0.2">
      <c r="H25042" s="1"/>
      <c r="I25042" s="1"/>
    </row>
    <row r="25043" spans="8:9" x14ac:dyDescent="0.2">
      <c r="H25043" s="1"/>
      <c r="I25043" s="1"/>
    </row>
    <row r="25044" spans="8:9" x14ac:dyDescent="0.2">
      <c r="H25044" s="1"/>
      <c r="I25044" s="1"/>
    </row>
    <row r="25045" spans="8:9" x14ac:dyDescent="0.2">
      <c r="H25045" s="1"/>
      <c r="I25045" s="1"/>
    </row>
    <row r="25046" spans="8:9" x14ac:dyDescent="0.2">
      <c r="H25046" s="1"/>
      <c r="I25046" s="1"/>
    </row>
    <row r="25047" spans="8:9" x14ac:dyDescent="0.2">
      <c r="H25047" s="1"/>
      <c r="I25047" s="1"/>
    </row>
    <row r="25048" spans="8:9" x14ac:dyDescent="0.2">
      <c r="H25048" s="1"/>
      <c r="I25048" s="1"/>
    </row>
    <row r="25049" spans="8:9" x14ac:dyDescent="0.2">
      <c r="H25049" s="1"/>
      <c r="I25049" s="1"/>
    </row>
    <row r="25050" spans="8:9" x14ac:dyDescent="0.2">
      <c r="H25050" s="1"/>
      <c r="I25050" s="1"/>
    </row>
    <row r="25051" spans="8:9" x14ac:dyDescent="0.2">
      <c r="H25051" s="1"/>
      <c r="I25051" s="1"/>
    </row>
    <row r="25052" spans="8:9" x14ac:dyDescent="0.2">
      <c r="H25052" s="1"/>
      <c r="I25052" s="1"/>
    </row>
    <row r="25053" spans="8:9" x14ac:dyDescent="0.2">
      <c r="H25053" s="1"/>
      <c r="I25053" s="1"/>
    </row>
    <row r="25054" spans="8:9" x14ac:dyDescent="0.2">
      <c r="H25054" s="1"/>
      <c r="I25054" s="1"/>
    </row>
    <row r="25055" spans="8:9" x14ac:dyDescent="0.2">
      <c r="H25055" s="1"/>
      <c r="I25055" s="1"/>
    </row>
    <row r="25056" spans="8:9" x14ac:dyDescent="0.2">
      <c r="H25056" s="1"/>
      <c r="I25056" s="1"/>
    </row>
    <row r="25057" spans="8:9" x14ac:dyDescent="0.2">
      <c r="H25057" s="1"/>
      <c r="I25057" s="1"/>
    </row>
    <row r="25058" spans="8:9" x14ac:dyDescent="0.2">
      <c r="H25058" s="1"/>
      <c r="I25058" s="1"/>
    </row>
    <row r="25059" spans="8:9" x14ac:dyDescent="0.2">
      <c r="H25059" s="1"/>
      <c r="I25059" s="1"/>
    </row>
    <row r="25060" spans="8:9" x14ac:dyDescent="0.2">
      <c r="H25060" s="1"/>
      <c r="I25060" s="1"/>
    </row>
    <row r="25061" spans="8:9" x14ac:dyDescent="0.2">
      <c r="H25061" s="1"/>
      <c r="I25061" s="1"/>
    </row>
    <row r="25062" spans="8:9" x14ac:dyDescent="0.2">
      <c r="H25062" s="1"/>
      <c r="I25062" s="1"/>
    </row>
    <row r="25063" spans="8:9" x14ac:dyDescent="0.2">
      <c r="H25063" s="1"/>
      <c r="I25063" s="1"/>
    </row>
    <row r="25064" spans="8:9" x14ac:dyDescent="0.2">
      <c r="H25064" s="1"/>
      <c r="I25064" s="1"/>
    </row>
    <row r="25065" spans="8:9" x14ac:dyDescent="0.2">
      <c r="H25065" s="1"/>
      <c r="I25065" s="1"/>
    </row>
    <row r="25066" spans="8:9" x14ac:dyDescent="0.2">
      <c r="H25066" s="1"/>
      <c r="I25066" s="1"/>
    </row>
    <row r="25067" spans="8:9" x14ac:dyDescent="0.2">
      <c r="H25067" s="1"/>
      <c r="I25067" s="1"/>
    </row>
    <row r="25068" spans="8:9" x14ac:dyDescent="0.2">
      <c r="H25068" s="1"/>
      <c r="I25068" s="1"/>
    </row>
    <row r="25069" spans="8:9" x14ac:dyDescent="0.2">
      <c r="H25069" s="1"/>
      <c r="I25069" s="1"/>
    </row>
    <row r="25070" spans="8:9" x14ac:dyDescent="0.2">
      <c r="H25070" s="1"/>
      <c r="I25070" s="1"/>
    </row>
    <row r="25071" spans="8:9" x14ac:dyDescent="0.2">
      <c r="H25071" s="1"/>
      <c r="I25071" s="1"/>
    </row>
    <row r="25072" spans="8:9" x14ac:dyDescent="0.2">
      <c r="H25072" s="1"/>
      <c r="I25072" s="1"/>
    </row>
    <row r="25073" spans="8:9" x14ac:dyDescent="0.2">
      <c r="H25073" s="1"/>
      <c r="I25073" s="1"/>
    </row>
    <row r="25074" spans="8:9" x14ac:dyDescent="0.2">
      <c r="H25074" s="1"/>
      <c r="I25074" s="1"/>
    </row>
    <row r="25075" spans="8:9" x14ac:dyDescent="0.2">
      <c r="H25075" s="1"/>
      <c r="I25075" s="1"/>
    </row>
    <row r="25076" spans="8:9" x14ac:dyDescent="0.2">
      <c r="H25076" s="1"/>
      <c r="I25076" s="1"/>
    </row>
    <row r="25077" spans="8:9" x14ac:dyDescent="0.2">
      <c r="H25077" s="1"/>
      <c r="I25077" s="1"/>
    </row>
    <row r="25078" spans="8:9" x14ac:dyDescent="0.2">
      <c r="H25078" s="1"/>
      <c r="I25078" s="1"/>
    </row>
    <row r="25079" spans="8:9" x14ac:dyDescent="0.2">
      <c r="H25079" s="1"/>
      <c r="I25079" s="1"/>
    </row>
    <row r="25080" spans="8:9" x14ac:dyDescent="0.2">
      <c r="H25080" s="1"/>
      <c r="I25080" s="1"/>
    </row>
    <row r="25081" spans="8:9" x14ac:dyDescent="0.2">
      <c r="H25081" s="1"/>
      <c r="I25081" s="1"/>
    </row>
    <row r="25082" spans="8:9" x14ac:dyDescent="0.2">
      <c r="H25082" s="1"/>
      <c r="I25082" s="1"/>
    </row>
    <row r="25083" spans="8:9" x14ac:dyDescent="0.2">
      <c r="H25083" s="1"/>
      <c r="I25083" s="1"/>
    </row>
    <row r="25084" spans="8:9" x14ac:dyDescent="0.2">
      <c r="H25084" s="1"/>
      <c r="I25084" s="1"/>
    </row>
    <row r="25085" spans="8:9" x14ac:dyDescent="0.2">
      <c r="H25085" s="1"/>
      <c r="I25085" s="1"/>
    </row>
    <row r="25086" spans="8:9" x14ac:dyDescent="0.2">
      <c r="H25086" s="1"/>
      <c r="I25086" s="1"/>
    </row>
    <row r="25087" spans="8:9" x14ac:dyDescent="0.2">
      <c r="H25087" s="1"/>
      <c r="I25087" s="1"/>
    </row>
    <row r="25088" spans="8:9" x14ac:dyDescent="0.2">
      <c r="H25088" s="1"/>
      <c r="I25088" s="1"/>
    </row>
    <row r="25089" spans="8:9" x14ac:dyDescent="0.2">
      <c r="H25089" s="1"/>
      <c r="I25089" s="1"/>
    </row>
    <row r="25090" spans="8:9" x14ac:dyDescent="0.2">
      <c r="H25090" s="1"/>
      <c r="I25090" s="1"/>
    </row>
    <row r="25091" spans="8:9" x14ac:dyDescent="0.2">
      <c r="H25091" s="1"/>
      <c r="I25091" s="1"/>
    </row>
    <row r="25092" spans="8:9" x14ac:dyDescent="0.2">
      <c r="H25092" s="1"/>
      <c r="I25092" s="1"/>
    </row>
    <row r="25093" spans="8:9" x14ac:dyDescent="0.2">
      <c r="H25093" s="1"/>
      <c r="I25093" s="1"/>
    </row>
    <row r="25094" spans="8:9" x14ac:dyDescent="0.2">
      <c r="H25094" s="1"/>
      <c r="I25094" s="1"/>
    </row>
    <row r="25095" spans="8:9" x14ac:dyDescent="0.2">
      <c r="H25095" s="1"/>
      <c r="I25095" s="1"/>
    </row>
    <row r="25096" spans="8:9" x14ac:dyDescent="0.2">
      <c r="H25096" s="1"/>
      <c r="I25096" s="1"/>
    </row>
    <row r="25097" spans="8:9" x14ac:dyDescent="0.2">
      <c r="H25097" s="1"/>
      <c r="I25097" s="1"/>
    </row>
    <row r="25098" spans="8:9" x14ac:dyDescent="0.2">
      <c r="H25098" s="1"/>
      <c r="I25098" s="1"/>
    </row>
    <row r="25099" spans="8:9" x14ac:dyDescent="0.2">
      <c r="H25099" s="1"/>
      <c r="I25099" s="1"/>
    </row>
    <row r="25100" spans="8:9" x14ac:dyDescent="0.2">
      <c r="H25100" s="1"/>
      <c r="I25100" s="1"/>
    </row>
    <row r="25101" spans="8:9" x14ac:dyDescent="0.2">
      <c r="H25101" s="1"/>
      <c r="I25101" s="1"/>
    </row>
    <row r="25102" spans="8:9" x14ac:dyDescent="0.2">
      <c r="H25102" s="1"/>
      <c r="I25102" s="1"/>
    </row>
    <row r="25103" spans="8:9" x14ac:dyDescent="0.2">
      <c r="H25103" s="1"/>
      <c r="I25103" s="1"/>
    </row>
    <row r="25104" spans="8:9" x14ac:dyDescent="0.2">
      <c r="H25104" s="1"/>
      <c r="I25104" s="1"/>
    </row>
    <row r="25105" spans="8:9" x14ac:dyDescent="0.2">
      <c r="H25105" s="1"/>
      <c r="I25105" s="1"/>
    </row>
    <row r="25106" spans="8:9" x14ac:dyDescent="0.2">
      <c r="H25106" s="1"/>
      <c r="I25106" s="1"/>
    </row>
    <row r="25107" spans="8:9" x14ac:dyDescent="0.2">
      <c r="H25107" s="1"/>
      <c r="I25107" s="1"/>
    </row>
    <row r="25108" spans="8:9" x14ac:dyDescent="0.2">
      <c r="H25108" s="1"/>
      <c r="I25108" s="1"/>
    </row>
    <row r="25109" spans="8:9" x14ac:dyDescent="0.2">
      <c r="H25109" s="1"/>
      <c r="I25109" s="1"/>
    </row>
    <row r="25110" spans="8:9" x14ac:dyDescent="0.2">
      <c r="H25110" s="1"/>
      <c r="I25110" s="1"/>
    </row>
    <row r="25111" spans="8:9" x14ac:dyDescent="0.2">
      <c r="H25111" s="1"/>
      <c r="I25111" s="1"/>
    </row>
    <row r="25112" spans="8:9" x14ac:dyDescent="0.2">
      <c r="H25112" s="1"/>
      <c r="I25112" s="1"/>
    </row>
    <row r="25113" spans="8:9" x14ac:dyDescent="0.2">
      <c r="H25113" s="1"/>
      <c r="I25113" s="1"/>
    </row>
    <row r="25114" spans="8:9" x14ac:dyDescent="0.2">
      <c r="H25114" s="1"/>
      <c r="I25114" s="1"/>
    </row>
    <row r="25115" spans="8:9" x14ac:dyDescent="0.2">
      <c r="H25115" s="1"/>
      <c r="I25115" s="1"/>
    </row>
    <row r="25116" spans="8:9" x14ac:dyDescent="0.2">
      <c r="H25116" s="1"/>
      <c r="I25116" s="1"/>
    </row>
    <row r="25117" spans="8:9" x14ac:dyDescent="0.2">
      <c r="H25117" s="1"/>
      <c r="I25117" s="1"/>
    </row>
    <row r="25118" spans="8:9" x14ac:dyDescent="0.2">
      <c r="H25118" s="1"/>
      <c r="I25118" s="1"/>
    </row>
    <row r="25119" spans="8:9" x14ac:dyDescent="0.2">
      <c r="H25119" s="1"/>
      <c r="I25119" s="1"/>
    </row>
    <row r="25120" spans="8:9" x14ac:dyDescent="0.2">
      <c r="H25120" s="1"/>
      <c r="I25120" s="1"/>
    </row>
    <row r="25121" spans="8:9" x14ac:dyDescent="0.2">
      <c r="H25121" s="1"/>
      <c r="I25121" s="1"/>
    </row>
    <row r="25122" spans="8:9" x14ac:dyDescent="0.2">
      <c r="H25122" s="1"/>
      <c r="I25122" s="1"/>
    </row>
    <row r="25123" spans="8:9" x14ac:dyDescent="0.2">
      <c r="H25123" s="1"/>
      <c r="I25123" s="1"/>
    </row>
    <row r="25124" spans="8:9" x14ac:dyDescent="0.2">
      <c r="H25124" s="1"/>
      <c r="I25124" s="1"/>
    </row>
    <row r="25125" spans="8:9" x14ac:dyDescent="0.2">
      <c r="H25125" s="1"/>
      <c r="I25125" s="1"/>
    </row>
    <row r="25126" spans="8:9" x14ac:dyDescent="0.2">
      <c r="H25126" s="1"/>
      <c r="I25126" s="1"/>
    </row>
    <row r="25127" spans="8:9" x14ac:dyDescent="0.2">
      <c r="H25127" s="1"/>
      <c r="I25127" s="1"/>
    </row>
    <row r="25128" spans="8:9" x14ac:dyDescent="0.2">
      <c r="H25128" s="1"/>
      <c r="I25128" s="1"/>
    </row>
    <row r="25129" spans="8:9" x14ac:dyDescent="0.2">
      <c r="H25129" s="1"/>
      <c r="I25129" s="1"/>
    </row>
    <row r="25130" spans="8:9" x14ac:dyDescent="0.2">
      <c r="H25130" s="1"/>
      <c r="I25130" s="1"/>
    </row>
    <row r="25131" spans="8:9" x14ac:dyDescent="0.2">
      <c r="H25131" s="1"/>
      <c r="I25131" s="1"/>
    </row>
    <row r="25132" spans="8:9" x14ac:dyDescent="0.2">
      <c r="H25132" s="1"/>
      <c r="I25132" s="1"/>
    </row>
    <row r="25133" spans="8:9" x14ac:dyDescent="0.2">
      <c r="H25133" s="1"/>
      <c r="I25133" s="1"/>
    </row>
    <row r="25134" spans="8:9" x14ac:dyDescent="0.2">
      <c r="H25134" s="1"/>
      <c r="I25134" s="1"/>
    </row>
    <row r="25135" spans="8:9" x14ac:dyDescent="0.2">
      <c r="H25135" s="1"/>
      <c r="I25135" s="1"/>
    </row>
    <row r="25136" spans="8:9" x14ac:dyDescent="0.2">
      <c r="H25136" s="1"/>
      <c r="I25136" s="1"/>
    </row>
    <row r="25137" spans="8:9" x14ac:dyDescent="0.2">
      <c r="H25137" s="1"/>
      <c r="I25137" s="1"/>
    </row>
    <row r="25138" spans="8:9" x14ac:dyDescent="0.2">
      <c r="H25138" s="1"/>
      <c r="I25138" s="1"/>
    </row>
    <row r="25139" spans="8:9" x14ac:dyDescent="0.2">
      <c r="H25139" s="1"/>
      <c r="I25139" s="1"/>
    </row>
    <row r="25140" spans="8:9" x14ac:dyDescent="0.2">
      <c r="H25140" s="1"/>
      <c r="I25140" s="1"/>
    </row>
    <row r="25141" spans="8:9" x14ac:dyDescent="0.2">
      <c r="H25141" s="1"/>
      <c r="I25141" s="1"/>
    </row>
    <row r="25142" spans="8:9" x14ac:dyDescent="0.2">
      <c r="H25142" s="1"/>
      <c r="I25142" s="1"/>
    </row>
    <row r="25143" spans="8:9" x14ac:dyDescent="0.2">
      <c r="H25143" s="1"/>
      <c r="I25143" s="1"/>
    </row>
    <row r="25144" spans="8:9" x14ac:dyDescent="0.2">
      <c r="H25144" s="1"/>
      <c r="I25144" s="1"/>
    </row>
    <row r="25145" spans="8:9" x14ac:dyDescent="0.2">
      <c r="H25145" s="1"/>
      <c r="I25145" s="1"/>
    </row>
    <row r="25146" spans="8:9" x14ac:dyDescent="0.2">
      <c r="H25146" s="1"/>
      <c r="I25146" s="1"/>
    </row>
    <row r="25147" spans="8:9" x14ac:dyDescent="0.2">
      <c r="H25147" s="1"/>
      <c r="I25147" s="1"/>
    </row>
    <row r="25148" spans="8:9" x14ac:dyDescent="0.2">
      <c r="H25148" s="1"/>
      <c r="I25148" s="1"/>
    </row>
    <row r="25149" spans="8:9" x14ac:dyDescent="0.2">
      <c r="H25149" s="1"/>
      <c r="I25149" s="1"/>
    </row>
    <row r="25150" spans="8:9" x14ac:dyDescent="0.2">
      <c r="H25150" s="1"/>
      <c r="I25150" s="1"/>
    </row>
    <row r="25151" spans="8:9" x14ac:dyDescent="0.2">
      <c r="H25151" s="1"/>
      <c r="I25151" s="1"/>
    </row>
    <row r="25152" spans="8:9" x14ac:dyDescent="0.2">
      <c r="H25152" s="1"/>
      <c r="I25152" s="1"/>
    </row>
    <row r="25153" spans="8:9" x14ac:dyDescent="0.2">
      <c r="H25153" s="1"/>
      <c r="I25153" s="1"/>
    </row>
    <row r="25154" spans="8:9" x14ac:dyDescent="0.2">
      <c r="H25154" s="1"/>
      <c r="I25154" s="1"/>
    </row>
    <row r="25155" spans="8:9" x14ac:dyDescent="0.2">
      <c r="H25155" s="1"/>
      <c r="I25155" s="1"/>
    </row>
    <row r="25156" spans="8:9" x14ac:dyDescent="0.2">
      <c r="H25156" s="1"/>
      <c r="I25156" s="1"/>
    </row>
    <row r="25157" spans="8:9" x14ac:dyDescent="0.2">
      <c r="H25157" s="1"/>
      <c r="I25157" s="1"/>
    </row>
    <row r="25158" spans="8:9" x14ac:dyDescent="0.2">
      <c r="H25158" s="1"/>
      <c r="I25158" s="1"/>
    </row>
    <row r="25159" spans="8:9" x14ac:dyDescent="0.2">
      <c r="H25159" s="1"/>
      <c r="I25159" s="1"/>
    </row>
    <row r="25160" spans="8:9" x14ac:dyDescent="0.2">
      <c r="H25160" s="1"/>
      <c r="I25160" s="1"/>
    </row>
    <row r="25161" spans="8:9" x14ac:dyDescent="0.2">
      <c r="H25161" s="1"/>
      <c r="I25161" s="1"/>
    </row>
    <row r="25162" spans="8:9" x14ac:dyDescent="0.2">
      <c r="H25162" s="1"/>
      <c r="I25162" s="1"/>
    </row>
    <row r="25163" spans="8:9" x14ac:dyDescent="0.2">
      <c r="H25163" s="1"/>
      <c r="I25163" s="1"/>
    </row>
    <row r="25164" spans="8:9" x14ac:dyDescent="0.2">
      <c r="H25164" s="1"/>
      <c r="I25164" s="1"/>
    </row>
    <row r="25165" spans="8:9" x14ac:dyDescent="0.2">
      <c r="H25165" s="1"/>
      <c r="I25165" s="1"/>
    </row>
    <row r="25166" spans="8:9" x14ac:dyDescent="0.2">
      <c r="H25166" s="1"/>
      <c r="I25166" s="1"/>
    </row>
    <row r="25167" spans="8:9" x14ac:dyDescent="0.2">
      <c r="H25167" s="1"/>
      <c r="I25167" s="1"/>
    </row>
    <row r="25168" spans="8:9" x14ac:dyDescent="0.2">
      <c r="H25168" s="1"/>
      <c r="I25168" s="1"/>
    </row>
    <row r="25169" spans="8:9" x14ac:dyDescent="0.2">
      <c r="H25169" s="1"/>
      <c r="I25169" s="1"/>
    </row>
    <row r="25170" spans="8:9" x14ac:dyDescent="0.2">
      <c r="H25170" s="1"/>
      <c r="I25170" s="1"/>
    </row>
    <row r="25171" spans="8:9" x14ac:dyDescent="0.2">
      <c r="H25171" s="1"/>
      <c r="I25171" s="1"/>
    </row>
    <row r="25172" spans="8:9" x14ac:dyDescent="0.2">
      <c r="H25172" s="1"/>
      <c r="I25172" s="1"/>
    </row>
    <row r="25173" spans="8:9" x14ac:dyDescent="0.2">
      <c r="H25173" s="1"/>
      <c r="I25173" s="1"/>
    </row>
    <row r="25174" spans="8:9" x14ac:dyDescent="0.2">
      <c r="H25174" s="1"/>
      <c r="I25174" s="1"/>
    </row>
    <row r="25175" spans="8:9" x14ac:dyDescent="0.2">
      <c r="H25175" s="1"/>
      <c r="I25175" s="1"/>
    </row>
    <row r="25176" spans="8:9" x14ac:dyDescent="0.2">
      <c r="H25176" s="1"/>
      <c r="I25176" s="1"/>
    </row>
    <row r="25177" spans="8:9" x14ac:dyDescent="0.2">
      <c r="H25177" s="1"/>
      <c r="I25177" s="1"/>
    </row>
    <row r="25178" spans="8:9" x14ac:dyDescent="0.2">
      <c r="H25178" s="1"/>
      <c r="I25178" s="1"/>
    </row>
    <row r="25179" spans="8:9" x14ac:dyDescent="0.2">
      <c r="H25179" s="1"/>
      <c r="I25179" s="1"/>
    </row>
    <row r="25180" spans="8:9" x14ac:dyDescent="0.2">
      <c r="H25180" s="1"/>
      <c r="I25180" s="1"/>
    </row>
    <row r="25181" spans="8:9" x14ac:dyDescent="0.2">
      <c r="H25181" s="1"/>
      <c r="I25181" s="1"/>
    </row>
    <row r="25182" spans="8:9" x14ac:dyDescent="0.2">
      <c r="H25182" s="1"/>
      <c r="I25182" s="1"/>
    </row>
    <row r="25183" spans="8:9" x14ac:dyDescent="0.2">
      <c r="H25183" s="1"/>
      <c r="I25183" s="1"/>
    </row>
    <row r="25184" spans="8:9" x14ac:dyDescent="0.2">
      <c r="H25184" s="1"/>
      <c r="I25184" s="1"/>
    </row>
    <row r="25185" spans="8:9" x14ac:dyDescent="0.2">
      <c r="H25185" s="1"/>
      <c r="I25185" s="1"/>
    </row>
    <row r="25186" spans="8:9" x14ac:dyDescent="0.2">
      <c r="H25186" s="1"/>
      <c r="I25186" s="1"/>
    </row>
    <row r="25187" spans="8:9" x14ac:dyDescent="0.2">
      <c r="H25187" s="1"/>
      <c r="I25187" s="1"/>
    </row>
    <row r="25188" spans="8:9" x14ac:dyDescent="0.2">
      <c r="H25188" s="1"/>
      <c r="I25188" s="1"/>
    </row>
    <row r="25189" spans="8:9" x14ac:dyDescent="0.2">
      <c r="H25189" s="1"/>
      <c r="I25189" s="1"/>
    </row>
    <row r="25190" spans="8:9" x14ac:dyDescent="0.2">
      <c r="H25190" s="1"/>
      <c r="I25190" s="1"/>
    </row>
    <row r="25191" spans="8:9" x14ac:dyDescent="0.2">
      <c r="H25191" s="1"/>
      <c r="I25191" s="1"/>
    </row>
    <row r="25192" spans="8:9" x14ac:dyDescent="0.2">
      <c r="H25192" s="1"/>
      <c r="I25192" s="1"/>
    </row>
    <row r="25193" spans="8:9" x14ac:dyDescent="0.2">
      <c r="H25193" s="1"/>
      <c r="I25193" s="1"/>
    </row>
    <row r="25194" spans="8:9" x14ac:dyDescent="0.2">
      <c r="H25194" s="1"/>
      <c r="I25194" s="1"/>
    </row>
    <row r="25195" spans="8:9" x14ac:dyDescent="0.2">
      <c r="H25195" s="1"/>
      <c r="I25195" s="1"/>
    </row>
    <row r="25196" spans="8:9" x14ac:dyDescent="0.2">
      <c r="H25196" s="1"/>
      <c r="I25196" s="1"/>
    </row>
    <row r="25197" spans="8:9" x14ac:dyDescent="0.2">
      <c r="H25197" s="1"/>
      <c r="I25197" s="1"/>
    </row>
    <row r="25198" spans="8:9" x14ac:dyDescent="0.2">
      <c r="H25198" s="1"/>
      <c r="I25198" s="1"/>
    </row>
    <row r="25199" spans="8:9" x14ac:dyDescent="0.2">
      <c r="H25199" s="1"/>
      <c r="I25199" s="1"/>
    </row>
    <row r="25200" spans="8:9" x14ac:dyDescent="0.2">
      <c r="H25200" s="1"/>
      <c r="I25200" s="1"/>
    </row>
    <row r="25201" spans="8:9" x14ac:dyDescent="0.2">
      <c r="H25201" s="1"/>
      <c r="I25201" s="1"/>
    </row>
    <row r="25202" spans="8:9" x14ac:dyDescent="0.2">
      <c r="H25202" s="1"/>
      <c r="I25202" s="1"/>
    </row>
    <row r="25203" spans="8:9" x14ac:dyDescent="0.2">
      <c r="H25203" s="1"/>
      <c r="I25203" s="1"/>
    </row>
    <row r="25204" spans="8:9" x14ac:dyDescent="0.2">
      <c r="H25204" s="1"/>
      <c r="I25204" s="1"/>
    </row>
    <row r="25205" spans="8:9" x14ac:dyDescent="0.2">
      <c r="H25205" s="1"/>
      <c r="I25205" s="1"/>
    </row>
    <row r="25206" spans="8:9" x14ac:dyDescent="0.2">
      <c r="H25206" s="1"/>
      <c r="I25206" s="1"/>
    </row>
    <row r="25207" spans="8:9" x14ac:dyDescent="0.2">
      <c r="H25207" s="1"/>
      <c r="I25207" s="1"/>
    </row>
    <row r="25208" spans="8:9" x14ac:dyDescent="0.2">
      <c r="H25208" s="1"/>
      <c r="I25208" s="1"/>
    </row>
    <row r="25209" spans="8:9" x14ac:dyDescent="0.2">
      <c r="H25209" s="1"/>
      <c r="I25209" s="1"/>
    </row>
    <row r="25210" spans="8:9" x14ac:dyDescent="0.2">
      <c r="H25210" s="1"/>
      <c r="I25210" s="1"/>
    </row>
    <row r="25211" spans="8:9" x14ac:dyDescent="0.2">
      <c r="H25211" s="1"/>
      <c r="I25211" s="1"/>
    </row>
    <row r="25212" spans="8:9" x14ac:dyDescent="0.2">
      <c r="H25212" s="1"/>
      <c r="I25212" s="1"/>
    </row>
    <row r="25213" spans="8:9" x14ac:dyDescent="0.2">
      <c r="H25213" s="1"/>
      <c r="I25213" s="1"/>
    </row>
    <row r="25214" spans="8:9" x14ac:dyDescent="0.2">
      <c r="H25214" s="1"/>
      <c r="I25214" s="1"/>
    </row>
    <row r="25215" spans="8:9" x14ac:dyDescent="0.2">
      <c r="H25215" s="1"/>
      <c r="I25215" s="1"/>
    </row>
    <row r="25216" spans="8:9" x14ac:dyDescent="0.2">
      <c r="H25216" s="1"/>
      <c r="I25216" s="1"/>
    </row>
    <row r="25217" spans="8:9" x14ac:dyDescent="0.2">
      <c r="H25217" s="1"/>
      <c r="I25217" s="1"/>
    </row>
    <row r="25218" spans="8:9" x14ac:dyDescent="0.2">
      <c r="H25218" s="1"/>
      <c r="I25218" s="1"/>
    </row>
    <row r="25219" spans="8:9" x14ac:dyDescent="0.2">
      <c r="H25219" s="1"/>
      <c r="I25219" s="1"/>
    </row>
    <row r="25220" spans="8:9" x14ac:dyDescent="0.2">
      <c r="H25220" s="1"/>
      <c r="I25220" s="1"/>
    </row>
    <row r="25221" spans="8:9" x14ac:dyDescent="0.2">
      <c r="H25221" s="1"/>
      <c r="I25221" s="1"/>
    </row>
    <row r="25222" spans="8:9" x14ac:dyDescent="0.2">
      <c r="H25222" s="1"/>
      <c r="I25222" s="1"/>
    </row>
    <row r="25223" spans="8:9" x14ac:dyDescent="0.2">
      <c r="H25223" s="1"/>
      <c r="I25223" s="1"/>
    </row>
    <row r="25224" spans="8:9" x14ac:dyDescent="0.2">
      <c r="H25224" s="1"/>
      <c r="I25224" s="1"/>
    </row>
    <row r="25225" spans="8:9" x14ac:dyDescent="0.2">
      <c r="H25225" s="1"/>
      <c r="I25225" s="1"/>
    </row>
    <row r="25226" spans="8:9" x14ac:dyDescent="0.2">
      <c r="H25226" s="1"/>
      <c r="I25226" s="1"/>
    </row>
    <row r="25227" spans="8:9" x14ac:dyDescent="0.2">
      <c r="H25227" s="1"/>
      <c r="I25227" s="1"/>
    </row>
    <row r="25228" spans="8:9" x14ac:dyDescent="0.2">
      <c r="H25228" s="1"/>
      <c r="I25228" s="1"/>
    </row>
    <row r="25229" spans="8:9" x14ac:dyDescent="0.2">
      <c r="H25229" s="1"/>
      <c r="I25229" s="1"/>
    </row>
    <row r="25230" spans="8:9" x14ac:dyDescent="0.2">
      <c r="H25230" s="1"/>
      <c r="I25230" s="1"/>
    </row>
    <row r="25231" spans="8:9" x14ac:dyDescent="0.2">
      <c r="H25231" s="1"/>
      <c r="I25231" s="1"/>
    </row>
    <row r="25232" spans="8:9" x14ac:dyDescent="0.2">
      <c r="H25232" s="1"/>
      <c r="I25232" s="1"/>
    </row>
    <row r="25233" spans="8:9" x14ac:dyDescent="0.2">
      <c r="H25233" s="1"/>
      <c r="I25233" s="1"/>
    </row>
    <row r="25234" spans="8:9" x14ac:dyDescent="0.2">
      <c r="H25234" s="1"/>
      <c r="I25234" s="1"/>
    </row>
    <row r="25235" spans="8:9" x14ac:dyDescent="0.2">
      <c r="H25235" s="1"/>
      <c r="I25235" s="1"/>
    </row>
    <row r="25236" spans="8:9" x14ac:dyDescent="0.2">
      <c r="H25236" s="1"/>
      <c r="I25236" s="1"/>
    </row>
    <row r="25237" spans="8:9" x14ac:dyDescent="0.2">
      <c r="H25237" s="1"/>
      <c r="I25237" s="1"/>
    </row>
    <row r="25238" spans="8:9" x14ac:dyDescent="0.2">
      <c r="H25238" s="1"/>
      <c r="I25238" s="1"/>
    </row>
    <row r="25239" spans="8:9" x14ac:dyDescent="0.2">
      <c r="H25239" s="1"/>
      <c r="I25239" s="1"/>
    </row>
    <row r="25240" spans="8:9" x14ac:dyDescent="0.2">
      <c r="H25240" s="1"/>
      <c r="I25240" s="1"/>
    </row>
    <row r="25241" spans="8:9" x14ac:dyDescent="0.2">
      <c r="H25241" s="1"/>
      <c r="I25241" s="1"/>
    </row>
    <row r="25242" spans="8:9" x14ac:dyDescent="0.2">
      <c r="H25242" s="1"/>
      <c r="I25242" s="1"/>
    </row>
    <row r="25243" spans="8:9" x14ac:dyDescent="0.2">
      <c r="H25243" s="1"/>
      <c r="I25243" s="1"/>
    </row>
    <row r="25244" spans="8:9" x14ac:dyDescent="0.2">
      <c r="H25244" s="1"/>
      <c r="I25244" s="1"/>
    </row>
    <row r="25245" spans="8:9" x14ac:dyDescent="0.2">
      <c r="H25245" s="1"/>
      <c r="I25245" s="1"/>
    </row>
    <row r="25246" spans="8:9" x14ac:dyDescent="0.2">
      <c r="H25246" s="1"/>
      <c r="I25246" s="1"/>
    </row>
    <row r="25247" spans="8:9" x14ac:dyDescent="0.2">
      <c r="H25247" s="1"/>
      <c r="I25247" s="1"/>
    </row>
    <row r="25248" spans="8:9" x14ac:dyDescent="0.2">
      <c r="H25248" s="1"/>
      <c r="I25248" s="1"/>
    </row>
    <row r="25249" spans="8:9" x14ac:dyDescent="0.2">
      <c r="H25249" s="1"/>
      <c r="I25249" s="1"/>
    </row>
    <row r="25250" spans="8:9" x14ac:dyDescent="0.2">
      <c r="H25250" s="1"/>
      <c r="I25250" s="1"/>
    </row>
    <row r="25251" spans="8:9" x14ac:dyDescent="0.2">
      <c r="H25251" s="1"/>
      <c r="I25251" s="1"/>
    </row>
    <row r="25252" spans="8:9" x14ac:dyDescent="0.2">
      <c r="H25252" s="1"/>
      <c r="I25252" s="1"/>
    </row>
    <row r="25253" spans="8:9" x14ac:dyDescent="0.2">
      <c r="H25253" s="1"/>
      <c r="I25253" s="1"/>
    </row>
    <row r="25254" spans="8:9" x14ac:dyDescent="0.2">
      <c r="H25254" s="1"/>
      <c r="I25254" s="1"/>
    </row>
    <row r="25255" spans="8:9" x14ac:dyDescent="0.2">
      <c r="H25255" s="1"/>
      <c r="I25255" s="1"/>
    </row>
    <row r="25256" spans="8:9" x14ac:dyDescent="0.2">
      <c r="H25256" s="1"/>
      <c r="I25256" s="1"/>
    </row>
    <row r="25257" spans="8:9" x14ac:dyDescent="0.2">
      <c r="H25257" s="1"/>
      <c r="I25257" s="1"/>
    </row>
    <row r="25258" spans="8:9" x14ac:dyDescent="0.2">
      <c r="H25258" s="1"/>
      <c r="I25258" s="1"/>
    </row>
    <row r="25259" spans="8:9" x14ac:dyDescent="0.2">
      <c r="H25259" s="1"/>
      <c r="I25259" s="1"/>
    </row>
    <row r="25260" spans="8:9" x14ac:dyDescent="0.2">
      <c r="H25260" s="1"/>
      <c r="I25260" s="1"/>
    </row>
    <row r="25261" spans="8:9" x14ac:dyDescent="0.2">
      <c r="H25261" s="1"/>
      <c r="I25261" s="1"/>
    </row>
    <row r="25262" spans="8:9" x14ac:dyDescent="0.2">
      <c r="H25262" s="1"/>
      <c r="I25262" s="1"/>
    </row>
    <row r="25263" spans="8:9" x14ac:dyDescent="0.2">
      <c r="H25263" s="1"/>
      <c r="I25263" s="1"/>
    </row>
    <row r="25264" spans="8:9" x14ac:dyDescent="0.2">
      <c r="H25264" s="1"/>
      <c r="I25264" s="1"/>
    </row>
    <row r="25265" spans="8:9" x14ac:dyDescent="0.2">
      <c r="H25265" s="1"/>
      <c r="I25265" s="1"/>
    </row>
    <row r="25266" spans="8:9" x14ac:dyDescent="0.2">
      <c r="H25266" s="1"/>
      <c r="I25266" s="1"/>
    </row>
    <row r="25267" spans="8:9" x14ac:dyDescent="0.2">
      <c r="H25267" s="1"/>
      <c r="I25267" s="1"/>
    </row>
    <row r="25268" spans="8:9" x14ac:dyDescent="0.2">
      <c r="H25268" s="1"/>
      <c r="I25268" s="1"/>
    </row>
    <row r="25269" spans="8:9" x14ac:dyDescent="0.2">
      <c r="H25269" s="1"/>
      <c r="I25269" s="1"/>
    </row>
    <row r="25270" spans="8:9" x14ac:dyDescent="0.2">
      <c r="H25270" s="1"/>
      <c r="I25270" s="1"/>
    </row>
    <row r="25271" spans="8:9" x14ac:dyDescent="0.2">
      <c r="H25271" s="1"/>
      <c r="I25271" s="1"/>
    </row>
    <row r="25272" spans="8:9" x14ac:dyDescent="0.2">
      <c r="H25272" s="1"/>
      <c r="I25272" s="1"/>
    </row>
    <row r="25273" spans="8:9" x14ac:dyDescent="0.2">
      <c r="H25273" s="1"/>
      <c r="I25273" s="1"/>
    </row>
    <row r="25274" spans="8:9" x14ac:dyDescent="0.2">
      <c r="H25274" s="1"/>
      <c r="I25274" s="1"/>
    </row>
    <row r="25275" spans="8:9" x14ac:dyDescent="0.2">
      <c r="H25275" s="1"/>
      <c r="I25275" s="1"/>
    </row>
    <row r="25276" spans="8:9" x14ac:dyDescent="0.2">
      <c r="H25276" s="1"/>
      <c r="I25276" s="1"/>
    </row>
    <row r="25277" spans="8:9" x14ac:dyDescent="0.2">
      <c r="H25277" s="1"/>
      <c r="I25277" s="1"/>
    </row>
    <row r="25278" spans="8:9" x14ac:dyDescent="0.2">
      <c r="H25278" s="1"/>
      <c r="I25278" s="1"/>
    </row>
    <row r="25279" spans="8:9" x14ac:dyDescent="0.2">
      <c r="H25279" s="1"/>
      <c r="I25279" s="1"/>
    </row>
    <row r="25280" spans="8:9" x14ac:dyDescent="0.2">
      <c r="H25280" s="1"/>
      <c r="I25280" s="1"/>
    </row>
    <row r="25281" spans="8:9" x14ac:dyDescent="0.2">
      <c r="H25281" s="1"/>
      <c r="I25281" s="1"/>
    </row>
    <row r="25282" spans="8:9" x14ac:dyDescent="0.2">
      <c r="H25282" s="1"/>
      <c r="I25282" s="1"/>
    </row>
    <row r="25283" spans="8:9" x14ac:dyDescent="0.2">
      <c r="H25283" s="1"/>
      <c r="I25283" s="1"/>
    </row>
    <row r="25284" spans="8:9" x14ac:dyDescent="0.2">
      <c r="H25284" s="1"/>
      <c r="I25284" s="1"/>
    </row>
    <row r="25285" spans="8:9" x14ac:dyDescent="0.2">
      <c r="H25285" s="1"/>
      <c r="I25285" s="1"/>
    </row>
    <row r="25286" spans="8:9" x14ac:dyDescent="0.2">
      <c r="H25286" s="1"/>
      <c r="I25286" s="1"/>
    </row>
    <row r="25287" spans="8:9" x14ac:dyDescent="0.2">
      <c r="H25287" s="1"/>
      <c r="I25287" s="1"/>
    </row>
    <row r="25288" spans="8:9" x14ac:dyDescent="0.2">
      <c r="H25288" s="1"/>
      <c r="I25288" s="1"/>
    </row>
    <row r="25289" spans="8:9" x14ac:dyDescent="0.2">
      <c r="H25289" s="1"/>
      <c r="I25289" s="1"/>
    </row>
    <row r="25290" spans="8:9" x14ac:dyDescent="0.2">
      <c r="H25290" s="1"/>
      <c r="I25290" s="1"/>
    </row>
    <row r="25291" spans="8:9" x14ac:dyDescent="0.2">
      <c r="H25291" s="1"/>
      <c r="I25291" s="1"/>
    </row>
    <row r="25292" spans="8:9" x14ac:dyDescent="0.2">
      <c r="H25292" s="1"/>
      <c r="I25292" s="1"/>
    </row>
    <row r="25293" spans="8:9" x14ac:dyDescent="0.2">
      <c r="H25293" s="1"/>
      <c r="I25293" s="1"/>
    </row>
    <row r="25294" spans="8:9" x14ac:dyDescent="0.2">
      <c r="H25294" s="1"/>
      <c r="I25294" s="1"/>
    </row>
    <row r="25295" spans="8:9" x14ac:dyDescent="0.2">
      <c r="H25295" s="1"/>
      <c r="I25295" s="1"/>
    </row>
    <row r="25296" spans="8:9" x14ac:dyDescent="0.2">
      <c r="H25296" s="1"/>
      <c r="I25296" s="1"/>
    </row>
    <row r="25297" spans="8:9" x14ac:dyDescent="0.2">
      <c r="H25297" s="1"/>
      <c r="I25297" s="1"/>
    </row>
    <row r="25298" spans="8:9" x14ac:dyDescent="0.2">
      <c r="H25298" s="1"/>
      <c r="I25298" s="1"/>
    </row>
    <row r="25299" spans="8:9" x14ac:dyDescent="0.2">
      <c r="H25299" s="1"/>
      <c r="I25299" s="1"/>
    </row>
    <row r="25300" spans="8:9" x14ac:dyDescent="0.2">
      <c r="H25300" s="1"/>
      <c r="I25300" s="1"/>
    </row>
    <row r="25301" spans="8:9" x14ac:dyDescent="0.2">
      <c r="H25301" s="1"/>
      <c r="I25301" s="1"/>
    </row>
    <row r="25302" spans="8:9" x14ac:dyDescent="0.2">
      <c r="H25302" s="1"/>
      <c r="I25302" s="1"/>
    </row>
    <row r="25303" spans="8:9" x14ac:dyDescent="0.2">
      <c r="H25303" s="1"/>
      <c r="I25303" s="1"/>
    </row>
    <row r="25304" spans="8:9" x14ac:dyDescent="0.2">
      <c r="H25304" s="1"/>
      <c r="I25304" s="1"/>
    </row>
    <row r="25305" spans="8:9" x14ac:dyDescent="0.2">
      <c r="H25305" s="1"/>
      <c r="I25305" s="1"/>
    </row>
    <row r="25306" spans="8:9" x14ac:dyDescent="0.2">
      <c r="H25306" s="1"/>
      <c r="I25306" s="1"/>
    </row>
    <row r="25307" spans="8:9" x14ac:dyDescent="0.2">
      <c r="H25307" s="1"/>
      <c r="I25307" s="1"/>
    </row>
    <row r="25308" spans="8:9" x14ac:dyDescent="0.2">
      <c r="H25308" s="1"/>
      <c r="I25308" s="1"/>
    </row>
    <row r="25309" spans="8:9" x14ac:dyDescent="0.2">
      <c r="H25309" s="1"/>
      <c r="I25309" s="1"/>
    </row>
    <row r="25310" spans="8:9" x14ac:dyDescent="0.2">
      <c r="H25310" s="1"/>
      <c r="I25310" s="1"/>
    </row>
    <row r="25311" spans="8:9" x14ac:dyDescent="0.2">
      <c r="H25311" s="1"/>
      <c r="I25311" s="1"/>
    </row>
    <row r="25312" spans="8:9" x14ac:dyDescent="0.2">
      <c r="H25312" s="1"/>
      <c r="I25312" s="1"/>
    </row>
    <row r="25313" spans="8:9" x14ac:dyDescent="0.2">
      <c r="H25313" s="1"/>
      <c r="I25313" s="1"/>
    </row>
    <row r="25314" spans="8:9" x14ac:dyDescent="0.2">
      <c r="H25314" s="1"/>
      <c r="I25314" s="1"/>
    </row>
    <row r="25315" spans="8:9" x14ac:dyDescent="0.2">
      <c r="H25315" s="1"/>
      <c r="I25315" s="1"/>
    </row>
    <row r="25316" spans="8:9" x14ac:dyDescent="0.2">
      <c r="H25316" s="1"/>
      <c r="I25316" s="1"/>
    </row>
    <row r="25317" spans="8:9" x14ac:dyDescent="0.2">
      <c r="H25317" s="1"/>
      <c r="I25317" s="1"/>
    </row>
    <row r="25318" spans="8:9" x14ac:dyDescent="0.2">
      <c r="H25318" s="1"/>
      <c r="I25318" s="1"/>
    </row>
    <row r="25319" spans="8:9" x14ac:dyDescent="0.2">
      <c r="H25319" s="1"/>
      <c r="I25319" s="1"/>
    </row>
    <row r="25320" spans="8:9" x14ac:dyDescent="0.2">
      <c r="H25320" s="1"/>
      <c r="I25320" s="1"/>
    </row>
    <row r="25321" spans="8:9" x14ac:dyDescent="0.2">
      <c r="H25321" s="1"/>
      <c r="I25321" s="1"/>
    </row>
    <row r="25322" spans="8:9" x14ac:dyDescent="0.2">
      <c r="H25322" s="1"/>
      <c r="I25322" s="1"/>
    </row>
    <row r="25323" spans="8:9" x14ac:dyDescent="0.2">
      <c r="H25323" s="1"/>
      <c r="I25323" s="1"/>
    </row>
    <row r="25324" spans="8:9" x14ac:dyDescent="0.2">
      <c r="H25324" s="1"/>
      <c r="I25324" s="1"/>
    </row>
    <row r="25325" spans="8:9" x14ac:dyDescent="0.2">
      <c r="H25325" s="1"/>
      <c r="I25325" s="1"/>
    </row>
    <row r="25326" spans="8:9" x14ac:dyDescent="0.2">
      <c r="H25326" s="1"/>
      <c r="I25326" s="1"/>
    </row>
    <row r="25327" spans="8:9" x14ac:dyDescent="0.2">
      <c r="H25327" s="1"/>
      <c r="I25327" s="1"/>
    </row>
    <row r="25328" spans="8:9" x14ac:dyDescent="0.2">
      <c r="H25328" s="1"/>
      <c r="I25328" s="1"/>
    </row>
    <row r="25329" spans="8:9" x14ac:dyDescent="0.2">
      <c r="H25329" s="1"/>
      <c r="I25329" s="1"/>
    </row>
    <row r="25330" spans="8:9" x14ac:dyDescent="0.2">
      <c r="H25330" s="1"/>
      <c r="I25330" s="1"/>
    </row>
    <row r="25331" spans="8:9" x14ac:dyDescent="0.2">
      <c r="H25331" s="1"/>
      <c r="I25331" s="1"/>
    </row>
    <row r="25332" spans="8:9" x14ac:dyDescent="0.2">
      <c r="H25332" s="1"/>
      <c r="I25332" s="1"/>
    </row>
    <row r="25333" spans="8:9" x14ac:dyDescent="0.2">
      <c r="H25333" s="1"/>
      <c r="I25333" s="1"/>
    </row>
    <row r="25334" spans="8:9" x14ac:dyDescent="0.2">
      <c r="H25334" s="1"/>
      <c r="I25334" s="1"/>
    </row>
    <row r="25335" spans="8:9" x14ac:dyDescent="0.2">
      <c r="H25335" s="1"/>
      <c r="I25335" s="1"/>
    </row>
    <row r="25336" spans="8:9" x14ac:dyDescent="0.2">
      <c r="H25336" s="1"/>
      <c r="I25336" s="1"/>
    </row>
    <row r="25337" spans="8:9" x14ac:dyDescent="0.2">
      <c r="H25337" s="1"/>
      <c r="I25337" s="1"/>
    </row>
    <row r="25338" spans="8:9" x14ac:dyDescent="0.2">
      <c r="H25338" s="1"/>
      <c r="I25338" s="1"/>
    </row>
    <row r="25339" spans="8:9" x14ac:dyDescent="0.2">
      <c r="H25339" s="1"/>
      <c r="I25339" s="1"/>
    </row>
    <row r="25340" spans="8:9" x14ac:dyDescent="0.2">
      <c r="H25340" s="1"/>
      <c r="I25340" s="1"/>
    </row>
    <row r="25341" spans="8:9" x14ac:dyDescent="0.2">
      <c r="H25341" s="1"/>
      <c r="I25341" s="1"/>
    </row>
    <row r="25342" spans="8:9" x14ac:dyDescent="0.2">
      <c r="H25342" s="1"/>
      <c r="I25342" s="1"/>
    </row>
    <row r="25343" spans="8:9" x14ac:dyDescent="0.2">
      <c r="H25343" s="1"/>
      <c r="I25343" s="1"/>
    </row>
    <row r="25344" spans="8:9" x14ac:dyDescent="0.2">
      <c r="H25344" s="1"/>
      <c r="I25344" s="1"/>
    </row>
    <row r="25345" spans="8:9" x14ac:dyDescent="0.2">
      <c r="H25345" s="1"/>
      <c r="I25345" s="1"/>
    </row>
    <row r="25346" spans="8:9" x14ac:dyDescent="0.2">
      <c r="H25346" s="1"/>
      <c r="I25346" s="1"/>
    </row>
    <row r="25347" spans="8:9" x14ac:dyDescent="0.2">
      <c r="H25347" s="1"/>
      <c r="I25347" s="1"/>
    </row>
    <row r="25348" spans="8:9" x14ac:dyDescent="0.2">
      <c r="H25348" s="1"/>
      <c r="I25348" s="1"/>
    </row>
    <row r="25349" spans="8:9" x14ac:dyDescent="0.2">
      <c r="H25349" s="1"/>
      <c r="I25349" s="1"/>
    </row>
    <row r="25350" spans="8:9" x14ac:dyDescent="0.2">
      <c r="H25350" s="1"/>
      <c r="I25350" s="1"/>
    </row>
    <row r="25351" spans="8:9" x14ac:dyDescent="0.2">
      <c r="H25351" s="1"/>
      <c r="I25351" s="1"/>
    </row>
    <row r="25352" spans="8:9" x14ac:dyDescent="0.2">
      <c r="H25352" s="1"/>
      <c r="I25352" s="1"/>
    </row>
    <row r="25353" spans="8:9" x14ac:dyDescent="0.2">
      <c r="H25353" s="1"/>
      <c r="I25353" s="1"/>
    </row>
    <row r="25354" spans="8:9" x14ac:dyDescent="0.2">
      <c r="H25354" s="1"/>
      <c r="I25354" s="1"/>
    </row>
    <row r="25355" spans="8:9" x14ac:dyDescent="0.2">
      <c r="H25355" s="1"/>
      <c r="I25355" s="1"/>
    </row>
    <row r="25356" spans="8:9" x14ac:dyDescent="0.2">
      <c r="H25356" s="1"/>
      <c r="I25356" s="1"/>
    </row>
    <row r="25357" spans="8:9" x14ac:dyDescent="0.2">
      <c r="H25357" s="1"/>
      <c r="I25357" s="1"/>
    </row>
    <row r="25358" spans="8:9" x14ac:dyDescent="0.2">
      <c r="H25358" s="1"/>
      <c r="I25358" s="1"/>
    </row>
    <row r="25359" spans="8:9" x14ac:dyDescent="0.2">
      <c r="H25359" s="1"/>
      <c r="I25359" s="1"/>
    </row>
    <row r="25360" spans="8:9" x14ac:dyDescent="0.2">
      <c r="H25360" s="1"/>
      <c r="I25360" s="1"/>
    </row>
    <row r="25361" spans="8:9" x14ac:dyDescent="0.2">
      <c r="H25361" s="1"/>
      <c r="I25361" s="1"/>
    </row>
    <row r="25362" spans="8:9" x14ac:dyDescent="0.2">
      <c r="H25362" s="1"/>
      <c r="I25362" s="1"/>
    </row>
    <row r="25363" spans="8:9" x14ac:dyDescent="0.2">
      <c r="H25363" s="1"/>
      <c r="I25363" s="1"/>
    </row>
    <row r="25364" spans="8:9" x14ac:dyDescent="0.2">
      <c r="H25364" s="1"/>
      <c r="I25364" s="1"/>
    </row>
    <row r="25365" spans="8:9" x14ac:dyDescent="0.2">
      <c r="H25365" s="1"/>
      <c r="I25365" s="1"/>
    </row>
    <row r="25366" spans="8:9" x14ac:dyDescent="0.2">
      <c r="H25366" s="1"/>
      <c r="I25366" s="1"/>
    </row>
    <row r="25367" spans="8:9" x14ac:dyDescent="0.2">
      <c r="H25367" s="1"/>
      <c r="I25367" s="1"/>
    </row>
    <row r="25368" spans="8:9" x14ac:dyDescent="0.2">
      <c r="H25368" s="1"/>
      <c r="I25368" s="1"/>
    </row>
    <row r="25369" spans="8:9" x14ac:dyDescent="0.2">
      <c r="H25369" s="1"/>
      <c r="I25369" s="1"/>
    </row>
    <row r="25370" spans="8:9" x14ac:dyDescent="0.2">
      <c r="H25370" s="1"/>
      <c r="I25370" s="1"/>
    </row>
    <row r="25371" spans="8:9" x14ac:dyDescent="0.2">
      <c r="H25371" s="1"/>
      <c r="I25371" s="1"/>
    </row>
    <row r="25372" spans="8:9" x14ac:dyDescent="0.2">
      <c r="H25372" s="1"/>
      <c r="I25372" s="1"/>
    </row>
    <row r="25373" spans="8:9" x14ac:dyDescent="0.2">
      <c r="H25373" s="1"/>
      <c r="I25373" s="1"/>
    </row>
    <row r="25374" spans="8:9" x14ac:dyDescent="0.2">
      <c r="H25374" s="1"/>
      <c r="I25374" s="1"/>
    </row>
    <row r="25375" spans="8:9" x14ac:dyDescent="0.2">
      <c r="H25375" s="1"/>
      <c r="I25375" s="1"/>
    </row>
    <row r="25376" spans="8:9" x14ac:dyDescent="0.2">
      <c r="H25376" s="1"/>
      <c r="I25376" s="1"/>
    </row>
    <row r="25377" spans="8:9" x14ac:dyDescent="0.2">
      <c r="H25377" s="1"/>
      <c r="I25377" s="1"/>
    </row>
    <row r="25378" spans="8:9" x14ac:dyDescent="0.2">
      <c r="H25378" s="1"/>
      <c r="I25378" s="1"/>
    </row>
    <row r="25379" spans="8:9" x14ac:dyDescent="0.2">
      <c r="H25379" s="1"/>
      <c r="I25379" s="1"/>
    </row>
    <row r="25380" spans="8:9" x14ac:dyDescent="0.2">
      <c r="H25380" s="1"/>
      <c r="I25380" s="1"/>
    </row>
    <row r="25381" spans="8:9" x14ac:dyDescent="0.2">
      <c r="H25381" s="1"/>
      <c r="I25381" s="1"/>
    </row>
    <row r="25382" spans="8:9" x14ac:dyDescent="0.2">
      <c r="H25382" s="1"/>
      <c r="I25382" s="1"/>
    </row>
    <row r="25383" spans="8:9" x14ac:dyDescent="0.2">
      <c r="H25383" s="1"/>
      <c r="I25383" s="1"/>
    </row>
    <row r="25384" spans="8:9" x14ac:dyDescent="0.2">
      <c r="H25384" s="1"/>
      <c r="I25384" s="1"/>
    </row>
    <row r="25385" spans="8:9" x14ac:dyDescent="0.2">
      <c r="H25385" s="1"/>
      <c r="I25385" s="1"/>
    </row>
    <row r="25386" spans="8:9" x14ac:dyDescent="0.2">
      <c r="H25386" s="1"/>
      <c r="I25386" s="1"/>
    </row>
    <row r="25387" spans="8:9" x14ac:dyDescent="0.2">
      <c r="H25387" s="1"/>
      <c r="I25387" s="1"/>
    </row>
    <row r="25388" spans="8:9" x14ac:dyDescent="0.2">
      <c r="H25388" s="1"/>
      <c r="I25388" s="1"/>
    </row>
    <row r="25389" spans="8:9" x14ac:dyDescent="0.2">
      <c r="H25389" s="1"/>
      <c r="I25389" s="1"/>
    </row>
    <row r="25390" spans="8:9" x14ac:dyDescent="0.2">
      <c r="H25390" s="1"/>
      <c r="I25390" s="1"/>
    </row>
    <row r="25391" spans="8:9" x14ac:dyDescent="0.2">
      <c r="H25391" s="1"/>
      <c r="I25391" s="1"/>
    </row>
    <row r="25392" spans="8:9" x14ac:dyDescent="0.2">
      <c r="H25392" s="1"/>
      <c r="I25392" s="1"/>
    </row>
    <row r="25393" spans="8:9" x14ac:dyDescent="0.2">
      <c r="H25393" s="1"/>
      <c r="I25393" s="1"/>
    </row>
    <row r="25394" spans="8:9" x14ac:dyDescent="0.2">
      <c r="H25394" s="1"/>
      <c r="I25394" s="1"/>
    </row>
    <row r="25395" spans="8:9" x14ac:dyDescent="0.2">
      <c r="H25395" s="1"/>
      <c r="I25395" s="1"/>
    </row>
    <row r="25396" spans="8:9" x14ac:dyDescent="0.2">
      <c r="H25396" s="1"/>
      <c r="I25396" s="1"/>
    </row>
    <row r="25397" spans="8:9" x14ac:dyDescent="0.2">
      <c r="H25397" s="1"/>
      <c r="I25397" s="1"/>
    </row>
    <row r="25398" spans="8:9" x14ac:dyDescent="0.2">
      <c r="H25398" s="1"/>
      <c r="I25398" s="1"/>
    </row>
    <row r="25399" spans="8:9" x14ac:dyDescent="0.2">
      <c r="H25399" s="1"/>
      <c r="I25399" s="1"/>
    </row>
    <row r="25400" spans="8:9" x14ac:dyDescent="0.2">
      <c r="H25400" s="1"/>
      <c r="I25400" s="1"/>
    </row>
    <row r="25401" spans="8:9" x14ac:dyDescent="0.2">
      <c r="H25401" s="1"/>
      <c r="I25401" s="1"/>
    </row>
    <row r="25402" spans="8:9" x14ac:dyDescent="0.2">
      <c r="H25402" s="1"/>
      <c r="I25402" s="1"/>
    </row>
    <row r="25403" spans="8:9" x14ac:dyDescent="0.2">
      <c r="H25403" s="1"/>
      <c r="I25403" s="1"/>
    </row>
    <row r="25404" spans="8:9" x14ac:dyDescent="0.2">
      <c r="H25404" s="1"/>
      <c r="I25404" s="1"/>
    </row>
    <row r="25405" spans="8:9" x14ac:dyDescent="0.2">
      <c r="H25405" s="1"/>
      <c r="I25405" s="1"/>
    </row>
    <row r="25406" spans="8:9" x14ac:dyDescent="0.2">
      <c r="H25406" s="1"/>
      <c r="I25406" s="1"/>
    </row>
    <row r="25407" spans="8:9" x14ac:dyDescent="0.2">
      <c r="H25407" s="1"/>
      <c r="I25407" s="1"/>
    </row>
    <row r="25408" spans="8:9" x14ac:dyDescent="0.2">
      <c r="H25408" s="1"/>
      <c r="I25408" s="1"/>
    </row>
    <row r="25409" spans="8:9" x14ac:dyDescent="0.2">
      <c r="H25409" s="1"/>
      <c r="I25409" s="1"/>
    </row>
    <row r="25410" spans="8:9" x14ac:dyDescent="0.2">
      <c r="H25410" s="1"/>
      <c r="I25410" s="1"/>
    </row>
    <row r="25411" spans="8:9" x14ac:dyDescent="0.2">
      <c r="H25411" s="1"/>
      <c r="I25411" s="1"/>
    </row>
    <row r="25412" spans="8:9" x14ac:dyDescent="0.2">
      <c r="H25412" s="1"/>
      <c r="I25412" s="1"/>
    </row>
    <row r="25413" spans="8:9" x14ac:dyDescent="0.2">
      <c r="H25413" s="1"/>
      <c r="I25413" s="1"/>
    </row>
    <row r="25414" spans="8:9" x14ac:dyDescent="0.2">
      <c r="H25414" s="1"/>
      <c r="I25414" s="1"/>
    </row>
    <row r="25415" spans="8:9" x14ac:dyDescent="0.2">
      <c r="H25415" s="1"/>
      <c r="I25415" s="1"/>
    </row>
    <row r="25416" spans="8:9" x14ac:dyDescent="0.2">
      <c r="H25416" s="1"/>
      <c r="I25416" s="1"/>
    </row>
    <row r="25417" spans="8:9" x14ac:dyDescent="0.2">
      <c r="H25417" s="1"/>
      <c r="I25417" s="1"/>
    </row>
    <row r="25418" spans="8:9" x14ac:dyDescent="0.2">
      <c r="H25418" s="1"/>
      <c r="I25418" s="1"/>
    </row>
    <row r="25419" spans="8:9" x14ac:dyDescent="0.2">
      <c r="H25419" s="1"/>
      <c r="I25419" s="1"/>
    </row>
    <row r="25420" spans="8:9" x14ac:dyDescent="0.2">
      <c r="H25420" s="1"/>
      <c r="I25420" s="1"/>
    </row>
    <row r="25421" spans="8:9" x14ac:dyDescent="0.2">
      <c r="H25421" s="1"/>
      <c r="I25421" s="1"/>
    </row>
    <row r="25422" spans="8:9" x14ac:dyDescent="0.2">
      <c r="H25422" s="1"/>
      <c r="I25422" s="1"/>
    </row>
    <row r="25423" spans="8:9" x14ac:dyDescent="0.2">
      <c r="H25423" s="1"/>
      <c r="I25423" s="1"/>
    </row>
    <row r="25424" spans="8:9" x14ac:dyDescent="0.2">
      <c r="H25424" s="1"/>
      <c r="I25424" s="1"/>
    </row>
    <row r="25425" spans="8:9" x14ac:dyDescent="0.2">
      <c r="H25425" s="1"/>
      <c r="I25425" s="1"/>
    </row>
    <row r="25426" spans="8:9" x14ac:dyDescent="0.2">
      <c r="H25426" s="1"/>
      <c r="I25426" s="1"/>
    </row>
    <row r="25427" spans="8:9" x14ac:dyDescent="0.2">
      <c r="H25427" s="1"/>
      <c r="I25427" s="1"/>
    </row>
    <row r="25428" spans="8:9" x14ac:dyDescent="0.2">
      <c r="H25428" s="1"/>
      <c r="I25428" s="1"/>
    </row>
    <row r="25429" spans="8:9" x14ac:dyDescent="0.2">
      <c r="H25429" s="1"/>
      <c r="I25429" s="1"/>
    </row>
    <row r="25430" spans="8:9" x14ac:dyDescent="0.2">
      <c r="H25430" s="1"/>
      <c r="I25430" s="1"/>
    </row>
    <row r="25431" spans="8:9" x14ac:dyDescent="0.2">
      <c r="H25431" s="1"/>
      <c r="I25431" s="1"/>
    </row>
    <row r="25432" spans="8:9" x14ac:dyDescent="0.2">
      <c r="H25432" s="1"/>
      <c r="I25432" s="1"/>
    </row>
    <row r="25433" spans="8:9" x14ac:dyDescent="0.2">
      <c r="H25433" s="1"/>
      <c r="I25433" s="1"/>
    </row>
    <row r="25434" spans="8:9" x14ac:dyDescent="0.2">
      <c r="H25434" s="1"/>
      <c r="I25434" s="1"/>
    </row>
    <row r="25435" spans="8:9" x14ac:dyDescent="0.2">
      <c r="H25435" s="1"/>
      <c r="I25435" s="1"/>
    </row>
    <row r="25436" spans="8:9" x14ac:dyDescent="0.2">
      <c r="H25436" s="1"/>
      <c r="I25436" s="1"/>
    </row>
    <row r="25437" spans="8:9" x14ac:dyDescent="0.2">
      <c r="H25437" s="1"/>
      <c r="I25437" s="1"/>
    </row>
    <row r="25438" spans="8:9" x14ac:dyDescent="0.2">
      <c r="H25438" s="1"/>
      <c r="I25438" s="1"/>
    </row>
    <row r="25439" spans="8:9" x14ac:dyDescent="0.2">
      <c r="H25439" s="1"/>
      <c r="I25439" s="1"/>
    </row>
    <row r="25440" spans="8:9" x14ac:dyDescent="0.2">
      <c r="H25440" s="1"/>
      <c r="I25440" s="1"/>
    </row>
    <row r="25441" spans="8:9" x14ac:dyDescent="0.2">
      <c r="H25441" s="1"/>
      <c r="I25441" s="1"/>
    </row>
    <row r="25442" spans="8:9" x14ac:dyDescent="0.2">
      <c r="H25442" s="1"/>
      <c r="I25442" s="1"/>
    </row>
    <row r="25443" spans="8:9" x14ac:dyDescent="0.2">
      <c r="H25443" s="1"/>
      <c r="I25443" s="1"/>
    </row>
    <row r="25444" spans="8:9" x14ac:dyDescent="0.2">
      <c r="H25444" s="1"/>
      <c r="I25444" s="1"/>
    </row>
    <row r="25445" spans="8:9" x14ac:dyDescent="0.2">
      <c r="H25445" s="1"/>
      <c r="I25445" s="1"/>
    </row>
    <row r="25446" spans="8:9" x14ac:dyDescent="0.2">
      <c r="H25446" s="1"/>
      <c r="I25446" s="1"/>
    </row>
    <row r="25447" spans="8:9" x14ac:dyDescent="0.2">
      <c r="H25447" s="1"/>
      <c r="I25447" s="1"/>
    </row>
    <row r="25448" spans="8:9" x14ac:dyDescent="0.2">
      <c r="H25448" s="1"/>
      <c r="I25448" s="1"/>
    </row>
    <row r="25449" spans="8:9" x14ac:dyDescent="0.2">
      <c r="H25449" s="1"/>
      <c r="I25449" s="1"/>
    </row>
    <row r="25450" spans="8:9" x14ac:dyDescent="0.2">
      <c r="H25450" s="1"/>
      <c r="I25450" s="1"/>
    </row>
    <row r="25451" spans="8:9" x14ac:dyDescent="0.2">
      <c r="H25451" s="1"/>
      <c r="I25451" s="1"/>
    </row>
    <row r="25452" spans="8:9" x14ac:dyDescent="0.2">
      <c r="H25452" s="1"/>
      <c r="I25452" s="1"/>
    </row>
    <row r="25453" spans="8:9" x14ac:dyDescent="0.2">
      <c r="H25453" s="1"/>
      <c r="I25453" s="1"/>
    </row>
    <row r="25454" spans="8:9" x14ac:dyDescent="0.2">
      <c r="H25454" s="1"/>
      <c r="I25454" s="1"/>
    </row>
    <row r="25455" spans="8:9" x14ac:dyDescent="0.2">
      <c r="H25455" s="1"/>
      <c r="I25455" s="1"/>
    </row>
    <row r="25456" spans="8:9" x14ac:dyDescent="0.2">
      <c r="H25456" s="1"/>
      <c r="I25456" s="1"/>
    </row>
    <row r="25457" spans="8:9" x14ac:dyDescent="0.2">
      <c r="H25457" s="1"/>
      <c r="I25457" s="1"/>
    </row>
    <row r="25458" spans="8:9" x14ac:dyDescent="0.2">
      <c r="H25458" s="1"/>
      <c r="I25458" s="1"/>
    </row>
    <row r="25459" spans="8:9" x14ac:dyDescent="0.2">
      <c r="H25459" s="1"/>
      <c r="I25459" s="1"/>
    </row>
    <row r="25460" spans="8:9" x14ac:dyDescent="0.2">
      <c r="H25460" s="1"/>
      <c r="I25460" s="1"/>
    </row>
    <row r="25461" spans="8:9" x14ac:dyDescent="0.2">
      <c r="H25461" s="1"/>
      <c r="I25461" s="1"/>
    </row>
    <row r="25462" spans="8:9" x14ac:dyDescent="0.2">
      <c r="H25462" s="1"/>
      <c r="I25462" s="1"/>
    </row>
    <row r="25463" spans="8:9" x14ac:dyDescent="0.2">
      <c r="H25463" s="1"/>
      <c r="I25463" s="1"/>
    </row>
    <row r="25464" spans="8:9" x14ac:dyDescent="0.2">
      <c r="H25464" s="1"/>
      <c r="I25464" s="1"/>
    </row>
    <row r="25465" spans="8:9" x14ac:dyDescent="0.2">
      <c r="H25465" s="1"/>
      <c r="I25465" s="1"/>
    </row>
    <row r="25466" spans="8:9" x14ac:dyDescent="0.2">
      <c r="H25466" s="1"/>
      <c r="I25466" s="1"/>
    </row>
    <row r="25467" spans="8:9" x14ac:dyDescent="0.2">
      <c r="H25467" s="1"/>
      <c r="I25467" s="1"/>
    </row>
    <row r="25468" spans="8:9" x14ac:dyDescent="0.2">
      <c r="H25468" s="1"/>
      <c r="I25468" s="1"/>
    </row>
    <row r="25469" spans="8:9" x14ac:dyDescent="0.2">
      <c r="H25469" s="1"/>
      <c r="I25469" s="1"/>
    </row>
    <row r="25470" spans="8:9" x14ac:dyDescent="0.2">
      <c r="H25470" s="1"/>
      <c r="I25470" s="1"/>
    </row>
    <row r="25471" spans="8:9" x14ac:dyDescent="0.2">
      <c r="H25471" s="1"/>
      <c r="I25471" s="1"/>
    </row>
    <row r="25472" spans="8:9" x14ac:dyDescent="0.2">
      <c r="H25472" s="1"/>
      <c r="I25472" s="1"/>
    </row>
    <row r="25473" spans="8:9" x14ac:dyDescent="0.2">
      <c r="H25473" s="1"/>
      <c r="I25473" s="1"/>
    </row>
    <row r="25474" spans="8:9" x14ac:dyDescent="0.2">
      <c r="H25474" s="1"/>
      <c r="I25474" s="1"/>
    </row>
    <row r="25475" spans="8:9" x14ac:dyDescent="0.2">
      <c r="H25475" s="1"/>
      <c r="I25475" s="1"/>
    </row>
    <row r="25476" spans="8:9" x14ac:dyDescent="0.2">
      <c r="H25476" s="1"/>
      <c r="I25476" s="1"/>
    </row>
    <row r="25477" spans="8:9" x14ac:dyDescent="0.2">
      <c r="H25477" s="1"/>
      <c r="I25477" s="1"/>
    </row>
    <row r="25478" spans="8:9" x14ac:dyDescent="0.2">
      <c r="H25478" s="1"/>
      <c r="I25478" s="1"/>
    </row>
    <row r="25479" spans="8:9" x14ac:dyDescent="0.2">
      <c r="H25479" s="1"/>
      <c r="I25479" s="1"/>
    </row>
    <row r="25480" spans="8:9" x14ac:dyDescent="0.2">
      <c r="H25480" s="1"/>
      <c r="I25480" s="1"/>
    </row>
    <row r="25481" spans="8:9" x14ac:dyDescent="0.2">
      <c r="H25481" s="1"/>
      <c r="I25481" s="1"/>
    </row>
    <row r="25482" spans="8:9" x14ac:dyDescent="0.2">
      <c r="H25482" s="1"/>
      <c r="I25482" s="1"/>
    </row>
    <row r="25483" spans="8:9" x14ac:dyDescent="0.2">
      <c r="H25483" s="1"/>
      <c r="I25483" s="1"/>
    </row>
    <row r="25484" spans="8:9" x14ac:dyDescent="0.2">
      <c r="H25484" s="1"/>
      <c r="I25484" s="1"/>
    </row>
    <row r="25485" spans="8:9" x14ac:dyDescent="0.2">
      <c r="H25485" s="1"/>
      <c r="I25485" s="1"/>
    </row>
    <row r="25486" spans="8:9" x14ac:dyDescent="0.2">
      <c r="H25486" s="1"/>
      <c r="I25486" s="1"/>
    </row>
    <row r="25487" spans="8:9" x14ac:dyDescent="0.2">
      <c r="H25487" s="1"/>
      <c r="I25487" s="1"/>
    </row>
    <row r="25488" spans="8:9" x14ac:dyDescent="0.2">
      <c r="H25488" s="1"/>
      <c r="I25488" s="1"/>
    </row>
    <row r="25489" spans="8:9" x14ac:dyDescent="0.2">
      <c r="H25489" s="1"/>
      <c r="I25489" s="1"/>
    </row>
    <row r="25490" spans="8:9" x14ac:dyDescent="0.2">
      <c r="H25490" s="1"/>
      <c r="I25490" s="1"/>
    </row>
    <row r="25491" spans="8:9" x14ac:dyDescent="0.2">
      <c r="H25491" s="1"/>
      <c r="I25491" s="1"/>
    </row>
    <row r="25492" spans="8:9" x14ac:dyDescent="0.2">
      <c r="H25492" s="1"/>
      <c r="I25492" s="1"/>
    </row>
    <row r="25493" spans="8:9" x14ac:dyDescent="0.2">
      <c r="H25493" s="1"/>
      <c r="I25493" s="1"/>
    </row>
    <row r="25494" spans="8:9" x14ac:dyDescent="0.2">
      <c r="H25494" s="1"/>
      <c r="I25494" s="1"/>
    </row>
    <row r="25495" spans="8:9" x14ac:dyDescent="0.2">
      <c r="H25495" s="1"/>
      <c r="I25495" s="1"/>
    </row>
    <row r="25496" spans="8:9" x14ac:dyDescent="0.2">
      <c r="H25496" s="1"/>
      <c r="I25496" s="1"/>
    </row>
    <row r="25497" spans="8:9" x14ac:dyDescent="0.2">
      <c r="H25497" s="1"/>
      <c r="I25497" s="1"/>
    </row>
    <row r="25498" spans="8:9" x14ac:dyDescent="0.2">
      <c r="H25498" s="1"/>
      <c r="I25498" s="1"/>
    </row>
    <row r="25499" spans="8:9" x14ac:dyDescent="0.2">
      <c r="H25499" s="1"/>
      <c r="I25499" s="1"/>
    </row>
    <row r="25500" spans="8:9" x14ac:dyDescent="0.2">
      <c r="H25500" s="1"/>
      <c r="I25500" s="1"/>
    </row>
    <row r="25501" spans="8:9" x14ac:dyDescent="0.2">
      <c r="H25501" s="1"/>
      <c r="I25501" s="1"/>
    </row>
    <row r="25502" spans="8:9" x14ac:dyDescent="0.2">
      <c r="H25502" s="1"/>
      <c r="I25502" s="1"/>
    </row>
    <row r="25503" spans="8:9" x14ac:dyDescent="0.2">
      <c r="H25503" s="1"/>
      <c r="I25503" s="1"/>
    </row>
    <row r="25504" spans="8:9" x14ac:dyDescent="0.2">
      <c r="H25504" s="1"/>
      <c r="I25504" s="1"/>
    </row>
    <row r="25505" spans="8:9" x14ac:dyDescent="0.2">
      <c r="H25505" s="1"/>
      <c r="I25505" s="1"/>
    </row>
    <row r="25506" spans="8:9" x14ac:dyDescent="0.2">
      <c r="H25506" s="1"/>
      <c r="I25506" s="1"/>
    </row>
    <row r="25507" spans="8:9" x14ac:dyDescent="0.2">
      <c r="H25507" s="1"/>
      <c r="I25507" s="1"/>
    </row>
    <row r="25508" spans="8:9" x14ac:dyDescent="0.2">
      <c r="H25508" s="1"/>
      <c r="I25508" s="1"/>
    </row>
    <row r="25509" spans="8:9" x14ac:dyDescent="0.2">
      <c r="H25509" s="1"/>
      <c r="I25509" s="1"/>
    </row>
    <row r="25510" spans="8:9" x14ac:dyDescent="0.2">
      <c r="H25510" s="1"/>
      <c r="I25510" s="1"/>
    </row>
    <row r="25511" spans="8:9" x14ac:dyDescent="0.2">
      <c r="H25511" s="1"/>
      <c r="I25511" s="1"/>
    </row>
    <row r="25512" spans="8:9" x14ac:dyDescent="0.2">
      <c r="H25512" s="1"/>
      <c r="I25512" s="1"/>
    </row>
    <row r="25513" spans="8:9" x14ac:dyDescent="0.2">
      <c r="H25513" s="1"/>
      <c r="I25513" s="1"/>
    </row>
    <row r="25514" spans="8:9" x14ac:dyDescent="0.2">
      <c r="H25514" s="1"/>
      <c r="I25514" s="1"/>
    </row>
    <row r="25515" spans="8:9" x14ac:dyDescent="0.2">
      <c r="H25515" s="1"/>
      <c r="I25515" s="1"/>
    </row>
    <row r="25516" spans="8:9" x14ac:dyDescent="0.2">
      <c r="H25516" s="1"/>
      <c r="I25516" s="1"/>
    </row>
    <row r="25517" spans="8:9" x14ac:dyDescent="0.2">
      <c r="H25517" s="1"/>
      <c r="I25517" s="1"/>
    </row>
    <row r="25518" spans="8:9" x14ac:dyDescent="0.2">
      <c r="H25518" s="1"/>
      <c r="I25518" s="1"/>
    </row>
    <row r="25519" spans="8:9" x14ac:dyDescent="0.2">
      <c r="H25519" s="1"/>
      <c r="I25519" s="1"/>
    </row>
    <row r="25520" spans="8:9" x14ac:dyDescent="0.2">
      <c r="H25520" s="1"/>
      <c r="I25520" s="1"/>
    </row>
    <row r="25521" spans="8:9" x14ac:dyDescent="0.2">
      <c r="H25521" s="1"/>
      <c r="I25521" s="1"/>
    </row>
    <row r="25522" spans="8:9" x14ac:dyDescent="0.2">
      <c r="H25522" s="1"/>
      <c r="I25522" s="1"/>
    </row>
    <row r="25523" spans="8:9" x14ac:dyDescent="0.2">
      <c r="H25523" s="1"/>
      <c r="I25523" s="1"/>
    </row>
    <row r="25524" spans="8:9" x14ac:dyDescent="0.2">
      <c r="H25524" s="1"/>
      <c r="I25524" s="1"/>
    </row>
    <row r="25525" spans="8:9" x14ac:dyDescent="0.2">
      <c r="H25525" s="1"/>
      <c r="I25525" s="1"/>
    </row>
    <row r="25526" spans="8:9" x14ac:dyDescent="0.2">
      <c r="H25526" s="1"/>
      <c r="I25526" s="1"/>
    </row>
    <row r="25527" spans="8:9" x14ac:dyDescent="0.2">
      <c r="H25527" s="1"/>
      <c r="I25527" s="1"/>
    </row>
    <row r="25528" spans="8:9" x14ac:dyDescent="0.2">
      <c r="H25528" s="1"/>
      <c r="I25528" s="1"/>
    </row>
    <row r="25529" spans="8:9" x14ac:dyDescent="0.2">
      <c r="H25529" s="1"/>
      <c r="I25529" s="1"/>
    </row>
    <row r="25530" spans="8:9" x14ac:dyDescent="0.2">
      <c r="H25530" s="1"/>
      <c r="I25530" s="1"/>
    </row>
    <row r="25531" spans="8:9" x14ac:dyDescent="0.2">
      <c r="H25531" s="1"/>
      <c r="I25531" s="1"/>
    </row>
    <row r="25532" spans="8:9" x14ac:dyDescent="0.2">
      <c r="H25532" s="1"/>
      <c r="I25532" s="1"/>
    </row>
    <row r="25533" spans="8:9" x14ac:dyDescent="0.2">
      <c r="H25533" s="1"/>
      <c r="I25533" s="1"/>
    </row>
    <row r="25534" spans="8:9" x14ac:dyDescent="0.2">
      <c r="H25534" s="1"/>
      <c r="I25534" s="1"/>
    </row>
    <row r="25535" spans="8:9" x14ac:dyDescent="0.2">
      <c r="H25535" s="1"/>
      <c r="I25535" s="1"/>
    </row>
    <row r="25536" spans="8:9" x14ac:dyDescent="0.2">
      <c r="H25536" s="1"/>
      <c r="I25536" s="1"/>
    </row>
    <row r="25537" spans="8:9" x14ac:dyDescent="0.2">
      <c r="H25537" s="1"/>
      <c r="I25537" s="1"/>
    </row>
    <row r="25538" spans="8:9" x14ac:dyDescent="0.2">
      <c r="H25538" s="1"/>
      <c r="I25538" s="1"/>
    </row>
    <row r="25539" spans="8:9" x14ac:dyDescent="0.2">
      <c r="H25539" s="1"/>
      <c r="I25539" s="1"/>
    </row>
    <row r="25540" spans="8:9" x14ac:dyDescent="0.2">
      <c r="H25540" s="1"/>
      <c r="I25540" s="1"/>
    </row>
    <row r="25541" spans="8:9" x14ac:dyDescent="0.2">
      <c r="H25541" s="1"/>
      <c r="I25541" s="1"/>
    </row>
    <row r="25542" spans="8:9" x14ac:dyDescent="0.2">
      <c r="H25542" s="1"/>
      <c r="I25542" s="1"/>
    </row>
    <row r="25543" spans="8:9" x14ac:dyDescent="0.2">
      <c r="H25543" s="1"/>
      <c r="I25543" s="1"/>
    </row>
    <row r="25544" spans="8:9" x14ac:dyDescent="0.2">
      <c r="H25544" s="1"/>
      <c r="I25544" s="1"/>
    </row>
    <row r="25545" spans="8:9" x14ac:dyDescent="0.2">
      <c r="H25545" s="1"/>
      <c r="I25545" s="1"/>
    </row>
    <row r="25546" spans="8:9" x14ac:dyDescent="0.2">
      <c r="H25546" s="1"/>
      <c r="I25546" s="1"/>
    </row>
    <row r="25547" spans="8:9" x14ac:dyDescent="0.2">
      <c r="H25547" s="1"/>
      <c r="I25547" s="1"/>
    </row>
    <row r="25548" spans="8:9" x14ac:dyDescent="0.2">
      <c r="H25548" s="1"/>
      <c r="I25548" s="1"/>
    </row>
    <row r="25549" spans="8:9" x14ac:dyDescent="0.2">
      <c r="H25549" s="1"/>
      <c r="I25549" s="1"/>
    </row>
    <row r="25550" spans="8:9" x14ac:dyDescent="0.2">
      <c r="H25550" s="1"/>
      <c r="I25550" s="1"/>
    </row>
    <row r="25551" spans="8:9" x14ac:dyDescent="0.2">
      <c r="H25551" s="1"/>
      <c r="I25551" s="1"/>
    </row>
    <row r="25552" spans="8:9" x14ac:dyDescent="0.2">
      <c r="H25552" s="1"/>
      <c r="I25552" s="1"/>
    </row>
    <row r="25553" spans="8:9" x14ac:dyDescent="0.2">
      <c r="H25553" s="1"/>
      <c r="I25553" s="1"/>
    </row>
    <row r="25554" spans="8:9" x14ac:dyDescent="0.2">
      <c r="H25554" s="1"/>
      <c r="I25554" s="1"/>
    </row>
    <row r="25555" spans="8:9" x14ac:dyDescent="0.2">
      <c r="H25555" s="1"/>
      <c r="I25555" s="1"/>
    </row>
    <row r="25556" spans="8:9" x14ac:dyDescent="0.2">
      <c r="H25556" s="1"/>
      <c r="I25556" s="1"/>
    </row>
    <row r="25557" spans="8:9" x14ac:dyDescent="0.2">
      <c r="H25557" s="1"/>
      <c r="I25557" s="1"/>
    </row>
    <row r="25558" spans="8:9" x14ac:dyDescent="0.2">
      <c r="H25558" s="1"/>
      <c r="I25558" s="1"/>
    </row>
    <row r="25559" spans="8:9" x14ac:dyDescent="0.2">
      <c r="H25559" s="1"/>
      <c r="I25559" s="1"/>
    </row>
    <row r="25560" spans="8:9" x14ac:dyDescent="0.2">
      <c r="H25560" s="1"/>
      <c r="I25560" s="1"/>
    </row>
    <row r="25561" spans="8:9" x14ac:dyDescent="0.2">
      <c r="H25561" s="1"/>
      <c r="I25561" s="1"/>
    </row>
    <row r="25562" spans="8:9" x14ac:dyDescent="0.2">
      <c r="H25562" s="1"/>
      <c r="I25562" s="1"/>
    </row>
    <row r="25563" spans="8:9" x14ac:dyDescent="0.2">
      <c r="H25563" s="1"/>
      <c r="I25563" s="1"/>
    </row>
    <row r="25564" spans="8:9" x14ac:dyDescent="0.2">
      <c r="H25564" s="1"/>
      <c r="I25564" s="1"/>
    </row>
    <row r="25565" spans="8:9" x14ac:dyDescent="0.2">
      <c r="H25565" s="1"/>
      <c r="I25565" s="1"/>
    </row>
    <row r="25566" spans="8:9" x14ac:dyDescent="0.2">
      <c r="H25566" s="1"/>
      <c r="I25566" s="1"/>
    </row>
    <row r="25567" spans="8:9" x14ac:dyDescent="0.2">
      <c r="H25567" s="1"/>
      <c r="I25567" s="1"/>
    </row>
    <row r="25568" spans="8:9" x14ac:dyDescent="0.2">
      <c r="H25568" s="1"/>
      <c r="I25568" s="1"/>
    </row>
    <row r="25569" spans="8:9" x14ac:dyDescent="0.2">
      <c r="H25569" s="1"/>
      <c r="I25569" s="1"/>
    </row>
    <row r="25570" spans="8:9" x14ac:dyDescent="0.2">
      <c r="H25570" s="1"/>
      <c r="I25570" s="1"/>
    </row>
    <row r="25571" spans="8:9" x14ac:dyDescent="0.2">
      <c r="H25571" s="1"/>
      <c r="I25571" s="1"/>
    </row>
    <row r="25572" spans="8:9" x14ac:dyDescent="0.2">
      <c r="H25572" s="1"/>
      <c r="I25572" s="1"/>
    </row>
    <row r="25573" spans="8:9" x14ac:dyDescent="0.2">
      <c r="H25573" s="1"/>
      <c r="I25573" s="1"/>
    </row>
    <row r="25574" spans="8:9" x14ac:dyDescent="0.2">
      <c r="H25574" s="1"/>
      <c r="I25574" s="1"/>
    </row>
    <row r="25575" spans="8:9" x14ac:dyDescent="0.2">
      <c r="H25575" s="1"/>
      <c r="I25575" s="1"/>
    </row>
    <row r="25576" spans="8:9" x14ac:dyDescent="0.2">
      <c r="H25576" s="1"/>
      <c r="I25576" s="1"/>
    </row>
    <row r="25577" spans="8:9" x14ac:dyDescent="0.2">
      <c r="H25577" s="1"/>
      <c r="I25577" s="1"/>
    </row>
    <row r="25578" spans="8:9" x14ac:dyDescent="0.2">
      <c r="H25578" s="1"/>
      <c r="I25578" s="1"/>
    </row>
    <row r="25579" spans="8:9" x14ac:dyDescent="0.2">
      <c r="H25579" s="1"/>
      <c r="I25579" s="1"/>
    </row>
    <row r="25580" spans="8:9" x14ac:dyDescent="0.2">
      <c r="H25580" s="1"/>
      <c r="I25580" s="1"/>
    </row>
    <row r="25581" spans="8:9" x14ac:dyDescent="0.2">
      <c r="H25581" s="1"/>
      <c r="I25581" s="1"/>
    </row>
    <row r="25582" spans="8:9" x14ac:dyDescent="0.2">
      <c r="H25582" s="1"/>
      <c r="I25582" s="1"/>
    </row>
    <row r="25583" spans="8:9" x14ac:dyDescent="0.2">
      <c r="H25583" s="1"/>
      <c r="I25583" s="1"/>
    </row>
    <row r="25584" spans="8:9" x14ac:dyDescent="0.2">
      <c r="H25584" s="1"/>
      <c r="I25584" s="1"/>
    </row>
    <row r="25585" spans="8:9" x14ac:dyDescent="0.2">
      <c r="H25585" s="1"/>
      <c r="I25585" s="1"/>
    </row>
    <row r="25586" spans="8:9" x14ac:dyDescent="0.2">
      <c r="H25586" s="1"/>
      <c r="I25586" s="1"/>
    </row>
    <row r="25587" spans="8:9" x14ac:dyDescent="0.2">
      <c r="H25587" s="1"/>
      <c r="I25587" s="1"/>
    </row>
    <row r="25588" spans="8:9" x14ac:dyDescent="0.2">
      <c r="H25588" s="1"/>
      <c r="I25588" s="1"/>
    </row>
    <row r="25589" spans="8:9" x14ac:dyDescent="0.2">
      <c r="H25589" s="1"/>
      <c r="I25589" s="1"/>
    </row>
    <row r="25590" spans="8:9" x14ac:dyDescent="0.2">
      <c r="H25590" s="1"/>
      <c r="I25590" s="1"/>
    </row>
    <row r="25591" spans="8:9" x14ac:dyDescent="0.2">
      <c r="H25591" s="1"/>
      <c r="I25591" s="1"/>
    </row>
    <row r="25592" spans="8:9" x14ac:dyDescent="0.2">
      <c r="H25592" s="1"/>
      <c r="I25592" s="1"/>
    </row>
    <row r="25593" spans="8:9" x14ac:dyDescent="0.2">
      <c r="H25593" s="1"/>
      <c r="I25593" s="1"/>
    </row>
    <row r="25594" spans="8:9" x14ac:dyDescent="0.2">
      <c r="H25594" s="1"/>
      <c r="I25594" s="1"/>
    </row>
    <row r="25595" spans="8:9" x14ac:dyDescent="0.2">
      <c r="H25595" s="1"/>
      <c r="I25595" s="1"/>
    </row>
    <row r="25596" spans="8:9" x14ac:dyDescent="0.2">
      <c r="H25596" s="1"/>
      <c r="I25596" s="1"/>
    </row>
    <row r="25597" spans="8:9" x14ac:dyDescent="0.2">
      <c r="H25597" s="1"/>
      <c r="I25597" s="1"/>
    </row>
    <row r="25598" spans="8:9" x14ac:dyDescent="0.2">
      <c r="H25598" s="1"/>
      <c r="I25598" s="1"/>
    </row>
    <row r="25599" spans="8:9" x14ac:dyDescent="0.2">
      <c r="H25599" s="1"/>
      <c r="I25599" s="1"/>
    </row>
    <row r="25600" spans="8:9" x14ac:dyDescent="0.2">
      <c r="H25600" s="1"/>
      <c r="I25600" s="1"/>
    </row>
    <row r="25601" spans="8:9" x14ac:dyDescent="0.2">
      <c r="H25601" s="1"/>
      <c r="I25601" s="1"/>
    </row>
    <row r="25602" spans="8:9" x14ac:dyDescent="0.2">
      <c r="H25602" s="1"/>
      <c r="I25602" s="1"/>
    </row>
    <row r="25603" spans="8:9" x14ac:dyDescent="0.2">
      <c r="H25603" s="1"/>
      <c r="I25603" s="1"/>
    </row>
    <row r="25604" spans="8:9" x14ac:dyDescent="0.2">
      <c r="H25604" s="1"/>
      <c r="I25604" s="1"/>
    </row>
    <row r="25605" spans="8:9" x14ac:dyDescent="0.2">
      <c r="H25605" s="1"/>
      <c r="I25605" s="1"/>
    </row>
    <row r="25606" spans="8:9" x14ac:dyDescent="0.2">
      <c r="H25606" s="1"/>
      <c r="I25606" s="1"/>
    </row>
    <row r="25607" spans="8:9" x14ac:dyDescent="0.2">
      <c r="H25607" s="1"/>
      <c r="I25607" s="1"/>
    </row>
    <row r="25608" spans="8:9" x14ac:dyDescent="0.2">
      <c r="H25608" s="1"/>
      <c r="I25608" s="1"/>
    </row>
    <row r="25609" spans="8:9" x14ac:dyDescent="0.2">
      <c r="H25609" s="1"/>
      <c r="I25609" s="1"/>
    </row>
    <row r="25610" spans="8:9" x14ac:dyDescent="0.2">
      <c r="H25610" s="1"/>
      <c r="I25610" s="1"/>
    </row>
    <row r="25611" spans="8:9" x14ac:dyDescent="0.2">
      <c r="H25611" s="1"/>
      <c r="I25611" s="1"/>
    </row>
    <row r="25612" spans="8:9" x14ac:dyDescent="0.2">
      <c r="H25612" s="1"/>
      <c r="I25612" s="1"/>
    </row>
    <row r="25613" spans="8:9" x14ac:dyDescent="0.2">
      <c r="H25613" s="1"/>
      <c r="I25613" s="1"/>
    </row>
    <row r="25614" spans="8:9" x14ac:dyDescent="0.2">
      <c r="H25614" s="1"/>
      <c r="I25614" s="1"/>
    </row>
    <row r="25615" spans="8:9" x14ac:dyDescent="0.2">
      <c r="H25615" s="1"/>
      <c r="I25615" s="1"/>
    </row>
    <row r="25616" spans="8:9" x14ac:dyDescent="0.2">
      <c r="H25616" s="1"/>
      <c r="I25616" s="1"/>
    </row>
    <row r="25617" spans="8:9" x14ac:dyDescent="0.2">
      <c r="H25617" s="1"/>
      <c r="I25617" s="1"/>
    </row>
    <row r="25618" spans="8:9" x14ac:dyDescent="0.2">
      <c r="H25618" s="1"/>
      <c r="I25618" s="1"/>
    </row>
    <row r="25619" spans="8:9" x14ac:dyDescent="0.2">
      <c r="H25619" s="1"/>
      <c r="I25619" s="1"/>
    </row>
    <row r="25620" spans="8:9" x14ac:dyDescent="0.2">
      <c r="H25620" s="1"/>
      <c r="I25620" s="1"/>
    </row>
    <row r="25621" spans="8:9" x14ac:dyDescent="0.2">
      <c r="H25621" s="1"/>
      <c r="I25621" s="1"/>
    </row>
    <row r="25622" spans="8:9" x14ac:dyDescent="0.2">
      <c r="H25622" s="1"/>
      <c r="I25622" s="1"/>
    </row>
    <row r="25623" spans="8:9" x14ac:dyDescent="0.2">
      <c r="H25623" s="1"/>
      <c r="I25623" s="1"/>
    </row>
    <row r="25624" spans="8:9" x14ac:dyDescent="0.2">
      <c r="H25624" s="1"/>
      <c r="I25624" s="1"/>
    </row>
    <row r="25625" spans="8:9" x14ac:dyDescent="0.2">
      <c r="H25625" s="1"/>
      <c r="I25625" s="1"/>
    </row>
    <row r="25626" spans="8:9" x14ac:dyDescent="0.2">
      <c r="H25626" s="1"/>
      <c r="I25626" s="1"/>
    </row>
    <row r="25627" spans="8:9" x14ac:dyDescent="0.2">
      <c r="H25627" s="1"/>
      <c r="I25627" s="1"/>
    </row>
    <row r="25628" spans="8:9" x14ac:dyDescent="0.2">
      <c r="H25628" s="1"/>
      <c r="I25628" s="1"/>
    </row>
    <row r="25629" spans="8:9" x14ac:dyDescent="0.2">
      <c r="H25629" s="1"/>
      <c r="I25629" s="1"/>
    </row>
    <row r="25630" spans="8:9" x14ac:dyDescent="0.2">
      <c r="H25630" s="1"/>
      <c r="I25630" s="1"/>
    </row>
    <row r="25631" spans="8:9" x14ac:dyDescent="0.2">
      <c r="H25631" s="1"/>
      <c r="I25631" s="1"/>
    </row>
    <row r="25632" spans="8:9" x14ac:dyDescent="0.2">
      <c r="H25632" s="1"/>
      <c r="I25632" s="1"/>
    </row>
    <row r="25633" spans="8:9" x14ac:dyDescent="0.2">
      <c r="H25633" s="1"/>
      <c r="I25633" s="1"/>
    </row>
    <row r="25634" spans="8:9" x14ac:dyDescent="0.2">
      <c r="H25634" s="1"/>
      <c r="I25634" s="1"/>
    </row>
    <row r="25635" spans="8:9" x14ac:dyDescent="0.2">
      <c r="H25635" s="1"/>
      <c r="I25635" s="1"/>
    </row>
    <row r="25636" spans="8:9" x14ac:dyDescent="0.2">
      <c r="H25636" s="1"/>
      <c r="I25636" s="1"/>
    </row>
    <row r="25637" spans="8:9" x14ac:dyDescent="0.2">
      <c r="H25637" s="1"/>
      <c r="I25637" s="1"/>
    </row>
    <row r="25638" spans="8:9" x14ac:dyDescent="0.2">
      <c r="H25638" s="1"/>
      <c r="I25638" s="1"/>
    </row>
    <row r="25639" spans="8:9" x14ac:dyDescent="0.2">
      <c r="H25639" s="1"/>
      <c r="I25639" s="1"/>
    </row>
    <row r="25640" spans="8:9" x14ac:dyDescent="0.2">
      <c r="H25640" s="1"/>
      <c r="I25640" s="1"/>
    </row>
    <row r="25641" spans="8:9" x14ac:dyDescent="0.2">
      <c r="H25641" s="1"/>
      <c r="I25641" s="1"/>
    </row>
    <row r="25642" spans="8:9" x14ac:dyDescent="0.2">
      <c r="H25642" s="1"/>
      <c r="I25642" s="1"/>
    </row>
    <row r="25643" spans="8:9" x14ac:dyDescent="0.2">
      <c r="H25643" s="1"/>
      <c r="I25643" s="1"/>
    </row>
    <row r="25644" spans="8:9" x14ac:dyDescent="0.2">
      <c r="H25644" s="1"/>
      <c r="I25644" s="1"/>
    </row>
    <row r="25645" spans="8:9" x14ac:dyDescent="0.2">
      <c r="H25645" s="1"/>
      <c r="I25645" s="1"/>
    </row>
    <row r="25646" spans="8:9" x14ac:dyDescent="0.2">
      <c r="H25646" s="1"/>
      <c r="I25646" s="1"/>
    </row>
    <row r="25647" spans="8:9" x14ac:dyDescent="0.2">
      <c r="H25647" s="1"/>
      <c r="I25647" s="1"/>
    </row>
    <row r="25648" spans="8:9" x14ac:dyDescent="0.2">
      <c r="H25648" s="1"/>
      <c r="I25648" s="1"/>
    </row>
    <row r="25649" spans="8:9" x14ac:dyDescent="0.2">
      <c r="H25649" s="1"/>
      <c r="I25649" s="1"/>
    </row>
    <row r="25650" spans="8:9" x14ac:dyDescent="0.2">
      <c r="H25650" s="1"/>
      <c r="I25650" s="1"/>
    </row>
    <row r="25651" spans="8:9" x14ac:dyDescent="0.2">
      <c r="H25651" s="1"/>
      <c r="I25651" s="1"/>
    </row>
    <row r="25652" spans="8:9" x14ac:dyDescent="0.2">
      <c r="H25652" s="1"/>
      <c r="I25652" s="1"/>
    </row>
    <row r="25653" spans="8:9" x14ac:dyDescent="0.2">
      <c r="H25653" s="1"/>
      <c r="I25653" s="1"/>
    </row>
    <row r="25654" spans="8:9" x14ac:dyDescent="0.2">
      <c r="H25654" s="1"/>
      <c r="I25654" s="1"/>
    </row>
    <row r="25655" spans="8:9" x14ac:dyDescent="0.2">
      <c r="H25655" s="1"/>
      <c r="I25655" s="1"/>
    </row>
    <row r="25656" spans="8:9" x14ac:dyDescent="0.2">
      <c r="H25656" s="1"/>
      <c r="I25656" s="1"/>
    </row>
    <row r="25657" spans="8:9" x14ac:dyDescent="0.2">
      <c r="H25657" s="1"/>
      <c r="I25657" s="1"/>
    </row>
    <row r="25658" spans="8:9" x14ac:dyDescent="0.2">
      <c r="H25658" s="1"/>
      <c r="I25658" s="1"/>
    </row>
    <row r="25659" spans="8:9" x14ac:dyDescent="0.2">
      <c r="H25659" s="1"/>
      <c r="I25659" s="1"/>
    </row>
    <row r="25660" spans="8:9" x14ac:dyDescent="0.2">
      <c r="H25660" s="1"/>
      <c r="I25660" s="1"/>
    </row>
    <row r="25661" spans="8:9" x14ac:dyDescent="0.2">
      <c r="H25661" s="1"/>
      <c r="I25661" s="1"/>
    </row>
    <row r="25662" spans="8:9" x14ac:dyDescent="0.2">
      <c r="H25662" s="1"/>
      <c r="I25662" s="1"/>
    </row>
    <row r="25663" spans="8:9" x14ac:dyDescent="0.2">
      <c r="H25663" s="1"/>
      <c r="I25663" s="1"/>
    </row>
    <row r="25664" spans="8:9" x14ac:dyDescent="0.2">
      <c r="H25664" s="1"/>
      <c r="I25664" s="1"/>
    </row>
    <row r="25665" spans="8:9" x14ac:dyDescent="0.2">
      <c r="H25665" s="1"/>
      <c r="I25665" s="1"/>
    </row>
    <row r="25666" spans="8:9" x14ac:dyDescent="0.2">
      <c r="H25666" s="1"/>
      <c r="I25666" s="1"/>
    </row>
    <row r="25667" spans="8:9" x14ac:dyDescent="0.2">
      <c r="H25667" s="1"/>
      <c r="I25667" s="1"/>
    </row>
    <row r="25668" spans="8:9" x14ac:dyDescent="0.2">
      <c r="H25668" s="1"/>
      <c r="I25668" s="1"/>
    </row>
    <row r="25669" spans="8:9" x14ac:dyDescent="0.2">
      <c r="H25669" s="1"/>
      <c r="I25669" s="1"/>
    </row>
    <row r="25670" spans="8:9" x14ac:dyDescent="0.2">
      <c r="H25670" s="1"/>
      <c r="I25670" s="1"/>
    </row>
    <row r="25671" spans="8:9" x14ac:dyDescent="0.2">
      <c r="H25671" s="1"/>
      <c r="I25671" s="1"/>
    </row>
    <row r="25672" spans="8:9" x14ac:dyDescent="0.2">
      <c r="H25672" s="1"/>
      <c r="I25672" s="1"/>
    </row>
    <row r="25673" spans="8:9" x14ac:dyDescent="0.2">
      <c r="H25673" s="1"/>
      <c r="I25673" s="1"/>
    </row>
    <row r="25674" spans="8:9" x14ac:dyDescent="0.2">
      <c r="H25674" s="1"/>
      <c r="I25674" s="1"/>
    </row>
    <row r="25675" spans="8:9" x14ac:dyDescent="0.2">
      <c r="H25675" s="1"/>
      <c r="I25675" s="1"/>
    </row>
    <row r="25676" spans="8:9" x14ac:dyDescent="0.2">
      <c r="H25676" s="1"/>
      <c r="I25676" s="1"/>
    </row>
    <row r="25677" spans="8:9" x14ac:dyDescent="0.2">
      <c r="H25677" s="1"/>
      <c r="I25677" s="1"/>
    </row>
    <row r="25678" spans="8:9" x14ac:dyDescent="0.2">
      <c r="H25678" s="1"/>
      <c r="I25678" s="1"/>
    </row>
    <row r="25679" spans="8:9" x14ac:dyDescent="0.2">
      <c r="H25679" s="1"/>
      <c r="I25679" s="1"/>
    </row>
    <row r="25680" spans="8:9" x14ac:dyDescent="0.2">
      <c r="H25680" s="1"/>
      <c r="I25680" s="1"/>
    </row>
    <row r="25681" spans="8:9" x14ac:dyDescent="0.2">
      <c r="H25681" s="1"/>
      <c r="I25681" s="1"/>
    </row>
    <row r="25682" spans="8:9" x14ac:dyDescent="0.2">
      <c r="H25682" s="1"/>
      <c r="I25682" s="1"/>
    </row>
    <row r="25683" spans="8:9" x14ac:dyDescent="0.2">
      <c r="H25683" s="1"/>
      <c r="I25683" s="1"/>
    </row>
    <row r="25684" spans="8:9" x14ac:dyDescent="0.2">
      <c r="H25684" s="1"/>
      <c r="I25684" s="1"/>
    </row>
    <row r="25685" spans="8:9" x14ac:dyDescent="0.2">
      <c r="H25685" s="1"/>
      <c r="I25685" s="1"/>
    </row>
    <row r="25686" spans="8:9" x14ac:dyDescent="0.2">
      <c r="H25686" s="1"/>
      <c r="I25686" s="1"/>
    </row>
    <row r="25687" spans="8:9" x14ac:dyDescent="0.2">
      <c r="H25687" s="1"/>
      <c r="I25687" s="1"/>
    </row>
    <row r="25688" spans="8:9" x14ac:dyDescent="0.2">
      <c r="H25688" s="1"/>
      <c r="I25688" s="1"/>
    </row>
  </sheetData>
  <sheetProtection selectLockedCells="1" selectUnlockedCells="1"/>
  <autoFilter ref="G1:G975"/>
  <mergeCells count="4">
    <mergeCell ref="C190:C192"/>
    <mergeCell ref="G190:G192"/>
    <mergeCell ref="I32:I33"/>
    <mergeCell ref="J32:J33"/>
  </mergeCells>
  <printOptions horizontalCentered="1"/>
  <pageMargins left="0.23622047244094491" right="0.23622047244094491" top="0.74803149606299213" bottom="0.35433070866141736" header="0.31496062992125984" footer="0.31496062992125984"/>
  <pageSetup paperSize="28" scale="70" firstPageNumber="0" fitToHeight="0" orientation="landscape"/>
  <headerFooter>
    <oddFooter>&amp;C&amp;P</oddFooter>
  </headerFooter>
  <rowBreaks count="1" manualBreakCount="1">
    <brk id="911" max="9"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1"/>
  <sheetViews>
    <sheetView workbookViewId="0">
      <selection activeCell="Q9" sqref="Q9"/>
    </sheetView>
  </sheetViews>
  <sheetFormatPr defaultColWidth="7.140625" defaultRowHeight="11.25" x14ac:dyDescent="0.2"/>
  <cols>
    <col min="1" max="1" width="6.5703125" style="1545" customWidth="1"/>
    <col min="2" max="2" width="9.140625" style="1546" hidden="1" customWidth="1"/>
    <col min="3" max="3" width="38.28515625" style="1544" customWidth="1"/>
    <col min="4" max="4" width="12.5703125" style="1544" customWidth="1"/>
    <col min="5" max="5" width="10.7109375" style="1545" customWidth="1"/>
    <col min="6" max="6" width="9.5703125" style="1545" customWidth="1"/>
    <col min="7" max="8" width="12.7109375" style="1544" customWidth="1"/>
    <col min="9" max="9" width="12.7109375" style="1545" customWidth="1"/>
    <col min="10" max="10" width="39.5703125" style="1547" customWidth="1"/>
    <col min="11" max="11" width="9.140625" style="1544" customWidth="1"/>
    <col min="12" max="16384" width="7.140625" style="1544"/>
  </cols>
  <sheetData>
    <row r="1" spans="1:15" x14ac:dyDescent="0.2">
      <c r="J1" s="1548" t="s">
        <v>2035</v>
      </c>
    </row>
    <row r="2" spans="1:15" ht="18" customHeight="1" x14ac:dyDescent="0.2">
      <c r="A2" s="2632" t="s">
        <v>2036</v>
      </c>
      <c r="B2" s="2632"/>
      <c r="C2" s="2632"/>
      <c r="D2" s="2632"/>
      <c r="E2" s="2632"/>
      <c r="F2" s="2632"/>
      <c r="G2" s="2632"/>
      <c r="H2" s="2632"/>
      <c r="I2" s="2632"/>
      <c r="J2" s="2632"/>
      <c r="K2" s="1549"/>
      <c r="L2" s="1550"/>
      <c r="M2" s="1550"/>
      <c r="N2" s="1550"/>
      <c r="O2" s="1549"/>
    </row>
    <row r="3" spans="1:15" x14ac:dyDescent="0.2">
      <c r="A3" s="1551"/>
      <c r="B3" s="1552"/>
      <c r="C3" s="1551"/>
      <c r="D3" s="1551"/>
      <c r="G3" s="1551"/>
      <c r="H3" s="1551"/>
      <c r="J3" s="1553"/>
      <c r="L3" s="1554"/>
      <c r="M3" s="1554"/>
      <c r="N3" s="1554"/>
    </row>
    <row r="4" spans="1:15" ht="24" customHeight="1" x14ac:dyDescent="0.2">
      <c r="A4" s="2633" t="s">
        <v>2037</v>
      </c>
      <c r="B4" s="2635" t="s">
        <v>2038</v>
      </c>
      <c r="C4" s="2637" t="s">
        <v>2039</v>
      </c>
      <c r="D4" s="2639" t="s">
        <v>2040</v>
      </c>
      <c r="E4" s="2639" t="s">
        <v>2041</v>
      </c>
      <c r="F4" s="2639" t="s">
        <v>2042</v>
      </c>
      <c r="G4" s="2641" t="s">
        <v>2043</v>
      </c>
      <c r="H4" s="2642"/>
      <c r="I4" s="2643"/>
      <c r="J4" s="2644" t="s">
        <v>2044</v>
      </c>
    </row>
    <row r="5" spans="1:15" ht="24" customHeight="1" x14ac:dyDescent="0.2">
      <c r="A5" s="2634"/>
      <c r="B5" s="2636"/>
      <c r="C5" s="2638"/>
      <c r="D5" s="2640"/>
      <c r="E5" s="2640"/>
      <c r="F5" s="2640"/>
      <c r="G5" s="1555" t="s">
        <v>2045</v>
      </c>
      <c r="H5" s="1555" t="s">
        <v>2046</v>
      </c>
      <c r="I5" s="1555" t="s">
        <v>2047</v>
      </c>
      <c r="J5" s="2645"/>
    </row>
    <row r="6" spans="1:15" s="1545" customFormat="1" ht="18" customHeight="1" x14ac:dyDescent="0.2">
      <c r="A6" s="2627" t="s">
        <v>2048</v>
      </c>
      <c r="B6" s="2628"/>
      <c r="C6" s="2628"/>
      <c r="D6" s="2628"/>
      <c r="E6" s="2628"/>
      <c r="F6" s="2628"/>
      <c r="G6" s="2628"/>
      <c r="H6" s="2628"/>
      <c r="I6" s="2628"/>
      <c r="J6" s="2629"/>
    </row>
    <row r="7" spans="1:15" s="1545" customFormat="1" ht="24" customHeight="1" x14ac:dyDescent="0.2">
      <c r="A7" s="1556"/>
      <c r="B7" s="1557">
        <v>4077</v>
      </c>
      <c r="C7" s="1558" t="s">
        <v>2049</v>
      </c>
      <c r="D7" s="1559">
        <v>1000000</v>
      </c>
      <c r="E7" s="1560">
        <v>0</v>
      </c>
      <c r="F7" s="1559">
        <v>0</v>
      </c>
      <c r="G7" s="1561">
        <v>500000</v>
      </c>
      <c r="H7" s="1560">
        <v>500000</v>
      </c>
      <c r="I7" s="1560">
        <v>0</v>
      </c>
      <c r="J7" s="1562" t="s">
        <v>2050</v>
      </c>
    </row>
    <row r="8" spans="1:15" s="1545" customFormat="1" ht="24" customHeight="1" x14ac:dyDescent="0.2">
      <c r="A8" s="1556"/>
      <c r="B8" s="1557">
        <v>5337</v>
      </c>
      <c r="C8" s="1558" t="s">
        <v>2051</v>
      </c>
      <c r="D8" s="1559">
        <v>1500000</v>
      </c>
      <c r="E8" s="1560">
        <v>0</v>
      </c>
      <c r="F8" s="1559">
        <v>0</v>
      </c>
      <c r="G8" s="1561">
        <v>750000</v>
      </c>
      <c r="H8" s="1560">
        <v>750000</v>
      </c>
      <c r="I8" s="1560">
        <v>0</v>
      </c>
      <c r="J8" s="1562" t="s">
        <v>2050</v>
      </c>
    </row>
    <row r="9" spans="1:15" s="1545" customFormat="1" ht="24" customHeight="1" x14ac:dyDescent="0.2">
      <c r="A9" s="1556"/>
      <c r="B9" s="1557">
        <v>5338</v>
      </c>
      <c r="C9" s="1558" t="s">
        <v>2052</v>
      </c>
      <c r="D9" s="1559">
        <v>1000000</v>
      </c>
      <c r="E9" s="1560">
        <v>0</v>
      </c>
      <c r="F9" s="1559">
        <v>0</v>
      </c>
      <c r="G9" s="1561">
        <v>500000</v>
      </c>
      <c r="H9" s="1560">
        <v>500000</v>
      </c>
      <c r="I9" s="1560">
        <v>0</v>
      </c>
      <c r="J9" s="1562" t="s">
        <v>2050</v>
      </c>
    </row>
    <row r="10" spans="1:15" s="1545" customFormat="1" ht="18" customHeight="1" x14ac:dyDescent="0.2">
      <c r="A10" s="2627" t="s">
        <v>2053</v>
      </c>
      <c r="B10" s="2628"/>
      <c r="C10" s="2628"/>
      <c r="D10" s="2628"/>
      <c r="E10" s="2628"/>
      <c r="F10" s="2628"/>
      <c r="G10" s="2628"/>
      <c r="H10" s="2628"/>
      <c r="I10" s="2628"/>
      <c r="J10" s="2629"/>
    </row>
    <row r="11" spans="1:15" s="1545" customFormat="1" ht="24" customHeight="1" x14ac:dyDescent="0.2">
      <c r="A11" s="1556"/>
      <c r="B11" s="1557">
        <v>5057</v>
      </c>
      <c r="C11" s="1558" t="s">
        <v>2054</v>
      </c>
      <c r="D11" s="1559">
        <v>1500000</v>
      </c>
      <c r="E11" s="1560">
        <v>0</v>
      </c>
      <c r="F11" s="1559">
        <v>0</v>
      </c>
      <c r="G11" s="1561">
        <v>750000</v>
      </c>
      <c r="H11" s="1560">
        <v>750000</v>
      </c>
      <c r="I11" s="1560">
        <v>0</v>
      </c>
      <c r="J11" s="1562" t="s">
        <v>2050</v>
      </c>
    </row>
    <row r="12" spans="1:15" s="1545" customFormat="1" ht="24" customHeight="1" x14ac:dyDescent="0.2">
      <c r="A12" s="1556"/>
      <c r="B12" s="1557">
        <v>4303</v>
      </c>
      <c r="C12" s="1558" t="s">
        <v>2055</v>
      </c>
      <c r="D12" s="1559">
        <v>1000000</v>
      </c>
      <c r="E12" s="1560">
        <v>0</v>
      </c>
      <c r="F12" s="1559">
        <v>0</v>
      </c>
      <c r="G12" s="1561">
        <v>500000</v>
      </c>
      <c r="H12" s="1560">
        <v>500000</v>
      </c>
      <c r="I12" s="1560">
        <v>0</v>
      </c>
      <c r="J12" s="1562" t="s">
        <v>2050</v>
      </c>
    </row>
    <row r="13" spans="1:15" ht="18" customHeight="1" x14ac:dyDescent="0.2">
      <c r="A13" s="2627" t="s">
        <v>2056</v>
      </c>
      <c r="B13" s="2628"/>
      <c r="C13" s="2628"/>
      <c r="D13" s="2628"/>
      <c r="E13" s="2628"/>
      <c r="F13" s="2628"/>
      <c r="G13" s="2628"/>
      <c r="H13" s="2628"/>
      <c r="I13" s="2628"/>
      <c r="J13" s="2629"/>
    </row>
    <row r="14" spans="1:15" s="1545" customFormat="1" ht="24" customHeight="1" x14ac:dyDescent="0.2">
      <c r="A14" s="1556"/>
      <c r="B14" s="1557">
        <v>4355</v>
      </c>
      <c r="C14" s="1558" t="s">
        <v>2057</v>
      </c>
      <c r="D14" s="1559">
        <v>1700000</v>
      </c>
      <c r="E14" s="1560">
        <v>0</v>
      </c>
      <c r="F14" s="1559">
        <v>0</v>
      </c>
      <c r="G14" s="1561">
        <v>850000</v>
      </c>
      <c r="H14" s="1560">
        <v>850000</v>
      </c>
      <c r="I14" s="1560">
        <v>0</v>
      </c>
      <c r="J14" s="1562" t="s">
        <v>2058</v>
      </c>
    </row>
    <row r="15" spans="1:15" s="1563" customFormat="1" ht="15.75" customHeight="1" x14ac:dyDescent="0.2">
      <c r="A15" s="2627" t="s">
        <v>2059</v>
      </c>
      <c r="B15" s="2628"/>
      <c r="C15" s="2628"/>
      <c r="D15" s="2628"/>
      <c r="E15" s="2628"/>
      <c r="F15" s="2628"/>
      <c r="G15" s="2628"/>
      <c r="H15" s="2628"/>
      <c r="I15" s="2628"/>
      <c r="J15" s="2629"/>
      <c r="K15" s="1544"/>
    </row>
    <row r="16" spans="1:15" s="1545" customFormat="1" ht="24" customHeight="1" x14ac:dyDescent="0.2">
      <c r="A16" s="1556"/>
      <c r="B16" s="1557">
        <v>4050</v>
      </c>
      <c r="C16" s="1558" t="s">
        <v>2060</v>
      </c>
      <c r="D16" s="1559">
        <v>1500000</v>
      </c>
      <c r="E16" s="1560">
        <v>0</v>
      </c>
      <c r="F16" s="1559">
        <v>0</v>
      </c>
      <c r="G16" s="1561">
        <v>750000</v>
      </c>
      <c r="H16" s="1560">
        <v>750000</v>
      </c>
      <c r="I16" s="1560">
        <v>0</v>
      </c>
      <c r="J16" s="1562" t="s">
        <v>2061</v>
      </c>
    </row>
    <row r="17" spans="1:10" s="1545" customFormat="1" ht="18" customHeight="1" x14ac:dyDescent="0.2">
      <c r="A17" s="2627" t="s">
        <v>2062</v>
      </c>
      <c r="B17" s="2630"/>
      <c r="C17" s="2630"/>
      <c r="D17" s="2630"/>
      <c r="E17" s="2630"/>
      <c r="F17" s="2630"/>
      <c r="G17" s="2630"/>
      <c r="H17" s="2630"/>
      <c r="I17" s="2630"/>
      <c r="J17" s="2631"/>
    </row>
    <row r="18" spans="1:10" s="1545" customFormat="1" ht="24" customHeight="1" x14ac:dyDescent="0.2">
      <c r="A18" s="1556"/>
      <c r="B18" s="1557">
        <v>5748</v>
      </c>
      <c r="C18" s="1558" t="s">
        <v>2063</v>
      </c>
      <c r="D18" s="1559">
        <v>75000000</v>
      </c>
      <c r="E18" s="1560">
        <v>0</v>
      </c>
      <c r="F18" s="1559">
        <v>0</v>
      </c>
      <c r="G18" s="1561">
        <v>20000000</v>
      </c>
      <c r="H18" s="1560">
        <v>55000000</v>
      </c>
      <c r="I18" s="1560">
        <v>0</v>
      </c>
      <c r="J18" s="1562" t="s">
        <v>2058</v>
      </c>
    </row>
    <row r="19" spans="1:10" s="1545" customFormat="1" ht="24" customHeight="1" x14ac:dyDescent="0.2">
      <c r="A19" s="1556"/>
      <c r="B19" s="1557">
        <v>4116</v>
      </c>
      <c r="C19" s="1558" t="s">
        <v>2064</v>
      </c>
      <c r="D19" s="1559">
        <v>1000000</v>
      </c>
      <c r="E19" s="1560">
        <v>0</v>
      </c>
      <c r="F19" s="1559">
        <v>0</v>
      </c>
      <c r="G19" s="1561">
        <v>500000</v>
      </c>
      <c r="H19" s="1560">
        <v>12000</v>
      </c>
      <c r="I19" s="1560">
        <v>0</v>
      </c>
      <c r="J19" s="1562" t="s">
        <v>2050</v>
      </c>
    </row>
    <row r="20" spans="1:10" s="1545" customFormat="1" ht="24" customHeight="1" x14ac:dyDescent="0.2">
      <c r="A20" s="1556"/>
      <c r="B20" s="1557">
        <v>4043</v>
      </c>
      <c r="C20" s="1558" t="s">
        <v>2065</v>
      </c>
      <c r="D20" s="1559">
        <v>1100000</v>
      </c>
      <c r="E20" s="1560">
        <v>0</v>
      </c>
      <c r="F20" s="1559">
        <v>0</v>
      </c>
      <c r="G20" s="1561">
        <v>550000</v>
      </c>
      <c r="H20" s="1560">
        <v>550000</v>
      </c>
      <c r="I20" s="1560">
        <v>0</v>
      </c>
      <c r="J20" s="1562" t="s">
        <v>2050</v>
      </c>
    </row>
    <row r="21" spans="1:10" s="1545" customFormat="1" ht="24" customHeight="1" x14ac:dyDescent="0.2">
      <c r="A21" s="1556"/>
      <c r="B21" s="1557">
        <v>5250</v>
      </c>
      <c r="C21" s="1558" t="s">
        <v>2066</v>
      </c>
      <c r="D21" s="1559">
        <v>900000</v>
      </c>
      <c r="E21" s="1560">
        <v>0</v>
      </c>
      <c r="F21" s="1559">
        <v>0</v>
      </c>
      <c r="G21" s="1561">
        <v>450000</v>
      </c>
      <c r="H21" s="1560">
        <v>450000</v>
      </c>
      <c r="I21" s="1560">
        <v>0</v>
      </c>
      <c r="J21" s="1562" t="s">
        <v>2050</v>
      </c>
    </row>
    <row r="22" spans="1:10" s="1545" customFormat="1" ht="24" customHeight="1" x14ac:dyDescent="0.2">
      <c r="A22" s="1556"/>
      <c r="B22" s="1557">
        <v>5254</v>
      </c>
      <c r="C22" s="1558" t="s">
        <v>2067</v>
      </c>
      <c r="D22" s="1559">
        <v>900000</v>
      </c>
      <c r="E22" s="1560">
        <v>0</v>
      </c>
      <c r="F22" s="1559">
        <v>0</v>
      </c>
      <c r="G22" s="1561">
        <v>450000</v>
      </c>
      <c r="H22" s="1560">
        <v>450000</v>
      </c>
      <c r="I22" s="1560">
        <v>0</v>
      </c>
      <c r="J22" s="1562" t="s">
        <v>2050</v>
      </c>
    </row>
    <row r="23" spans="1:10" s="1545" customFormat="1" ht="24" customHeight="1" x14ac:dyDescent="0.2">
      <c r="A23" s="1556"/>
      <c r="B23" s="1557">
        <v>5254</v>
      </c>
      <c r="C23" s="1558" t="s">
        <v>2068</v>
      </c>
      <c r="D23" s="1559">
        <v>600000</v>
      </c>
      <c r="E23" s="1560">
        <v>0</v>
      </c>
      <c r="F23" s="1559">
        <v>0</v>
      </c>
      <c r="G23" s="1561">
        <v>300000</v>
      </c>
      <c r="H23" s="1560">
        <v>300000</v>
      </c>
      <c r="I23" s="1560">
        <v>0</v>
      </c>
      <c r="J23" s="1562" t="s">
        <v>2050</v>
      </c>
    </row>
    <row r="24" spans="1:10" s="1545" customFormat="1" ht="24" customHeight="1" x14ac:dyDescent="0.2">
      <c r="A24" s="1556"/>
      <c r="B24" s="1557"/>
      <c r="C24" s="1558" t="s">
        <v>2069</v>
      </c>
      <c r="D24" s="1559">
        <v>800000</v>
      </c>
      <c r="E24" s="1560">
        <v>0</v>
      </c>
      <c r="F24" s="1559">
        <v>0</v>
      </c>
      <c r="G24" s="1561">
        <v>400000</v>
      </c>
      <c r="H24" s="1560">
        <v>400000</v>
      </c>
      <c r="I24" s="1560">
        <v>0</v>
      </c>
      <c r="J24" s="1562" t="s">
        <v>2050</v>
      </c>
    </row>
    <row r="25" spans="1:10" ht="18" customHeight="1" x14ac:dyDescent="0.2">
      <c r="A25" s="2621" t="s">
        <v>2070</v>
      </c>
      <c r="B25" s="2622"/>
      <c r="C25" s="2622"/>
      <c r="D25" s="2622"/>
      <c r="E25" s="2622"/>
      <c r="F25" s="2622"/>
      <c r="G25" s="2622"/>
      <c r="H25" s="2622"/>
      <c r="I25" s="2622"/>
      <c r="J25" s="2623"/>
    </row>
    <row r="26" spans="1:10" s="1545" customFormat="1" ht="24" customHeight="1" x14ac:dyDescent="0.2">
      <c r="A26" s="1556"/>
      <c r="B26" s="1557"/>
      <c r="C26" s="1558" t="s">
        <v>2071</v>
      </c>
      <c r="D26" s="1559">
        <v>10000000</v>
      </c>
      <c r="E26" s="1560">
        <v>0</v>
      </c>
      <c r="F26" s="1559">
        <v>0</v>
      </c>
      <c r="G26" s="1561">
        <v>4000000</v>
      </c>
      <c r="H26" s="1560">
        <v>6000000</v>
      </c>
      <c r="I26" s="1560">
        <v>0</v>
      </c>
      <c r="J26" s="1562" t="s">
        <v>2072</v>
      </c>
    </row>
    <row r="27" spans="1:10" s="1545" customFormat="1" ht="24" customHeight="1" x14ac:dyDescent="0.2">
      <c r="A27" s="1556"/>
      <c r="B27" s="1557"/>
      <c r="C27" s="1558" t="s">
        <v>2073</v>
      </c>
      <c r="D27" s="1559">
        <v>24200000</v>
      </c>
      <c r="E27" s="1560">
        <v>0</v>
      </c>
      <c r="F27" s="1559">
        <v>0</v>
      </c>
      <c r="G27" s="1561">
        <v>8000000</v>
      </c>
      <c r="H27" s="1560">
        <v>16200000</v>
      </c>
      <c r="I27" s="1560">
        <v>0</v>
      </c>
      <c r="J27" s="1562" t="s">
        <v>2074</v>
      </c>
    </row>
    <row r="28" spans="1:10" s="1545" customFormat="1" ht="24" customHeight="1" x14ac:dyDescent="0.2">
      <c r="A28" s="1556"/>
      <c r="B28" s="1557">
        <v>5758</v>
      </c>
      <c r="C28" s="1558" t="s">
        <v>2075</v>
      </c>
      <c r="D28" s="1559">
        <v>800000</v>
      </c>
      <c r="E28" s="1560">
        <v>0</v>
      </c>
      <c r="F28" s="1559">
        <v>0</v>
      </c>
      <c r="G28" s="1561">
        <v>400000</v>
      </c>
      <c r="H28" s="1560">
        <v>400000</v>
      </c>
      <c r="I28" s="1560">
        <v>0</v>
      </c>
      <c r="J28" s="1562" t="s">
        <v>2050</v>
      </c>
    </row>
    <row r="29" spans="1:10" ht="18" customHeight="1" x14ac:dyDescent="0.2">
      <c r="A29" s="2621"/>
      <c r="B29" s="2622"/>
      <c r="C29" s="2622"/>
      <c r="D29" s="2622"/>
      <c r="E29" s="2622"/>
      <c r="F29" s="2622"/>
      <c r="G29" s="2622"/>
      <c r="H29" s="2622"/>
      <c r="I29" s="2622"/>
      <c r="J29" s="2623"/>
    </row>
    <row r="30" spans="1:10" s="1545" customFormat="1" ht="24" customHeight="1" x14ac:dyDescent="0.2">
      <c r="A30" s="1556"/>
      <c r="B30" s="1557"/>
      <c r="C30" s="1558" t="s">
        <v>2076</v>
      </c>
      <c r="D30" s="1559">
        <v>28000000</v>
      </c>
      <c r="E30" s="1560">
        <v>0</v>
      </c>
      <c r="F30" s="1559">
        <v>0</v>
      </c>
      <c r="G30" s="1561">
        <v>0</v>
      </c>
      <c r="H30" s="1560">
        <v>28000000</v>
      </c>
      <c r="I30" s="1560"/>
      <c r="J30" s="1562"/>
    </row>
    <row r="31" spans="1:10" s="1545" customFormat="1" ht="18" customHeight="1" x14ac:dyDescent="0.2">
      <c r="A31" s="2624" t="s">
        <v>2077</v>
      </c>
      <c r="B31" s="2625"/>
      <c r="C31" s="2626"/>
      <c r="D31" s="1564">
        <f t="shared" ref="D31:I31" si="0">SUM(D7:D30)</f>
        <v>152500000</v>
      </c>
      <c r="E31" s="1564">
        <f t="shared" si="0"/>
        <v>0</v>
      </c>
      <c r="F31" s="1564">
        <f t="shared" si="0"/>
        <v>0</v>
      </c>
      <c r="G31" s="1564">
        <f t="shared" si="0"/>
        <v>39650000</v>
      </c>
      <c r="H31" s="1564">
        <f t="shared" si="0"/>
        <v>112362000</v>
      </c>
      <c r="I31" s="1564">
        <f t="shared" si="0"/>
        <v>0</v>
      </c>
      <c r="J31" s="1565"/>
    </row>
  </sheetData>
  <mergeCells count="17">
    <mergeCell ref="A2:J2"/>
    <mergeCell ref="A4:A5"/>
    <mergeCell ref="B4:B5"/>
    <mergeCell ref="C4:C5"/>
    <mergeCell ref="D4:D5"/>
    <mergeCell ref="E4:E5"/>
    <mergeCell ref="F4:F5"/>
    <mergeCell ref="G4:I4"/>
    <mergeCell ref="J4:J5"/>
    <mergeCell ref="A29:J29"/>
    <mergeCell ref="A31:C31"/>
    <mergeCell ref="A6:J6"/>
    <mergeCell ref="A10:J10"/>
    <mergeCell ref="A13:J13"/>
    <mergeCell ref="A15:J15"/>
    <mergeCell ref="A17:J17"/>
    <mergeCell ref="A25:J25"/>
  </mergeCells>
  <printOptions horizontalCentered="1"/>
  <pageMargins left="0.70866141732283472" right="0.70866141732283472" top="0.74803149606299213" bottom="0.74803149606299213" header="0.31496062992125984" footer="0.31496062992125984"/>
  <pageSetup paperSize="9" scale="75" orientation="landscape" useFirstPageNumber="1"/>
  <headerFooter>
    <oddFooter>&amp;C&amp;"Tahoma,Regular "&amp;10&amp;P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42"/>
  <sheetViews>
    <sheetView workbookViewId="0">
      <selection activeCell="C37" sqref="C37"/>
    </sheetView>
  </sheetViews>
  <sheetFormatPr defaultColWidth="7.140625" defaultRowHeight="11.25" x14ac:dyDescent="0.2"/>
  <cols>
    <col min="1" max="1" width="6.5703125" style="1567" customWidth="1"/>
    <col min="2" max="2" width="9.140625" style="1568" hidden="1" customWidth="1"/>
    <col min="3" max="3" width="38.28515625" style="1566" customWidth="1"/>
    <col min="4" max="4" width="12.5703125" style="1566" customWidth="1"/>
    <col min="5" max="6" width="12.7109375" style="1566" customWidth="1"/>
    <col min="7" max="7" width="12.7109375" style="1567" customWidth="1"/>
    <col min="8" max="8" width="39.5703125" style="1569" customWidth="1"/>
    <col min="9" max="9" width="9.140625" style="1566" customWidth="1"/>
    <col min="10" max="16384" width="7.140625" style="1566"/>
  </cols>
  <sheetData>
    <row r="1" spans="1:13" x14ac:dyDescent="0.2">
      <c r="H1" s="1570" t="s">
        <v>2078</v>
      </c>
    </row>
    <row r="2" spans="1:13" ht="15" customHeight="1" x14ac:dyDescent="0.2">
      <c r="A2" s="2646" t="s">
        <v>2079</v>
      </c>
      <c r="B2" s="2646"/>
      <c r="C2" s="2646"/>
      <c r="D2" s="2646"/>
      <c r="E2" s="2646"/>
      <c r="F2" s="2646"/>
      <c r="G2" s="2646"/>
      <c r="H2" s="2646"/>
      <c r="I2" s="1571"/>
      <c r="J2" s="1572"/>
      <c r="K2" s="1572"/>
      <c r="L2" s="1572"/>
      <c r="M2" s="1571"/>
    </row>
    <row r="3" spans="1:13" ht="6.75" customHeight="1" x14ac:dyDescent="0.2">
      <c r="A3" s="1573"/>
      <c r="B3" s="1574"/>
      <c r="C3" s="1573"/>
      <c r="D3" s="1573"/>
      <c r="E3" s="1573"/>
      <c r="F3" s="1573"/>
      <c r="H3" s="1575"/>
      <c r="J3" s="1576"/>
      <c r="K3" s="1576"/>
      <c r="L3" s="1576"/>
    </row>
    <row r="4" spans="1:13" ht="21.75" customHeight="1" x14ac:dyDescent="0.2">
      <c r="A4" s="2647" t="s">
        <v>2037</v>
      </c>
      <c r="B4" s="2649" t="s">
        <v>2038</v>
      </c>
      <c r="C4" s="2651" t="s">
        <v>2039</v>
      </c>
      <c r="D4" s="2653" t="s">
        <v>2040</v>
      </c>
      <c r="E4" s="2655" t="s">
        <v>2043</v>
      </c>
      <c r="F4" s="2656"/>
      <c r="G4" s="2657"/>
      <c r="H4" s="2658" t="s">
        <v>2044</v>
      </c>
    </row>
    <row r="5" spans="1:13" ht="30" customHeight="1" x14ac:dyDescent="0.2">
      <c r="A5" s="2648"/>
      <c r="B5" s="2650"/>
      <c r="C5" s="2652"/>
      <c r="D5" s="2654"/>
      <c r="E5" s="1577" t="s">
        <v>2046</v>
      </c>
      <c r="F5" s="1577" t="s">
        <v>2080</v>
      </c>
      <c r="G5" s="1577" t="s">
        <v>2081</v>
      </c>
      <c r="H5" s="2659"/>
    </row>
    <row r="6" spans="1:13" s="1567" customFormat="1" ht="11.25" customHeight="1" x14ac:dyDescent="0.2">
      <c r="A6" s="2666" t="s">
        <v>2048</v>
      </c>
      <c r="B6" s="2667"/>
      <c r="C6" s="2667"/>
      <c r="D6" s="2667"/>
      <c r="E6" s="2667"/>
      <c r="F6" s="2667"/>
      <c r="G6" s="2667"/>
      <c r="H6" s="2668"/>
    </row>
    <row r="7" spans="1:13" s="1567" customFormat="1" x14ac:dyDescent="0.2">
      <c r="A7" s="1578"/>
      <c r="B7" s="1579">
        <v>5337</v>
      </c>
      <c r="C7" s="1580" t="s">
        <v>2082</v>
      </c>
      <c r="D7" s="1581">
        <f>SUM(E7+F7)</f>
        <v>1500000</v>
      </c>
      <c r="E7" s="1561">
        <v>750000</v>
      </c>
      <c r="F7" s="1582">
        <v>750000</v>
      </c>
      <c r="G7" s="1582">
        <v>0</v>
      </c>
      <c r="H7" s="1562" t="s">
        <v>2050</v>
      </c>
    </row>
    <row r="8" spans="1:13" s="1567" customFormat="1" ht="11.25" customHeight="1" x14ac:dyDescent="0.2">
      <c r="A8" s="2669" t="s">
        <v>2053</v>
      </c>
      <c r="B8" s="2670"/>
      <c r="C8" s="2670"/>
      <c r="D8" s="2670"/>
      <c r="E8" s="2670"/>
      <c r="F8" s="2670"/>
      <c r="G8" s="2670"/>
      <c r="H8" s="2671"/>
    </row>
    <row r="9" spans="1:13" s="1567" customFormat="1" x14ac:dyDescent="0.2">
      <c r="A9" s="1578"/>
      <c r="B9" s="1579">
        <v>5057</v>
      </c>
      <c r="C9" s="1580" t="s">
        <v>2054</v>
      </c>
      <c r="D9" s="1581">
        <f t="shared" ref="D9:D16" si="0">SUM(E9+F9)</f>
        <v>1500000</v>
      </c>
      <c r="E9" s="1561">
        <v>750000</v>
      </c>
      <c r="F9" s="1582">
        <v>750000</v>
      </c>
      <c r="G9" s="1582">
        <v>0</v>
      </c>
      <c r="H9" s="1562" t="s">
        <v>2050</v>
      </c>
    </row>
    <row r="10" spans="1:13" s="1567" customFormat="1" x14ac:dyDescent="0.2">
      <c r="A10" s="1578"/>
      <c r="B10" s="1579">
        <v>4303</v>
      </c>
      <c r="C10" s="1580" t="s">
        <v>2055</v>
      </c>
      <c r="D10" s="1581">
        <f t="shared" si="0"/>
        <v>1000000</v>
      </c>
      <c r="E10" s="1561">
        <v>500000</v>
      </c>
      <c r="F10" s="1582">
        <v>500000</v>
      </c>
      <c r="G10" s="1582">
        <v>0</v>
      </c>
      <c r="H10" s="1562" t="s">
        <v>2050</v>
      </c>
    </row>
    <row r="11" spans="1:13" s="1567" customFormat="1" ht="21" x14ac:dyDescent="0.2">
      <c r="A11" s="1578"/>
      <c r="B11" s="1583"/>
      <c r="C11" s="1580" t="s">
        <v>2083</v>
      </c>
      <c r="D11" s="1581">
        <f t="shared" si="0"/>
        <v>600000</v>
      </c>
      <c r="E11" s="1561">
        <v>300000</v>
      </c>
      <c r="F11" s="1582">
        <v>300000</v>
      </c>
      <c r="G11" s="1582">
        <v>0</v>
      </c>
      <c r="H11" s="1562" t="s">
        <v>2050</v>
      </c>
    </row>
    <row r="12" spans="1:13" s="1567" customFormat="1" x14ac:dyDescent="0.2">
      <c r="A12" s="1578"/>
      <c r="B12" s="1579"/>
      <c r="C12" s="1584" t="s">
        <v>2084</v>
      </c>
      <c r="D12" s="1581">
        <f t="shared" si="0"/>
        <v>47400000</v>
      </c>
      <c r="E12" s="1561">
        <v>2400000</v>
      </c>
      <c r="F12" s="1582">
        <v>45000000</v>
      </c>
      <c r="G12" s="1582">
        <v>0</v>
      </c>
      <c r="H12" s="1562" t="s">
        <v>2085</v>
      </c>
    </row>
    <row r="13" spans="1:13" s="1567" customFormat="1" x14ac:dyDescent="0.2">
      <c r="A13" s="1578"/>
      <c r="B13" s="1583"/>
      <c r="C13" s="1580" t="s">
        <v>2086</v>
      </c>
      <c r="D13" s="1581">
        <f t="shared" si="0"/>
        <v>400000</v>
      </c>
      <c r="E13" s="1561">
        <v>200000</v>
      </c>
      <c r="F13" s="1582">
        <v>200000</v>
      </c>
      <c r="G13" s="1582"/>
      <c r="H13" s="1562" t="s">
        <v>2050</v>
      </c>
    </row>
    <row r="14" spans="1:13" s="1567" customFormat="1" x14ac:dyDescent="0.2">
      <c r="A14" s="1578"/>
      <c r="B14" s="1583"/>
      <c r="C14" s="1580" t="s">
        <v>2087</v>
      </c>
      <c r="D14" s="1581">
        <f t="shared" si="0"/>
        <v>400000</v>
      </c>
      <c r="E14" s="1561">
        <v>200000</v>
      </c>
      <c r="F14" s="1582">
        <v>200000</v>
      </c>
      <c r="G14" s="1582"/>
      <c r="H14" s="1562" t="s">
        <v>2050</v>
      </c>
    </row>
    <row r="15" spans="1:13" s="1567" customFormat="1" x14ac:dyDescent="0.2">
      <c r="A15" s="1578"/>
      <c r="B15" s="1583"/>
      <c r="C15" s="1580" t="s">
        <v>2088</v>
      </c>
      <c r="D15" s="1581">
        <f t="shared" si="0"/>
        <v>400000</v>
      </c>
      <c r="E15" s="1561">
        <v>200000</v>
      </c>
      <c r="F15" s="1582">
        <v>200000</v>
      </c>
      <c r="G15" s="1582"/>
      <c r="H15" s="1562" t="s">
        <v>2050</v>
      </c>
    </row>
    <row r="16" spans="1:13" s="1567" customFormat="1" x14ac:dyDescent="0.2">
      <c r="A16" s="1578"/>
      <c r="B16" s="1583"/>
      <c r="C16" s="1580" t="s">
        <v>2089</v>
      </c>
      <c r="D16" s="1581">
        <f t="shared" si="0"/>
        <v>350000</v>
      </c>
      <c r="E16" s="1561">
        <v>150000</v>
      </c>
      <c r="F16" s="1582">
        <v>200000</v>
      </c>
      <c r="G16" s="1582">
        <v>0</v>
      </c>
      <c r="H16" s="1562" t="s">
        <v>2050</v>
      </c>
    </row>
    <row r="17" spans="1:8" s="1567" customFormat="1" ht="11.25" customHeight="1" x14ac:dyDescent="0.2">
      <c r="A17" s="2674" t="s">
        <v>2056</v>
      </c>
      <c r="B17" s="2675"/>
      <c r="C17" s="2675"/>
      <c r="D17" s="2675"/>
      <c r="E17" s="2675"/>
      <c r="F17" s="2675"/>
      <c r="G17" s="2675"/>
      <c r="H17" s="2676"/>
    </row>
    <row r="18" spans="1:8" ht="11.25" customHeight="1" x14ac:dyDescent="0.2">
      <c r="A18" s="1578"/>
      <c r="B18" s="1579">
        <v>4355</v>
      </c>
      <c r="C18" s="1580" t="s">
        <v>2090</v>
      </c>
      <c r="D18" s="1581">
        <f t="shared" ref="D18:D39" si="1">SUM(E18+F18)</f>
        <v>9000000</v>
      </c>
      <c r="E18" s="1561">
        <v>4300000</v>
      </c>
      <c r="F18" s="1582">
        <v>4700000</v>
      </c>
      <c r="G18" s="1582">
        <v>0</v>
      </c>
      <c r="H18" s="1562" t="s">
        <v>2091</v>
      </c>
    </row>
    <row r="19" spans="1:8" s="1567" customFormat="1" ht="11.25" customHeight="1" x14ac:dyDescent="0.2">
      <c r="A19" s="2669" t="s">
        <v>2092</v>
      </c>
      <c r="B19" s="2670"/>
      <c r="C19" s="2670"/>
      <c r="D19" s="2670"/>
      <c r="E19" s="2670"/>
      <c r="F19" s="2670"/>
      <c r="G19" s="2670"/>
      <c r="H19" s="2671"/>
    </row>
    <row r="20" spans="1:8" s="1567" customFormat="1" x14ac:dyDescent="0.2">
      <c r="A20" s="1578"/>
      <c r="B20" s="1583"/>
      <c r="C20" s="1580" t="s">
        <v>2093</v>
      </c>
      <c r="D20" s="1581">
        <f t="shared" si="1"/>
        <v>4600000</v>
      </c>
      <c r="E20" s="1561">
        <v>2300000</v>
      </c>
      <c r="F20" s="1582">
        <v>2300000</v>
      </c>
      <c r="G20" s="1582">
        <v>0</v>
      </c>
      <c r="H20" s="1562" t="s">
        <v>2094</v>
      </c>
    </row>
    <row r="21" spans="1:8" s="1567" customFormat="1" ht="11.25" customHeight="1" x14ac:dyDescent="0.2">
      <c r="A21" s="2669" t="s">
        <v>2062</v>
      </c>
      <c r="B21" s="2672"/>
      <c r="C21" s="2672"/>
      <c r="D21" s="2672"/>
      <c r="E21" s="2672"/>
      <c r="F21" s="2672"/>
      <c r="G21" s="2672"/>
      <c r="H21" s="2673"/>
    </row>
    <row r="22" spans="1:8" s="1567" customFormat="1" x14ac:dyDescent="0.2">
      <c r="A22" s="1578"/>
      <c r="B22" s="1579">
        <v>5748</v>
      </c>
      <c r="C22" s="1580" t="s">
        <v>2063</v>
      </c>
      <c r="D22" s="1581">
        <f t="shared" si="1"/>
        <v>112000000</v>
      </c>
      <c r="E22" s="1561">
        <v>102000000</v>
      </c>
      <c r="F22" s="1582">
        <v>10000000</v>
      </c>
      <c r="G22" s="1582">
        <v>0</v>
      </c>
      <c r="H22" s="1562" t="s">
        <v>2058</v>
      </c>
    </row>
    <row r="23" spans="1:8" s="1567" customFormat="1" ht="11.25" customHeight="1" x14ac:dyDescent="0.2">
      <c r="A23" s="1578"/>
      <c r="B23" s="1579">
        <v>4043</v>
      </c>
      <c r="C23" s="1580" t="s">
        <v>2065</v>
      </c>
      <c r="D23" s="1581">
        <f t="shared" si="1"/>
        <v>1100000</v>
      </c>
      <c r="E23" s="1561">
        <v>550000</v>
      </c>
      <c r="F23" s="1582">
        <v>550000</v>
      </c>
      <c r="G23" s="1582">
        <v>0</v>
      </c>
      <c r="H23" s="1562" t="s">
        <v>2050</v>
      </c>
    </row>
    <row r="24" spans="1:8" s="1567" customFormat="1" x14ac:dyDescent="0.2">
      <c r="A24" s="1578"/>
      <c r="B24" s="1579">
        <v>5250</v>
      </c>
      <c r="C24" s="1580" t="s">
        <v>2095</v>
      </c>
      <c r="D24" s="1581">
        <f t="shared" si="1"/>
        <v>800000</v>
      </c>
      <c r="E24" s="1561">
        <v>400000</v>
      </c>
      <c r="F24" s="1582">
        <v>400000</v>
      </c>
      <c r="G24" s="1582">
        <v>0</v>
      </c>
      <c r="H24" s="1562" t="s">
        <v>2050</v>
      </c>
    </row>
    <row r="25" spans="1:8" s="1567" customFormat="1" ht="21" x14ac:dyDescent="0.2">
      <c r="A25" s="1578"/>
      <c r="B25" s="1579"/>
      <c r="C25" s="1585" t="s">
        <v>2096</v>
      </c>
      <c r="D25" s="1581">
        <f t="shared" si="1"/>
        <v>10000000</v>
      </c>
      <c r="E25" s="1561">
        <v>5000000</v>
      </c>
      <c r="F25" s="1582">
        <v>5000000</v>
      </c>
      <c r="G25" s="1582">
        <v>0</v>
      </c>
      <c r="H25" s="1562" t="s">
        <v>2058</v>
      </c>
    </row>
    <row r="26" spans="1:8" s="1567" customFormat="1" ht="21" x14ac:dyDescent="0.2">
      <c r="A26" s="1578"/>
      <c r="B26" s="1579"/>
      <c r="C26" s="1586" t="s">
        <v>2097</v>
      </c>
      <c r="D26" s="1581">
        <f t="shared" si="1"/>
        <v>5500000</v>
      </c>
      <c r="E26" s="1561">
        <v>2750000</v>
      </c>
      <c r="F26" s="1582">
        <v>2750000</v>
      </c>
      <c r="G26" s="1582">
        <v>0</v>
      </c>
      <c r="H26" s="1562" t="s">
        <v>2058</v>
      </c>
    </row>
    <row r="27" spans="1:8" s="1567" customFormat="1" ht="42" x14ac:dyDescent="0.2">
      <c r="A27" s="1578"/>
      <c r="B27" s="1579"/>
      <c r="C27" s="1587" t="s">
        <v>2098</v>
      </c>
      <c r="D27" s="1581">
        <f t="shared" si="1"/>
        <v>42000000</v>
      </c>
      <c r="E27" s="1561">
        <v>5000000</v>
      </c>
      <c r="F27" s="1582">
        <v>37000000</v>
      </c>
      <c r="G27" s="1582">
        <v>0</v>
      </c>
      <c r="H27" s="1562" t="s">
        <v>2099</v>
      </c>
    </row>
    <row r="28" spans="1:8" s="1567" customFormat="1" x14ac:dyDescent="0.2">
      <c r="A28" s="1578"/>
      <c r="B28" s="1579"/>
      <c r="C28" s="1588" t="s">
        <v>2100</v>
      </c>
      <c r="D28" s="1581">
        <f t="shared" si="1"/>
        <v>1500000</v>
      </c>
      <c r="E28" s="1561">
        <v>750000</v>
      </c>
      <c r="F28" s="1582">
        <v>750000</v>
      </c>
      <c r="G28" s="1582">
        <v>0</v>
      </c>
      <c r="H28" s="1562" t="s">
        <v>2058</v>
      </c>
    </row>
    <row r="29" spans="1:8" s="1567" customFormat="1" x14ac:dyDescent="0.2">
      <c r="A29" s="1578"/>
      <c r="B29" s="1579"/>
      <c r="C29" s="1580" t="s">
        <v>2101</v>
      </c>
      <c r="D29" s="1581">
        <f t="shared" si="1"/>
        <v>7000000</v>
      </c>
      <c r="E29" s="1561">
        <v>3500000</v>
      </c>
      <c r="F29" s="1582">
        <v>3500000</v>
      </c>
      <c r="G29" s="1582">
        <v>0</v>
      </c>
      <c r="H29" s="1562" t="s">
        <v>2058</v>
      </c>
    </row>
    <row r="30" spans="1:8" s="1567" customFormat="1" ht="31.5" x14ac:dyDescent="0.2">
      <c r="A30" s="1578"/>
      <c r="B30" s="1579">
        <v>5254</v>
      </c>
      <c r="C30" s="1580" t="s">
        <v>2102</v>
      </c>
      <c r="D30" s="1581">
        <f t="shared" si="1"/>
        <v>1000000</v>
      </c>
      <c r="E30" s="1561">
        <v>500000</v>
      </c>
      <c r="F30" s="1582">
        <v>500000</v>
      </c>
      <c r="G30" s="1582">
        <v>0</v>
      </c>
      <c r="H30" s="1562" t="s">
        <v>2103</v>
      </c>
    </row>
    <row r="31" spans="1:8" s="1567" customFormat="1" x14ac:dyDescent="0.2">
      <c r="A31" s="1578"/>
      <c r="B31" s="1579"/>
      <c r="C31" s="1580" t="s">
        <v>2104</v>
      </c>
      <c r="D31" s="1581">
        <f t="shared" si="1"/>
        <v>1600000</v>
      </c>
      <c r="E31" s="1561">
        <v>800000</v>
      </c>
      <c r="F31" s="1582">
        <v>800000</v>
      </c>
      <c r="G31" s="1582">
        <v>0</v>
      </c>
      <c r="H31" s="1562" t="s">
        <v>2050</v>
      </c>
    </row>
    <row r="32" spans="1:8" s="1567" customFormat="1" x14ac:dyDescent="0.2">
      <c r="A32" s="1578"/>
      <c r="B32" s="1583"/>
      <c r="C32" s="1580" t="s">
        <v>2105</v>
      </c>
      <c r="D32" s="1581">
        <f t="shared" si="1"/>
        <v>2000000</v>
      </c>
      <c r="E32" s="1561">
        <v>1000000</v>
      </c>
      <c r="F32" s="1582">
        <v>1000000</v>
      </c>
      <c r="G32" s="1582">
        <v>0</v>
      </c>
      <c r="H32" s="1562" t="s">
        <v>2050</v>
      </c>
    </row>
    <row r="33" spans="1:8" s="1567" customFormat="1" x14ac:dyDescent="0.2">
      <c r="A33" s="1578"/>
      <c r="B33" s="1583"/>
      <c r="C33" s="1580" t="s">
        <v>2106</v>
      </c>
      <c r="D33" s="1581">
        <f t="shared" si="1"/>
        <v>800000</v>
      </c>
      <c r="E33" s="1561">
        <v>400000</v>
      </c>
      <c r="F33" s="1582">
        <v>400000</v>
      </c>
      <c r="G33" s="1582">
        <v>0</v>
      </c>
      <c r="H33" s="1562" t="s">
        <v>2050</v>
      </c>
    </row>
    <row r="34" spans="1:8" s="1567" customFormat="1" x14ac:dyDescent="0.2">
      <c r="A34" s="1589"/>
      <c r="B34" s="1590"/>
      <c r="C34" s="1580" t="s">
        <v>2107</v>
      </c>
      <c r="D34" s="1581">
        <f t="shared" si="1"/>
        <v>7350000</v>
      </c>
      <c r="E34" s="1561">
        <v>3850000</v>
      </c>
      <c r="F34" s="1582">
        <v>3500000</v>
      </c>
      <c r="G34" s="1582">
        <v>0</v>
      </c>
      <c r="H34" s="1562" t="s">
        <v>2050</v>
      </c>
    </row>
    <row r="35" spans="1:8" s="1567" customFormat="1" x14ac:dyDescent="0.2">
      <c r="A35" s="1578"/>
      <c r="B35" s="1583"/>
      <c r="C35" s="1580" t="s">
        <v>2108</v>
      </c>
      <c r="D35" s="1581">
        <f t="shared" si="1"/>
        <v>6800000</v>
      </c>
      <c r="E35" s="1561">
        <v>800000</v>
      </c>
      <c r="F35" s="1582">
        <v>6000000</v>
      </c>
      <c r="G35" s="1582"/>
      <c r="H35" s="1562" t="s">
        <v>2109</v>
      </c>
    </row>
    <row r="36" spans="1:8" s="1567" customFormat="1" ht="11.25" customHeight="1" x14ac:dyDescent="0.2">
      <c r="A36" s="2660" t="s">
        <v>2070</v>
      </c>
      <c r="B36" s="2661"/>
      <c r="C36" s="2661"/>
      <c r="D36" s="2661"/>
      <c r="E36" s="2661"/>
      <c r="F36" s="2661"/>
      <c r="G36" s="2661"/>
      <c r="H36" s="2662"/>
    </row>
    <row r="37" spans="1:8" s="1567" customFormat="1" ht="21" x14ac:dyDescent="0.2">
      <c r="A37" s="1578"/>
      <c r="B37" s="1579"/>
      <c r="C37" s="1580" t="s">
        <v>2071</v>
      </c>
      <c r="D37" s="1581">
        <f t="shared" si="1"/>
        <v>10000000</v>
      </c>
      <c r="E37" s="1561">
        <v>4000000</v>
      </c>
      <c r="F37" s="1582">
        <v>6000000</v>
      </c>
      <c r="G37" s="1582">
        <v>0</v>
      </c>
      <c r="H37" s="1562" t="s">
        <v>2072</v>
      </c>
    </row>
    <row r="38" spans="1:8" s="1567" customFormat="1" ht="21" x14ac:dyDescent="0.2">
      <c r="A38" s="1578"/>
      <c r="B38" s="1579"/>
      <c r="C38" s="1580" t="s">
        <v>2073</v>
      </c>
      <c r="D38" s="1581">
        <f t="shared" si="1"/>
        <v>19500000</v>
      </c>
      <c r="E38" s="1561">
        <v>3500000</v>
      </c>
      <c r="F38" s="1582">
        <v>16000000</v>
      </c>
      <c r="G38" s="1582">
        <v>0</v>
      </c>
      <c r="H38" s="1562" t="s">
        <v>2110</v>
      </c>
    </row>
    <row r="39" spans="1:8" ht="11.25" customHeight="1" x14ac:dyDescent="0.2">
      <c r="A39" s="1578"/>
      <c r="B39" s="1579">
        <v>5758</v>
      </c>
      <c r="C39" s="1580" t="s">
        <v>2075</v>
      </c>
      <c r="D39" s="1581">
        <f t="shared" si="1"/>
        <v>500000</v>
      </c>
      <c r="E39" s="1561">
        <v>250000</v>
      </c>
      <c r="F39" s="1582">
        <v>250000</v>
      </c>
      <c r="G39" s="1582">
        <v>0</v>
      </c>
      <c r="H39" s="1562" t="s">
        <v>2050</v>
      </c>
    </row>
    <row r="40" spans="1:8" s="1567" customFormat="1" x14ac:dyDescent="0.2">
      <c r="A40" s="2660"/>
      <c r="B40" s="2661"/>
      <c r="C40" s="2661"/>
      <c r="D40" s="2661"/>
      <c r="E40" s="2661"/>
      <c r="F40" s="2661"/>
      <c r="G40" s="2661"/>
      <c r="H40" s="2662"/>
    </row>
    <row r="41" spans="1:8" s="1567" customFormat="1" x14ac:dyDescent="0.2">
      <c r="A41" s="2663" t="s">
        <v>2077</v>
      </c>
      <c r="B41" s="2664"/>
      <c r="C41" s="2665"/>
      <c r="D41" s="1591">
        <f t="shared" ref="D41:G41" si="2">SUM(D7:D40)</f>
        <v>296600000</v>
      </c>
      <c r="E41" s="1591">
        <f t="shared" si="2"/>
        <v>147100000</v>
      </c>
      <c r="F41" s="1591">
        <f t="shared" si="2"/>
        <v>149500000</v>
      </c>
      <c r="G41" s="1591">
        <f t="shared" si="2"/>
        <v>0</v>
      </c>
      <c r="H41" s="1592"/>
    </row>
    <row r="42" spans="1:8" s="1567" customFormat="1" x14ac:dyDescent="0.2">
      <c r="B42" s="1568"/>
      <c r="C42" s="1566"/>
      <c r="D42" s="1566"/>
      <c r="E42" s="1566"/>
      <c r="F42" s="1566"/>
      <c r="H42" s="1569"/>
    </row>
  </sheetData>
  <mergeCells count="15">
    <mergeCell ref="A36:H36"/>
    <mergeCell ref="A40:H40"/>
    <mergeCell ref="A41:C41"/>
    <mergeCell ref="A6:H6"/>
    <mergeCell ref="A8:H8"/>
    <mergeCell ref="A21:H21"/>
    <mergeCell ref="A17:H17"/>
    <mergeCell ref="A19:H19"/>
    <mergeCell ref="A2:H2"/>
    <mergeCell ref="A4:A5"/>
    <mergeCell ref="B4:B5"/>
    <mergeCell ref="C4:C5"/>
    <mergeCell ref="D4:D5"/>
    <mergeCell ref="E4:G4"/>
    <mergeCell ref="H4:H5"/>
  </mergeCells>
  <printOptions horizontalCentered="1"/>
  <pageMargins left="0.70866141732283472" right="0.70866141732283472" top="0.59055118110236238" bottom="0.39370078740157477" header="0.31496062992125984" footer="0.31496062992125984"/>
  <pageSetup paperSize="9" scale="85" orientation="landscape"/>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2"/>
  </sheetPr>
  <dimension ref="A1:BHC965"/>
  <sheetViews>
    <sheetView zoomScale="87" workbookViewId="0">
      <pane ySplit="2" topLeftCell="A3" activePane="bottomLeft" state="frozen"/>
      <selection activeCell="G2" sqref="G2"/>
      <selection pane="bottomLeft"/>
    </sheetView>
  </sheetViews>
  <sheetFormatPr defaultColWidth="9.5703125" defaultRowHeight="12.75" x14ac:dyDescent="0.2"/>
  <cols>
    <col min="1" max="1" width="23.5703125" style="1" customWidth="1"/>
    <col min="2" max="2" width="94" style="1" customWidth="1"/>
    <col min="3" max="3" width="28.85546875" style="1" customWidth="1"/>
    <col min="4" max="4" width="25.85546875" style="1" hidden="1" customWidth="1"/>
    <col min="5" max="5" width="9.5703125" style="1" hidden="1" customWidth="1"/>
    <col min="6" max="6" width="28" style="1" customWidth="1"/>
    <col min="7" max="7" width="29" style="1" customWidth="1"/>
    <col min="8" max="9" width="23.140625" style="1" hidden="1" customWidth="1"/>
    <col min="10" max="10" width="22.140625" style="1" hidden="1" customWidth="1"/>
    <col min="11" max="16384" width="9.5703125" style="1"/>
  </cols>
  <sheetData>
    <row r="1" spans="1:10" x14ac:dyDescent="0.2">
      <c r="G1" s="1593" t="s">
        <v>2111</v>
      </c>
    </row>
    <row r="2" spans="1:10" ht="67.5" customHeight="1" x14ac:dyDescent="0.2">
      <c r="A2" s="566" t="s">
        <v>2112</v>
      </c>
      <c r="B2" s="699" t="s">
        <v>2113</v>
      </c>
      <c r="C2" s="569" t="s">
        <v>1038</v>
      </c>
      <c r="D2" s="569" t="s">
        <v>2114</v>
      </c>
      <c r="E2" s="1594" t="s">
        <v>2115</v>
      </c>
      <c r="F2" s="575" t="s">
        <v>1025</v>
      </c>
      <c r="G2" s="1595" t="s">
        <v>2116</v>
      </c>
      <c r="H2" s="575" t="s">
        <v>1027</v>
      </c>
      <c r="I2" s="575" t="s">
        <v>1040</v>
      </c>
      <c r="J2" s="700" t="s">
        <v>1041</v>
      </c>
    </row>
    <row r="3" spans="1:10" ht="20.25" x14ac:dyDescent="0.3">
      <c r="A3" s="1596"/>
      <c r="B3" s="1597" t="s">
        <v>56</v>
      </c>
      <c r="C3" s="1598"/>
      <c r="D3" s="1598"/>
      <c r="E3" s="1599"/>
      <c r="G3" s="1600"/>
      <c r="I3" s="1600"/>
      <c r="J3" s="1600"/>
    </row>
    <row r="4" spans="1:10" s="98" customFormat="1" ht="18" x14ac:dyDescent="0.25">
      <c r="A4" s="1601"/>
      <c r="B4" s="1602" t="s">
        <v>57</v>
      </c>
      <c r="C4" s="1603">
        <f t="shared" ref="C4:J4" si="0">C33</f>
        <v>545682000</v>
      </c>
      <c r="D4" s="1603">
        <f t="shared" si="0"/>
        <v>569953372.64999998</v>
      </c>
      <c r="E4" s="1603">
        <f t="shared" si="0"/>
        <v>392461766.90999997</v>
      </c>
      <c r="F4" s="1603">
        <f t="shared" si="0"/>
        <v>548030931.72000003</v>
      </c>
      <c r="G4" s="1603">
        <f t="shared" si="0"/>
        <v>570976355.83999991</v>
      </c>
      <c r="H4" s="1603">
        <f t="shared" si="0"/>
        <v>555986247.83999991</v>
      </c>
      <c r="I4" s="1603">
        <f t="shared" si="0"/>
        <v>563885547.83999991</v>
      </c>
      <c r="J4" s="1604">
        <f t="shared" si="0"/>
        <v>558835047.83999991</v>
      </c>
    </row>
    <row r="5" spans="1:10" s="98" customFormat="1" ht="18.75" customHeight="1" x14ac:dyDescent="0.25">
      <c r="A5" s="770"/>
      <c r="B5" s="1601" t="s">
        <v>10</v>
      </c>
      <c r="C5" s="1605">
        <f t="shared" ref="C5:J5" si="1">C68</f>
        <v>163957324.72000003</v>
      </c>
      <c r="D5" s="1605">
        <f t="shared" si="1"/>
        <v>189495572.43000001</v>
      </c>
      <c r="E5" s="1605">
        <f t="shared" si="1"/>
        <v>231135891.18000001</v>
      </c>
      <c r="F5" s="1605">
        <f t="shared" si="1"/>
        <v>273701118.25999999</v>
      </c>
      <c r="G5" s="1605">
        <f t="shared" si="1"/>
        <v>172178289.50999999</v>
      </c>
      <c r="H5" s="1605">
        <f t="shared" si="1"/>
        <v>36881518</v>
      </c>
      <c r="I5" s="1605">
        <f t="shared" si="1"/>
        <v>36881518</v>
      </c>
      <c r="J5" s="1605">
        <f t="shared" si="1"/>
        <v>0</v>
      </c>
    </row>
    <row r="6" spans="1:10" s="98" customFormat="1" ht="18.75" customHeight="1" x14ac:dyDescent="0.25">
      <c r="A6" s="1606"/>
      <c r="B6" s="1601" t="s">
        <v>11</v>
      </c>
      <c r="C6" s="1605">
        <f t="shared" ref="C6:J6" si="2">C167</f>
        <v>72976820.010000005</v>
      </c>
      <c r="D6" s="1605">
        <f t="shared" si="2"/>
        <v>71051552</v>
      </c>
      <c r="E6" s="1605">
        <f t="shared" si="2"/>
        <v>4471093</v>
      </c>
      <c r="F6" s="1605">
        <f t="shared" si="2"/>
        <v>117224581</v>
      </c>
      <c r="G6" s="1605">
        <f t="shared" si="2"/>
        <v>45747371</v>
      </c>
      <c r="H6" s="1605">
        <f t="shared" si="2"/>
        <v>3572552</v>
      </c>
      <c r="I6" s="1605">
        <f t="shared" si="2"/>
        <v>3572552</v>
      </c>
      <c r="J6" s="1605">
        <f t="shared" si="2"/>
        <v>0</v>
      </c>
    </row>
    <row r="7" spans="1:10" s="98" customFormat="1" ht="18.75" customHeight="1" x14ac:dyDescent="0.25">
      <c r="A7" s="1606"/>
      <c r="B7" s="1601" t="s">
        <v>196</v>
      </c>
      <c r="C7" s="1607">
        <f t="shared" ref="C7:J7" si="3">C194</f>
        <v>56420206.439999998</v>
      </c>
      <c r="D7" s="1607">
        <f t="shared" si="3"/>
        <v>83643156.409999996</v>
      </c>
      <c r="E7" s="1607">
        <f t="shared" si="3"/>
        <v>60983919.380000003</v>
      </c>
      <c r="F7" s="1607">
        <f t="shared" si="3"/>
        <v>95787288.540000007</v>
      </c>
      <c r="G7" s="1607">
        <f t="shared" si="3"/>
        <v>91705431.088</v>
      </c>
      <c r="H7" s="1607">
        <f t="shared" si="3"/>
        <v>60170804.088</v>
      </c>
      <c r="I7" s="1607">
        <f t="shared" si="3"/>
        <v>60170804.088</v>
      </c>
      <c r="J7" s="1607">
        <f t="shared" si="3"/>
        <v>0</v>
      </c>
    </row>
    <row r="8" spans="1:10" s="98" customFormat="1" ht="20.25" x14ac:dyDescent="0.3">
      <c r="A8" s="1608"/>
      <c r="B8" s="1609" t="s">
        <v>13</v>
      </c>
      <c r="C8" s="1610">
        <f t="shared" ref="C8:J8" si="4">C250</f>
        <v>839036351.17000008</v>
      </c>
      <c r="D8" s="1610">
        <f t="shared" si="4"/>
        <v>914143653.48999989</v>
      </c>
      <c r="E8" s="1610">
        <f t="shared" si="4"/>
        <v>689052670.46999991</v>
      </c>
      <c r="F8" s="1610">
        <f t="shared" si="4"/>
        <v>1034743919.52</v>
      </c>
      <c r="G8" s="1610">
        <f>G250</f>
        <v>880607447.43799996</v>
      </c>
      <c r="H8" s="1610">
        <f t="shared" si="4"/>
        <v>656611121.92799997</v>
      </c>
      <c r="I8" s="1610">
        <f t="shared" si="4"/>
        <v>664510421.92799997</v>
      </c>
      <c r="J8" s="1610">
        <f t="shared" si="4"/>
        <v>0</v>
      </c>
    </row>
    <row r="9" spans="1:10" s="98" customFormat="1" ht="18" x14ac:dyDescent="0.25">
      <c r="A9" s="1611"/>
      <c r="B9" s="1612" t="s">
        <v>14</v>
      </c>
      <c r="C9" s="1613">
        <f t="shared" ref="C9:J9" si="5">C252</f>
        <v>173504211.83249995</v>
      </c>
      <c r="D9" s="1613">
        <f t="shared" si="5"/>
        <v>173504211.83249995</v>
      </c>
      <c r="E9" s="1613">
        <f t="shared" si="5"/>
        <v>-8713718.9199999999</v>
      </c>
      <c r="F9" s="1613">
        <f t="shared" si="5"/>
        <v>195833328</v>
      </c>
      <c r="G9" s="1613">
        <f t="shared" si="5"/>
        <v>240886192.56</v>
      </c>
      <c r="H9" s="1613">
        <f t="shared" si="5"/>
        <v>183333328</v>
      </c>
      <c r="I9" s="1613">
        <f t="shared" si="5"/>
        <v>173333328</v>
      </c>
      <c r="J9" s="1613">
        <f t="shared" si="5"/>
        <v>0</v>
      </c>
    </row>
    <row r="10" spans="1:10" s="85" customFormat="1" ht="24" customHeight="1" x14ac:dyDescent="0.4">
      <c r="A10" s="611"/>
      <c r="B10" s="612" t="s">
        <v>15</v>
      </c>
      <c r="C10" s="1614">
        <f t="shared" ref="C10:J10" si="6">C260</f>
        <v>1012540563.0025001</v>
      </c>
      <c r="D10" s="1614">
        <f t="shared" si="6"/>
        <v>1087647865.3224998</v>
      </c>
      <c r="E10" s="1614">
        <f t="shared" si="6"/>
        <v>680338951.54999995</v>
      </c>
      <c r="F10" s="1614">
        <f t="shared" si="6"/>
        <v>1230577247.52</v>
      </c>
      <c r="G10" s="1614">
        <f t="shared" si="6"/>
        <v>1121493639.9979999</v>
      </c>
      <c r="H10" s="1614">
        <f t="shared" si="6"/>
        <v>839944449.92799997</v>
      </c>
      <c r="I10" s="1614">
        <f t="shared" si="6"/>
        <v>837843749.92799997</v>
      </c>
      <c r="J10" s="1615">
        <f t="shared" si="6"/>
        <v>0</v>
      </c>
    </row>
    <row r="11" spans="1:10" s="98" customFormat="1" ht="20.25" x14ac:dyDescent="0.3">
      <c r="A11" s="1616"/>
      <c r="B11" s="1597" t="s">
        <v>257</v>
      </c>
      <c r="C11" s="1617"/>
      <c r="D11" s="1617"/>
      <c r="E11" s="1618"/>
      <c r="F11" s="1619"/>
      <c r="G11" s="1620"/>
      <c r="I11" s="1621"/>
      <c r="J11" s="1621"/>
    </row>
    <row r="12" spans="1:10" s="1622" customFormat="1" ht="15" x14ac:dyDescent="0.2">
      <c r="A12" s="1623"/>
      <c r="B12" s="1467" t="s">
        <v>17</v>
      </c>
      <c r="C12" s="1624">
        <f>C31-C13</f>
        <v>732444521</v>
      </c>
      <c r="D12" s="1624" t="e">
        <f>D31-D13</f>
        <v>#REF!</v>
      </c>
      <c r="E12" s="1624">
        <f>E31-E13</f>
        <v>335598548.68000001</v>
      </c>
      <c r="F12" s="1624">
        <f>F31-F13</f>
        <v>710200000</v>
      </c>
      <c r="G12" s="1624">
        <f>G31-G13</f>
        <v>796898130</v>
      </c>
      <c r="I12" s="1625"/>
      <c r="J12" s="1625"/>
    </row>
    <row r="13" spans="1:10" s="1622" customFormat="1" ht="15" x14ac:dyDescent="0.2">
      <c r="A13" s="1623"/>
      <c r="B13" s="1467" t="s">
        <v>18</v>
      </c>
      <c r="C13" s="1626">
        <v>280096042</v>
      </c>
      <c r="D13" s="1626">
        <v>309276314.93000001</v>
      </c>
      <c r="E13" s="1627">
        <v>63439843.93</v>
      </c>
      <c r="F13" s="1628">
        <v>200000000</v>
      </c>
      <c r="G13" s="1629">
        <v>324595510</v>
      </c>
      <c r="I13" s="1625"/>
      <c r="J13" s="1625"/>
    </row>
    <row r="14" spans="1:10" s="12" customFormat="1" ht="18" x14ac:dyDescent="0.25">
      <c r="A14" s="1630"/>
      <c r="B14" s="1601" t="s">
        <v>258</v>
      </c>
      <c r="C14" s="1605">
        <f>C262</f>
        <v>90523182</v>
      </c>
      <c r="D14" s="1605">
        <f>D262</f>
        <v>90996765.629999995</v>
      </c>
      <c r="E14" s="1605">
        <f t="shared" ref="E14:J14" si="7">E262</f>
        <v>42993195.109999999</v>
      </c>
      <c r="F14" s="1605">
        <f t="shared" si="7"/>
        <v>74799267.25999999</v>
      </c>
      <c r="G14" s="1605">
        <f t="shared" si="7"/>
        <v>79616000</v>
      </c>
      <c r="H14" s="1605">
        <f t="shared" si="7"/>
        <v>79756000</v>
      </c>
      <c r="I14" s="1605">
        <f t="shared" si="7"/>
        <v>0</v>
      </c>
      <c r="J14" s="1605">
        <f t="shared" si="7"/>
        <v>0</v>
      </c>
    </row>
    <row r="15" spans="1:10" s="12" customFormat="1" ht="20.25" customHeight="1" x14ac:dyDescent="0.25">
      <c r="A15" s="1630"/>
      <c r="B15" s="1601" t="s">
        <v>1031</v>
      </c>
      <c r="C15" s="1605">
        <f>C380</f>
        <v>268131950</v>
      </c>
      <c r="D15" s="1605">
        <f>D380</f>
        <v>269675855.81999999</v>
      </c>
      <c r="E15" s="1605">
        <f t="shared" ref="E15:J15" si="8">E380</f>
        <v>44545854.339999996</v>
      </c>
      <c r="F15" s="1605">
        <f t="shared" si="8"/>
        <v>165786193.34</v>
      </c>
      <c r="G15" s="1605">
        <f t="shared" si="8"/>
        <v>323519700</v>
      </c>
      <c r="H15" s="1605" t="e">
        <f t="shared" si="8"/>
        <v>#REF!</v>
      </c>
      <c r="I15" s="1605" t="e">
        <f t="shared" si="8"/>
        <v>#REF!</v>
      </c>
      <c r="J15" s="1605">
        <f t="shared" si="8"/>
        <v>0</v>
      </c>
    </row>
    <row r="16" spans="1:10" s="12" customFormat="1" ht="18" x14ac:dyDescent="0.25">
      <c r="A16" s="1631"/>
      <c r="B16" s="1632" t="s">
        <v>31</v>
      </c>
      <c r="C16" s="1633">
        <f t="shared" ref="C16:J16" si="9">C600</f>
        <v>15000</v>
      </c>
      <c r="D16" s="1633">
        <f t="shared" si="9"/>
        <v>15000</v>
      </c>
      <c r="E16" s="1633">
        <f t="shared" si="9"/>
        <v>0</v>
      </c>
      <c r="F16" s="1633">
        <f t="shared" si="9"/>
        <v>15000</v>
      </c>
      <c r="G16" s="1633">
        <f t="shared" si="9"/>
        <v>15000</v>
      </c>
      <c r="H16" s="1633">
        <f t="shared" si="9"/>
        <v>15000</v>
      </c>
      <c r="I16" s="1633">
        <f t="shared" si="9"/>
        <v>15000</v>
      </c>
      <c r="J16" s="1633">
        <f t="shared" si="9"/>
        <v>0</v>
      </c>
    </row>
    <row r="17" spans="1:243" s="1634" customFormat="1" ht="18" x14ac:dyDescent="0.25">
      <c r="A17" s="1607"/>
      <c r="B17" s="1607" t="s">
        <v>1032</v>
      </c>
      <c r="C17" s="1633">
        <f t="shared" ref="C17:J17" si="10">C603</f>
        <v>15625044</v>
      </c>
      <c r="D17" s="1633">
        <f t="shared" si="10"/>
        <v>16236396.609999999</v>
      </c>
      <c r="E17" s="1633">
        <f t="shared" si="10"/>
        <v>9798109.5800000001</v>
      </c>
      <c r="F17" s="1633">
        <f t="shared" si="10"/>
        <v>16241396.609999999</v>
      </c>
      <c r="G17" s="1633">
        <f t="shared" si="10"/>
        <v>17594633</v>
      </c>
      <c r="H17" s="1633">
        <f t="shared" si="10"/>
        <v>17286893</v>
      </c>
      <c r="I17" s="1633">
        <f t="shared" si="10"/>
        <v>17286893</v>
      </c>
      <c r="J17" s="1633">
        <f t="shared" si="10"/>
        <v>0</v>
      </c>
    </row>
    <row r="18" spans="1:243" s="1635" customFormat="1" ht="18" x14ac:dyDescent="0.25">
      <c r="A18" s="1631"/>
      <c r="B18" s="1632" t="s">
        <v>33</v>
      </c>
      <c r="C18" s="1633">
        <f t="shared" ref="C18:J18" si="11">C610</f>
        <v>11266280</v>
      </c>
      <c r="D18" s="1633">
        <f t="shared" si="11"/>
        <v>11266280</v>
      </c>
      <c r="E18" s="1633">
        <f t="shared" si="11"/>
        <v>7658184.96</v>
      </c>
      <c r="F18" s="1633">
        <f t="shared" si="11"/>
        <v>10929459</v>
      </c>
      <c r="G18" s="1633">
        <f t="shared" si="11"/>
        <v>11914064</v>
      </c>
      <c r="H18" s="1633">
        <f t="shared" si="11"/>
        <v>11914064</v>
      </c>
      <c r="I18" s="1633">
        <f t="shared" si="11"/>
        <v>11914064</v>
      </c>
      <c r="J18" s="1633">
        <f t="shared" si="11"/>
        <v>0</v>
      </c>
    </row>
    <row r="19" spans="1:243" s="1635" customFormat="1" ht="18" x14ac:dyDescent="0.25">
      <c r="A19" s="1636"/>
      <c r="B19" s="1601" t="s">
        <v>34</v>
      </c>
      <c r="C19" s="1605">
        <f t="shared" ref="C19:J19" si="12">C619</f>
        <v>162000</v>
      </c>
      <c r="D19" s="1605">
        <f t="shared" si="12"/>
        <v>162000</v>
      </c>
      <c r="E19" s="1605">
        <f t="shared" si="12"/>
        <v>87592.84</v>
      </c>
      <c r="F19" s="1605">
        <f t="shared" si="12"/>
        <v>104000</v>
      </c>
      <c r="G19" s="1605">
        <f t="shared" si="12"/>
        <v>162000</v>
      </c>
      <c r="H19" s="1605">
        <f t="shared" si="12"/>
        <v>0</v>
      </c>
      <c r="I19" s="1605">
        <f t="shared" si="12"/>
        <v>0</v>
      </c>
      <c r="J19" s="1605">
        <f t="shared" si="12"/>
        <v>0</v>
      </c>
    </row>
    <row r="20" spans="1:243" s="1635" customFormat="1" ht="18" x14ac:dyDescent="0.25">
      <c r="A20" s="1631"/>
      <c r="B20" s="1601" t="s">
        <v>630</v>
      </c>
      <c r="C20" s="1605">
        <f t="shared" ref="C20:J20" si="13">C623</f>
        <v>1000000</v>
      </c>
      <c r="D20" s="1605">
        <f t="shared" si="13"/>
        <v>1224000</v>
      </c>
      <c r="E20" s="1605">
        <f t="shared" si="13"/>
        <v>1933595.5699999998</v>
      </c>
      <c r="F20" s="1605">
        <f t="shared" si="13"/>
        <v>1437000</v>
      </c>
      <c r="G20" s="1605">
        <f t="shared" si="13"/>
        <v>500000</v>
      </c>
      <c r="H20" s="1605">
        <f t="shared" si="13"/>
        <v>500000</v>
      </c>
      <c r="I20" s="1605">
        <f t="shared" si="13"/>
        <v>500000</v>
      </c>
      <c r="J20" s="1605">
        <f t="shared" si="13"/>
        <v>0</v>
      </c>
    </row>
    <row r="21" spans="1:243" s="1637" customFormat="1" ht="18" x14ac:dyDescent="0.25">
      <c r="A21" s="1632"/>
      <c r="B21" s="1638" t="s">
        <v>36</v>
      </c>
      <c r="C21" s="1607">
        <f t="shared" ref="C21:J21" si="14">C628</f>
        <v>112714300</v>
      </c>
      <c r="D21" s="1607">
        <f t="shared" si="14"/>
        <v>131296914.09999999</v>
      </c>
      <c r="E21" s="1607">
        <f t="shared" si="14"/>
        <v>93407188.049999997</v>
      </c>
      <c r="F21" s="1607">
        <f t="shared" si="14"/>
        <v>130887110.97</v>
      </c>
      <c r="G21" s="1607">
        <f t="shared" si="14"/>
        <v>125656247</v>
      </c>
      <c r="H21" s="1607">
        <f t="shared" si="14"/>
        <v>0</v>
      </c>
      <c r="I21" s="1607">
        <f t="shared" si="14"/>
        <v>0</v>
      </c>
      <c r="J21" s="1607">
        <f t="shared" si="14"/>
        <v>0</v>
      </c>
    </row>
    <row r="22" spans="1:243" s="12" customFormat="1" ht="18" x14ac:dyDescent="0.25">
      <c r="A22" s="1601"/>
      <c r="B22" s="1601" t="s">
        <v>716</v>
      </c>
      <c r="C22" s="1633">
        <f t="shared" ref="C22:J22" si="15">C714</f>
        <v>27924400</v>
      </c>
      <c r="D22" s="1633">
        <f t="shared" si="15"/>
        <v>27924400</v>
      </c>
      <c r="E22" s="1633">
        <f t="shared" si="15"/>
        <v>16865768.510000002</v>
      </c>
      <c r="F22" s="1633">
        <f t="shared" si="15"/>
        <v>26206117.050000001</v>
      </c>
      <c r="G22" s="1633">
        <f t="shared" si="15"/>
        <v>30378980</v>
      </c>
      <c r="H22" s="1633">
        <f t="shared" si="15"/>
        <v>0</v>
      </c>
      <c r="I22" s="1633">
        <f t="shared" si="15"/>
        <v>0</v>
      </c>
      <c r="J22" s="1633">
        <f t="shared" si="15"/>
        <v>0</v>
      </c>
    </row>
    <row r="23" spans="1:243" s="12" customFormat="1" ht="18" x14ac:dyDescent="0.25">
      <c r="A23" s="1601"/>
      <c r="B23" s="1601" t="s">
        <v>719</v>
      </c>
      <c r="C23" s="1605">
        <f t="shared" ref="C23:J23" si="16">C718</f>
        <v>35630624</v>
      </c>
      <c r="D23" s="1605">
        <f t="shared" si="16"/>
        <v>38653119.75</v>
      </c>
      <c r="E23" s="1605">
        <f t="shared" si="16"/>
        <v>19597421.539999999</v>
      </c>
      <c r="F23" s="1605">
        <f t="shared" si="16"/>
        <v>38653119.75</v>
      </c>
      <c r="G23" s="1605">
        <f t="shared" si="16"/>
        <v>37939410</v>
      </c>
      <c r="H23" s="1605">
        <f t="shared" si="16"/>
        <v>42859410</v>
      </c>
      <c r="I23" s="1605">
        <f t="shared" si="16"/>
        <v>43659410</v>
      </c>
      <c r="J23" s="1605">
        <f t="shared" si="16"/>
        <v>0</v>
      </c>
    </row>
    <row r="24" spans="1:243" s="12" customFormat="1" ht="18" x14ac:dyDescent="0.25">
      <c r="A24" s="1601"/>
      <c r="B24" s="1601" t="s">
        <v>735</v>
      </c>
      <c r="C24" s="1603">
        <f t="shared" ref="C24:J24" si="17">C739</f>
        <v>171743160</v>
      </c>
      <c r="D24" s="1603">
        <f t="shared" si="17"/>
        <v>172842003.99000001</v>
      </c>
      <c r="E24" s="1603">
        <f t="shared" si="17"/>
        <v>117162209.58</v>
      </c>
      <c r="F24" s="1603">
        <f t="shared" si="17"/>
        <v>172842004</v>
      </c>
      <c r="G24" s="1603">
        <f t="shared" si="17"/>
        <v>190047550</v>
      </c>
      <c r="H24" s="1603">
        <f t="shared" si="17"/>
        <v>0</v>
      </c>
      <c r="I24" s="1603">
        <f t="shared" si="17"/>
        <v>0</v>
      </c>
      <c r="J24" s="1603">
        <f t="shared" si="17"/>
        <v>0</v>
      </c>
    </row>
    <row r="25" spans="1:243" s="12" customFormat="1" ht="18" x14ac:dyDescent="0.25">
      <c r="A25" s="1601"/>
      <c r="B25" s="1601" t="s">
        <v>43</v>
      </c>
      <c r="C25" s="1603">
        <f t="shared" ref="C25:J25" si="18">C748</f>
        <v>17006123</v>
      </c>
      <c r="D25" s="1603">
        <f t="shared" si="18"/>
        <v>16844868</v>
      </c>
      <c r="E25" s="1603">
        <f t="shared" si="18"/>
        <v>13837215.68</v>
      </c>
      <c r="F25" s="1603">
        <f t="shared" si="18"/>
        <v>14751490</v>
      </c>
      <c r="G25" s="1603">
        <f t="shared" si="18"/>
        <v>16959056</v>
      </c>
      <c r="H25" s="1603">
        <f t="shared" si="18"/>
        <v>16959056</v>
      </c>
      <c r="I25" s="1603">
        <f t="shared" si="18"/>
        <v>16959056</v>
      </c>
      <c r="J25" s="1603">
        <f t="shared" si="18"/>
        <v>0</v>
      </c>
    </row>
    <row r="26" spans="1:243" s="12" customFormat="1" ht="18" x14ac:dyDescent="0.25">
      <c r="A26" s="1632"/>
      <c r="B26" s="1632" t="s">
        <v>777</v>
      </c>
      <c r="C26" s="1633">
        <f t="shared" ref="C26:J26" si="19">C778</f>
        <v>19471500</v>
      </c>
      <c r="D26" s="1633">
        <f t="shared" si="19"/>
        <v>24044500</v>
      </c>
      <c r="E26" s="1633">
        <f t="shared" si="19"/>
        <v>6442331.1100000003</v>
      </c>
      <c r="F26" s="1633">
        <f t="shared" si="19"/>
        <v>24044500</v>
      </c>
      <c r="G26" s="1633">
        <f t="shared" si="19"/>
        <v>18612000</v>
      </c>
      <c r="H26" s="1633">
        <f t="shared" si="19"/>
        <v>0</v>
      </c>
      <c r="I26" s="1633">
        <f t="shared" si="19"/>
        <v>0</v>
      </c>
      <c r="J26" s="1633">
        <f t="shared" si="19"/>
        <v>0</v>
      </c>
    </row>
    <row r="27" spans="1:243" s="12" customFormat="1" ht="18" x14ac:dyDescent="0.25">
      <c r="A27" s="1601"/>
      <c r="B27" s="1601" t="s">
        <v>2117</v>
      </c>
      <c r="C27" s="1633">
        <f t="shared" ref="C27:J27" si="20">C785</f>
        <v>67229000</v>
      </c>
      <c r="D27" s="1633">
        <f t="shared" si="20"/>
        <v>70520616.560000002</v>
      </c>
      <c r="E27" s="1633">
        <f t="shared" si="20"/>
        <v>41952834</v>
      </c>
      <c r="F27" s="1633">
        <f t="shared" si="20"/>
        <v>70504116.560000002</v>
      </c>
      <c r="G27" s="1633">
        <f t="shared" si="20"/>
        <v>72242000</v>
      </c>
      <c r="H27" s="1633">
        <f t="shared" si="20"/>
        <v>73842000</v>
      </c>
      <c r="I27" s="1633">
        <f t="shared" si="20"/>
        <v>73842000</v>
      </c>
      <c r="J27" s="1633">
        <f t="shared" si="20"/>
        <v>0</v>
      </c>
    </row>
    <row r="28" spans="1:243" s="12" customFormat="1" ht="18" x14ac:dyDescent="0.25">
      <c r="A28" s="1639"/>
      <c r="B28" s="1632" t="s">
        <v>803</v>
      </c>
      <c r="C28" s="1633">
        <f t="shared" ref="C28:J28" si="21">C810</f>
        <v>136758000</v>
      </c>
      <c r="D28" s="1633" t="e">
        <f t="shared" si="21"/>
        <v>#REF!</v>
      </c>
      <c r="E28" s="1633" t="e">
        <f t="shared" si="21"/>
        <v>#REF!</v>
      </c>
      <c r="F28" s="1633">
        <f t="shared" si="21"/>
        <v>110439175.45999999</v>
      </c>
      <c r="G28" s="1633">
        <f t="shared" si="21"/>
        <v>130147000</v>
      </c>
      <c r="H28" s="1633">
        <f t="shared" si="21"/>
        <v>0</v>
      </c>
      <c r="I28" s="1633">
        <f t="shared" si="21"/>
        <v>0</v>
      </c>
      <c r="J28" s="1633">
        <f t="shared" si="21"/>
        <v>0</v>
      </c>
    </row>
    <row r="29" spans="1:243" s="1640" customFormat="1" ht="18" x14ac:dyDescent="0.25">
      <c r="A29" s="1601"/>
      <c r="B29" s="1601" t="s">
        <v>52</v>
      </c>
      <c r="C29" s="1633">
        <f t="shared" ref="C29:J29" si="22">C929</f>
        <v>350000</v>
      </c>
      <c r="D29" s="1633">
        <f t="shared" si="22"/>
        <v>350000</v>
      </c>
      <c r="E29" s="1633">
        <f t="shared" si="22"/>
        <v>78650</v>
      </c>
      <c r="F29" s="1633">
        <f t="shared" si="22"/>
        <v>131850</v>
      </c>
      <c r="G29" s="1633">
        <f t="shared" si="22"/>
        <v>290000</v>
      </c>
      <c r="H29" s="1633">
        <f t="shared" si="22"/>
        <v>290000</v>
      </c>
      <c r="I29" s="1633">
        <f t="shared" si="22"/>
        <v>290000</v>
      </c>
      <c r="J29" s="1633">
        <f t="shared" si="22"/>
        <v>0</v>
      </c>
      <c r="IC29" s="1635"/>
      <c r="ID29" s="1635"/>
      <c r="IE29" s="1635"/>
      <c r="IF29" s="1635"/>
      <c r="IG29" s="1635"/>
      <c r="IH29" s="1635"/>
      <c r="II29" s="1635"/>
    </row>
    <row r="30" spans="1:243" s="1635" customFormat="1" ht="18" x14ac:dyDescent="0.25">
      <c r="A30" s="1612"/>
      <c r="B30" s="1612" t="s">
        <v>54</v>
      </c>
      <c r="C30" s="1641">
        <f t="shared" ref="C30:J30" si="23">C939</f>
        <v>36990000</v>
      </c>
      <c r="D30" s="1641">
        <f t="shared" si="23"/>
        <v>81810309.319999993</v>
      </c>
      <c r="E30" s="1641">
        <f t="shared" si="23"/>
        <v>51460070.459999993</v>
      </c>
      <c r="F30" s="1641">
        <f t="shared" si="23"/>
        <v>52428200</v>
      </c>
      <c r="G30" s="1642">
        <f t="shared" si="23"/>
        <v>65900000</v>
      </c>
      <c r="H30" s="1641">
        <f t="shared" si="23"/>
        <v>65850000</v>
      </c>
      <c r="I30" s="1641">
        <f t="shared" si="23"/>
        <v>65850000</v>
      </c>
      <c r="J30" s="1641">
        <f t="shared" si="23"/>
        <v>0</v>
      </c>
    </row>
    <row r="31" spans="1:243" s="98" customFormat="1" ht="23.25" x14ac:dyDescent="0.35">
      <c r="A31" s="691"/>
      <c r="B31" s="691" t="s">
        <v>55</v>
      </c>
      <c r="C31" s="1643">
        <f t="shared" ref="C31:J31" si="24">C961</f>
        <v>1012540563</v>
      </c>
      <c r="D31" s="1643" t="e">
        <f t="shared" si="24"/>
        <v>#REF!</v>
      </c>
      <c r="E31" s="1644">
        <f t="shared" si="24"/>
        <v>399038392.61000001</v>
      </c>
      <c r="F31" s="1644">
        <f t="shared" si="24"/>
        <v>910200000</v>
      </c>
      <c r="G31" s="1645">
        <f t="shared" si="24"/>
        <v>1121493640</v>
      </c>
      <c r="H31" s="1646" t="e">
        <f t="shared" si="24"/>
        <v>#REF!</v>
      </c>
      <c r="I31" s="1647" t="e">
        <f t="shared" si="24"/>
        <v>#REF!</v>
      </c>
      <c r="J31" s="1647">
        <f t="shared" si="24"/>
        <v>0</v>
      </c>
    </row>
    <row r="32" spans="1:243" ht="36" customHeight="1" x14ac:dyDescent="0.3">
      <c r="A32" s="576"/>
      <c r="B32" s="951" t="s">
        <v>2118</v>
      </c>
      <c r="C32" s="575"/>
      <c r="D32" s="1648"/>
      <c r="E32" s="1649"/>
      <c r="G32" s="1650"/>
      <c r="H32" s="1651" t="s">
        <v>1043</v>
      </c>
      <c r="I32" s="1652" t="s">
        <v>1044</v>
      </c>
      <c r="J32" s="704" t="s">
        <v>1045</v>
      </c>
    </row>
    <row r="33" spans="1:10" s="98" customFormat="1" ht="18" x14ac:dyDescent="0.25">
      <c r="A33" s="583"/>
      <c r="B33" s="705" t="s">
        <v>57</v>
      </c>
      <c r="C33" s="706">
        <f t="shared" ref="C33:J33" si="25">SUM(C34:C45,C49:C54,C61:C66)</f>
        <v>545682000</v>
      </c>
      <c r="D33" s="1653">
        <f t="shared" si="25"/>
        <v>569953372.64999998</v>
      </c>
      <c r="E33" s="1653">
        <f t="shared" si="25"/>
        <v>392461766.90999997</v>
      </c>
      <c r="F33" s="1654">
        <f t="shared" si="25"/>
        <v>548030931.72000003</v>
      </c>
      <c r="G33" s="1654">
        <f>SUM(G34:G45,G49:G54,G61:G66)</f>
        <v>570976355.83999991</v>
      </c>
      <c r="H33" s="1654">
        <f t="shared" si="25"/>
        <v>555986247.83999991</v>
      </c>
      <c r="I33" s="1654">
        <f t="shared" si="25"/>
        <v>563885547.83999991</v>
      </c>
      <c r="J33" s="1654">
        <f t="shared" si="25"/>
        <v>558835047.83999991</v>
      </c>
    </row>
    <row r="34" spans="1:10" s="98" customFormat="1" ht="12.75" customHeight="1" x14ac:dyDescent="0.2">
      <c r="A34" s="708">
        <v>1111</v>
      </c>
      <c r="B34" s="709" t="s">
        <v>2119</v>
      </c>
      <c r="C34" s="710">
        <v>76180000</v>
      </c>
      <c r="D34" s="1655">
        <v>76180000</v>
      </c>
      <c r="E34" s="1656">
        <v>50554551.549999997</v>
      </c>
      <c r="F34" s="1657">
        <v>76000000</v>
      </c>
      <c r="G34" s="1656">
        <f>(54100000*0.155174/100)*1000</f>
        <v>83949134</v>
      </c>
      <c r="H34" s="1658">
        <v>79918400</v>
      </c>
      <c r="I34" s="1659">
        <v>86230000</v>
      </c>
      <c r="J34" s="1660">
        <v>83980000</v>
      </c>
    </row>
    <row r="35" spans="1:10" s="98" customFormat="1" ht="12.75" customHeight="1" x14ac:dyDescent="0.2">
      <c r="A35" s="716">
        <v>1111</v>
      </c>
      <c r="B35" s="717" t="s">
        <v>1047</v>
      </c>
      <c r="C35" s="718">
        <v>7440000</v>
      </c>
      <c r="D35" s="1661">
        <v>7440000</v>
      </c>
      <c r="E35" s="1662">
        <v>4925272.6100000003</v>
      </c>
      <c r="F35" s="1663">
        <v>7400000</v>
      </c>
      <c r="G35" s="1662">
        <f>(3400000*0.263492/100)*1000</f>
        <v>8958728.0000000019</v>
      </c>
      <c r="H35" s="1664">
        <v>8425400</v>
      </c>
      <c r="I35" s="1665">
        <v>9090000</v>
      </c>
      <c r="J35" s="1666">
        <v>8850000</v>
      </c>
    </row>
    <row r="36" spans="1:10" s="98" customFormat="1" ht="12.75" customHeight="1" x14ac:dyDescent="0.2">
      <c r="A36" s="716">
        <v>1112</v>
      </c>
      <c r="B36" s="717" t="s">
        <v>2120</v>
      </c>
      <c r="C36" s="718">
        <v>5470000</v>
      </c>
      <c r="D36" s="1661">
        <v>5470000</v>
      </c>
      <c r="E36" s="1667">
        <v>2806725.54</v>
      </c>
      <c r="F36" s="1663">
        <v>4000000</v>
      </c>
      <c r="G36" s="1667">
        <f>(4600000*0.155174/100)*1000-1138004</f>
        <v>6000000</v>
      </c>
      <c r="H36" s="1668">
        <v>7138000</v>
      </c>
      <c r="I36" s="1665">
        <v>6750000</v>
      </c>
      <c r="J36" s="1666">
        <v>7120000</v>
      </c>
    </row>
    <row r="37" spans="1:10" s="98" customFormat="1" ht="12.75" customHeight="1" x14ac:dyDescent="0.2">
      <c r="A37" s="716">
        <v>1113</v>
      </c>
      <c r="B37" s="717" t="s">
        <v>1049</v>
      </c>
      <c r="C37" s="718">
        <v>14850000</v>
      </c>
      <c r="D37" s="1661">
        <v>14850000</v>
      </c>
      <c r="E37" s="1667">
        <v>12330308.369999999</v>
      </c>
      <c r="F37" s="1663">
        <v>16000000</v>
      </c>
      <c r="G37" s="1667">
        <f>(9700000*0.155174/100)*1000</f>
        <v>15051878</v>
      </c>
      <c r="H37" s="1668">
        <v>13345000</v>
      </c>
      <c r="I37" s="1665">
        <v>14620000</v>
      </c>
      <c r="J37" s="1666">
        <v>15110000</v>
      </c>
    </row>
    <row r="38" spans="1:10" s="98" customFormat="1" ht="12.75" customHeight="1" x14ac:dyDescent="0.2">
      <c r="A38" s="716">
        <v>1121</v>
      </c>
      <c r="B38" s="717" t="s">
        <v>2121</v>
      </c>
      <c r="C38" s="718">
        <f>119931345-1345</f>
        <v>119930000</v>
      </c>
      <c r="D38" s="1661">
        <f>119931345-1345</f>
        <v>119930000</v>
      </c>
      <c r="E38" s="1667">
        <v>71337107.640000001</v>
      </c>
      <c r="F38" s="1662">
        <v>107000000</v>
      </c>
      <c r="G38" s="1667">
        <v>119018458</v>
      </c>
      <c r="H38" s="1668">
        <v>120104700</v>
      </c>
      <c r="I38" s="1665">
        <v>119970000</v>
      </c>
      <c r="J38" s="1666">
        <v>118990000</v>
      </c>
    </row>
    <row r="39" spans="1:10" s="98" customFormat="1" ht="25.5" customHeight="1" x14ac:dyDescent="0.2">
      <c r="A39" s="716">
        <v>1122</v>
      </c>
      <c r="B39" s="725" t="s">
        <v>1051</v>
      </c>
      <c r="C39" s="726">
        <v>30000000</v>
      </c>
      <c r="D39" s="734">
        <f>30000000+16435050</f>
        <v>46435050</v>
      </c>
      <c r="E39" s="734">
        <v>46435050</v>
      </c>
      <c r="F39" s="882">
        <v>46435050</v>
      </c>
      <c r="G39" s="734">
        <v>30000000</v>
      </c>
      <c r="H39" s="1669">
        <v>29950000</v>
      </c>
      <c r="I39" s="1670">
        <v>29950000</v>
      </c>
      <c r="J39" s="1671">
        <v>29950000</v>
      </c>
    </row>
    <row r="40" spans="1:10" s="98" customFormat="1" ht="12.75" customHeight="1" x14ac:dyDescent="0.2">
      <c r="A40" s="716">
        <v>1211</v>
      </c>
      <c r="B40" s="717" t="s">
        <v>1052</v>
      </c>
      <c r="C40" s="723">
        <v>233630000</v>
      </c>
      <c r="D40" s="1667">
        <v>233630000</v>
      </c>
      <c r="E40" s="1672">
        <v>149430655.61000001</v>
      </c>
      <c r="F40" s="1673">
        <v>225000000</v>
      </c>
      <c r="G40" s="1667">
        <f>(150600000*0.155174/100)*1000</f>
        <v>233692044.00000003</v>
      </c>
      <c r="H40" s="1668">
        <v>236019700</v>
      </c>
      <c r="I40" s="1665">
        <v>236190000</v>
      </c>
      <c r="J40" s="1674">
        <v>233750000</v>
      </c>
    </row>
    <row r="41" spans="1:10" s="98" customFormat="1" ht="25.5" x14ac:dyDescent="0.2">
      <c r="A41" s="716">
        <v>1334</v>
      </c>
      <c r="B41" s="725" t="s">
        <v>1053</v>
      </c>
      <c r="C41" s="731">
        <v>50000</v>
      </c>
      <c r="D41" s="746">
        <v>50000</v>
      </c>
      <c r="E41" s="972">
        <v>29834.3</v>
      </c>
      <c r="F41" s="732">
        <v>50000</v>
      </c>
      <c r="G41" s="746">
        <v>50000</v>
      </c>
      <c r="H41" s="1675">
        <v>50000</v>
      </c>
      <c r="I41" s="1676">
        <v>50000</v>
      </c>
      <c r="J41" s="1666">
        <v>50000</v>
      </c>
    </row>
    <row r="42" spans="1:10" s="98" customFormat="1" x14ac:dyDescent="0.2">
      <c r="A42" s="716">
        <v>1335</v>
      </c>
      <c r="B42" s="717" t="s">
        <v>1054</v>
      </c>
      <c r="C42" s="731">
        <v>2000</v>
      </c>
      <c r="D42" s="746">
        <v>2000</v>
      </c>
      <c r="E42" s="972">
        <v>2133.88</v>
      </c>
      <c r="F42" s="732">
        <v>2133.88</v>
      </c>
      <c r="G42" s="746">
        <v>2000</v>
      </c>
      <c r="H42" s="1675">
        <v>2000</v>
      </c>
      <c r="I42" s="1676">
        <v>2000</v>
      </c>
      <c r="J42" s="1674">
        <v>2000</v>
      </c>
    </row>
    <row r="43" spans="1:10" s="98" customFormat="1" x14ac:dyDescent="0.2">
      <c r="A43" s="716">
        <v>1336</v>
      </c>
      <c r="B43" s="717" t="s">
        <v>1055</v>
      </c>
      <c r="C43" s="731">
        <v>0</v>
      </c>
      <c r="D43" s="746">
        <f>32200</f>
        <v>32200</v>
      </c>
      <c r="E43" s="972">
        <v>32200</v>
      </c>
      <c r="F43" s="732">
        <v>32200</v>
      </c>
      <c r="G43" s="746">
        <v>0</v>
      </c>
      <c r="H43" s="1675">
        <v>0</v>
      </c>
      <c r="I43" s="1676">
        <v>0</v>
      </c>
      <c r="J43" s="1666">
        <v>0</v>
      </c>
    </row>
    <row r="44" spans="1:10" s="98" customFormat="1" x14ac:dyDescent="0.2">
      <c r="A44" s="716">
        <v>1341</v>
      </c>
      <c r="B44" s="717" t="s">
        <v>1056</v>
      </c>
      <c r="C44" s="731">
        <v>600000</v>
      </c>
      <c r="D44" s="746">
        <v>600000</v>
      </c>
      <c r="E44" s="972">
        <v>601444.36</v>
      </c>
      <c r="F44" s="732">
        <v>650000</v>
      </c>
      <c r="G44" s="734">
        <v>650000</v>
      </c>
      <c r="H44" s="1677">
        <v>650000</v>
      </c>
      <c r="I44" s="732">
        <v>650000</v>
      </c>
      <c r="J44" s="734">
        <v>650000</v>
      </c>
    </row>
    <row r="45" spans="1:10" s="98" customFormat="1" x14ac:dyDescent="0.2">
      <c r="A45" s="716">
        <v>1343</v>
      </c>
      <c r="B45" s="717" t="s">
        <v>1057</v>
      </c>
      <c r="C45" s="735">
        <f>SUM(C46:C48)</f>
        <v>425000</v>
      </c>
      <c r="D45" s="1678">
        <f>SUM(D46:D48)</f>
        <v>425000</v>
      </c>
      <c r="E45" s="1678">
        <f t="shared" ref="E45:J45" si="26">SUM(E46:E48)</f>
        <v>250796</v>
      </c>
      <c r="F45" s="1679">
        <f t="shared" si="26"/>
        <v>435000</v>
      </c>
      <c r="G45" s="1678">
        <f t="shared" si="26"/>
        <v>495000</v>
      </c>
      <c r="H45" s="813">
        <f t="shared" si="26"/>
        <v>495000</v>
      </c>
      <c r="I45" s="1678">
        <f t="shared" si="26"/>
        <v>495000</v>
      </c>
      <c r="J45" s="1678">
        <f t="shared" si="26"/>
        <v>495000</v>
      </c>
    </row>
    <row r="46" spans="1:10" x14ac:dyDescent="0.2">
      <c r="A46" s="736"/>
      <c r="B46" s="737" t="s">
        <v>1059</v>
      </c>
      <c r="C46" s="738">
        <v>250000</v>
      </c>
      <c r="D46" s="767">
        <v>250000</v>
      </c>
      <c r="E46" s="968">
        <v>183367</v>
      </c>
      <c r="F46" s="739">
        <v>280000</v>
      </c>
      <c r="G46" s="767">
        <v>320000</v>
      </c>
      <c r="H46" s="1680">
        <v>320000</v>
      </c>
      <c r="I46" s="1676">
        <v>320000</v>
      </c>
      <c r="J46" s="1681">
        <v>320000</v>
      </c>
    </row>
    <row r="47" spans="1:10" x14ac:dyDescent="0.2">
      <c r="A47" s="741"/>
      <c r="B47" s="737" t="s">
        <v>1060</v>
      </c>
      <c r="C47" s="738">
        <v>90000</v>
      </c>
      <c r="D47" s="767">
        <v>90000</v>
      </c>
      <c r="E47" s="968">
        <v>20855</v>
      </c>
      <c r="F47" s="739">
        <v>70000</v>
      </c>
      <c r="G47" s="767">
        <v>90000</v>
      </c>
      <c r="H47" s="1680">
        <v>90000</v>
      </c>
      <c r="I47" s="1676">
        <v>90000</v>
      </c>
      <c r="J47" s="1682">
        <v>90000</v>
      </c>
    </row>
    <row r="48" spans="1:10" x14ac:dyDescent="0.2">
      <c r="A48" s="741"/>
      <c r="B48" s="737" t="s">
        <v>1061</v>
      </c>
      <c r="C48" s="738">
        <v>85000</v>
      </c>
      <c r="D48" s="767">
        <v>85000</v>
      </c>
      <c r="E48" s="968">
        <v>46574</v>
      </c>
      <c r="F48" s="739">
        <v>85000</v>
      </c>
      <c r="G48" s="767">
        <v>85000</v>
      </c>
      <c r="H48" s="1680">
        <v>85000</v>
      </c>
      <c r="I48" s="1676">
        <v>85000</v>
      </c>
      <c r="J48" s="1683">
        <v>85000</v>
      </c>
    </row>
    <row r="49" spans="1:1563" ht="25.5" x14ac:dyDescent="0.2">
      <c r="A49" s="744">
        <v>1345</v>
      </c>
      <c r="B49" s="725" t="s">
        <v>1062</v>
      </c>
      <c r="C49" s="731">
        <v>17500000</v>
      </c>
      <c r="D49" s="746">
        <v>17500000</v>
      </c>
      <c r="E49" s="929">
        <v>16192838.52</v>
      </c>
      <c r="F49" s="745">
        <v>17500000</v>
      </c>
      <c r="G49" s="746">
        <v>17500000</v>
      </c>
      <c r="H49" s="1352">
        <v>17500000</v>
      </c>
      <c r="I49" s="746">
        <v>17500000</v>
      </c>
      <c r="J49" s="746">
        <v>17500000</v>
      </c>
    </row>
    <row r="50" spans="1:1563" s="98" customFormat="1" ht="24.75" x14ac:dyDescent="0.2">
      <c r="A50" s="716">
        <v>1346</v>
      </c>
      <c r="B50" s="725" t="s">
        <v>1063</v>
      </c>
      <c r="C50" s="731">
        <v>180000</v>
      </c>
      <c r="D50" s="746">
        <v>180000</v>
      </c>
      <c r="E50" s="929">
        <v>158900</v>
      </c>
      <c r="F50" s="745">
        <v>180000</v>
      </c>
      <c r="G50" s="746">
        <v>180000</v>
      </c>
      <c r="H50" s="1684">
        <v>180000</v>
      </c>
      <c r="I50" s="1670">
        <v>180000</v>
      </c>
      <c r="J50" s="1671">
        <v>180000</v>
      </c>
    </row>
    <row r="51" spans="1:1563" s="98" customFormat="1" x14ac:dyDescent="0.2">
      <c r="A51" s="716">
        <v>1353</v>
      </c>
      <c r="B51" s="717" t="s">
        <v>1064</v>
      </c>
      <c r="C51" s="746">
        <v>750000</v>
      </c>
      <c r="D51" s="746">
        <v>750000</v>
      </c>
      <c r="E51" s="972">
        <v>731500</v>
      </c>
      <c r="F51" s="732">
        <v>800000</v>
      </c>
      <c r="G51" s="746">
        <v>750000</v>
      </c>
      <c r="H51" s="1680">
        <v>750000</v>
      </c>
      <c r="I51" s="1676">
        <v>750000</v>
      </c>
      <c r="J51" s="1666">
        <v>750000</v>
      </c>
    </row>
    <row r="52" spans="1:1563" s="98" customFormat="1" ht="12.75" customHeight="1" x14ac:dyDescent="0.2">
      <c r="A52" s="716">
        <v>1356</v>
      </c>
      <c r="B52" s="717" t="s">
        <v>1065</v>
      </c>
      <c r="C52" s="726">
        <v>250000</v>
      </c>
      <c r="D52" s="734">
        <v>250000</v>
      </c>
      <c r="E52" s="972">
        <v>242547.84</v>
      </c>
      <c r="F52" s="732">
        <v>242547.84</v>
      </c>
      <c r="G52" s="734">
        <v>242547.84</v>
      </c>
      <c r="H52" s="1685">
        <v>242547.84</v>
      </c>
      <c r="I52" s="732">
        <v>242547.84</v>
      </c>
      <c r="J52" s="734">
        <v>242547.84</v>
      </c>
    </row>
    <row r="53" spans="1:1563" s="98" customFormat="1" ht="12.75" customHeight="1" x14ac:dyDescent="0.2">
      <c r="A53" s="716">
        <v>1359</v>
      </c>
      <c r="B53" s="717" t="s">
        <v>1066</v>
      </c>
      <c r="C53" s="726">
        <v>0</v>
      </c>
      <c r="D53" s="734">
        <v>0</v>
      </c>
      <c r="E53" s="972">
        <v>3000</v>
      </c>
      <c r="F53" s="732">
        <v>0</v>
      </c>
      <c r="G53" s="734">
        <v>0</v>
      </c>
      <c r="H53" s="1675">
        <v>0</v>
      </c>
      <c r="I53" s="1665">
        <v>0</v>
      </c>
      <c r="J53" s="1666">
        <v>0</v>
      </c>
    </row>
    <row r="54" spans="1:1563" s="98" customFormat="1" ht="12.75" customHeight="1" x14ac:dyDescent="0.2">
      <c r="A54" s="716">
        <v>1361</v>
      </c>
      <c r="B54" s="717" t="s">
        <v>1067</v>
      </c>
      <c r="C54" s="735">
        <f>SUM(C55:C60)</f>
        <v>8825000</v>
      </c>
      <c r="D54" s="1678">
        <f>SUM(D55:D60)</f>
        <v>8825000</v>
      </c>
      <c r="E54" s="1678">
        <f t="shared" ref="E54:J54" si="27">SUM(E55:E60)</f>
        <v>8177945</v>
      </c>
      <c r="F54" s="1679">
        <f t="shared" si="27"/>
        <v>10244000</v>
      </c>
      <c r="G54" s="1678">
        <f>SUM(G55:G60)</f>
        <v>9395000</v>
      </c>
      <c r="H54" s="813">
        <f t="shared" si="27"/>
        <v>9395500</v>
      </c>
      <c r="I54" s="1678">
        <f t="shared" si="27"/>
        <v>9396000</v>
      </c>
      <c r="J54" s="1678">
        <f t="shared" si="27"/>
        <v>9395500</v>
      </c>
    </row>
    <row r="55" spans="1:1563" ht="12.75" customHeight="1" x14ac:dyDescent="0.2">
      <c r="A55" s="741"/>
      <c r="B55" s="737" t="s">
        <v>1068</v>
      </c>
      <c r="C55" s="738">
        <v>5500000</v>
      </c>
      <c r="D55" s="767">
        <v>5500000</v>
      </c>
      <c r="E55" s="968">
        <v>4690180</v>
      </c>
      <c r="F55" s="739">
        <v>6400000</v>
      </c>
      <c r="G55" s="767">
        <v>5600000</v>
      </c>
      <c r="H55" s="1680">
        <v>5600000</v>
      </c>
      <c r="I55" s="1686">
        <v>5600000</v>
      </c>
      <c r="J55" s="1683">
        <v>5600000</v>
      </c>
    </row>
    <row r="56" spans="1:1563" ht="27.75" customHeight="1" x14ac:dyDescent="0.2">
      <c r="A56" s="748"/>
      <c r="B56" s="749" t="s">
        <v>1070</v>
      </c>
      <c r="C56" s="738">
        <v>416000</v>
      </c>
      <c r="D56" s="767">
        <v>416000</v>
      </c>
      <c r="E56" s="968">
        <v>347100</v>
      </c>
      <c r="F56" s="739">
        <v>470000</v>
      </c>
      <c r="G56" s="767">
        <v>450000</v>
      </c>
      <c r="H56" s="768">
        <v>450000</v>
      </c>
      <c r="I56" s="767">
        <v>450000</v>
      </c>
      <c r="J56" s="767">
        <v>450000</v>
      </c>
    </row>
    <row r="57" spans="1:1563" ht="12.75" customHeight="1" x14ac:dyDescent="0.2">
      <c r="A57" s="741"/>
      <c r="B57" s="737" t="s">
        <v>1071</v>
      </c>
      <c r="C57" s="738">
        <v>1000000</v>
      </c>
      <c r="D57" s="767">
        <v>1000000</v>
      </c>
      <c r="E57" s="968">
        <v>820000</v>
      </c>
      <c r="F57" s="739">
        <v>1000000</v>
      </c>
      <c r="G57" s="767">
        <v>1000000</v>
      </c>
      <c r="H57" s="768">
        <v>1000000</v>
      </c>
      <c r="I57" s="767">
        <v>1000000</v>
      </c>
      <c r="J57" s="767">
        <v>1000000</v>
      </c>
    </row>
    <row r="58" spans="1:1563" s="126" customFormat="1" ht="24" customHeight="1" x14ac:dyDescent="0.2">
      <c r="A58" s="748"/>
      <c r="B58" s="788" t="s">
        <v>2122</v>
      </c>
      <c r="C58" s="772">
        <v>1719000</v>
      </c>
      <c r="D58" s="968">
        <v>1719000</v>
      </c>
      <c r="E58" s="968">
        <v>2151890</v>
      </c>
      <c r="F58" s="739">
        <v>2181000</v>
      </c>
      <c r="G58" s="772">
        <v>2153000</v>
      </c>
      <c r="H58" s="773">
        <v>2153000</v>
      </c>
      <c r="I58" s="772">
        <v>2153000</v>
      </c>
      <c r="J58" s="772">
        <v>2153000</v>
      </c>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c r="AW58" s="1"/>
      <c r="AX58" s="1"/>
      <c r="AY58" s="1"/>
      <c r="AZ58" s="1"/>
      <c r="BA58" s="1"/>
      <c r="BB58" s="1"/>
      <c r="BC58" s="1"/>
      <c r="BD58" s="1"/>
      <c r="BE58" s="1"/>
      <c r="BF58" s="1"/>
      <c r="BG58" s="1"/>
      <c r="BH58" s="1"/>
      <c r="BI58" s="1"/>
      <c r="BJ58" s="1"/>
      <c r="BK58" s="1"/>
      <c r="BL58" s="1"/>
      <c r="BM58" s="1"/>
      <c r="BN58" s="1"/>
      <c r="BO58" s="1"/>
      <c r="BP58" s="1"/>
      <c r="BQ58" s="1"/>
      <c r="BR58" s="1"/>
      <c r="BS58" s="1"/>
      <c r="BT58" s="1"/>
      <c r="BU58" s="1"/>
      <c r="BV58" s="1"/>
      <c r="BW58" s="1"/>
      <c r="BX58" s="1"/>
      <c r="BY58" s="1"/>
      <c r="BZ58" s="1"/>
      <c r="CA58" s="1"/>
      <c r="CB58" s="1"/>
      <c r="CC58" s="1"/>
      <c r="CD58" s="1"/>
      <c r="CE58" s="1"/>
      <c r="CF58" s="1"/>
      <c r="CG58" s="1"/>
      <c r="CH58" s="1"/>
      <c r="CI58" s="1"/>
      <c r="CJ58" s="1"/>
      <c r="CK58" s="1"/>
      <c r="CL58" s="1"/>
      <c r="CM58" s="1"/>
      <c r="CN58" s="1"/>
      <c r="CO58" s="1"/>
      <c r="CP58" s="1"/>
      <c r="CQ58" s="1"/>
      <c r="CR58" s="1"/>
      <c r="CS58" s="1"/>
      <c r="CT58" s="1"/>
      <c r="CU58" s="1"/>
      <c r="CV58" s="1"/>
      <c r="CW58" s="1"/>
      <c r="CX58" s="1"/>
      <c r="CY58" s="1"/>
      <c r="CZ58" s="1"/>
      <c r="DA58" s="1"/>
      <c r="DB58" s="1"/>
      <c r="DC58" s="1"/>
      <c r="DD58" s="1"/>
      <c r="DE58" s="1"/>
      <c r="DF58" s="1"/>
      <c r="DG58" s="1"/>
      <c r="DH58" s="1"/>
      <c r="DI58" s="1"/>
      <c r="DJ58" s="1"/>
      <c r="DK58" s="1"/>
      <c r="DL58" s="1"/>
      <c r="DM58" s="1"/>
      <c r="DN58" s="1"/>
      <c r="DO58" s="1"/>
      <c r="DP58" s="1"/>
      <c r="DQ58" s="1"/>
      <c r="DR58" s="1"/>
      <c r="DS58" s="1"/>
      <c r="DT58" s="1"/>
      <c r="DU58" s="1"/>
      <c r="DV58" s="1"/>
      <c r="DW58" s="1"/>
      <c r="DX58" s="1"/>
      <c r="DY58" s="1"/>
      <c r="DZ58" s="1"/>
      <c r="EA58" s="1"/>
      <c r="EB58" s="1"/>
      <c r="EC58" s="1"/>
      <c r="ED58" s="1"/>
      <c r="EE58" s="1"/>
      <c r="EF58" s="1"/>
      <c r="EG58" s="1"/>
      <c r="EH58" s="1"/>
      <c r="EI58" s="1"/>
      <c r="EJ58" s="1"/>
      <c r="EK58" s="1"/>
      <c r="EL58" s="1"/>
      <c r="EM58" s="1"/>
      <c r="EN58" s="1"/>
      <c r="EO58" s="1"/>
      <c r="EP58" s="1"/>
      <c r="EQ58" s="1"/>
      <c r="ER58" s="1"/>
      <c r="ES58" s="1"/>
      <c r="ET58" s="1"/>
      <c r="EU58" s="1"/>
      <c r="EV58" s="1"/>
      <c r="EW58" s="1"/>
      <c r="EX58" s="1"/>
      <c r="EY58" s="1"/>
      <c r="EZ58" s="1"/>
      <c r="FA58" s="1"/>
      <c r="FB58" s="1"/>
      <c r="FC58" s="1"/>
      <c r="FD58" s="1"/>
      <c r="FE58" s="1"/>
      <c r="FF58" s="1"/>
      <c r="FG58" s="1"/>
      <c r="FH58" s="1"/>
      <c r="FI58" s="1"/>
      <c r="FJ58" s="1"/>
      <c r="FK58" s="1"/>
      <c r="FL58" s="1"/>
      <c r="FM58" s="1"/>
      <c r="FN58" s="1"/>
      <c r="FO58" s="1"/>
      <c r="FP58" s="1"/>
      <c r="FQ58" s="1"/>
      <c r="FR58" s="1"/>
      <c r="FS58" s="1"/>
      <c r="FT58" s="1"/>
      <c r="FU58" s="1"/>
      <c r="FV58" s="1"/>
      <c r="FW58" s="1"/>
      <c r="FX58" s="1"/>
      <c r="FY58" s="1"/>
      <c r="FZ58" s="1"/>
      <c r="GA58" s="1"/>
      <c r="GB58" s="1"/>
      <c r="GC58" s="1"/>
      <c r="GD58" s="1"/>
      <c r="GE58" s="1"/>
      <c r="GF58" s="1"/>
      <c r="GG58" s="1"/>
      <c r="GH58" s="1"/>
      <c r="GI58" s="1"/>
      <c r="GJ58" s="1"/>
      <c r="GK58" s="1"/>
      <c r="GL58" s="1"/>
      <c r="GM58" s="1"/>
      <c r="GN58" s="1"/>
      <c r="GO58" s="1"/>
      <c r="GP58" s="1"/>
      <c r="GQ58" s="1"/>
      <c r="GR58" s="1"/>
      <c r="GS58" s="1"/>
      <c r="GT58" s="1"/>
      <c r="GU58" s="1"/>
      <c r="GV58" s="1"/>
      <c r="GW58" s="1"/>
      <c r="GX58" s="1"/>
      <c r="GY58" s="1"/>
      <c r="GZ58" s="1"/>
      <c r="HA58" s="1"/>
      <c r="HB58" s="1"/>
      <c r="HC58" s="1"/>
      <c r="HD58" s="1"/>
      <c r="HE58" s="1"/>
      <c r="HF58" s="1"/>
      <c r="HG58" s="1"/>
      <c r="HH58" s="1"/>
      <c r="HI58" s="1"/>
      <c r="HJ58" s="1"/>
      <c r="HK58" s="1"/>
      <c r="HL58" s="1"/>
      <c r="HM58" s="1"/>
      <c r="HN58" s="1"/>
      <c r="HO58" s="1"/>
      <c r="HP58" s="1"/>
      <c r="HQ58" s="1"/>
      <c r="HR58" s="1"/>
      <c r="HS58" s="1"/>
      <c r="HT58" s="1"/>
      <c r="HU58" s="1"/>
      <c r="HV58" s="1"/>
      <c r="HW58" s="1"/>
      <c r="HX58" s="1"/>
      <c r="HY58" s="1"/>
      <c r="HZ58" s="1"/>
      <c r="IA58" s="1"/>
      <c r="IB58" s="1"/>
      <c r="IC58" s="1"/>
      <c r="ID58" s="1"/>
      <c r="IE58" s="1"/>
      <c r="IF58" s="1"/>
      <c r="IG58" s="1"/>
      <c r="IH58" s="1"/>
      <c r="II58" s="1"/>
      <c r="IJ58" s="1"/>
      <c r="IK58" s="1"/>
      <c r="IL58" s="1"/>
      <c r="IM58" s="1"/>
      <c r="IN58" s="1"/>
      <c r="IO58" s="1"/>
      <c r="IP58" s="1"/>
      <c r="IQ58" s="1"/>
      <c r="IR58" s="1"/>
      <c r="IS58" s="1"/>
      <c r="IT58" s="1"/>
      <c r="IU58" s="1"/>
      <c r="IV58" s="1"/>
      <c r="IW58" s="1"/>
      <c r="IX58" s="1"/>
      <c r="IY58" s="1"/>
      <c r="IZ58" s="1"/>
      <c r="JA58" s="1"/>
      <c r="JB58" s="1"/>
      <c r="JC58" s="1"/>
      <c r="JD58" s="1"/>
      <c r="JE58" s="1"/>
      <c r="JF58" s="1"/>
      <c r="JG58" s="1"/>
      <c r="JH58" s="1"/>
      <c r="JI58" s="1"/>
      <c r="JJ58" s="1"/>
      <c r="JK58" s="1"/>
      <c r="JL58" s="1"/>
      <c r="JM58" s="1"/>
      <c r="JN58" s="1"/>
      <c r="JO58" s="1"/>
      <c r="JP58" s="1"/>
      <c r="JQ58" s="1"/>
      <c r="JR58" s="1"/>
      <c r="JS58" s="1"/>
      <c r="JT58" s="1"/>
      <c r="JU58" s="1"/>
      <c r="JV58" s="1"/>
      <c r="JW58" s="1"/>
      <c r="JX58" s="1"/>
      <c r="JY58" s="1"/>
      <c r="JZ58" s="1"/>
      <c r="KA58" s="1"/>
      <c r="KB58" s="1"/>
      <c r="KC58" s="1"/>
      <c r="KD58" s="1"/>
      <c r="KE58" s="1"/>
      <c r="KF58" s="1"/>
      <c r="KG58" s="1"/>
      <c r="KH58" s="1"/>
      <c r="KI58" s="1"/>
      <c r="KJ58" s="1"/>
      <c r="KK58" s="1"/>
      <c r="KL58" s="1"/>
      <c r="KM58" s="1"/>
      <c r="KN58" s="1"/>
      <c r="KO58" s="1"/>
      <c r="KP58" s="1"/>
      <c r="KQ58" s="1"/>
      <c r="KR58" s="1"/>
      <c r="KS58" s="1"/>
      <c r="KT58" s="1"/>
      <c r="KU58" s="1"/>
      <c r="KV58" s="1"/>
      <c r="KW58" s="1"/>
      <c r="KX58" s="1"/>
      <c r="KY58" s="1"/>
      <c r="KZ58" s="1"/>
      <c r="LA58" s="1"/>
      <c r="LB58" s="1"/>
      <c r="LC58" s="1"/>
      <c r="LD58" s="1"/>
      <c r="LE58" s="1"/>
      <c r="LF58" s="1"/>
      <c r="LG58" s="1"/>
      <c r="LH58" s="1"/>
      <c r="LI58" s="1"/>
      <c r="LJ58" s="1"/>
      <c r="LK58" s="1"/>
      <c r="LL58" s="1"/>
      <c r="LM58" s="1"/>
      <c r="LN58" s="1"/>
      <c r="LO58" s="1"/>
      <c r="LP58" s="1"/>
      <c r="LQ58" s="1"/>
      <c r="LR58" s="1"/>
      <c r="LS58" s="1"/>
      <c r="LT58" s="1"/>
      <c r="LU58" s="1"/>
      <c r="LV58" s="1"/>
      <c r="LW58" s="1"/>
      <c r="LX58" s="1"/>
      <c r="LY58" s="1"/>
      <c r="LZ58" s="1"/>
      <c r="MA58" s="1"/>
      <c r="MB58" s="1"/>
      <c r="MC58" s="1"/>
      <c r="MD58" s="1"/>
      <c r="ME58" s="1"/>
      <c r="MF58" s="1"/>
      <c r="MG58" s="1"/>
      <c r="MH58" s="1"/>
      <c r="MI58" s="1"/>
      <c r="MJ58" s="1"/>
      <c r="MK58" s="1"/>
      <c r="ML58" s="1"/>
      <c r="MM58" s="1"/>
      <c r="MN58" s="1"/>
      <c r="MO58" s="1"/>
      <c r="MP58" s="1"/>
      <c r="MQ58" s="1"/>
      <c r="MR58" s="1"/>
      <c r="MS58" s="1"/>
      <c r="MT58" s="1"/>
      <c r="MU58" s="1"/>
      <c r="MV58" s="1"/>
      <c r="MW58" s="1"/>
      <c r="MX58" s="1"/>
      <c r="MY58" s="1"/>
      <c r="MZ58" s="1"/>
      <c r="NA58" s="1"/>
      <c r="NB58" s="1"/>
      <c r="NC58" s="1"/>
      <c r="ND58" s="1"/>
      <c r="NE58" s="1"/>
      <c r="NF58" s="1"/>
      <c r="NG58" s="1"/>
      <c r="NH58" s="1"/>
      <c r="NI58" s="1"/>
      <c r="NJ58" s="1"/>
      <c r="NK58" s="1"/>
      <c r="NL58" s="1"/>
      <c r="NM58" s="1"/>
      <c r="NN58" s="1"/>
      <c r="NO58" s="1"/>
      <c r="NP58" s="1"/>
      <c r="NQ58" s="1"/>
      <c r="NR58" s="1"/>
      <c r="NS58" s="1"/>
      <c r="NT58" s="1"/>
      <c r="NU58" s="1"/>
      <c r="NV58" s="1"/>
      <c r="NW58" s="1"/>
      <c r="NX58" s="1"/>
      <c r="NY58" s="1"/>
      <c r="NZ58" s="1"/>
      <c r="OA58" s="1"/>
      <c r="OB58" s="1"/>
      <c r="OC58" s="1"/>
      <c r="OD58" s="1"/>
      <c r="OE58" s="1"/>
      <c r="OF58" s="1"/>
      <c r="OG58" s="1"/>
      <c r="OH58" s="1"/>
      <c r="OI58" s="1"/>
      <c r="OJ58" s="1"/>
      <c r="OK58" s="1"/>
      <c r="OL58" s="1"/>
      <c r="OM58" s="1"/>
      <c r="ON58" s="1"/>
      <c r="OO58" s="1"/>
      <c r="OP58" s="1"/>
      <c r="OQ58" s="1"/>
      <c r="OR58" s="1"/>
      <c r="OS58" s="1"/>
      <c r="OT58" s="1"/>
      <c r="OU58" s="1"/>
      <c r="OV58" s="1"/>
      <c r="OW58" s="1"/>
      <c r="OX58" s="1"/>
      <c r="OY58" s="1"/>
      <c r="OZ58" s="1"/>
      <c r="PA58" s="1"/>
      <c r="PB58" s="1"/>
      <c r="PC58" s="1"/>
      <c r="PD58" s="1"/>
      <c r="PE58" s="1"/>
      <c r="PF58" s="1"/>
      <c r="PG58" s="1"/>
      <c r="PH58" s="1"/>
      <c r="PI58" s="1"/>
      <c r="PJ58" s="1"/>
      <c r="PK58" s="1"/>
      <c r="PL58" s="1"/>
      <c r="PM58" s="1"/>
      <c r="PN58" s="1"/>
      <c r="PO58" s="1"/>
      <c r="PP58" s="1"/>
      <c r="PQ58" s="1"/>
      <c r="PR58" s="1"/>
      <c r="PS58" s="1"/>
      <c r="PT58" s="1"/>
      <c r="PU58" s="1"/>
      <c r="PV58" s="1"/>
      <c r="PW58" s="1"/>
      <c r="PX58" s="1"/>
      <c r="PY58" s="1"/>
      <c r="PZ58" s="1"/>
      <c r="QA58" s="1"/>
      <c r="QB58" s="1"/>
      <c r="QC58" s="1"/>
      <c r="QD58" s="1"/>
      <c r="QE58" s="1"/>
      <c r="QF58" s="1"/>
      <c r="QG58" s="1"/>
      <c r="QH58" s="1"/>
      <c r="QI58" s="1"/>
      <c r="QJ58" s="1"/>
      <c r="QK58" s="1"/>
      <c r="QL58" s="1"/>
      <c r="QM58" s="1"/>
      <c r="QN58" s="1"/>
      <c r="QO58" s="1"/>
      <c r="QP58" s="1"/>
      <c r="QQ58" s="1"/>
      <c r="QR58" s="1"/>
      <c r="QS58" s="1"/>
      <c r="QT58" s="1"/>
      <c r="QU58" s="1"/>
      <c r="QV58" s="1"/>
      <c r="QW58" s="1"/>
      <c r="QX58" s="1"/>
      <c r="QY58" s="1"/>
      <c r="QZ58" s="1"/>
      <c r="RA58" s="1"/>
      <c r="RB58" s="1"/>
      <c r="RC58" s="1"/>
      <c r="RD58" s="1"/>
      <c r="RE58" s="1"/>
      <c r="RF58" s="1"/>
      <c r="RG58" s="1"/>
      <c r="RH58" s="1"/>
      <c r="RI58" s="1"/>
      <c r="RJ58" s="1"/>
      <c r="RK58" s="1"/>
      <c r="RL58" s="1"/>
      <c r="RM58" s="1"/>
      <c r="RN58" s="1"/>
      <c r="RO58" s="1"/>
      <c r="RP58" s="1"/>
      <c r="RQ58" s="1"/>
      <c r="RR58" s="1"/>
      <c r="RS58" s="1"/>
      <c r="RT58" s="1"/>
      <c r="RU58" s="1"/>
      <c r="RV58" s="1"/>
      <c r="RW58" s="1"/>
      <c r="RX58" s="1"/>
      <c r="RY58" s="1"/>
      <c r="RZ58" s="1"/>
      <c r="SA58" s="1"/>
      <c r="SB58" s="1"/>
      <c r="SC58" s="1"/>
      <c r="SD58" s="1"/>
      <c r="SE58" s="1"/>
      <c r="SF58" s="1"/>
      <c r="SG58" s="1"/>
      <c r="SH58" s="1"/>
      <c r="SI58" s="1"/>
      <c r="SJ58" s="1"/>
      <c r="SK58" s="1"/>
      <c r="SL58" s="1"/>
      <c r="SM58" s="1"/>
      <c r="SN58" s="1"/>
      <c r="SO58" s="1"/>
      <c r="SP58" s="1"/>
      <c r="SQ58" s="1"/>
      <c r="SR58" s="1"/>
      <c r="SS58" s="1"/>
      <c r="ST58" s="1"/>
      <c r="SU58" s="1"/>
      <c r="SV58" s="1"/>
      <c r="SW58" s="1"/>
      <c r="SX58" s="1"/>
      <c r="SY58" s="1"/>
      <c r="SZ58" s="1"/>
      <c r="TA58" s="1"/>
      <c r="TB58" s="1"/>
      <c r="TC58" s="1"/>
      <c r="TD58" s="1"/>
      <c r="TE58" s="1"/>
      <c r="TF58" s="1"/>
      <c r="TG58" s="1"/>
      <c r="TH58" s="1"/>
      <c r="TI58" s="1"/>
      <c r="TJ58" s="1"/>
      <c r="TK58" s="1"/>
      <c r="TL58" s="1"/>
      <c r="TM58" s="1"/>
      <c r="TN58" s="1"/>
      <c r="TO58" s="1"/>
      <c r="TP58" s="1"/>
      <c r="TQ58" s="1"/>
      <c r="TR58" s="1"/>
      <c r="TS58" s="1"/>
      <c r="TT58" s="1"/>
      <c r="TU58" s="1"/>
      <c r="TV58" s="1"/>
      <c r="TW58" s="1"/>
      <c r="TX58" s="1"/>
      <c r="TY58" s="1"/>
      <c r="TZ58" s="1"/>
      <c r="UA58" s="1"/>
      <c r="UB58" s="1"/>
      <c r="UC58" s="1"/>
      <c r="UD58" s="1"/>
      <c r="UE58" s="1"/>
      <c r="UF58" s="1"/>
      <c r="UG58" s="1"/>
      <c r="UH58" s="1"/>
      <c r="UI58" s="1"/>
      <c r="UJ58" s="1"/>
      <c r="UK58" s="1"/>
      <c r="UL58" s="1"/>
      <c r="UM58" s="1"/>
      <c r="UN58" s="1"/>
      <c r="UO58" s="1"/>
      <c r="UP58" s="1"/>
      <c r="UQ58" s="1"/>
      <c r="UR58" s="1"/>
      <c r="US58" s="1"/>
      <c r="UT58" s="1"/>
      <c r="UU58" s="1"/>
      <c r="UV58" s="1"/>
      <c r="UW58" s="1"/>
      <c r="UX58" s="1"/>
      <c r="UY58" s="1"/>
      <c r="UZ58" s="1"/>
      <c r="VA58" s="1"/>
      <c r="VB58" s="1"/>
      <c r="VC58" s="1"/>
      <c r="VD58" s="1"/>
      <c r="VE58" s="1"/>
      <c r="VF58" s="1"/>
      <c r="VG58" s="1"/>
      <c r="VH58" s="1"/>
      <c r="VI58" s="1"/>
      <c r="VJ58" s="1"/>
      <c r="VK58" s="1"/>
      <c r="VL58" s="1"/>
      <c r="VM58" s="1"/>
      <c r="VN58" s="1"/>
      <c r="VO58" s="1"/>
      <c r="VP58" s="1"/>
      <c r="VQ58" s="1"/>
      <c r="VR58" s="1"/>
      <c r="VS58" s="1"/>
      <c r="VT58" s="1"/>
      <c r="VU58" s="1"/>
      <c r="VV58" s="1"/>
      <c r="VW58" s="1"/>
      <c r="VX58" s="1"/>
      <c r="VY58" s="1"/>
      <c r="VZ58" s="1"/>
      <c r="WA58" s="1"/>
      <c r="WB58" s="1"/>
      <c r="WC58" s="1"/>
      <c r="WD58" s="1"/>
      <c r="WE58" s="1"/>
      <c r="WF58" s="1"/>
      <c r="WG58" s="1"/>
      <c r="WH58" s="1"/>
      <c r="WI58" s="1"/>
      <c r="WJ58" s="1"/>
      <c r="WK58" s="1"/>
      <c r="WL58" s="1"/>
      <c r="WM58" s="1"/>
      <c r="WN58" s="1"/>
      <c r="WO58" s="1"/>
      <c r="WP58" s="1"/>
      <c r="WQ58" s="1"/>
      <c r="WR58" s="1"/>
      <c r="WS58" s="1"/>
      <c r="WT58" s="1"/>
      <c r="WU58" s="1"/>
      <c r="WV58" s="1"/>
      <c r="WW58" s="1"/>
      <c r="WX58" s="1"/>
      <c r="WY58" s="1"/>
      <c r="WZ58" s="1"/>
      <c r="XA58" s="1"/>
      <c r="XB58" s="1"/>
      <c r="XC58" s="1"/>
      <c r="XD58" s="1"/>
      <c r="XE58" s="1"/>
      <c r="XF58" s="1"/>
      <c r="XG58" s="1"/>
      <c r="XH58" s="1"/>
      <c r="XI58" s="1"/>
      <c r="XJ58" s="1"/>
      <c r="XK58" s="1"/>
      <c r="XL58" s="1"/>
      <c r="XM58" s="1"/>
      <c r="XN58" s="1"/>
      <c r="XO58" s="1"/>
      <c r="XP58" s="1"/>
      <c r="XQ58" s="1"/>
      <c r="XR58" s="1"/>
      <c r="XS58" s="1"/>
      <c r="XT58" s="1"/>
      <c r="XU58" s="1"/>
      <c r="XV58" s="1"/>
      <c r="XW58" s="1"/>
      <c r="XX58" s="1"/>
      <c r="XY58" s="1"/>
      <c r="XZ58" s="1"/>
      <c r="YA58" s="1"/>
      <c r="YB58" s="1"/>
      <c r="YC58" s="1"/>
      <c r="YD58" s="1"/>
      <c r="YE58" s="1"/>
      <c r="YF58" s="1"/>
      <c r="YG58" s="1"/>
      <c r="YH58" s="1"/>
      <c r="YI58" s="1"/>
      <c r="YJ58" s="1"/>
      <c r="YK58" s="1"/>
      <c r="YL58" s="1"/>
      <c r="YM58" s="1"/>
      <c r="YN58" s="1"/>
      <c r="YO58" s="1"/>
      <c r="YP58" s="1"/>
      <c r="YQ58" s="1"/>
      <c r="YR58" s="1"/>
      <c r="YS58" s="1"/>
      <c r="YT58" s="1"/>
      <c r="YU58" s="1"/>
      <c r="YV58" s="1"/>
      <c r="YW58" s="1"/>
      <c r="YX58" s="1"/>
      <c r="YY58" s="1"/>
      <c r="YZ58" s="1"/>
      <c r="ZA58" s="1"/>
      <c r="ZB58" s="1"/>
      <c r="ZC58" s="1"/>
      <c r="ZD58" s="1"/>
      <c r="ZE58" s="1"/>
      <c r="ZF58" s="1"/>
      <c r="ZG58" s="1"/>
      <c r="ZH58" s="1"/>
      <c r="ZI58" s="1"/>
      <c r="ZJ58" s="1"/>
      <c r="ZK58" s="1"/>
      <c r="ZL58" s="1"/>
      <c r="ZM58" s="1"/>
      <c r="ZN58" s="1"/>
      <c r="ZO58" s="1"/>
      <c r="ZP58" s="1"/>
      <c r="ZQ58" s="1"/>
      <c r="ZR58" s="1"/>
      <c r="ZS58" s="1"/>
      <c r="ZT58" s="1"/>
      <c r="ZU58" s="1"/>
      <c r="ZV58" s="1"/>
      <c r="ZW58" s="1"/>
      <c r="ZX58" s="1"/>
      <c r="ZY58" s="1"/>
      <c r="ZZ58" s="1"/>
      <c r="AAA58" s="1"/>
      <c r="AAB58" s="1"/>
      <c r="AAC58" s="1"/>
      <c r="AAD58" s="1"/>
      <c r="AAE58" s="1"/>
      <c r="AAF58" s="1"/>
      <c r="AAG58" s="1"/>
      <c r="AAH58" s="1"/>
      <c r="AAI58" s="1"/>
      <c r="AAJ58" s="1"/>
      <c r="AAK58" s="1"/>
      <c r="AAL58" s="1"/>
      <c r="AAM58" s="1"/>
      <c r="AAN58" s="1"/>
      <c r="AAO58" s="1"/>
      <c r="AAP58" s="1"/>
      <c r="AAQ58" s="1"/>
      <c r="AAR58" s="1"/>
      <c r="AAS58" s="1"/>
      <c r="AAT58" s="1"/>
      <c r="AAU58" s="1"/>
      <c r="AAV58" s="1"/>
      <c r="AAW58" s="1"/>
      <c r="AAX58" s="1"/>
      <c r="AAY58" s="1"/>
      <c r="AAZ58" s="1"/>
      <c r="ABA58" s="1"/>
      <c r="ABB58" s="1"/>
      <c r="ABC58" s="1"/>
      <c r="ABD58" s="1"/>
      <c r="ABE58" s="1"/>
      <c r="ABF58" s="1"/>
      <c r="ABG58" s="1"/>
      <c r="ABH58" s="1"/>
      <c r="ABI58" s="1"/>
      <c r="ABJ58" s="1"/>
      <c r="ABK58" s="1"/>
      <c r="ABL58" s="1"/>
      <c r="ABM58" s="1"/>
      <c r="ABN58" s="1"/>
      <c r="ABO58" s="1"/>
      <c r="ABP58" s="1"/>
      <c r="ABQ58" s="1"/>
      <c r="ABR58" s="1"/>
      <c r="ABS58" s="1"/>
      <c r="ABT58" s="1"/>
      <c r="ABU58" s="1"/>
      <c r="ABV58" s="1"/>
      <c r="ABW58" s="1"/>
      <c r="ABX58" s="1"/>
      <c r="ABY58" s="1"/>
      <c r="ABZ58" s="1"/>
      <c r="ACA58" s="1"/>
      <c r="ACB58" s="1"/>
      <c r="ACC58" s="1"/>
      <c r="ACD58" s="1"/>
      <c r="ACE58" s="1"/>
      <c r="ACF58" s="1"/>
      <c r="ACG58" s="1"/>
      <c r="ACH58" s="1"/>
      <c r="ACI58" s="1"/>
      <c r="ACJ58" s="1"/>
      <c r="ACK58" s="1"/>
      <c r="ACL58" s="1"/>
      <c r="ACM58" s="1"/>
      <c r="ACN58" s="1"/>
      <c r="ACO58" s="1"/>
      <c r="ACP58" s="1"/>
      <c r="ACQ58" s="1"/>
      <c r="ACR58" s="1"/>
      <c r="ACS58" s="1"/>
      <c r="ACT58" s="1"/>
      <c r="ACU58" s="1"/>
      <c r="ACV58" s="1"/>
      <c r="ACW58" s="1"/>
      <c r="ACX58" s="1"/>
      <c r="ACY58" s="1"/>
      <c r="ACZ58" s="1"/>
      <c r="ADA58" s="1"/>
      <c r="ADB58" s="1"/>
      <c r="ADC58" s="1"/>
      <c r="ADD58" s="1"/>
      <c r="ADE58" s="1"/>
      <c r="ADF58" s="1"/>
      <c r="ADG58" s="1"/>
      <c r="ADH58" s="1"/>
      <c r="ADI58" s="1"/>
      <c r="ADJ58" s="1"/>
      <c r="ADK58" s="1"/>
      <c r="ADL58" s="1"/>
      <c r="ADM58" s="1"/>
      <c r="ADN58" s="1"/>
      <c r="ADO58" s="1"/>
      <c r="ADP58" s="1"/>
      <c r="ADQ58" s="1"/>
      <c r="ADR58" s="1"/>
      <c r="ADS58" s="1"/>
      <c r="ADT58" s="1"/>
      <c r="ADU58" s="1"/>
      <c r="ADV58" s="1"/>
      <c r="ADW58" s="1"/>
      <c r="ADX58" s="1"/>
      <c r="ADY58" s="1"/>
      <c r="ADZ58" s="1"/>
      <c r="AEA58" s="1"/>
      <c r="AEB58" s="1"/>
      <c r="AEC58" s="1"/>
      <c r="AED58" s="1"/>
      <c r="AEE58" s="1"/>
      <c r="AEF58" s="1"/>
      <c r="AEG58" s="1"/>
      <c r="AEH58" s="1"/>
      <c r="AEI58" s="1"/>
      <c r="AEJ58" s="1"/>
      <c r="AEK58" s="1"/>
      <c r="AEL58" s="1"/>
      <c r="AEM58" s="1"/>
      <c r="AEN58" s="1"/>
      <c r="AEO58" s="1"/>
      <c r="AEP58" s="1"/>
      <c r="AEQ58" s="1"/>
      <c r="AER58" s="1"/>
      <c r="AES58" s="1"/>
      <c r="AET58" s="1"/>
      <c r="AEU58" s="1"/>
      <c r="AEV58" s="1"/>
      <c r="AEW58" s="1"/>
      <c r="AEX58" s="1"/>
      <c r="AEY58" s="1"/>
      <c r="AEZ58" s="1"/>
      <c r="AFA58" s="1"/>
      <c r="AFB58" s="1"/>
      <c r="AFC58" s="1"/>
      <c r="AFD58" s="1"/>
      <c r="AFE58" s="1"/>
      <c r="AFF58" s="1"/>
      <c r="AFG58" s="1"/>
      <c r="AFH58" s="1"/>
      <c r="AFI58" s="1"/>
      <c r="AFJ58" s="1"/>
      <c r="AFK58" s="1"/>
      <c r="AFL58" s="1"/>
      <c r="AFM58" s="1"/>
      <c r="AFN58" s="1"/>
      <c r="AFO58" s="1"/>
      <c r="AFP58" s="1"/>
      <c r="AFQ58" s="1"/>
      <c r="AFR58" s="1"/>
      <c r="AFS58" s="1"/>
      <c r="AFT58" s="1"/>
      <c r="AFU58" s="1"/>
      <c r="AFV58" s="1"/>
      <c r="AFW58" s="1"/>
      <c r="AFX58" s="1"/>
      <c r="AFY58" s="1"/>
      <c r="AFZ58" s="1"/>
      <c r="AGA58" s="1"/>
      <c r="AGB58" s="1"/>
      <c r="AGC58" s="1"/>
      <c r="AGD58" s="1"/>
      <c r="AGE58" s="1"/>
      <c r="AGF58" s="1"/>
      <c r="AGG58" s="1"/>
      <c r="AGH58" s="1"/>
      <c r="AGI58" s="1"/>
      <c r="AGJ58" s="1"/>
      <c r="AGK58" s="1"/>
      <c r="AGL58" s="1"/>
      <c r="AGM58" s="1"/>
      <c r="AGN58" s="1"/>
      <c r="AGO58" s="1"/>
      <c r="AGP58" s="1"/>
      <c r="AGQ58" s="1"/>
      <c r="AGR58" s="1"/>
      <c r="AGS58" s="1"/>
      <c r="AGT58" s="1"/>
      <c r="AGU58" s="1"/>
      <c r="AGV58" s="1"/>
      <c r="AGW58" s="1"/>
      <c r="AGX58" s="1"/>
      <c r="AGY58" s="1"/>
      <c r="AGZ58" s="1"/>
      <c r="AHA58" s="1"/>
      <c r="AHB58" s="1"/>
      <c r="AHC58" s="1"/>
      <c r="AHD58" s="1"/>
      <c r="AHE58" s="1"/>
      <c r="AHF58" s="1"/>
      <c r="AHG58" s="1"/>
      <c r="AHH58" s="1"/>
      <c r="AHI58" s="1"/>
      <c r="AHJ58" s="1"/>
      <c r="AHK58" s="1"/>
      <c r="AHL58" s="1"/>
      <c r="AHM58" s="1"/>
      <c r="AHN58" s="1"/>
      <c r="AHO58" s="1"/>
      <c r="AHP58" s="1"/>
      <c r="AHQ58" s="1"/>
      <c r="AHR58" s="1"/>
      <c r="AHS58" s="1"/>
      <c r="AHT58" s="1"/>
      <c r="AHU58" s="1"/>
      <c r="AHV58" s="1"/>
      <c r="AHW58" s="1"/>
      <c r="AHX58" s="1"/>
      <c r="AHY58" s="1"/>
      <c r="AHZ58" s="1"/>
      <c r="AIA58" s="1"/>
      <c r="AIB58" s="1"/>
      <c r="AIC58" s="1"/>
      <c r="AID58" s="1"/>
      <c r="AIE58" s="1"/>
      <c r="AIF58" s="1"/>
      <c r="AIG58" s="1"/>
      <c r="AIH58" s="1"/>
      <c r="AII58" s="1"/>
      <c r="AIJ58" s="1"/>
      <c r="AIK58" s="1"/>
      <c r="AIL58" s="1"/>
      <c r="AIM58" s="1"/>
      <c r="AIN58" s="1"/>
      <c r="AIO58" s="1"/>
      <c r="AIP58" s="1"/>
      <c r="AIQ58" s="1"/>
      <c r="AIR58" s="1"/>
      <c r="AIS58" s="1"/>
      <c r="AIT58" s="1"/>
      <c r="AIU58" s="1"/>
      <c r="AIV58" s="1"/>
      <c r="AIW58" s="1"/>
      <c r="AIX58" s="1"/>
      <c r="AIY58" s="1"/>
      <c r="AIZ58" s="1"/>
      <c r="AJA58" s="1"/>
      <c r="AJB58" s="1"/>
      <c r="AJC58" s="1"/>
      <c r="AJD58" s="1"/>
      <c r="AJE58" s="1"/>
      <c r="AJF58" s="1"/>
      <c r="AJG58" s="1"/>
      <c r="AJH58" s="1"/>
      <c r="AJI58" s="1"/>
      <c r="AJJ58" s="1"/>
      <c r="AJK58" s="1"/>
      <c r="AJL58" s="1"/>
      <c r="AJM58" s="1"/>
      <c r="AJN58" s="1"/>
      <c r="AJO58" s="1"/>
      <c r="AJP58" s="1"/>
      <c r="AJQ58" s="1"/>
      <c r="AJR58" s="1"/>
      <c r="AJS58" s="1"/>
      <c r="AJT58" s="1"/>
      <c r="AJU58" s="1"/>
      <c r="AJV58" s="1"/>
      <c r="AJW58" s="1"/>
      <c r="AJX58" s="1"/>
      <c r="AJY58" s="1"/>
      <c r="AJZ58" s="1"/>
      <c r="AKA58" s="1"/>
      <c r="AKB58" s="1"/>
      <c r="AKC58" s="1"/>
      <c r="AKD58" s="1"/>
      <c r="AKE58" s="1"/>
      <c r="AKF58" s="1"/>
      <c r="AKG58" s="1"/>
      <c r="AKH58" s="1"/>
      <c r="AKI58" s="1"/>
      <c r="AKJ58" s="1"/>
      <c r="AKK58" s="1"/>
      <c r="AKL58" s="1"/>
      <c r="AKM58" s="1"/>
      <c r="AKN58" s="1"/>
      <c r="AKO58" s="1"/>
      <c r="AKP58" s="1"/>
      <c r="AKQ58" s="1"/>
      <c r="AKR58" s="1"/>
      <c r="AKS58" s="1"/>
      <c r="AKT58" s="1"/>
      <c r="AKU58" s="1"/>
      <c r="AKV58" s="1"/>
      <c r="AKW58" s="1"/>
      <c r="AKX58" s="1"/>
      <c r="AKY58" s="1"/>
      <c r="AKZ58" s="1"/>
      <c r="ALA58" s="1"/>
      <c r="ALB58" s="1"/>
      <c r="ALC58" s="1"/>
      <c r="ALD58" s="1"/>
      <c r="ALE58" s="1"/>
      <c r="ALF58" s="1"/>
      <c r="ALG58" s="1"/>
      <c r="ALH58" s="1"/>
      <c r="ALI58" s="1"/>
      <c r="ALJ58" s="1"/>
      <c r="ALK58" s="1"/>
      <c r="ALL58" s="1"/>
      <c r="ALM58" s="1"/>
      <c r="ALN58" s="1"/>
      <c r="ALO58" s="1"/>
      <c r="ALP58" s="1"/>
      <c r="ALQ58" s="1"/>
      <c r="ALR58" s="1"/>
      <c r="ALS58" s="1"/>
      <c r="ALT58" s="1"/>
      <c r="ALU58" s="1"/>
      <c r="ALV58" s="1"/>
      <c r="ALW58" s="1"/>
      <c r="ALX58" s="1"/>
      <c r="ALY58" s="1"/>
      <c r="ALZ58" s="1"/>
      <c r="AMA58" s="1"/>
      <c r="AMB58" s="1"/>
      <c r="AMC58" s="1"/>
      <c r="AMD58" s="1"/>
      <c r="AME58" s="1"/>
      <c r="AMF58" s="1"/>
      <c r="AMG58" s="1"/>
      <c r="AMH58" s="1"/>
      <c r="AMI58" s="1"/>
      <c r="AMJ58" s="1"/>
      <c r="AMK58" s="1"/>
      <c r="AML58" s="1"/>
      <c r="AMM58" s="1"/>
      <c r="AMN58" s="1"/>
      <c r="AMO58" s="1"/>
      <c r="AMP58" s="1"/>
      <c r="AMQ58" s="1"/>
      <c r="AMR58" s="1"/>
      <c r="AMS58" s="1"/>
      <c r="AMT58" s="1"/>
      <c r="AMU58" s="1"/>
      <c r="AMV58" s="1"/>
      <c r="AMW58" s="1"/>
      <c r="AMX58" s="1"/>
      <c r="AMY58" s="1"/>
      <c r="AMZ58" s="1"/>
      <c r="ANA58" s="1"/>
      <c r="ANB58" s="1"/>
      <c r="ANC58" s="1"/>
      <c r="AND58" s="1"/>
      <c r="ANE58" s="1"/>
      <c r="ANF58" s="1"/>
      <c r="ANG58" s="1"/>
      <c r="ANH58" s="1"/>
      <c r="ANI58" s="1"/>
      <c r="ANJ58" s="1"/>
      <c r="ANK58" s="1"/>
      <c r="ANL58" s="1"/>
      <c r="ANM58" s="1"/>
      <c r="ANN58" s="1"/>
      <c r="ANO58" s="1"/>
      <c r="ANP58" s="1"/>
      <c r="ANQ58" s="1"/>
      <c r="ANR58" s="1"/>
      <c r="ANS58" s="1"/>
      <c r="ANT58" s="1"/>
      <c r="ANU58" s="1"/>
      <c r="ANV58" s="1"/>
      <c r="ANW58" s="1"/>
      <c r="ANX58" s="1"/>
      <c r="ANY58" s="1"/>
      <c r="ANZ58" s="1"/>
      <c r="AOA58" s="1"/>
      <c r="AOB58" s="1"/>
      <c r="AOC58" s="1"/>
      <c r="AOD58" s="1"/>
      <c r="AOE58" s="1"/>
      <c r="AOF58" s="1"/>
      <c r="AOG58" s="1"/>
      <c r="AOH58" s="1"/>
      <c r="AOI58" s="1"/>
      <c r="AOJ58" s="1"/>
      <c r="AOK58" s="1"/>
      <c r="AOL58" s="1"/>
      <c r="AOM58" s="1"/>
      <c r="AON58" s="1"/>
      <c r="AOO58" s="1"/>
      <c r="AOP58" s="1"/>
      <c r="AOQ58" s="1"/>
      <c r="AOR58" s="1"/>
      <c r="AOS58" s="1"/>
      <c r="AOT58" s="1"/>
      <c r="AOU58" s="1"/>
      <c r="AOV58" s="1"/>
      <c r="AOW58" s="1"/>
      <c r="AOX58" s="1"/>
      <c r="AOY58" s="1"/>
      <c r="AOZ58" s="1"/>
      <c r="APA58" s="1"/>
      <c r="APB58" s="1"/>
      <c r="APC58" s="1"/>
      <c r="APD58" s="1"/>
      <c r="APE58" s="1"/>
      <c r="APF58" s="1"/>
      <c r="APG58" s="1"/>
      <c r="APH58" s="1"/>
      <c r="API58" s="1"/>
      <c r="APJ58" s="1"/>
      <c r="APK58" s="1"/>
      <c r="APL58" s="1"/>
      <c r="APM58" s="1"/>
      <c r="APN58" s="1"/>
      <c r="APO58" s="1"/>
      <c r="APP58" s="1"/>
      <c r="APQ58" s="1"/>
      <c r="APR58" s="1"/>
      <c r="APS58" s="1"/>
      <c r="APT58" s="1"/>
      <c r="APU58" s="1"/>
      <c r="APV58" s="1"/>
      <c r="APW58" s="1"/>
      <c r="APX58" s="1"/>
      <c r="APY58" s="1"/>
      <c r="APZ58" s="1"/>
      <c r="AQA58" s="1"/>
      <c r="AQB58" s="1"/>
      <c r="AQC58" s="1"/>
      <c r="AQD58" s="1"/>
      <c r="AQE58" s="1"/>
      <c r="AQF58" s="1"/>
      <c r="AQG58" s="1"/>
      <c r="AQH58" s="1"/>
      <c r="AQI58" s="1"/>
      <c r="AQJ58" s="1"/>
      <c r="AQK58" s="1"/>
      <c r="AQL58" s="1"/>
      <c r="AQM58" s="1"/>
      <c r="AQN58" s="1"/>
      <c r="AQO58" s="1"/>
      <c r="AQP58" s="1"/>
      <c r="AQQ58" s="1"/>
      <c r="AQR58" s="1"/>
      <c r="AQS58" s="1"/>
      <c r="AQT58" s="1"/>
      <c r="AQU58" s="1"/>
      <c r="AQV58" s="1"/>
      <c r="AQW58" s="1"/>
      <c r="AQX58" s="1"/>
      <c r="AQY58" s="1"/>
      <c r="AQZ58" s="1"/>
      <c r="ARA58" s="1"/>
      <c r="ARB58" s="1"/>
      <c r="ARC58" s="1"/>
      <c r="ARD58" s="1"/>
      <c r="ARE58" s="1"/>
      <c r="ARF58" s="1"/>
      <c r="ARG58" s="1"/>
      <c r="ARH58" s="1"/>
      <c r="ARI58" s="1"/>
      <c r="ARJ58" s="1"/>
      <c r="ARK58" s="1"/>
      <c r="ARL58" s="1"/>
      <c r="ARM58" s="1"/>
      <c r="ARN58" s="1"/>
      <c r="ARO58" s="1"/>
      <c r="ARP58" s="1"/>
      <c r="ARQ58" s="1"/>
      <c r="ARR58" s="1"/>
      <c r="ARS58" s="1"/>
      <c r="ART58" s="1"/>
      <c r="ARU58" s="1"/>
      <c r="ARV58" s="1"/>
      <c r="ARW58" s="1"/>
      <c r="ARX58" s="1"/>
      <c r="ARY58" s="1"/>
      <c r="ARZ58" s="1"/>
      <c r="ASA58" s="1"/>
      <c r="ASB58" s="1"/>
      <c r="ASC58" s="1"/>
      <c r="ASD58" s="1"/>
      <c r="ASE58" s="1"/>
      <c r="ASF58" s="1"/>
      <c r="ASG58" s="1"/>
      <c r="ASH58" s="1"/>
      <c r="ASI58" s="1"/>
      <c r="ASJ58" s="1"/>
      <c r="ASK58" s="1"/>
      <c r="ASL58" s="1"/>
      <c r="ASM58" s="1"/>
      <c r="ASN58" s="1"/>
      <c r="ASO58" s="1"/>
      <c r="ASP58" s="1"/>
      <c r="ASQ58" s="1"/>
      <c r="ASR58" s="1"/>
      <c r="ASS58" s="1"/>
      <c r="AST58" s="1"/>
      <c r="ASU58" s="1"/>
      <c r="ASV58" s="1"/>
      <c r="ASW58" s="1"/>
      <c r="ASX58" s="1"/>
      <c r="ASY58" s="1"/>
      <c r="ASZ58" s="1"/>
      <c r="ATA58" s="1"/>
      <c r="ATB58" s="1"/>
      <c r="ATC58" s="1"/>
      <c r="ATD58" s="1"/>
      <c r="ATE58" s="1"/>
      <c r="ATF58" s="1"/>
      <c r="ATG58" s="1"/>
      <c r="ATH58" s="1"/>
      <c r="ATI58" s="1"/>
      <c r="ATJ58" s="1"/>
      <c r="ATK58" s="1"/>
      <c r="ATL58" s="1"/>
      <c r="ATM58" s="1"/>
      <c r="ATN58" s="1"/>
      <c r="ATO58" s="1"/>
      <c r="ATP58" s="1"/>
      <c r="ATQ58" s="1"/>
      <c r="ATR58" s="1"/>
      <c r="ATS58" s="1"/>
      <c r="ATT58" s="1"/>
      <c r="ATU58" s="1"/>
      <c r="ATV58" s="1"/>
      <c r="ATW58" s="1"/>
      <c r="ATX58" s="1"/>
      <c r="ATY58" s="1"/>
      <c r="ATZ58" s="1"/>
      <c r="AUA58" s="1"/>
      <c r="AUB58" s="1"/>
      <c r="AUC58" s="1"/>
      <c r="AUD58" s="1"/>
      <c r="AUE58" s="1"/>
      <c r="AUF58" s="1"/>
      <c r="AUG58" s="1"/>
      <c r="AUH58" s="1"/>
      <c r="AUI58" s="1"/>
      <c r="AUJ58" s="1"/>
      <c r="AUK58" s="1"/>
      <c r="AUL58" s="1"/>
      <c r="AUM58" s="1"/>
      <c r="AUN58" s="1"/>
      <c r="AUO58" s="1"/>
      <c r="AUP58" s="1"/>
      <c r="AUQ58" s="1"/>
      <c r="AUR58" s="1"/>
      <c r="AUS58" s="1"/>
      <c r="AUT58" s="1"/>
      <c r="AUU58" s="1"/>
      <c r="AUV58" s="1"/>
      <c r="AUW58" s="1"/>
      <c r="AUX58" s="1"/>
      <c r="AUY58" s="1"/>
      <c r="AUZ58" s="1"/>
      <c r="AVA58" s="1"/>
      <c r="AVB58" s="1"/>
      <c r="AVC58" s="1"/>
      <c r="AVD58" s="1"/>
      <c r="AVE58" s="1"/>
      <c r="AVF58" s="1"/>
      <c r="AVG58" s="1"/>
      <c r="AVH58" s="1"/>
      <c r="AVI58" s="1"/>
      <c r="AVJ58" s="1"/>
      <c r="AVK58" s="1"/>
      <c r="AVL58" s="1"/>
      <c r="AVM58" s="1"/>
      <c r="AVN58" s="1"/>
      <c r="AVO58" s="1"/>
      <c r="AVP58" s="1"/>
      <c r="AVQ58" s="1"/>
      <c r="AVR58" s="1"/>
      <c r="AVS58" s="1"/>
      <c r="AVT58" s="1"/>
      <c r="AVU58" s="1"/>
      <c r="AVV58" s="1"/>
      <c r="AVW58" s="1"/>
      <c r="AVX58" s="1"/>
      <c r="AVY58" s="1"/>
      <c r="AVZ58" s="1"/>
      <c r="AWA58" s="1"/>
      <c r="AWB58" s="1"/>
      <c r="AWC58" s="1"/>
      <c r="AWD58" s="1"/>
      <c r="AWE58" s="1"/>
      <c r="AWF58" s="1"/>
      <c r="AWG58" s="1"/>
      <c r="AWH58" s="1"/>
      <c r="AWI58" s="1"/>
      <c r="AWJ58" s="1"/>
      <c r="AWK58" s="1"/>
      <c r="AWL58" s="1"/>
      <c r="AWM58" s="1"/>
      <c r="AWN58" s="1"/>
      <c r="AWO58" s="1"/>
      <c r="AWP58" s="1"/>
      <c r="AWQ58" s="1"/>
      <c r="AWR58" s="1"/>
      <c r="AWS58" s="1"/>
      <c r="AWT58" s="1"/>
      <c r="AWU58" s="1"/>
      <c r="AWV58" s="1"/>
      <c r="AWW58" s="1"/>
      <c r="AWX58" s="1"/>
      <c r="AWY58" s="1"/>
      <c r="AWZ58" s="1"/>
      <c r="AXA58" s="1"/>
      <c r="AXB58" s="1"/>
      <c r="AXC58" s="1"/>
      <c r="AXD58" s="1"/>
      <c r="AXE58" s="1"/>
      <c r="AXF58" s="1"/>
      <c r="AXG58" s="1"/>
      <c r="AXH58" s="1"/>
      <c r="AXI58" s="1"/>
      <c r="AXJ58" s="1"/>
      <c r="AXK58" s="1"/>
      <c r="AXL58" s="1"/>
      <c r="AXM58" s="1"/>
      <c r="AXN58" s="1"/>
      <c r="AXO58" s="1"/>
      <c r="AXP58" s="1"/>
      <c r="AXQ58" s="1"/>
      <c r="AXR58" s="1"/>
      <c r="AXS58" s="1"/>
      <c r="AXT58" s="1"/>
      <c r="AXU58" s="1"/>
      <c r="AXV58" s="1"/>
      <c r="AXW58" s="1"/>
      <c r="AXX58" s="1"/>
      <c r="AXY58" s="1"/>
      <c r="AXZ58" s="1"/>
      <c r="AYA58" s="1"/>
      <c r="AYB58" s="1"/>
      <c r="AYC58" s="1"/>
      <c r="AYD58" s="1"/>
      <c r="AYE58" s="1"/>
      <c r="AYF58" s="1"/>
      <c r="AYG58" s="1"/>
      <c r="AYH58" s="1"/>
      <c r="AYI58" s="1"/>
      <c r="AYJ58" s="1"/>
      <c r="AYK58" s="1"/>
      <c r="AYL58" s="1"/>
      <c r="AYM58" s="1"/>
      <c r="AYN58" s="1"/>
      <c r="AYO58" s="1"/>
      <c r="AYP58" s="1"/>
      <c r="AYQ58" s="1"/>
      <c r="AYR58" s="1"/>
      <c r="AYS58" s="1"/>
      <c r="AYT58" s="1"/>
      <c r="AYU58" s="1"/>
      <c r="AYV58" s="1"/>
      <c r="AYW58" s="1"/>
      <c r="AYX58" s="1"/>
      <c r="AYY58" s="1"/>
      <c r="AYZ58" s="1"/>
      <c r="AZA58" s="1"/>
      <c r="AZB58" s="1"/>
      <c r="AZC58" s="1"/>
      <c r="AZD58" s="1"/>
      <c r="AZE58" s="1"/>
      <c r="AZF58" s="1"/>
      <c r="AZG58" s="1"/>
      <c r="AZH58" s="1"/>
      <c r="AZI58" s="1"/>
      <c r="AZJ58" s="1"/>
      <c r="AZK58" s="1"/>
      <c r="AZL58" s="1"/>
      <c r="AZM58" s="1"/>
      <c r="AZN58" s="1"/>
      <c r="AZO58" s="1"/>
      <c r="AZP58" s="1"/>
      <c r="AZQ58" s="1"/>
      <c r="AZR58" s="1"/>
      <c r="AZS58" s="1"/>
      <c r="AZT58" s="1"/>
      <c r="AZU58" s="1"/>
      <c r="AZV58" s="1"/>
      <c r="AZW58" s="1"/>
      <c r="AZX58" s="1"/>
      <c r="AZY58" s="1"/>
      <c r="AZZ58" s="1"/>
      <c r="BAA58" s="1"/>
      <c r="BAB58" s="1"/>
      <c r="BAC58" s="1"/>
      <c r="BAD58" s="1"/>
      <c r="BAE58" s="1"/>
      <c r="BAF58" s="1"/>
      <c r="BAG58" s="1"/>
      <c r="BAH58" s="1"/>
      <c r="BAI58" s="1"/>
      <c r="BAJ58" s="1"/>
      <c r="BAK58" s="1"/>
      <c r="BAL58" s="1"/>
      <c r="BAM58" s="1"/>
      <c r="BAN58" s="1"/>
      <c r="BAO58" s="1"/>
      <c r="BAP58" s="1"/>
      <c r="BAQ58" s="1"/>
      <c r="BAR58" s="1"/>
      <c r="BAS58" s="1"/>
      <c r="BAT58" s="1"/>
      <c r="BAU58" s="1"/>
      <c r="BAV58" s="1"/>
      <c r="BAW58" s="1"/>
      <c r="BAX58" s="1"/>
      <c r="BAY58" s="1"/>
      <c r="BAZ58" s="1"/>
      <c r="BBA58" s="1"/>
      <c r="BBB58" s="1"/>
      <c r="BBC58" s="1"/>
      <c r="BBD58" s="1"/>
      <c r="BBE58" s="1"/>
      <c r="BBF58" s="1"/>
      <c r="BBG58" s="1"/>
      <c r="BBH58" s="1"/>
      <c r="BBI58" s="1"/>
      <c r="BBJ58" s="1"/>
      <c r="BBK58" s="1"/>
      <c r="BBL58" s="1"/>
      <c r="BBM58" s="1"/>
      <c r="BBN58" s="1"/>
      <c r="BBO58" s="1"/>
      <c r="BBP58" s="1"/>
      <c r="BBQ58" s="1"/>
      <c r="BBR58" s="1"/>
      <c r="BBS58" s="1"/>
      <c r="BBT58" s="1"/>
      <c r="BBU58" s="1"/>
      <c r="BBV58" s="1"/>
      <c r="BBW58" s="1"/>
      <c r="BBX58" s="1"/>
      <c r="BBY58" s="1"/>
      <c r="BBZ58" s="1"/>
      <c r="BCA58" s="1"/>
      <c r="BCB58" s="1"/>
      <c r="BCC58" s="1"/>
      <c r="BCD58" s="1"/>
      <c r="BCE58" s="1"/>
      <c r="BCF58" s="1"/>
      <c r="BCG58" s="1"/>
      <c r="BCH58" s="1"/>
      <c r="BCI58" s="1"/>
      <c r="BCJ58" s="1"/>
      <c r="BCK58" s="1"/>
      <c r="BCL58" s="1"/>
      <c r="BCM58" s="1"/>
      <c r="BCN58" s="1"/>
      <c r="BCO58" s="1"/>
      <c r="BCP58" s="1"/>
      <c r="BCQ58" s="1"/>
      <c r="BCR58" s="1"/>
      <c r="BCS58" s="1"/>
      <c r="BCT58" s="1"/>
      <c r="BCU58" s="1"/>
      <c r="BCV58" s="1"/>
      <c r="BCW58" s="1"/>
      <c r="BCX58" s="1"/>
      <c r="BCY58" s="1"/>
      <c r="BCZ58" s="1"/>
      <c r="BDA58" s="1"/>
      <c r="BDB58" s="1"/>
      <c r="BDC58" s="1"/>
      <c r="BDD58" s="1"/>
      <c r="BDE58" s="1"/>
      <c r="BDF58" s="1"/>
      <c r="BDG58" s="1"/>
      <c r="BDH58" s="1"/>
      <c r="BDI58" s="1"/>
      <c r="BDJ58" s="1"/>
      <c r="BDK58" s="1"/>
      <c r="BDL58" s="1"/>
      <c r="BDM58" s="1"/>
      <c r="BDN58" s="1"/>
      <c r="BDO58" s="1"/>
      <c r="BDP58" s="1"/>
      <c r="BDQ58" s="1"/>
      <c r="BDR58" s="1"/>
      <c r="BDS58" s="1"/>
      <c r="BDT58" s="1"/>
      <c r="BDU58" s="1"/>
      <c r="BDV58" s="1"/>
      <c r="BDW58" s="1"/>
      <c r="BDX58" s="1"/>
      <c r="BDY58" s="1"/>
      <c r="BDZ58" s="1"/>
      <c r="BEA58" s="1"/>
      <c r="BEB58" s="1"/>
      <c r="BEC58" s="1"/>
      <c r="BED58" s="1"/>
      <c r="BEE58" s="1"/>
      <c r="BEF58" s="1"/>
      <c r="BEG58" s="1"/>
      <c r="BEH58" s="1"/>
      <c r="BEI58" s="1"/>
      <c r="BEJ58" s="1"/>
      <c r="BEK58" s="1"/>
      <c r="BEL58" s="1"/>
      <c r="BEM58" s="1"/>
      <c r="BEN58" s="1"/>
      <c r="BEO58" s="1"/>
      <c r="BEP58" s="1"/>
      <c r="BEQ58" s="1"/>
      <c r="BER58" s="1"/>
      <c r="BES58" s="1"/>
      <c r="BET58" s="1"/>
      <c r="BEU58" s="1"/>
      <c r="BEV58" s="1"/>
      <c r="BEW58" s="1"/>
      <c r="BEX58" s="1"/>
      <c r="BEY58" s="1"/>
      <c r="BEZ58" s="1"/>
      <c r="BFA58" s="1"/>
      <c r="BFB58" s="1"/>
      <c r="BFC58" s="1"/>
      <c r="BFD58" s="1"/>
      <c r="BFE58" s="1"/>
      <c r="BFF58" s="1"/>
      <c r="BFG58" s="1"/>
      <c r="BFH58" s="1"/>
      <c r="BFI58" s="1"/>
      <c r="BFJ58" s="1"/>
      <c r="BFK58" s="1"/>
      <c r="BFL58" s="1"/>
      <c r="BFM58" s="1"/>
      <c r="BFN58" s="1"/>
      <c r="BFO58" s="1"/>
      <c r="BFP58" s="1"/>
      <c r="BFQ58" s="1"/>
      <c r="BFR58" s="1"/>
      <c r="BFS58" s="1"/>
      <c r="BFT58" s="1"/>
      <c r="BFU58" s="1"/>
      <c r="BFV58" s="1"/>
      <c r="BFW58" s="1"/>
      <c r="BFX58" s="1"/>
      <c r="BFY58" s="1"/>
      <c r="BFZ58" s="1"/>
      <c r="BGA58" s="1"/>
      <c r="BGB58" s="1"/>
      <c r="BGC58" s="1"/>
      <c r="BGD58" s="1"/>
      <c r="BGE58" s="1"/>
      <c r="BGF58" s="1"/>
      <c r="BGG58" s="1"/>
      <c r="BGH58" s="1"/>
      <c r="BGI58" s="1"/>
      <c r="BGJ58" s="1"/>
      <c r="BGK58" s="1"/>
      <c r="BGL58" s="1"/>
      <c r="BGM58" s="1"/>
      <c r="BGN58" s="1"/>
      <c r="BGO58" s="1"/>
      <c r="BGP58" s="1"/>
      <c r="BGQ58" s="1"/>
      <c r="BGR58" s="1"/>
      <c r="BGS58" s="1"/>
      <c r="BGT58" s="1"/>
      <c r="BGU58" s="1"/>
      <c r="BGV58" s="1"/>
      <c r="BGW58" s="1"/>
      <c r="BGX58" s="1"/>
      <c r="BGY58" s="1"/>
      <c r="BGZ58" s="1"/>
      <c r="BHA58" s="1"/>
      <c r="BHB58" s="1"/>
      <c r="BHC58" s="1"/>
    </row>
    <row r="59" spans="1:1563" ht="12.75" customHeight="1" x14ac:dyDescent="0.2">
      <c r="A59" s="748"/>
      <c r="B59" s="737" t="s">
        <v>1074</v>
      </c>
      <c r="C59" s="750">
        <v>185000</v>
      </c>
      <c r="D59" s="772">
        <v>185000</v>
      </c>
      <c r="E59" s="968">
        <v>161075</v>
      </c>
      <c r="F59" s="739">
        <v>185000</v>
      </c>
      <c r="G59" s="772">
        <v>185000</v>
      </c>
      <c r="H59" s="1680">
        <v>185000</v>
      </c>
      <c r="I59" s="1676">
        <v>185000</v>
      </c>
      <c r="J59" s="1681">
        <v>185000</v>
      </c>
    </row>
    <row r="60" spans="1:1563" ht="12.75" customHeight="1" x14ac:dyDescent="0.2">
      <c r="A60" s="748"/>
      <c r="B60" s="737" t="s">
        <v>1076</v>
      </c>
      <c r="C60" s="738">
        <v>5000</v>
      </c>
      <c r="D60" s="767">
        <v>5000</v>
      </c>
      <c r="E60" s="968">
        <f>100+7600</f>
        <v>7700</v>
      </c>
      <c r="F60" s="739">
        <v>8000</v>
      </c>
      <c r="G60" s="767">
        <v>7000</v>
      </c>
      <c r="H60" s="1680">
        <v>7500</v>
      </c>
      <c r="I60" s="1676">
        <v>8000</v>
      </c>
      <c r="J60" s="1681">
        <v>7500</v>
      </c>
    </row>
    <row r="61" spans="1:1563" ht="12.75" customHeight="1" x14ac:dyDescent="0.2">
      <c r="A61" s="716" t="s">
        <v>2123</v>
      </c>
      <c r="B61" s="717" t="s">
        <v>2124</v>
      </c>
      <c r="C61" s="731">
        <v>2640000</v>
      </c>
      <c r="D61" s="746">
        <v>2640000</v>
      </c>
      <c r="E61" s="972">
        <v>951076.94</v>
      </c>
      <c r="F61" s="1687">
        <v>960000</v>
      </c>
      <c r="G61" s="1688">
        <v>0</v>
      </c>
      <c r="H61" s="1689">
        <v>0</v>
      </c>
      <c r="I61" s="1666">
        <v>0</v>
      </c>
      <c r="J61" s="1690">
        <v>0</v>
      </c>
    </row>
    <row r="62" spans="1:1563" ht="12.75" customHeight="1" x14ac:dyDescent="0.2">
      <c r="A62" s="736" t="s">
        <v>2125</v>
      </c>
      <c r="B62" s="717" t="s">
        <v>2126</v>
      </c>
      <c r="C62" s="731">
        <v>3000000</v>
      </c>
      <c r="D62" s="746">
        <f>3000000+3000000</f>
        <v>6000000</v>
      </c>
      <c r="E62" s="746">
        <v>6164503.2000000002</v>
      </c>
      <c r="F62" s="1665">
        <v>6200000</v>
      </c>
      <c r="G62" s="1690">
        <v>0</v>
      </c>
      <c r="H62" s="1691">
        <v>0</v>
      </c>
      <c r="I62" s="1666">
        <v>0</v>
      </c>
      <c r="J62" s="1690">
        <v>0</v>
      </c>
    </row>
    <row r="63" spans="1:1563" ht="12.75" customHeight="1" x14ac:dyDescent="0.2">
      <c r="A63" s="716" t="s">
        <v>2127</v>
      </c>
      <c r="B63" s="717" t="s">
        <v>2128</v>
      </c>
      <c r="C63" s="731">
        <v>0</v>
      </c>
      <c r="D63" s="746">
        <v>1898021.23</v>
      </c>
      <c r="E63" s="746">
        <v>1898021.23</v>
      </c>
      <c r="F63" s="1692">
        <v>2600000</v>
      </c>
      <c r="G63" s="1666">
        <v>3200000</v>
      </c>
      <c r="H63" s="1691">
        <v>3200000</v>
      </c>
      <c r="I63" s="1666">
        <v>3200000</v>
      </c>
      <c r="J63" s="1690">
        <v>3200000</v>
      </c>
    </row>
    <row r="64" spans="1:1563" ht="12.75" customHeight="1" x14ac:dyDescent="0.2">
      <c r="A64" s="736" t="s">
        <v>2129</v>
      </c>
      <c r="B64" s="717" t="s">
        <v>1084</v>
      </c>
      <c r="C64" s="731">
        <v>0</v>
      </c>
      <c r="D64" s="746">
        <v>2015699.68</v>
      </c>
      <c r="E64" s="746">
        <v>2015699.68</v>
      </c>
      <c r="F64" s="1677">
        <v>3000000</v>
      </c>
      <c r="G64" s="746">
        <v>3700000</v>
      </c>
      <c r="H64" s="1352">
        <v>3700000</v>
      </c>
      <c r="I64" s="746">
        <v>3700000</v>
      </c>
      <c r="J64" s="746">
        <v>3700000</v>
      </c>
    </row>
    <row r="65" spans="1:52" ht="12.75" customHeight="1" x14ac:dyDescent="0.2">
      <c r="A65" s="736" t="s">
        <v>2130</v>
      </c>
      <c r="B65" s="717" t="s">
        <v>1084</v>
      </c>
      <c r="C65" s="731">
        <v>0</v>
      </c>
      <c r="D65" s="746">
        <v>890401.74</v>
      </c>
      <c r="E65" s="746">
        <v>890401.74</v>
      </c>
      <c r="F65" s="1677">
        <v>1300000</v>
      </c>
      <c r="G65" s="746">
        <v>1600000</v>
      </c>
      <c r="H65" s="1352">
        <v>1600000</v>
      </c>
      <c r="I65" s="746">
        <v>1600000</v>
      </c>
      <c r="J65" s="746">
        <v>1600000</v>
      </c>
    </row>
    <row r="66" spans="1:52" s="98" customFormat="1" ht="12.75" customHeight="1" x14ac:dyDescent="0.2">
      <c r="A66" s="716">
        <v>1511</v>
      </c>
      <c r="B66" s="717" t="s">
        <v>1087</v>
      </c>
      <c r="C66" s="726">
        <v>23960000</v>
      </c>
      <c r="D66" s="783">
        <v>23960000</v>
      </c>
      <c r="E66" s="783">
        <v>16299252.9</v>
      </c>
      <c r="F66" s="1677">
        <v>22000000</v>
      </c>
      <c r="G66" s="734">
        <v>36541566</v>
      </c>
      <c r="H66" s="1675">
        <v>23320000</v>
      </c>
      <c r="I66" s="1665">
        <v>23320000</v>
      </c>
      <c r="J66" s="1666">
        <v>23320000</v>
      </c>
    </row>
    <row r="67" spans="1:52" s="98" customFormat="1" ht="12.75" customHeight="1" x14ac:dyDescent="0.2">
      <c r="A67" s="756"/>
      <c r="B67" s="757"/>
      <c r="C67" s="758"/>
      <c r="D67" s="869"/>
      <c r="E67" s="869"/>
      <c r="F67" s="1693"/>
      <c r="G67" s="1694"/>
      <c r="H67" s="1693"/>
      <c r="I67" s="918"/>
      <c r="J67" s="1694"/>
    </row>
    <row r="68" spans="1:52" s="98" customFormat="1" ht="18.75" customHeight="1" x14ac:dyDescent="0.25">
      <c r="A68" s="591"/>
      <c r="B68" s="1389" t="s">
        <v>10</v>
      </c>
      <c r="C68" s="593">
        <f t="shared" ref="C68:I68" si="28">SUM(C69,C81:C84,C97:C98,C113:C113,C126:C129,C146:C147)</f>
        <v>163957324.72000003</v>
      </c>
      <c r="D68" s="593">
        <f t="shared" si="28"/>
        <v>189495572.43000001</v>
      </c>
      <c r="E68" s="593">
        <f t="shared" si="28"/>
        <v>231135891.18000001</v>
      </c>
      <c r="F68" s="1695">
        <f t="shared" si="28"/>
        <v>273701118.25999999</v>
      </c>
      <c r="G68" s="1696">
        <f t="shared" si="28"/>
        <v>172178289.50999999</v>
      </c>
      <c r="H68" s="1695">
        <f t="shared" si="28"/>
        <v>36881518</v>
      </c>
      <c r="I68" s="1695">
        <f t="shared" si="28"/>
        <v>36881518</v>
      </c>
      <c r="J68" s="1693"/>
    </row>
    <row r="69" spans="1:52" s="98" customFormat="1" ht="12.75" customHeight="1" x14ac:dyDescent="0.2">
      <c r="A69" s="1697">
        <v>2111</v>
      </c>
      <c r="B69" s="1698" t="s">
        <v>1088</v>
      </c>
      <c r="C69" s="1699">
        <f t="shared" ref="C69:I69" si="29">SUM(C70:C80)</f>
        <v>16515400</v>
      </c>
      <c r="D69" s="844">
        <f t="shared" si="29"/>
        <v>16515400</v>
      </c>
      <c r="E69" s="985">
        <f t="shared" si="29"/>
        <v>14755792.890000001</v>
      </c>
      <c r="F69" s="844">
        <f t="shared" si="29"/>
        <v>20215962</v>
      </c>
      <c r="G69" s="1700">
        <f t="shared" si="29"/>
        <v>18422000</v>
      </c>
      <c r="H69" s="845">
        <f t="shared" si="29"/>
        <v>2140000</v>
      </c>
      <c r="I69" s="844">
        <f t="shared" si="29"/>
        <v>2140000</v>
      </c>
      <c r="J69" s="1693"/>
    </row>
    <row r="70" spans="1:52" s="98" customFormat="1" ht="12.75" customHeight="1" x14ac:dyDescent="0.2">
      <c r="A70" s="1697"/>
      <c r="B70" s="1701" t="s">
        <v>1089</v>
      </c>
      <c r="C70" s="1702">
        <v>0</v>
      </c>
      <c r="D70" s="767">
        <v>0</v>
      </c>
      <c r="E70" s="894">
        <v>570</v>
      </c>
      <c r="F70" s="1703">
        <v>570</v>
      </c>
      <c r="G70" s="1704">
        <v>0</v>
      </c>
      <c r="H70" s="1680">
        <v>0</v>
      </c>
      <c r="I70" s="1703">
        <v>0</v>
      </c>
      <c r="J70" s="1693"/>
    </row>
    <row r="71" spans="1:52" ht="12.75" customHeight="1" x14ac:dyDescent="0.2">
      <c r="A71" s="1705"/>
      <c r="B71" s="776" t="s">
        <v>1090</v>
      </c>
      <c r="C71" s="1702">
        <v>800000</v>
      </c>
      <c r="D71" s="767">
        <v>800000</v>
      </c>
      <c r="E71" s="894">
        <v>132902.97</v>
      </c>
      <c r="F71" s="854">
        <v>800000</v>
      </c>
      <c r="G71" s="1706">
        <v>800000</v>
      </c>
      <c r="H71" s="1707">
        <v>800000</v>
      </c>
      <c r="I71" s="854">
        <v>800000</v>
      </c>
      <c r="J71" s="1708"/>
    </row>
    <row r="72" spans="1:52" s="29" customFormat="1" ht="12.75" customHeight="1" x14ac:dyDescent="0.2">
      <c r="A72" s="1709"/>
      <c r="B72" s="1710" t="s">
        <v>1091</v>
      </c>
      <c r="C72" s="1702">
        <v>950000</v>
      </c>
      <c r="D72" s="767">
        <v>950000</v>
      </c>
      <c r="E72" s="894">
        <v>953169.25</v>
      </c>
      <c r="F72" s="854">
        <v>1000000</v>
      </c>
      <c r="G72" s="1711">
        <v>1340000</v>
      </c>
      <c r="H72" s="1707">
        <v>1340000</v>
      </c>
      <c r="I72" s="1681">
        <v>1340000</v>
      </c>
      <c r="J72" s="1712"/>
    </row>
    <row r="73" spans="1:52" ht="12.75" customHeight="1" x14ac:dyDescent="0.2">
      <c r="A73" s="1713"/>
      <c r="B73" s="776" t="s">
        <v>1092</v>
      </c>
      <c r="C73" s="1702">
        <v>0</v>
      </c>
      <c r="D73" s="767">
        <v>0</v>
      </c>
      <c r="E73" s="894">
        <v>23500</v>
      </c>
      <c r="F73" s="1682">
        <v>23500</v>
      </c>
      <c r="G73" s="1714">
        <v>0</v>
      </c>
      <c r="H73" s="1715"/>
      <c r="I73" s="1681"/>
      <c r="J73" s="1708"/>
    </row>
    <row r="74" spans="1:52" s="777" customFormat="1" ht="12.75" customHeight="1" x14ac:dyDescent="0.2">
      <c r="A74" s="1713"/>
      <c r="B74" s="790" t="s">
        <v>1094</v>
      </c>
      <c r="C74" s="768">
        <v>6700000</v>
      </c>
      <c r="D74" s="767">
        <v>6700000</v>
      </c>
      <c r="E74" s="894">
        <v>7368967.5300000003</v>
      </c>
      <c r="F74" s="854">
        <v>8000000</v>
      </c>
      <c r="G74" s="1711">
        <v>7120000</v>
      </c>
      <c r="H74" s="1715"/>
      <c r="I74" s="1716"/>
      <c r="J74" s="1708"/>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c r="AW74" s="1"/>
      <c r="AX74" s="1"/>
      <c r="AY74" s="1"/>
      <c r="AZ74" s="1"/>
    </row>
    <row r="75" spans="1:52" s="777" customFormat="1" ht="12.75" customHeight="1" x14ac:dyDescent="0.2">
      <c r="A75" s="1713"/>
      <c r="B75" s="790" t="s">
        <v>1095</v>
      </c>
      <c r="C75" s="768">
        <v>2049000</v>
      </c>
      <c r="D75" s="767">
        <v>2049000</v>
      </c>
      <c r="E75" s="894">
        <v>1623589.59</v>
      </c>
      <c r="F75" s="854">
        <v>2100000</v>
      </c>
      <c r="G75" s="1711">
        <v>1961000</v>
      </c>
      <c r="H75" s="1715"/>
      <c r="I75" s="1716"/>
      <c r="J75" s="1708"/>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c r="AW75" s="1"/>
      <c r="AX75" s="1"/>
      <c r="AY75" s="1"/>
      <c r="AZ75" s="1"/>
    </row>
    <row r="76" spans="1:52" s="777" customFormat="1" ht="12.75" customHeight="1" x14ac:dyDescent="0.2">
      <c r="A76" s="1713"/>
      <c r="B76" s="790" t="s">
        <v>1096</v>
      </c>
      <c r="C76" s="768">
        <v>2955900</v>
      </c>
      <c r="D76" s="767">
        <v>2955900</v>
      </c>
      <c r="E76" s="894">
        <v>955781.55</v>
      </c>
      <c r="F76" s="854">
        <v>2930892</v>
      </c>
      <c r="G76" s="1711">
        <v>2940000</v>
      </c>
      <c r="H76" s="1715"/>
      <c r="I76" s="1716"/>
      <c r="J76" s="1708"/>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c r="AW76" s="1"/>
      <c r="AX76" s="1"/>
      <c r="AY76" s="1"/>
      <c r="AZ76" s="1"/>
    </row>
    <row r="77" spans="1:52" s="777" customFormat="1" ht="12.75" customHeight="1" x14ac:dyDescent="0.2">
      <c r="A77" s="1713"/>
      <c r="B77" s="790" t="s">
        <v>1171</v>
      </c>
      <c r="C77" s="768">
        <v>0</v>
      </c>
      <c r="D77" s="767">
        <v>0</v>
      </c>
      <c r="E77" s="894">
        <v>786510</v>
      </c>
      <c r="F77" s="854">
        <v>800000</v>
      </c>
      <c r="G77" s="1711">
        <v>0</v>
      </c>
      <c r="H77" s="1715"/>
      <c r="I77" s="1716"/>
      <c r="J77" s="1708"/>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c r="AW77" s="1"/>
      <c r="AX77" s="1"/>
      <c r="AY77" s="1"/>
      <c r="AZ77" s="1"/>
    </row>
    <row r="78" spans="1:52" ht="12.75" customHeight="1" x14ac:dyDescent="0.2">
      <c r="A78" s="1713"/>
      <c r="B78" s="790" t="s">
        <v>1097</v>
      </c>
      <c r="C78" s="768">
        <v>3000000</v>
      </c>
      <c r="D78" s="767">
        <v>3000000</v>
      </c>
      <c r="E78" s="894">
        <v>2879425</v>
      </c>
      <c r="F78" s="854">
        <v>4500000</v>
      </c>
      <c r="G78" s="1711">
        <v>4200000</v>
      </c>
      <c r="H78" s="1715"/>
      <c r="I78" s="1681"/>
      <c r="J78" s="1708"/>
    </row>
    <row r="79" spans="1:52" ht="12.75" customHeight="1" x14ac:dyDescent="0.2">
      <c r="A79" s="1713"/>
      <c r="B79" s="790" t="s">
        <v>1098</v>
      </c>
      <c r="C79" s="768">
        <v>60000</v>
      </c>
      <c r="D79" s="767">
        <v>60000</v>
      </c>
      <c r="E79" s="894">
        <v>30800</v>
      </c>
      <c r="F79" s="854">
        <v>60000</v>
      </c>
      <c r="G79" s="1717">
        <v>60000</v>
      </c>
      <c r="H79" s="1715"/>
      <c r="I79" s="1681"/>
      <c r="J79" s="1708"/>
    </row>
    <row r="80" spans="1:52" ht="12.75" customHeight="1" x14ac:dyDescent="0.2">
      <c r="A80" s="1713"/>
      <c r="B80" s="790" t="s">
        <v>1099</v>
      </c>
      <c r="C80" s="768">
        <v>500</v>
      </c>
      <c r="D80" s="767">
        <v>500</v>
      </c>
      <c r="E80" s="894">
        <v>577</v>
      </c>
      <c r="F80" s="1682">
        <v>1000</v>
      </c>
      <c r="G80" s="1714">
        <v>1000</v>
      </c>
      <c r="H80" s="1712"/>
      <c r="I80" s="1682"/>
      <c r="J80" s="1708"/>
    </row>
    <row r="81" spans="1:52" s="1693" customFormat="1" ht="12.75" customHeight="1" x14ac:dyDescent="0.2">
      <c r="A81" s="1718">
        <v>2119</v>
      </c>
      <c r="B81" s="1719" t="s">
        <v>2131</v>
      </c>
      <c r="C81" s="1352">
        <v>3000000</v>
      </c>
      <c r="D81" s="734">
        <v>3000000</v>
      </c>
      <c r="E81" s="998">
        <v>171033.5</v>
      </c>
      <c r="F81" s="734">
        <v>1500000</v>
      </c>
      <c r="G81" s="1720">
        <v>1500000</v>
      </c>
      <c r="H81" s="1721">
        <v>1500000</v>
      </c>
      <c r="I81" s="1722">
        <v>1500000</v>
      </c>
      <c r="J81" s="1361"/>
    </row>
    <row r="82" spans="1:52" s="1693" customFormat="1" ht="12.75" customHeight="1" x14ac:dyDescent="0.2">
      <c r="A82" s="1718">
        <v>2122</v>
      </c>
      <c r="B82" s="791" t="s">
        <v>2132</v>
      </c>
      <c r="C82" s="1723">
        <f>SUM(355760+288696.24+157064+934180+398227+74093+156477+126060+522020+175356+962729.12)</f>
        <v>4150662.3600000003</v>
      </c>
      <c r="D82" s="1724">
        <f>SUM(355760+288696.24+157064+934180+398227+74093+156477+126060+522020+175356+962729.12)+192228+(1009024.72+835189.98)-1196</f>
        <v>6185909.0600000005</v>
      </c>
      <c r="E82" s="1725">
        <v>3451400.06</v>
      </c>
      <c r="F82" s="1724">
        <f>SUM(355760+288696.24+157064+934180+398227+74093+156477+126060+522020+175356+962729.12)+192228+(1009024.72+835189.98)-1196</f>
        <v>6185909.0600000005</v>
      </c>
      <c r="G82" s="1726">
        <v>4810518</v>
      </c>
      <c r="H82" s="1692">
        <v>4810518</v>
      </c>
      <c r="I82" s="1674">
        <v>4810518</v>
      </c>
      <c r="J82" s="1692"/>
    </row>
    <row r="83" spans="1:52" s="1693" customFormat="1" x14ac:dyDescent="0.2">
      <c r="A83" s="1718">
        <v>2131</v>
      </c>
      <c r="B83" s="1719" t="s">
        <v>1102</v>
      </c>
      <c r="C83" s="1352">
        <v>1000000</v>
      </c>
      <c r="D83" s="734">
        <v>1000000</v>
      </c>
      <c r="E83" s="998">
        <v>1224794.8400000001</v>
      </c>
      <c r="F83" s="734">
        <v>1300000</v>
      </c>
      <c r="G83" s="1720">
        <v>1000000</v>
      </c>
      <c r="H83" s="1721">
        <v>1000000</v>
      </c>
      <c r="I83" s="1722">
        <v>1000000</v>
      </c>
      <c r="J83" s="1361"/>
    </row>
    <row r="84" spans="1:52" s="98" customFormat="1" ht="12.75" customHeight="1" x14ac:dyDescent="0.2">
      <c r="A84" s="1705">
        <v>2132</v>
      </c>
      <c r="B84" s="791" t="s">
        <v>2133</v>
      </c>
      <c r="C84" s="783">
        <f t="shared" ref="C84:I84" si="30">SUM(C85:C96)</f>
        <v>105248875</v>
      </c>
      <c r="D84" s="734">
        <f t="shared" si="30"/>
        <v>105538208</v>
      </c>
      <c r="E84" s="998">
        <f t="shared" si="30"/>
        <v>82169613.530000001</v>
      </c>
      <c r="F84" s="734">
        <f t="shared" si="30"/>
        <v>106109971.28</v>
      </c>
      <c r="G84" s="783">
        <f t="shared" si="30"/>
        <v>109394000</v>
      </c>
      <c r="H84" s="783">
        <f t="shared" si="30"/>
        <v>1942000</v>
      </c>
      <c r="I84" s="734">
        <f t="shared" si="30"/>
        <v>1942000</v>
      </c>
      <c r="J84" s="1693"/>
    </row>
    <row r="85" spans="1:52" s="1708" customFormat="1" x14ac:dyDescent="0.2">
      <c r="A85" s="1727"/>
      <c r="B85" s="790" t="s">
        <v>1104</v>
      </c>
      <c r="C85" s="768">
        <v>810000</v>
      </c>
      <c r="D85" s="772">
        <v>810000</v>
      </c>
      <c r="E85" s="893">
        <v>809268</v>
      </c>
      <c r="F85" s="772">
        <v>810000</v>
      </c>
      <c r="G85" s="1728">
        <v>810000</v>
      </c>
      <c r="H85" s="1729">
        <v>810000</v>
      </c>
      <c r="I85" s="890">
        <v>810000</v>
      </c>
      <c r="J85" s="1730"/>
    </row>
    <row r="86" spans="1:52" s="1708" customFormat="1" x14ac:dyDescent="0.2">
      <c r="A86" s="1727"/>
      <c r="B86" s="790" t="s">
        <v>1105</v>
      </c>
      <c r="C86" s="768">
        <v>7000</v>
      </c>
      <c r="D86" s="772">
        <v>7000</v>
      </c>
      <c r="E86" s="893">
        <v>8606</v>
      </c>
      <c r="F86" s="772">
        <v>8606</v>
      </c>
      <c r="G86" s="768">
        <v>7000</v>
      </c>
      <c r="H86" s="1731">
        <v>7000</v>
      </c>
      <c r="I86" s="1732">
        <v>7000</v>
      </c>
      <c r="J86" s="1712"/>
    </row>
    <row r="87" spans="1:52" s="1708" customFormat="1" x14ac:dyDescent="0.2">
      <c r="A87" s="1727"/>
      <c r="B87" s="790" t="s">
        <v>1106</v>
      </c>
      <c r="C87" s="768">
        <v>600000</v>
      </c>
      <c r="D87" s="772">
        <v>600000</v>
      </c>
      <c r="E87" s="893">
        <v>1072059.0900000001</v>
      </c>
      <c r="F87" s="772">
        <v>1200000</v>
      </c>
      <c r="G87" s="768">
        <v>600000</v>
      </c>
      <c r="H87" s="850">
        <v>600000</v>
      </c>
      <c r="I87" s="767">
        <v>600000</v>
      </c>
      <c r="J87" s="1730"/>
    </row>
    <row r="88" spans="1:52" s="777" customFormat="1" ht="12.75" customHeight="1" x14ac:dyDescent="0.2">
      <c r="A88" s="1713"/>
      <c r="B88" s="790" t="s">
        <v>1107</v>
      </c>
      <c r="C88" s="768">
        <v>340000</v>
      </c>
      <c r="D88" s="767">
        <v>340000</v>
      </c>
      <c r="E88" s="894">
        <v>345109.16</v>
      </c>
      <c r="F88" s="820">
        <v>345109.16</v>
      </c>
      <c r="G88" s="1711">
        <v>350000</v>
      </c>
      <c r="H88" s="1733"/>
      <c r="I88" s="1734"/>
      <c r="J88" s="1708"/>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c r="AW88" s="1"/>
      <c r="AX88" s="1"/>
      <c r="AY88" s="1"/>
      <c r="AZ88" s="1"/>
    </row>
    <row r="89" spans="1:52" s="777" customFormat="1" ht="12.75" customHeight="1" x14ac:dyDescent="0.2">
      <c r="A89" s="1713"/>
      <c r="B89" s="1735" t="s">
        <v>1108</v>
      </c>
      <c r="C89" s="768">
        <v>75480000</v>
      </c>
      <c r="D89" s="767">
        <v>75480000</v>
      </c>
      <c r="E89" s="894">
        <v>53733569.170000002</v>
      </c>
      <c r="F89" s="854">
        <v>75000000</v>
      </c>
      <c r="G89" s="1711">
        <v>77480000</v>
      </c>
      <c r="H89" s="1736"/>
      <c r="I89" s="1681"/>
      <c r="J89" s="1708"/>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c r="AW89" s="1"/>
      <c r="AX89" s="1"/>
      <c r="AY89" s="1"/>
      <c r="AZ89" s="1"/>
    </row>
    <row r="90" spans="1:52" ht="12.75" customHeight="1" x14ac:dyDescent="0.2">
      <c r="A90" s="1713"/>
      <c r="B90" s="1735" t="s">
        <v>1109</v>
      </c>
      <c r="C90" s="768">
        <v>180875</v>
      </c>
      <c r="D90" s="767">
        <v>180875</v>
      </c>
      <c r="E90" s="894">
        <v>97315.73</v>
      </c>
      <c r="F90" s="1682">
        <v>180875</v>
      </c>
      <c r="G90" s="1714">
        <v>121000</v>
      </c>
      <c r="H90" s="1712"/>
      <c r="I90" s="1682"/>
      <c r="J90" s="1708"/>
    </row>
    <row r="91" spans="1:52" s="1708" customFormat="1" x14ac:dyDescent="0.2">
      <c r="A91" s="1727"/>
      <c r="B91" s="790" t="s">
        <v>2134</v>
      </c>
      <c r="C91" s="768">
        <v>100000</v>
      </c>
      <c r="D91" s="772">
        <v>100000</v>
      </c>
      <c r="E91" s="893">
        <v>126048.12</v>
      </c>
      <c r="F91" s="772">
        <v>126048.12</v>
      </c>
      <c r="G91" s="1728">
        <v>0</v>
      </c>
      <c r="H91" s="1729">
        <v>0</v>
      </c>
      <c r="I91" s="890">
        <v>0</v>
      </c>
      <c r="J91" s="1730"/>
    </row>
    <row r="92" spans="1:52" s="777" customFormat="1" ht="28.5" customHeight="1" x14ac:dyDescent="0.2">
      <c r="A92" s="1713"/>
      <c r="B92" s="1737" t="s">
        <v>2135</v>
      </c>
      <c r="C92" s="768">
        <v>15796000</v>
      </c>
      <c r="D92" s="767">
        <v>15796000</v>
      </c>
      <c r="E92" s="894">
        <v>13867011.5</v>
      </c>
      <c r="F92" s="829">
        <v>16200000</v>
      </c>
      <c r="G92" s="1738">
        <v>17481000</v>
      </c>
      <c r="H92" s="1739"/>
      <c r="I92" s="829"/>
      <c r="J92" s="1708"/>
      <c r="K92" s="1"/>
      <c r="L92" s="1"/>
      <c r="M92" s="1"/>
      <c r="N92" s="1"/>
      <c r="O92" s="1"/>
      <c r="P92" s="1"/>
      <c r="Q92" s="1"/>
      <c r="R92" s="1"/>
      <c r="S92" s="1"/>
      <c r="T92" s="1"/>
      <c r="U92" s="1"/>
      <c r="V92" s="1"/>
      <c r="W92" s="1"/>
      <c r="X92" s="1"/>
      <c r="Y92" s="1"/>
      <c r="Z92" s="1"/>
      <c r="AA92" s="1"/>
      <c r="AB92" s="1"/>
      <c r="AC92" s="1"/>
      <c r="AD92" s="1"/>
      <c r="AE92" s="1"/>
      <c r="AF92" s="1"/>
      <c r="AG92" s="1"/>
      <c r="AH92" s="1"/>
      <c r="AI92" s="1"/>
      <c r="AJ92" s="1"/>
      <c r="AK92" s="1"/>
      <c r="AL92" s="1"/>
      <c r="AM92" s="1"/>
      <c r="AN92" s="1"/>
      <c r="AO92" s="1"/>
      <c r="AP92" s="1"/>
      <c r="AQ92" s="1"/>
      <c r="AR92" s="1"/>
      <c r="AS92" s="1"/>
      <c r="AT92" s="1"/>
      <c r="AU92" s="1"/>
      <c r="AV92" s="1"/>
      <c r="AW92" s="1"/>
      <c r="AX92" s="1"/>
      <c r="AY92" s="1"/>
      <c r="AZ92" s="1"/>
    </row>
    <row r="93" spans="1:52" s="777" customFormat="1" ht="12.75" customHeight="1" x14ac:dyDescent="0.2">
      <c r="A93" s="1713"/>
      <c r="B93" s="790" t="s">
        <v>1112</v>
      </c>
      <c r="C93" s="768">
        <v>11500000</v>
      </c>
      <c r="D93" s="767">
        <f>11500000+289333</f>
        <v>11789333</v>
      </c>
      <c r="E93" s="894">
        <v>11789333</v>
      </c>
      <c r="F93" s="1716">
        <v>11789333</v>
      </c>
      <c r="G93" s="1711">
        <v>12000000</v>
      </c>
      <c r="H93" s="1715"/>
      <c r="I93" s="1681"/>
      <c r="J93" s="1708"/>
      <c r="K93" s="1"/>
      <c r="L93" s="1"/>
      <c r="M93" s="1"/>
      <c r="N93" s="1"/>
      <c r="O93" s="1"/>
      <c r="P93" s="1"/>
      <c r="Q93" s="1"/>
      <c r="R93" s="1"/>
      <c r="S93" s="1"/>
      <c r="T93" s="1"/>
      <c r="U93" s="1"/>
      <c r="V93" s="1"/>
      <c r="W93" s="1"/>
      <c r="X93" s="1"/>
      <c r="Y93" s="1"/>
      <c r="Z93" s="1"/>
      <c r="AA93" s="1"/>
      <c r="AB93" s="1"/>
      <c r="AC93" s="1"/>
      <c r="AD93" s="1"/>
      <c r="AE93" s="1"/>
      <c r="AF93" s="1"/>
      <c r="AG93" s="1"/>
      <c r="AH93" s="1"/>
      <c r="AI93" s="1"/>
      <c r="AJ93" s="1"/>
      <c r="AK93" s="1"/>
      <c r="AL93" s="1"/>
      <c r="AM93" s="1"/>
      <c r="AN93" s="1"/>
      <c r="AO93" s="1"/>
      <c r="AP93" s="1"/>
      <c r="AQ93" s="1"/>
      <c r="AR93" s="1"/>
      <c r="AS93" s="1"/>
      <c r="AT93" s="1"/>
      <c r="AU93" s="1"/>
      <c r="AV93" s="1"/>
      <c r="AW93" s="1"/>
      <c r="AX93" s="1"/>
      <c r="AY93" s="1"/>
      <c r="AZ93" s="1"/>
    </row>
    <row r="94" spans="1:52" s="777" customFormat="1" ht="12.75" customHeight="1" x14ac:dyDescent="0.2">
      <c r="A94" s="1713"/>
      <c r="B94" s="790" t="s">
        <v>2136</v>
      </c>
      <c r="C94" s="768">
        <v>400000</v>
      </c>
      <c r="D94" s="767">
        <v>400000</v>
      </c>
      <c r="E94" s="894">
        <v>277202.76</v>
      </c>
      <c r="F94" s="1716">
        <v>400000</v>
      </c>
      <c r="G94" s="1717">
        <v>500000</v>
      </c>
      <c r="H94" s="1715">
        <v>500000</v>
      </c>
      <c r="I94" s="1681">
        <v>500000</v>
      </c>
      <c r="J94" s="1708"/>
      <c r="K94" s="1"/>
      <c r="L94" s="1"/>
      <c r="M94" s="1"/>
      <c r="N94" s="1"/>
      <c r="O94" s="1"/>
      <c r="P94" s="1"/>
      <c r="Q94" s="1"/>
      <c r="R94" s="1"/>
      <c r="S94" s="1"/>
      <c r="T94" s="1"/>
      <c r="U94" s="1"/>
      <c r="V94" s="1"/>
      <c r="W94" s="1"/>
      <c r="X94" s="1"/>
      <c r="Y94" s="1"/>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1"/>
    </row>
    <row r="95" spans="1:52" s="777" customFormat="1" ht="12.75" customHeight="1" x14ac:dyDescent="0.2">
      <c r="A95" s="1713"/>
      <c r="B95" s="790" t="s">
        <v>1113</v>
      </c>
      <c r="C95" s="768">
        <v>20000</v>
      </c>
      <c r="D95" s="767">
        <v>20000</v>
      </c>
      <c r="E95" s="894">
        <v>17850</v>
      </c>
      <c r="F95" s="1681">
        <v>20000</v>
      </c>
      <c r="G95" s="1717">
        <v>20000</v>
      </c>
      <c r="H95" s="1715"/>
      <c r="I95" s="1681"/>
      <c r="J95" s="1708"/>
      <c r="K95" s="1"/>
      <c r="L95" s="1"/>
      <c r="M95" s="1"/>
      <c r="N95" s="1"/>
      <c r="O95" s="1"/>
      <c r="P95" s="1"/>
      <c r="Q95" s="1"/>
      <c r="R95" s="1"/>
      <c r="S95" s="1"/>
      <c r="T95" s="1"/>
      <c r="U95" s="1"/>
      <c r="V95" s="1"/>
      <c r="W95" s="1"/>
      <c r="X95" s="1"/>
      <c r="Y95" s="1"/>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1"/>
    </row>
    <row r="96" spans="1:52" ht="12.75" customHeight="1" x14ac:dyDescent="0.2">
      <c r="A96" s="1727"/>
      <c r="B96" s="790" t="s">
        <v>2137</v>
      </c>
      <c r="C96" s="768">
        <v>15000</v>
      </c>
      <c r="D96" s="767">
        <v>15000</v>
      </c>
      <c r="E96" s="894">
        <v>26241</v>
      </c>
      <c r="F96" s="1681">
        <v>30000</v>
      </c>
      <c r="G96" s="1717">
        <v>25000</v>
      </c>
      <c r="H96" s="1715">
        <v>25000</v>
      </c>
      <c r="I96" s="1681">
        <v>25000</v>
      </c>
      <c r="J96" s="1708"/>
    </row>
    <row r="97" spans="1:52" s="98" customFormat="1" ht="12.75" customHeight="1" x14ac:dyDescent="0.2">
      <c r="A97" s="1718">
        <v>2141</v>
      </c>
      <c r="B97" s="791" t="s">
        <v>118</v>
      </c>
      <c r="C97" s="1352">
        <v>10000</v>
      </c>
      <c r="D97" s="746">
        <v>10000</v>
      </c>
      <c r="E97" s="882">
        <v>850734.14</v>
      </c>
      <c r="F97" s="1666">
        <v>1000000</v>
      </c>
      <c r="G97" s="1689">
        <v>2000000</v>
      </c>
      <c r="H97" s="1689">
        <v>1000000</v>
      </c>
      <c r="I97" s="1666">
        <v>1000000</v>
      </c>
      <c r="J97" s="1693"/>
    </row>
    <row r="98" spans="1:52" s="98" customFormat="1" ht="12.75" customHeight="1" x14ac:dyDescent="0.2">
      <c r="A98" s="1718">
        <v>2212</v>
      </c>
      <c r="B98" s="791" t="s">
        <v>2138</v>
      </c>
      <c r="C98" s="783">
        <f t="shared" ref="C98:I98" si="31">SUM(C99:C112)</f>
        <v>11730000</v>
      </c>
      <c r="D98" s="734">
        <f t="shared" si="31"/>
        <v>11780700</v>
      </c>
      <c r="E98" s="998">
        <f t="shared" si="31"/>
        <v>14785648.120000001</v>
      </c>
      <c r="F98" s="734">
        <f t="shared" si="31"/>
        <v>22082445.640000001</v>
      </c>
      <c r="G98" s="783">
        <f t="shared" si="31"/>
        <v>18832000</v>
      </c>
      <c r="H98" s="1677">
        <f t="shared" si="31"/>
        <v>15232000</v>
      </c>
      <c r="I98" s="734">
        <f t="shared" si="31"/>
        <v>15232000</v>
      </c>
      <c r="J98" s="1693"/>
    </row>
    <row r="99" spans="1:52" ht="12.75" customHeight="1" x14ac:dyDescent="0.2">
      <c r="A99" s="1740"/>
      <c r="B99" s="790" t="s">
        <v>1117</v>
      </c>
      <c r="C99" s="768">
        <v>15000</v>
      </c>
      <c r="D99" s="767">
        <v>15000</v>
      </c>
      <c r="E99" s="894">
        <v>16500</v>
      </c>
      <c r="F99" s="1681">
        <v>20000</v>
      </c>
      <c r="G99" s="1711">
        <v>20000</v>
      </c>
      <c r="H99" s="1715">
        <v>20000</v>
      </c>
      <c r="I99" s="1681">
        <v>20000</v>
      </c>
      <c r="J99" s="1708"/>
    </row>
    <row r="100" spans="1:52" ht="12.75" customHeight="1" x14ac:dyDescent="0.2">
      <c r="A100" s="1727"/>
      <c r="B100" s="790" t="s">
        <v>121</v>
      </c>
      <c r="C100" s="768">
        <v>100000</v>
      </c>
      <c r="D100" s="767">
        <v>100000</v>
      </c>
      <c r="E100" s="894">
        <v>46900</v>
      </c>
      <c r="F100" s="1682">
        <v>50000</v>
      </c>
      <c r="G100" s="1714">
        <v>50000</v>
      </c>
      <c r="H100" s="1712">
        <v>50000</v>
      </c>
      <c r="I100" s="1682">
        <v>50000</v>
      </c>
      <c r="J100" s="1708"/>
    </row>
    <row r="101" spans="1:52" s="1708" customFormat="1" x14ac:dyDescent="0.2">
      <c r="A101" s="1727"/>
      <c r="B101" s="790" t="s">
        <v>2139</v>
      </c>
      <c r="C101" s="1741">
        <v>0</v>
      </c>
      <c r="D101" s="1742">
        <v>0</v>
      </c>
      <c r="E101" s="1743">
        <v>121449.64</v>
      </c>
      <c r="F101" s="1742">
        <v>121449.64</v>
      </c>
      <c r="G101" s="1744">
        <v>0</v>
      </c>
      <c r="H101" s="1731">
        <v>0</v>
      </c>
      <c r="I101" s="1732">
        <v>0</v>
      </c>
      <c r="J101" s="1712"/>
    </row>
    <row r="102" spans="1:52" ht="12.75" customHeight="1" x14ac:dyDescent="0.2">
      <c r="A102" s="1727"/>
      <c r="B102" s="790" t="s">
        <v>1119</v>
      </c>
      <c r="C102" s="1745">
        <v>2500000</v>
      </c>
      <c r="D102" s="793">
        <v>2500000</v>
      </c>
      <c r="E102" s="1011">
        <v>1741520.86</v>
      </c>
      <c r="F102" s="1734">
        <v>2600000</v>
      </c>
      <c r="G102" s="1746">
        <v>2500000</v>
      </c>
      <c r="H102" s="1733"/>
      <c r="I102" s="1734"/>
      <c r="J102" s="1708"/>
    </row>
    <row r="103" spans="1:52" ht="12.75" customHeight="1" x14ac:dyDescent="0.2">
      <c r="A103" s="1727"/>
      <c r="B103" s="790" t="s">
        <v>2140</v>
      </c>
      <c r="C103" s="1745">
        <v>7500000</v>
      </c>
      <c r="D103" s="793">
        <v>7500000</v>
      </c>
      <c r="E103" s="1011">
        <v>12061901.15</v>
      </c>
      <c r="F103" s="1681">
        <v>18000000</v>
      </c>
      <c r="G103" s="1711">
        <v>15000000</v>
      </c>
      <c r="H103" s="1681">
        <v>15000000</v>
      </c>
      <c r="I103" s="1681">
        <v>15000000</v>
      </c>
      <c r="J103" s="1708"/>
    </row>
    <row r="104" spans="1:52" ht="12.75" customHeight="1" x14ac:dyDescent="0.2">
      <c r="A104" s="1727"/>
      <c r="B104" s="900" t="s">
        <v>1121</v>
      </c>
      <c r="C104" s="1745">
        <v>150000</v>
      </c>
      <c r="D104" s="793">
        <v>150000</v>
      </c>
      <c r="E104" s="1011">
        <f>19500+20000</f>
        <v>39500</v>
      </c>
      <c r="F104" s="1681">
        <v>70000</v>
      </c>
      <c r="G104" s="1711">
        <v>150000</v>
      </c>
      <c r="H104" s="1715">
        <v>150000</v>
      </c>
      <c r="I104" s="1681">
        <v>150000</v>
      </c>
      <c r="J104" s="1708"/>
    </row>
    <row r="105" spans="1:52" s="777" customFormat="1" ht="12.75" customHeight="1" x14ac:dyDescent="0.2">
      <c r="A105" s="1727"/>
      <c r="B105" s="790" t="s">
        <v>2141</v>
      </c>
      <c r="C105" s="768">
        <v>0</v>
      </c>
      <c r="D105" s="767">
        <v>0</v>
      </c>
      <c r="E105" s="894">
        <v>23996</v>
      </c>
      <c r="F105" s="1681">
        <v>23996</v>
      </c>
      <c r="G105" s="1711">
        <v>0</v>
      </c>
      <c r="H105" s="1715"/>
      <c r="I105" s="1682"/>
      <c r="J105" s="1708"/>
      <c r="K105" s="1"/>
      <c r="L105" s="1"/>
      <c r="M105" s="1"/>
      <c r="N105" s="1"/>
      <c r="O105" s="1"/>
      <c r="P105" s="1"/>
      <c r="Q105" s="1"/>
      <c r="R105" s="1"/>
      <c r="S105" s="1"/>
      <c r="T105" s="1"/>
      <c r="U105" s="1"/>
      <c r="V105" s="1"/>
      <c r="W105" s="1"/>
      <c r="X105" s="1"/>
      <c r="Y105" s="1"/>
      <c r="Z105" s="1"/>
      <c r="AA105" s="1"/>
      <c r="AB105" s="1"/>
      <c r="AC105" s="1"/>
      <c r="AD105" s="1"/>
      <c r="AE105" s="1"/>
      <c r="AF105" s="1"/>
      <c r="AG105" s="1"/>
      <c r="AH105" s="1"/>
      <c r="AI105" s="1"/>
      <c r="AJ105" s="1"/>
      <c r="AK105" s="1"/>
      <c r="AL105" s="1"/>
      <c r="AM105" s="1"/>
      <c r="AN105" s="1"/>
      <c r="AO105" s="1"/>
      <c r="AP105" s="1"/>
      <c r="AQ105" s="1"/>
      <c r="AR105" s="1"/>
      <c r="AS105" s="1"/>
      <c r="AT105" s="1"/>
      <c r="AU105" s="1"/>
      <c r="AV105" s="1"/>
      <c r="AW105" s="1"/>
      <c r="AX105" s="1"/>
      <c r="AY105" s="1"/>
      <c r="AZ105" s="1"/>
    </row>
    <row r="106" spans="1:52" s="777" customFormat="1" ht="12.75" customHeight="1" x14ac:dyDescent="0.2">
      <c r="A106" s="1727"/>
      <c r="B106" s="790" t="s">
        <v>1122</v>
      </c>
      <c r="C106" s="768">
        <v>400000</v>
      </c>
      <c r="D106" s="767">
        <v>400000</v>
      </c>
      <c r="E106" s="894">
        <v>0</v>
      </c>
      <c r="F106" s="1681">
        <v>0</v>
      </c>
      <c r="G106" s="1711">
        <v>50000</v>
      </c>
      <c r="H106" s="1715"/>
      <c r="I106" s="1716"/>
      <c r="J106" s="1708"/>
      <c r="K106" s="1"/>
      <c r="L106" s="1"/>
      <c r="M106" s="1"/>
      <c r="N106" s="1"/>
      <c r="O106" s="1"/>
      <c r="P106" s="1"/>
      <c r="Q106" s="1"/>
      <c r="R106" s="1"/>
      <c r="S106" s="1"/>
      <c r="T106" s="1"/>
      <c r="U106" s="1"/>
      <c r="V106" s="1"/>
      <c r="W106" s="1"/>
      <c r="X106" s="1"/>
      <c r="Y106" s="1"/>
      <c r="Z106" s="1"/>
      <c r="AA106" s="1"/>
      <c r="AB106" s="1"/>
      <c r="AC106" s="1"/>
      <c r="AD106" s="1"/>
      <c r="AE106" s="1"/>
      <c r="AF106" s="1"/>
      <c r="AG106" s="1"/>
      <c r="AH106" s="1"/>
      <c r="AI106" s="1"/>
      <c r="AJ106" s="1"/>
      <c r="AK106" s="1"/>
      <c r="AL106" s="1"/>
      <c r="AM106" s="1"/>
      <c r="AN106" s="1"/>
      <c r="AO106" s="1"/>
      <c r="AP106" s="1"/>
      <c r="AQ106" s="1"/>
      <c r="AR106" s="1"/>
      <c r="AS106" s="1"/>
      <c r="AT106" s="1"/>
      <c r="AU106" s="1"/>
      <c r="AV106" s="1"/>
      <c r="AW106" s="1"/>
      <c r="AX106" s="1"/>
      <c r="AY106" s="1"/>
      <c r="AZ106" s="1"/>
    </row>
    <row r="107" spans="1:52" s="777" customFormat="1" ht="12.75" customHeight="1" x14ac:dyDescent="0.2">
      <c r="A107" s="1727"/>
      <c r="B107" s="790" t="s">
        <v>1123</v>
      </c>
      <c r="C107" s="768">
        <v>50000</v>
      </c>
      <c r="D107" s="767">
        <v>50000</v>
      </c>
      <c r="E107" s="894">
        <v>0</v>
      </c>
      <c r="F107" s="1681">
        <v>0</v>
      </c>
      <c r="G107" s="1711">
        <v>50000</v>
      </c>
      <c r="H107" s="1715"/>
      <c r="I107" s="1681"/>
      <c r="J107" s="1708"/>
      <c r="K107" s="1"/>
      <c r="L107" s="1"/>
      <c r="M107" s="1"/>
      <c r="N107" s="1"/>
      <c r="O107" s="1"/>
      <c r="P107" s="1"/>
      <c r="Q107" s="1"/>
      <c r="R107" s="1"/>
      <c r="S107" s="1"/>
      <c r="T107" s="1"/>
      <c r="U107" s="1"/>
      <c r="V107" s="1"/>
      <c r="W107" s="1"/>
      <c r="X107" s="1"/>
      <c r="Y107" s="1"/>
      <c r="Z107" s="1"/>
      <c r="AA107" s="1"/>
      <c r="AB107" s="1"/>
      <c r="AC107" s="1"/>
      <c r="AD107" s="1"/>
      <c r="AE107" s="1"/>
      <c r="AF107" s="1"/>
      <c r="AG107" s="1"/>
      <c r="AH107" s="1"/>
      <c r="AI107" s="1"/>
      <c r="AJ107" s="1"/>
      <c r="AK107" s="1"/>
      <c r="AL107" s="1"/>
      <c r="AM107" s="1"/>
      <c r="AN107" s="1"/>
      <c r="AO107" s="1"/>
      <c r="AP107" s="1"/>
      <c r="AQ107" s="1"/>
      <c r="AR107" s="1"/>
      <c r="AS107" s="1"/>
      <c r="AT107" s="1"/>
      <c r="AU107" s="1"/>
      <c r="AV107" s="1"/>
      <c r="AW107" s="1"/>
      <c r="AX107" s="1"/>
      <c r="AY107" s="1"/>
      <c r="AZ107" s="1"/>
    </row>
    <row r="108" spans="1:52" ht="12.75" customHeight="1" x14ac:dyDescent="0.2">
      <c r="A108" s="1727"/>
      <c r="B108" s="790" t="s">
        <v>126</v>
      </c>
      <c r="C108" s="768">
        <v>0</v>
      </c>
      <c r="D108" s="767">
        <v>50700</v>
      </c>
      <c r="E108" s="894">
        <v>54200</v>
      </c>
      <c r="F108" s="1681">
        <v>54200</v>
      </c>
      <c r="G108" s="1711">
        <v>0</v>
      </c>
      <c r="H108" s="1715"/>
      <c r="I108" s="1681"/>
      <c r="J108" s="1708"/>
    </row>
    <row r="109" spans="1:52" ht="12.75" customHeight="1" x14ac:dyDescent="0.2">
      <c r="A109" s="1727"/>
      <c r="B109" s="790" t="s">
        <v>1124</v>
      </c>
      <c r="C109" s="768">
        <v>650000</v>
      </c>
      <c r="D109" s="767">
        <v>650000</v>
      </c>
      <c r="E109" s="894">
        <f>345700+42105.47</f>
        <v>387805.47</v>
      </c>
      <c r="F109" s="1681">
        <v>650000</v>
      </c>
      <c r="G109" s="1711">
        <v>650000</v>
      </c>
      <c r="H109" s="1715"/>
      <c r="I109" s="1681"/>
      <c r="J109" s="1708"/>
    </row>
    <row r="110" spans="1:52" ht="12.75" customHeight="1" x14ac:dyDescent="0.2">
      <c r="A110" s="1727"/>
      <c r="B110" s="790" t="s">
        <v>1125</v>
      </c>
      <c r="C110" s="1745">
        <v>350000</v>
      </c>
      <c r="D110" s="793">
        <v>350000</v>
      </c>
      <c r="E110" s="894">
        <v>255575</v>
      </c>
      <c r="F110" s="1682">
        <v>383000</v>
      </c>
      <c r="G110" s="1714">
        <v>350000</v>
      </c>
      <c r="H110" s="1712"/>
      <c r="I110" s="1682"/>
      <c r="J110" s="1708"/>
    </row>
    <row r="111" spans="1:52" s="126" customFormat="1" ht="12.75" customHeight="1" x14ac:dyDescent="0.2">
      <c r="A111" s="1740"/>
      <c r="B111" s="790" t="s">
        <v>2142</v>
      </c>
      <c r="C111" s="768">
        <v>15000</v>
      </c>
      <c r="D111" s="797">
        <v>15000</v>
      </c>
      <c r="E111" s="893">
        <v>10500</v>
      </c>
      <c r="F111" s="772">
        <v>12000</v>
      </c>
      <c r="G111" s="773">
        <v>12000</v>
      </c>
      <c r="H111" s="849">
        <v>12000</v>
      </c>
      <c r="I111" s="772">
        <v>12000</v>
      </c>
      <c r="J111" s="1708"/>
      <c r="K111" s="1"/>
      <c r="L111" s="1"/>
      <c r="M111" s="1"/>
      <c r="N111" s="1"/>
      <c r="O111" s="1"/>
      <c r="P111" s="1"/>
      <c r="Q111" s="1"/>
      <c r="R111" s="1"/>
      <c r="S111" s="1"/>
      <c r="T111" s="1"/>
      <c r="U111" s="1"/>
      <c r="V111" s="1"/>
      <c r="W111" s="1"/>
      <c r="X111" s="1"/>
      <c r="Y111" s="1"/>
      <c r="Z111" s="1"/>
      <c r="AA111" s="1"/>
      <c r="AB111" s="1"/>
      <c r="AC111" s="1"/>
      <c r="AD111" s="1"/>
      <c r="AE111" s="1"/>
      <c r="AF111" s="1"/>
      <c r="AG111" s="1"/>
      <c r="AH111" s="1"/>
      <c r="AI111" s="1"/>
      <c r="AJ111" s="1"/>
      <c r="AK111" s="1"/>
      <c r="AL111" s="1"/>
      <c r="AM111" s="1"/>
      <c r="AN111" s="1"/>
      <c r="AO111" s="1"/>
      <c r="AP111" s="1"/>
      <c r="AQ111" s="1"/>
      <c r="AR111" s="1"/>
      <c r="AS111" s="1"/>
      <c r="AT111" s="1"/>
      <c r="AU111" s="1"/>
      <c r="AV111" s="1"/>
      <c r="AW111" s="1"/>
      <c r="AX111" s="1"/>
      <c r="AY111" s="1"/>
      <c r="AZ111" s="1"/>
    </row>
    <row r="112" spans="1:52" s="126" customFormat="1" ht="12.75" customHeight="1" x14ac:dyDescent="0.2">
      <c r="A112" s="1740"/>
      <c r="B112" s="790" t="s">
        <v>2143</v>
      </c>
      <c r="C112" s="768">
        <v>0</v>
      </c>
      <c r="D112" s="895">
        <v>0</v>
      </c>
      <c r="E112" s="894">
        <v>25800</v>
      </c>
      <c r="F112" s="767">
        <v>97800</v>
      </c>
      <c r="G112" s="768">
        <v>0</v>
      </c>
      <c r="H112" s="768">
        <v>0</v>
      </c>
      <c r="I112" s="767">
        <v>0</v>
      </c>
      <c r="J112" s="1708"/>
      <c r="K112" s="1"/>
      <c r="L112" s="1"/>
      <c r="M112" s="1"/>
      <c r="N112" s="1"/>
      <c r="O112" s="1"/>
      <c r="P112" s="1"/>
      <c r="Q112" s="1"/>
      <c r="R112" s="1"/>
      <c r="S112" s="1"/>
      <c r="T112" s="1"/>
      <c r="U112" s="1"/>
      <c r="V112" s="1"/>
      <c r="W112" s="1"/>
      <c r="X112" s="1"/>
      <c r="Y112" s="1"/>
      <c r="Z112" s="1"/>
      <c r="AA112" s="1"/>
      <c r="AB112" s="1"/>
      <c r="AC112" s="1"/>
      <c r="AD112" s="1"/>
      <c r="AE112" s="1"/>
      <c r="AF112" s="1"/>
      <c r="AG112" s="1"/>
      <c r="AH112" s="1"/>
      <c r="AI112" s="1"/>
      <c r="AJ112" s="1"/>
      <c r="AK112" s="1"/>
      <c r="AL112" s="1"/>
      <c r="AM112" s="1"/>
      <c r="AN112" s="1"/>
      <c r="AO112" s="1"/>
      <c r="AP112" s="1"/>
      <c r="AQ112" s="1"/>
      <c r="AR112" s="1"/>
      <c r="AS112" s="1"/>
      <c r="AT112" s="1"/>
      <c r="AU112" s="1"/>
      <c r="AV112" s="1"/>
      <c r="AW112" s="1"/>
      <c r="AX112" s="1"/>
      <c r="AY112" s="1"/>
      <c r="AZ112" s="1"/>
    </row>
    <row r="113" spans="1:52" ht="12.75" customHeight="1" x14ac:dyDescent="0.2">
      <c r="A113" s="1718">
        <v>2229</v>
      </c>
      <c r="B113" s="791" t="s">
        <v>2144</v>
      </c>
      <c r="C113" s="783">
        <f t="shared" ref="C113:I113" si="32">SUM(C114:C122)</f>
        <v>1000000</v>
      </c>
      <c r="D113" s="734">
        <f t="shared" si="32"/>
        <v>7931841.7400000002</v>
      </c>
      <c r="E113" s="998">
        <f t="shared" si="32"/>
        <v>8982677.4800000004</v>
      </c>
      <c r="F113" s="734">
        <f t="shared" si="32"/>
        <v>9053239.7899999991</v>
      </c>
      <c r="G113" s="783">
        <f t="shared" si="32"/>
        <v>0</v>
      </c>
      <c r="H113" s="1677">
        <f t="shared" si="32"/>
        <v>0</v>
      </c>
      <c r="I113" s="734">
        <f t="shared" si="32"/>
        <v>0</v>
      </c>
      <c r="J113" s="1708"/>
    </row>
    <row r="114" spans="1:52" s="2" customFormat="1" ht="12.75" customHeight="1" x14ac:dyDescent="0.2">
      <c r="A114" s="1747"/>
      <c r="B114" s="900" t="s">
        <v>2145</v>
      </c>
      <c r="C114" s="768">
        <v>0</v>
      </c>
      <c r="D114" s="767">
        <v>1600000</v>
      </c>
      <c r="E114" s="894">
        <v>1600000</v>
      </c>
      <c r="F114" s="767">
        <v>1600000</v>
      </c>
      <c r="G114" s="1748">
        <v>0</v>
      </c>
      <c r="H114" s="1749"/>
      <c r="I114" s="853"/>
      <c r="J114" s="1750"/>
    </row>
    <row r="115" spans="1:52" ht="12.75" customHeight="1" x14ac:dyDescent="0.2">
      <c r="A115" s="1727"/>
      <c r="B115" s="790" t="s">
        <v>2146</v>
      </c>
      <c r="C115" s="768">
        <v>0</v>
      </c>
      <c r="D115" s="767">
        <f>(13779.02+87878.61+201127.47)</f>
        <v>302785.09999999998</v>
      </c>
      <c r="E115" s="894">
        <v>302785.09999999998</v>
      </c>
      <c r="F115" s="767">
        <v>302785.09999999998</v>
      </c>
      <c r="G115" s="1711">
        <v>0</v>
      </c>
      <c r="H115" s="1715"/>
      <c r="I115" s="1681"/>
      <c r="J115" s="1708"/>
    </row>
    <row r="116" spans="1:52" ht="12.75" customHeight="1" x14ac:dyDescent="0.2">
      <c r="A116" s="1727"/>
      <c r="B116" s="790" t="s">
        <v>2147</v>
      </c>
      <c r="C116" s="768">
        <v>0</v>
      </c>
      <c r="D116" s="767">
        <v>236709.36</v>
      </c>
      <c r="E116" s="894">
        <v>236709.36</v>
      </c>
      <c r="F116" s="767">
        <v>236709.36</v>
      </c>
      <c r="G116" s="1717">
        <v>0</v>
      </c>
      <c r="H116" s="1715"/>
      <c r="I116" s="1681"/>
      <c r="J116" s="1708"/>
    </row>
    <row r="117" spans="1:52" ht="12.75" customHeight="1" x14ac:dyDescent="0.2">
      <c r="A117" s="1727"/>
      <c r="B117" s="790" t="s">
        <v>2148</v>
      </c>
      <c r="C117" s="768">
        <v>0</v>
      </c>
      <c r="D117" s="767">
        <v>159713.54999999999</v>
      </c>
      <c r="E117" s="894">
        <v>159713.54999999999</v>
      </c>
      <c r="F117" s="767">
        <v>159713.54999999999</v>
      </c>
      <c r="G117" s="1717">
        <v>0</v>
      </c>
      <c r="H117" s="1715"/>
      <c r="I117" s="1681"/>
      <c r="J117" s="1708"/>
    </row>
    <row r="118" spans="1:52" ht="12.75" customHeight="1" x14ac:dyDescent="0.2">
      <c r="A118" s="1727"/>
      <c r="B118" s="790" t="s">
        <v>2149</v>
      </c>
      <c r="C118" s="768">
        <v>0</v>
      </c>
      <c r="D118" s="767">
        <v>391374.39</v>
      </c>
      <c r="E118" s="894">
        <v>391374.39</v>
      </c>
      <c r="F118" s="767">
        <v>391374.39</v>
      </c>
      <c r="G118" s="1717">
        <v>0</v>
      </c>
      <c r="H118" s="1715"/>
      <c r="I118" s="1681"/>
      <c r="J118" s="1708"/>
    </row>
    <row r="119" spans="1:52" ht="12.75" customHeight="1" x14ac:dyDescent="0.2">
      <c r="A119" s="1727"/>
      <c r="B119" s="790" t="s">
        <v>2150</v>
      </c>
      <c r="C119" s="768">
        <v>1000000</v>
      </c>
      <c r="D119" s="767">
        <f>1000000+3226272.84</f>
        <v>4226272.84</v>
      </c>
      <c r="E119" s="894">
        <v>4226272.84</v>
      </c>
      <c r="F119" s="767">
        <v>4226272.84</v>
      </c>
      <c r="G119" s="1717">
        <v>0</v>
      </c>
      <c r="H119" s="1715"/>
      <c r="I119" s="1681"/>
      <c r="J119" s="1708"/>
    </row>
    <row r="120" spans="1:52" ht="12.75" customHeight="1" x14ac:dyDescent="0.2">
      <c r="A120" s="1727"/>
      <c r="B120" s="790" t="s">
        <v>2151</v>
      </c>
      <c r="C120" s="768">
        <v>0</v>
      </c>
      <c r="D120" s="767">
        <v>0</v>
      </c>
      <c r="E120" s="894">
        <v>1525</v>
      </c>
      <c r="F120" s="1716">
        <v>1121398.05</v>
      </c>
      <c r="G120" s="1717">
        <v>0</v>
      </c>
      <c r="H120" s="1715"/>
      <c r="I120" s="1681"/>
      <c r="J120" s="1708"/>
    </row>
    <row r="121" spans="1:52" ht="12.75" customHeight="1" x14ac:dyDescent="0.2">
      <c r="A121" s="1727"/>
      <c r="B121" s="790" t="s">
        <v>2152</v>
      </c>
      <c r="C121" s="768">
        <v>0</v>
      </c>
      <c r="D121" s="767">
        <f>(74693.5+40293)</f>
        <v>114986.5</v>
      </c>
      <c r="E121" s="894">
        <v>1164297.24</v>
      </c>
      <c r="F121" s="1716">
        <v>114986.5</v>
      </c>
      <c r="G121" s="1717">
        <v>0</v>
      </c>
      <c r="H121" s="1715"/>
      <c r="I121" s="1681"/>
      <c r="J121" s="1708"/>
    </row>
    <row r="122" spans="1:52" s="2" customFormat="1" ht="12.75" customHeight="1" x14ac:dyDescent="0.2">
      <c r="A122" s="1747"/>
      <c r="B122" s="887" t="s">
        <v>2153</v>
      </c>
      <c r="C122" s="820">
        <v>0</v>
      </c>
      <c r="D122" s="767">
        <v>900000</v>
      </c>
      <c r="E122" s="894">
        <v>900000</v>
      </c>
      <c r="F122" s="854">
        <v>900000</v>
      </c>
      <c r="G122" s="1704">
        <v>0</v>
      </c>
      <c r="H122" s="1680"/>
      <c r="I122" s="1703"/>
      <c r="J122" s="1750"/>
    </row>
    <row r="123" spans="1:52" s="2" customFormat="1" ht="12.75" customHeight="1" x14ac:dyDescent="0.2">
      <c r="A123" s="1747"/>
      <c r="B123" s="1751" t="s">
        <v>2154</v>
      </c>
      <c r="C123" s="1752">
        <v>0</v>
      </c>
      <c r="D123" s="1753">
        <v>18354</v>
      </c>
      <c r="E123" s="1754">
        <v>18354</v>
      </c>
      <c r="F123" s="1755">
        <v>18354</v>
      </c>
      <c r="G123" s="1756">
        <v>0</v>
      </c>
      <c r="H123" s="1680"/>
      <c r="I123" s="1703"/>
      <c r="J123" s="1750"/>
    </row>
    <row r="124" spans="1:52" s="2" customFormat="1" ht="12.75" customHeight="1" x14ac:dyDescent="0.2">
      <c r="A124" s="1747"/>
      <c r="B124" s="1751" t="s">
        <v>2155</v>
      </c>
      <c r="C124" s="1757">
        <v>0</v>
      </c>
      <c r="D124" s="1753">
        <v>50684</v>
      </c>
      <c r="E124" s="1754">
        <v>50684</v>
      </c>
      <c r="F124" s="1758">
        <v>50684</v>
      </c>
      <c r="G124" s="1756">
        <v>0</v>
      </c>
      <c r="H124" s="1680"/>
      <c r="I124" s="1703"/>
      <c r="J124" s="1750"/>
    </row>
    <row r="125" spans="1:52" s="2" customFormat="1" ht="12.75" customHeight="1" x14ac:dyDescent="0.2">
      <c r="A125" s="1747"/>
      <c r="B125" s="1751" t="s">
        <v>2156</v>
      </c>
      <c r="C125" s="1757">
        <v>0</v>
      </c>
      <c r="D125" s="1753">
        <v>40890</v>
      </c>
      <c r="E125" s="1754">
        <v>40890</v>
      </c>
      <c r="F125" s="1758">
        <v>40890</v>
      </c>
      <c r="G125" s="1756">
        <v>0</v>
      </c>
      <c r="H125" s="1680"/>
      <c r="I125" s="1703"/>
      <c r="J125" s="1750"/>
    </row>
    <row r="126" spans="1:52" ht="12.75" customHeight="1" x14ac:dyDescent="0.2">
      <c r="A126" s="1718">
        <v>2310</v>
      </c>
      <c r="B126" s="1759" t="s">
        <v>2157</v>
      </c>
      <c r="C126" s="1352">
        <v>0</v>
      </c>
      <c r="D126" s="746">
        <v>0</v>
      </c>
      <c r="E126" s="1760">
        <v>6175</v>
      </c>
      <c r="F126" s="1716">
        <v>6675</v>
      </c>
      <c r="G126" s="1717">
        <v>0</v>
      </c>
      <c r="H126" s="1715"/>
      <c r="I126" s="1681"/>
      <c r="J126" s="1708"/>
    </row>
    <row r="127" spans="1:52" ht="12.75" customHeight="1" x14ac:dyDescent="0.2">
      <c r="A127" s="1718">
        <v>2321</v>
      </c>
      <c r="B127" s="791" t="s">
        <v>2158</v>
      </c>
      <c r="C127" s="1352">
        <v>100000</v>
      </c>
      <c r="D127" s="746">
        <v>100000</v>
      </c>
      <c r="E127" s="1760">
        <v>105000</v>
      </c>
      <c r="F127" s="1761">
        <v>105000</v>
      </c>
      <c r="G127" s="1691">
        <v>100000</v>
      </c>
      <c r="H127" s="1690">
        <v>100000</v>
      </c>
      <c r="I127" s="1690">
        <v>100000</v>
      </c>
      <c r="J127" s="1708"/>
    </row>
    <row r="128" spans="1:52" s="777" customFormat="1" ht="12.75" customHeight="1" x14ac:dyDescent="0.2">
      <c r="A128" s="1718">
        <v>2322</v>
      </c>
      <c r="B128" s="791" t="s">
        <v>2159</v>
      </c>
      <c r="C128" s="1352">
        <v>100000</v>
      </c>
      <c r="D128" s="746">
        <v>349257</v>
      </c>
      <c r="E128" s="882">
        <f>341705+384079</f>
        <v>725784</v>
      </c>
      <c r="F128" s="1674">
        <f>349257+420000</f>
        <v>769257</v>
      </c>
      <c r="G128" s="1726">
        <f>50000+50000</f>
        <v>100000</v>
      </c>
      <c r="H128" s="1692"/>
      <c r="I128" s="1674"/>
      <c r="J128" s="1708"/>
      <c r="K128" s="1"/>
      <c r="L128" s="1"/>
      <c r="M128" s="1"/>
      <c r="N128" s="1"/>
      <c r="O128" s="1"/>
      <c r="P128" s="1"/>
      <c r="Q128" s="1"/>
      <c r="R128" s="1"/>
      <c r="S128" s="1"/>
      <c r="T128" s="1"/>
      <c r="U128" s="1"/>
      <c r="V128" s="1"/>
      <c r="W128" s="1"/>
      <c r="X128" s="1"/>
      <c r="Y128" s="1"/>
      <c r="Z128" s="1"/>
      <c r="AA128" s="1"/>
      <c r="AB128" s="1"/>
      <c r="AC128" s="1"/>
      <c r="AD128" s="1"/>
      <c r="AE128" s="1"/>
      <c r="AF128" s="1"/>
      <c r="AG128" s="1"/>
      <c r="AH128" s="1"/>
      <c r="AI128" s="1"/>
      <c r="AJ128" s="1"/>
      <c r="AK128" s="1"/>
      <c r="AL128" s="1"/>
      <c r="AM128" s="1"/>
      <c r="AN128" s="1"/>
      <c r="AO128" s="1"/>
      <c r="AP128" s="1"/>
      <c r="AQ128" s="1"/>
      <c r="AR128" s="1"/>
      <c r="AS128" s="1"/>
      <c r="AT128" s="1"/>
      <c r="AU128" s="1"/>
      <c r="AV128" s="1"/>
      <c r="AW128" s="1"/>
      <c r="AX128" s="1"/>
      <c r="AY128" s="1"/>
      <c r="AZ128" s="1"/>
    </row>
    <row r="129" spans="1:40" s="98" customFormat="1" ht="12.75" customHeight="1" x14ac:dyDescent="0.2">
      <c r="A129" s="1718">
        <v>2324</v>
      </c>
      <c r="B129" s="791" t="s">
        <v>2160</v>
      </c>
      <c r="C129" s="783">
        <f t="shared" ref="C129:I129" si="33">SUM(C130:C145)</f>
        <v>3408000</v>
      </c>
      <c r="D129" s="734">
        <f t="shared" si="33"/>
        <v>3839000</v>
      </c>
      <c r="E129" s="998">
        <f t="shared" si="33"/>
        <v>4806023.12</v>
      </c>
      <c r="F129" s="734">
        <f t="shared" si="33"/>
        <v>6258611.9100000001</v>
      </c>
      <c r="G129" s="783">
        <f t="shared" si="33"/>
        <v>3572000</v>
      </c>
      <c r="H129" s="1677">
        <f t="shared" si="33"/>
        <v>3042000</v>
      </c>
      <c r="I129" s="734">
        <f t="shared" si="33"/>
        <v>3042000</v>
      </c>
      <c r="J129" s="1693"/>
    </row>
    <row r="130" spans="1:40" s="98" customFormat="1" ht="12.75" customHeight="1" x14ac:dyDescent="0.2">
      <c r="A130" s="1762"/>
      <c r="B130" s="900" t="s">
        <v>1146</v>
      </c>
      <c r="C130" s="768">
        <v>15000</v>
      </c>
      <c r="D130" s="767">
        <v>15000</v>
      </c>
      <c r="E130" s="894">
        <v>4020.48</v>
      </c>
      <c r="F130" s="1703">
        <v>6000</v>
      </c>
      <c r="G130" s="1704">
        <v>12000</v>
      </c>
      <c r="H130" s="1680">
        <v>12000</v>
      </c>
      <c r="I130" s="1703">
        <v>12000</v>
      </c>
      <c r="J130" s="1693"/>
    </row>
    <row r="131" spans="1:40" s="98" customFormat="1" ht="12.75" customHeight="1" x14ac:dyDescent="0.2">
      <c r="A131" s="1718"/>
      <c r="B131" s="900" t="s">
        <v>1148</v>
      </c>
      <c r="C131" s="768">
        <v>30000</v>
      </c>
      <c r="D131" s="767">
        <v>30000</v>
      </c>
      <c r="E131" s="894">
        <v>23000</v>
      </c>
      <c r="F131" s="767">
        <v>30000</v>
      </c>
      <c r="G131" s="768">
        <v>30000</v>
      </c>
      <c r="H131" s="850">
        <v>30000</v>
      </c>
      <c r="I131" s="767">
        <v>30000</v>
      </c>
      <c r="J131" s="1693"/>
    </row>
    <row r="132" spans="1:40" s="98" customFormat="1" ht="12.75" customHeight="1" x14ac:dyDescent="0.2">
      <c r="A132" s="1718"/>
      <c r="B132" s="900" t="s">
        <v>2161</v>
      </c>
      <c r="C132" s="768">
        <v>0</v>
      </c>
      <c r="D132" s="767">
        <v>0</v>
      </c>
      <c r="E132" s="894">
        <v>1000</v>
      </c>
      <c r="F132" s="1703">
        <v>1000</v>
      </c>
      <c r="G132" s="1704">
        <v>0</v>
      </c>
      <c r="H132" s="1675"/>
      <c r="I132" s="1666"/>
      <c r="J132" s="1693"/>
    </row>
    <row r="133" spans="1:40" s="98" customFormat="1" ht="12.75" customHeight="1" x14ac:dyDescent="0.2">
      <c r="A133" s="1718"/>
      <c r="B133" s="900" t="s">
        <v>1149</v>
      </c>
      <c r="C133" s="768">
        <v>100000</v>
      </c>
      <c r="D133" s="767">
        <v>100000</v>
      </c>
      <c r="E133" s="894">
        <v>86793.63</v>
      </c>
      <c r="F133" s="1703">
        <v>140000</v>
      </c>
      <c r="G133" s="1704">
        <v>100000</v>
      </c>
      <c r="H133" s="1675"/>
      <c r="I133" s="1666"/>
      <c r="J133" s="1693"/>
    </row>
    <row r="134" spans="1:40" s="781" customFormat="1" ht="12.75" customHeight="1" x14ac:dyDescent="0.2">
      <c r="A134" s="1718"/>
      <c r="B134" s="900" t="s">
        <v>1150</v>
      </c>
      <c r="C134" s="768">
        <v>150000</v>
      </c>
      <c r="D134" s="767">
        <f>150000+180000</f>
        <v>330000</v>
      </c>
      <c r="E134" s="894">
        <v>424868.35</v>
      </c>
      <c r="F134" s="1703">
        <v>510000</v>
      </c>
      <c r="G134" s="1711">
        <v>300000</v>
      </c>
      <c r="H134" s="1675"/>
      <c r="I134" s="1666"/>
      <c r="J134" s="1693"/>
      <c r="K134" s="98"/>
      <c r="L134" s="98"/>
      <c r="M134" s="98"/>
      <c r="N134" s="98"/>
      <c r="O134" s="98"/>
      <c r="P134" s="98"/>
      <c r="Q134" s="98"/>
      <c r="R134" s="98"/>
      <c r="S134" s="98"/>
      <c r="T134" s="98"/>
      <c r="U134" s="98"/>
      <c r="V134" s="98"/>
      <c r="W134" s="98"/>
      <c r="X134" s="98"/>
      <c r="Y134" s="98"/>
      <c r="Z134" s="98"/>
      <c r="AA134" s="98"/>
      <c r="AB134" s="98"/>
      <c r="AC134" s="98"/>
      <c r="AD134" s="98"/>
      <c r="AE134" s="98"/>
      <c r="AF134" s="98"/>
      <c r="AG134" s="98"/>
      <c r="AH134" s="98"/>
      <c r="AI134" s="98"/>
      <c r="AJ134" s="98"/>
      <c r="AK134" s="98"/>
      <c r="AL134" s="98"/>
      <c r="AM134" s="98"/>
      <c r="AN134" s="98"/>
    </row>
    <row r="135" spans="1:40" s="781" customFormat="1" ht="12.75" customHeight="1" x14ac:dyDescent="0.2">
      <c r="A135" s="1718"/>
      <c r="B135" s="900" t="s">
        <v>1151</v>
      </c>
      <c r="C135" s="768">
        <v>15000</v>
      </c>
      <c r="D135" s="767">
        <v>15000</v>
      </c>
      <c r="E135" s="894">
        <v>52616.91</v>
      </c>
      <c r="F135" s="1763">
        <v>15000</v>
      </c>
      <c r="G135" s="1764">
        <v>15000</v>
      </c>
      <c r="H135" s="1692"/>
      <c r="I135" s="1674"/>
      <c r="J135" s="1693"/>
      <c r="K135" s="98"/>
      <c r="L135" s="98"/>
      <c r="M135" s="98"/>
      <c r="N135" s="98"/>
      <c r="O135" s="98"/>
      <c r="P135" s="98"/>
      <c r="Q135" s="98"/>
      <c r="R135" s="98"/>
      <c r="S135" s="98"/>
      <c r="T135" s="98"/>
      <c r="U135" s="98"/>
      <c r="V135" s="98"/>
      <c r="W135" s="98"/>
      <c r="X135" s="98"/>
      <c r="Y135" s="98"/>
      <c r="Z135" s="98"/>
      <c r="AA135" s="98"/>
      <c r="AB135" s="98"/>
      <c r="AC135" s="98"/>
      <c r="AD135" s="98"/>
      <c r="AE135" s="98"/>
      <c r="AF135" s="98"/>
      <c r="AG135" s="98"/>
      <c r="AH135" s="98"/>
      <c r="AI135" s="98"/>
      <c r="AJ135" s="98"/>
      <c r="AK135" s="98"/>
      <c r="AL135" s="98"/>
      <c r="AM135" s="98"/>
      <c r="AN135" s="98"/>
    </row>
    <row r="136" spans="1:40" s="1693" customFormat="1" ht="14.25" customHeight="1" x14ac:dyDescent="0.2">
      <c r="A136" s="1718"/>
      <c r="B136" s="900" t="s">
        <v>2162</v>
      </c>
      <c r="C136" s="768">
        <v>0</v>
      </c>
      <c r="D136" s="772">
        <v>0</v>
      </c>
      <c r="E136" s="1765">
        <v>47616.91</v>
      </c>
      <c r="F136" s="810">
        <v>47616.91</v>
      </c>
      <c r="G136" s="1728">
        <v>0</v>
      </c>
      <c r="H136" s="1729">
        <v>0</v>
      </c>
      <c r="I136" s="890">
        <v>0</v>
      </c>
      <c r="J136" s="1730"/>
    </row>
    <row r="137" spans="1:40" s="781" customFormat="1" ht="12.75" customHeight="1" x14ac:dyDescent="0.2">
      <c r="A137" s="1718"/>
      <c r="B137" s="900" t="s">
        <v>2163</v>
      </c>
      <c r="C137" s="768">
        <v>0</v>
      </c>
      <c r="D137" s="767">
        <v>250000</v>
      </c>
      <c r="E137" s="894">
        <v>250000</v>
      </c>
      <c r="F137" s="853">
        <v>250000</v>
      </c>
      <c r="G137" s="1748">
        <v>0</v>
      </c>
      <c r="H137" s="1766"/>
      <c r="I137" s="1688"/>
      <c r="J137" s="1693"/>
      <c r="K137" s="98"/>
      <c r="L137" s="98"/>
      <c r="M137" s="98"/>
      <c r="N137" s="98"/>
      <c r="O137" s="98"/>
      <c r="P137" s="98"/>
      <c r="Q137" s="98"/>
      <c r="R137" s="98"/>
      <c r="S137" s="98"/>
      <c r="T137" s="98"/>
      <c r="U137" s="98"/>
      <c r="V137" s="98"/>
      <c r="W137" s="98"/>
      <c r="X137" s="98"/>
      <c r="Y137" s="98"/>
      <c r="Z137" s="98"/>
      <c r="AA137" s="98"/>
      <c r="AB137" s="98"/>
      <c r="AC137" s="98"/>
      <c r="AD137" s="98"/>
      <c r="AE137" s="98"/>
      <c r="AF137" s="98"/>
      <c r="AG137" s="98"/>
      <c r="AH137" s="98"/>
      <c r="AI137" s="98"/>
      <c r="AJ137" s="98"/>
      <c r="AK137" s="98"/>
      <c r="AL137" s="98"/>
      <c r="AM137" s="98"/>
      <c r="AN137" s="98"/>
    </row>
    <row r="138" spans="1:40" ht="12.75" customHeight="1" x14ac:dyDescent="0.2">
      <c r="A138" s="1767"/>
      <c r="B138" s="1768" t="s">
        <v>1154</v>
      </c>
      <c r="C138" s="768">
        <v>5000</v>
      </c>
      <c r="D138" s="767">
        <v>5000</v>
      </c>
      <c r="E138" s="894">
        <v>664</v>
      </c>
      <c r="F138" s="1703">
        <v>2000</v>
      </c>
      <c r="G138" s="1704">
        <v>2000</v>
      </c>
      <c r="H138" s="1715"/>
      <c r="I138" s="1716"/>
      <c r="J138" s="1708"/>
    </row>
    <row r="139" spans="1:40" s="158" customFormat="1" ht="12.75" customHeight="1" x14ac:dyDescent="0.2">
      <c r="A139" s="1727"/>
      <c r="B139" s="790" t="s">
        <v>1156</v>
      </c>
      <c r="C139" s="768">
        <v>3000000</v>
      </c>
      <c r="D139" s="767">
        <f>3000000-3000000</f>
        <v>0</v>
      </c>
      <c r="E139" s="894">
        <v>41600</v>
      </c>
      <c r="F139" s="767">
        <v>41600</v>
      </c>
      <c r="G139" s="768">
        <v>0</v>
      </c>
      <c r="H139" s="850">
        <v>3000000</v>
      </c>
      <c r="I139" s="767">
        <v>3000000</v>
      </c>
      <c r="J139" s="1769"/>
    </row>
    <row r="140" spans="1:40" s="158" customFormat="1" ht="12.75" customHeight="1" x14ac:dyDescent="0.2">
      <c r="A140" s="1727"/>
      <c r="B140" s="790" t="s">
        <v>2164</v>
      </c>
      <c r="C140" s="768">
        <v>0</v>
      </c>
      <c r="D140" s="767">
        <v>3000000</v>
      </c>
      <c r="E140" s="894">
        <v>3802146.8</v>
      </c>
      <c r="F140" s="854">
        <v>5065000</v>
      </c>
      <c r="G140" s="1770">
        <v>3000000</v>
      </c>
      <c r="H140" s="1771"/>
      <c r="I140" s="831"/>
      <c r="J140" s="1769"/>
    </row>
    <row r="141" spans="1:40" s="158" customFormat="1" ht="12.75" customHeight="1" x14ac:dyDescent="0.2">
      <c r="A141" s="1727"/>
      <c r="B141" s="790" t="s">
        <v>1157</v>
      </c>
      <c r="C141" s="768">
        <v>0</v>
      </c>
      <c r="D141" s="767">
        <v>1000</v>
      </c>
      <c r="E141" s="894">
        <v>3000</v>
      </c>
      <c r="F141" s="854">
        <v>15395</v>
      </c>
      <c r="G141" s="1770">
        <v>0</v>
      </c>
      <c r="H141" s="1771"/>
      <c r="I141" s="831"/>
      <c r="J141" s="1769"/>
    </row>
    <row r="142" spans="1:40" s="158" customFormat="1" ht="12.75" customHeight="1" x14ac:dyDescent="0.2">
      <c r="A142" s="1727"/>
      <c r="B142" s="790" t="s">
        <v>1158</v>
      </c>
      <c r="C142" s="768">
        <v>3000</v>
      </c>
      <c r="D142" s="767">
        <v>3000</v>
      </c>
      <c r="E142" s="894">
        <v>2156</v>
      </c>
      <c r="F142" s="854">
        <v>3000</v>
      </c>
      <c r="G142" s="1770">
        <v>3000</v>
      </c>
      <c r="H142" s="1771"/>
      <c r="I142" s="831"/>
      <c r="J142" s="1769"/>
    </row>
    <row r="143" spans="1:40" s="158" customFormat="1" ht="12.75" customHeight="1" x14ac:dyDescent="0.2">
      <c r="A143" s="1727"/>
      <c r="B143" s="790" t="s">
        <v>1159</v>
      </c>
      <c r="C143" s="768">
        <v>60000</v>
      </c>
      <c r="D143" s="767">
        <v>60000</v>
      </c>
      <c r="E143" s="894">
        <v>35994.68</v>
      </c>
      <c r="F143" s="854">
        <v>60000</v>
      </c>
      <c r="G143" s="1770">
        <v>60000</v>
      </c>
      <c r="H143" s="1772"/>
      <c r="I143" s="831"/>
      <c r="J143" s="1769"/>
    </row>
    <row r="144" spans="1:40" s="158" customFormat="1" ht="12.75" customHeight="1" x14ac:dyDescent="0.2">
      <c r="A144" s="1727"/>
      <c r="B144" s="790" t="s">
        <v>1160</v>
      </c>
      <c r="C144" s="768">
        <v>0</v>
      </c>
      <c r="D144" s="767">
        <v>0</v>
      </c>
      <c r="E144" s="894">
        <v>10084.209999999999</v>
      </c>
      <c r="F144" s="854">
        <v>12000</v>
      </c>
      <c r="G144" s="1770">
        <v>0</v>
      </c>
      <c r="H144" s="1771"/>
      <c r="I144" s="831"/>
      <c r="J144" s="1769"/>
    </row>
    <row r="145" spans="1:10" s="158" customFormat="1" ht="12.75" customHeight="1" x14ac:dyDescent="0.2">
      <c r="A145" s="1762"/>
      <c r="B145" s="790" t="s">
        <v>1162</v>
      </c>
      <c r="C145" s="768">
        <v>30000</v>
      </c>
      <c r="D145" s="767">
        <v>30000</v>
      </c>
      <c r="E145" s="894">
        <v>20461.150000000001</v>
      </c>
      <c r="F145" s="854">
        <v>60000</v>
      </c>
      <c r="G145" s="1706">
        <v>50000</v>
      </c>
      <c r="H145" s="1773"/>
      <c r="I145" s="831"/>
      <c r="J145" s="1769"/>
    </row>
    <row r="146" spans="1:10" s="158" customFormat="1" ht="13.5" customHeight="1" x14ac:dyDescent="0.2">
      <c r="A146" s="1774">
        <v>2328</v>
      </c>
      <c r="B146" s="1719" t="s">
        <v>1167</v>
      </c>
      <c r="C146" s="1352">
        <v>0</v>
      </c>
      <c r="D146" s="746">
        <v>0</v>
      </c>
      <c r="E146" s="998">
        <v>64529.04</v>
      </c>
      <c r="F146" s="734">
        <v>64529.04</v>
      </c>
      <c r="G146" s="1775">
        <v>0</v>
      </c>
      <c r="H146" s="1361">
        <v>0</v>
      </c>
      <c r="I146" s="1359">
        <v>0</v>
      </c>
      <c r="J146" s="1769"/>
    </row>
    <row r="147" spans="1:10" s="98" customFormat="1" ht="12.75" customHeight="1" x14ac:dyDescent="0.2">
      <c r="A147" s="1718">
        <v>2329</v>
      </c>
      <c r="B147" s="791" t="s">
        <v>164</v>
      </c>
      <c r="C147" s="783">
        <f t="shared" ref="C147:I147" si="34">SUM(C148:C165)</f>
        <v>17694387.359999999</v>
      </c>
      <c r="D147" s="734">
        <f t="shared" si="34"/>
        <v>33245256.629999999</v>
      </c>
      <c r="E147" s="998">
        <f t="shared" si="34"/>
        <v>99036685.460000008</v>
      </c>
      <c r="F147" s="734">
        <f t="shared" si="34"/>
        <v>99049517.540000007</v>
      </c>
      <c r="G147" s="783">
        <f t="shared" si="34"/>
        <v>12447771.50999999</v>
      </c>
      <c r="H147" s="1677">
        <f t="shared" si="34"/>
        <v>6115000</v>
      </c>
      <c r="I147" s="734">
        <f t="shared" si="34"/>
        <v>6115000</v>
      </c>
      <c r="J147" s="1693"/>
    </row>
    <row r="148" spans="1:10" s="98" customFormat="1" ht="12.75" customHeight="1" x14ac:dyDescent="0.2">
      <c r="A148" s="1718"/>
      <c r="B148" s="900" t="s">
        <v>1168</v>
      </c>
      <c r="C148" s="768">
        <v>200000</v>
      </c>
      <c r="D148" s="767">
        <v>200000</v>
      </c>
      <c r="E148" s="894">
        <v>0</v>
      </c>
      <c r="F148" s="1763">
        <v>0</v>
      </c>
      <c r="G148" s="1764">
        <v>200000</v>
      </c>
      <c r="H148" s="1692"/>
      <c r="I148" s="1674"/>
      <c r="J148" s="1693"/>
    </row>
    <row r="149" spans="1:10" s="1708" customFormat="1" x14ac:dyDescent="0.2">
      <c r="A149" s="1727"/>
      <c r="B149" s="790" t="s">
        <v>2165</v>
      </c>
      <c r="C149" s="768">
        <v>0</v>
      </c>
      <c r="D149" s="772">
        <v>0</v>
      </c>
      <c r="E149" s="1765">
        <v>530</v>
      </c>
      <c r="F149" s="810">
        <v>530</v>
      </c>
      <c r="G149" s="1728">
        <v>0</v>
      </c>
      <c r="H149" s="1731">
        <v>0</v>
      </c>
      <c r="I149" s="1732">
        <v>0</v>
      </c>
      <c r="J149" s="1712"/>
    </row>
    <row r="150" spans="1:10" s="1708" customFormat="1" x14ac:dyDescent="0.2">
      <c r="A150" s="1727"/>
      <c r="B150" s="790" t="s">
        <v>1169</v>
      </c>
      <c r="C150" s="768">
        <v>5000</v>
      </c>
      <c r="D150" s="772">
        <v>5000</v>
      </c>
      <c r="E150" s="1765">
        <v>0</v>
      </c>
      <c r="F150" s="810">
        <v>5000</v>
      </c>
      <c r="G150" s="768">
        <v>5000</v>
      </c>
      <c r="H150" s="1731">
        <v>5000</v>
      </c>
      <c r="I150" s="1732">
        <v>5000</v>
      </c>
      <c r="J150" s="1712"/>
    </row>
    <row r="151" spans="1:10" s="1708" customFormat="1" ht="12.75" customHeight="1" x14ac:dyDescent="0.2">
      <c r="A151" s="1727"/>
      <c r="B151" s="790" t="s">
        <v>2166</v>
      </c>
      <c r="C151" s="768">
        <v>0</v>
      </c>
      <c r="D151" s="767">
        <v>250000</v>
      </c>
      <c r="E151" s="894">
        <v>247250</v>
      </c>
      <c r="F151" s="853">
        <v>300000</v>
      </c>
      <c r="G151" s="1748">
        <v>280000</v>
      </c>
      <c r="H151" s="1733"/>
      <c r="I151" s="1734"/>
    </row>
    <row r="152" spans="1:10" s="1708" customFormat="1" ht="12.75" customHeight="1" x14ac:dyDescent="0.2">
      <c r="A152" s="1727"/>
      <c r="B152" s="790" t="s">
        <v>1170</v>
      </c>
      <c r="C152" s="768">
        <v>500000</v>
      </c>
      <c r="D152" s="767">
        <v>500000</v>
      </c>
      <c r="E152" s="894">
        <v>733886.75</v>
      </c>
      <c r="F152" s="1703">
        <v>790000</v>
      </c>
      <c r="G152" s="1704">
        <v>500000</v>
      </c>
      <c r="H152" s="1715"/>
      <c r="I152" s="1681"/>
    </row>
    <row r="153" spans="1:10" s="1708" customFormat="1" ht="12.75" customHeight="1" x14ac:dyDescent="0.2">
      <c r="A153" s="1727"/>
      <c r="B153" s="790" t="s">
        <v>2167</v>
      </c>
      <c r="C153" s="768">
        <v>20000</v>
      </c>
      <c r="D153" s="767">
        <v>20000</v>
      </c>
      <c r="E153" s="894">
        <v>886.56</v>
      </c>
      <c r="F153" s="1703">
        <v>1000</v>
      </c>
      <c r="G153" s="1776">
        <v>220000</v>
      </c>
      <c r="H153" s="1715"/>
      <c r="I153" s="1681"/>
    </row>
    <row r="154" spans="1:10" s="1708" customFormat="1" ht="12.75" customHeight="1" x14ac:dyDescent="0.2">
      <c r="A154" s="1727"/>
      <c r="B154" s="790" t="s">
        <v>2168</v>
      </c>
      <c r="C154" s="768">
        <v>250000</v>
      </c>
      <c r="D154" s="767">
        <f>250000-250000</f>
        <v>0</v>
      </c>
      <c r="E154" s="894">
        <v>141722.60999999999</v>
      </c>
      <c r="F154" s="1763">
        <v>0</v>
      </c>
      <c r="G154" s="1764">
        <v>0</v>
      </c>
      <c r="H154" s="1712"/>
      <c r="I154" s="1682"/>
    </row>
    <row r="155" spans="1:10" s="1708" customFormat="1" x14ac:dyDescent="0.2">
      <c r="A155" s="1727"/>
      <c r="B155" s="790" t="s">
        <v>2169</v>
      </c>
      <c r="C155" s="768">
        <v>0</v>
      </c>
      <c r="D155" s="772">
        <v>0</v>
      </c>
      <c r="E155" s="1765">
        <v>2541</v>
      </c>
      <c r="F155" s="810">
        <v>2541</v>
      </c>
      <c r="G155" s="1728">
        <v>0</v>
      </c>
      <c r="H155" s="1729">
        <v>0</v>
      </c>
      <c r="I155" s="890">
        <v>0</v>
      </c>
      <c r="J155" s="1730"/>
    </row>
    <row r="156" spans="1:10" s="1708" customFormat="1" ht="12.75" customHeight="1" x14ac:dyDescent="0.2">
      <c r="A156" s="1727"/>
      <c r="B156" s="790" t="s">
        <v>1173</v>
      </c>
      <c r="C156" s="768">
        <v>50000</v>
      </c>
      <c r="D156" s="767">
        <v>50000</v>
      </c>
      <c r="E156" s="894">
        <v>105012.6</v>
      </c>
      <c r="F156" s="890">
        <v>120000</v>
      </c>
      <c r="G156" s="1728">
        <v>70000</v>
      </c>
      <c r="H156" s="1777">
        <v>70000</v>
      </c>
      <c r="I156" s="891">
        <v>70000</v>
      </c>
    </row>
    <row r="157" spans="1:10" s="1708" customFormat="1" x14ac:dyDescent="0.2">
      <c r="A157" s="1727"/>
      <c r="B157" s="790" t="s">
        <v>2170</v>
      </c>
      <c r="C157" s="1745">
        <v>40000</v>
      </c>
      <c r="D157" s="794">
        <v>40000</v>
      </c>
      <c r="E157" s="1765">
        <v>30315</v>
      </c>
      <c r="F157" s="810">
        <v>40000</v>
      </c>
      <c r="G157" s="1728">
        <v>40000</v>
      </c>
      <c r="H157" s="1731">
        <v>40000</v>
      </c>
      <c r="I157" s="1732">
        <v>40000</v>
      </c>
      <c r="J157" s="1712"/>
    </row>
    <row r="158" spans="1:10" ht="24.75" x14ac:dyDescent="0.2">
      <c r="A158" s="1727"/>
      <c r="B158" s="1735" t="s">
        <v>2171</v>
      </c>
      <c r="C158" s="773">
        <v>5500000</v>
      </c>
      <c r="D158" s="772">
        <v>5500000</v>
      </c>
      <c r="E158" s="894">
        <v>0</v>
      </c>
      <c r="F158" s="820">
        <v>0</v>
      </c>
      <c r="G158" s="1778">
        <v>5000000</v>
      </c>
      <c r="H158" s="829">
        <v>5000000</v>
      </c>
      <c r="I158" s="829">
        <v>5000000</v>
      </c>
      <c r="J158" s="1708"/>
    </row>
    <row r="159" spans="1:10" ht="24.75" x14ac:dyDescent="0.2">
      <c r="A159" s="1727"/>
      <c r="B159" s="1735" t="s">
        <v>1177</v>
      </c>
      <c r="C159" s="768">
        <v>8304000</v>
      </c>
      <c r="D159" s="767">
        <v>8122800</v>
      </c>
      <c r="E159" s="894">
        <v>0</v>
      </c>
      <c r="F159" s="767">
        <v>0</v>
      </c>
      <c r="G159" s="768">
        <v>0</v>
      </c>
      <c r="H159" s="850">
        <v>0</v>
      </c>
      <c r="I159" s="767">
        <v>0</v>
      </c>
      <c r="J159" s="1708"/>
    </row>
    <row r="160" spans="1:10" ht="24.75" x14ac:dyDescent="0.2">
      <c r="A160" s="1727"/>
      <c r="B160" s="1735" t="s">
        <v>2172</v>
      </c>
      <c r="C160" s="768">
        <v>1000000</v>
      </c>
      <c r="D160" s="767">
        <v>1067803</v>
      </c>
      <c r="E160" s="894">
        <v>0</v>
      </c>
      <c r="F160" s="767">
        <v>0</v>
      </c>
      <c r="G160" s="768">
        <v>0</v>
      </c>
      <c r="H160" s="850">
        <v>0</v>
      </c>
      <c r="I160" s="767">
        <v>0</v>
      </c>
      <c r="J160" s="1708"/>
    </row>
    <row r="161" spans="1:40" ht="24.75" x14ac:dyDescent="0.2">
      <c r="A161" s="1779"/>
      <c r="B161" s="1780" t="s">
        <v>1179</v>
      </c>
      <c r="C161" s="1778">
        <v>700000</v>
      </c>
      <c r="D161" s="820">
        <v>700000</v>
      </c>
      <c r="E161" s="894">
        <v>0</v>
      </c>
      <c r="F161" s="1781">
        <v>0</v>
      </c>
      <c r="G161" s="1706">
        <v>500000</v>
      </c>
      <c r="H161" s="831">
        <v>500000</v>
      </c>
      <c r="I161" s="831">
        <v>500000</v>
      </c>
      <c r="J161" s="1708"/>
    </row>
    <row r="162" spans="1:40" ht="24.75" x14ac:dyDescent="0.2">
      <c r="A162" s="1762"/>
      <c r="B162" s="1735" t="s">
        <v>2173</v>
      </c>
      <c r="C162" s="1745">
        <v>125387.36</v>
      </c>
      <c r="D162" s="793">
        <v>125387.36</v>
      </c>
      <c r="E162" s="894">
        <v>0</v>
      </c>
      <c r="F162" s="1782">
        <v>0</v>
      </c>
      <c r="G162" s="1738">
        <v>0</v>
      </c>
      <c r="H162" s="1771">
        <v>0</v>
      </c>
      <c r="I162" s="1782">
        <v>0</v>
      </c>
      <c r="J162" s="1708"/>
    </row>
    <row r="163" spans="1:40" ht="12.75" customHeight="1" x14ac:dyDescent="0.2">
      <c r="A163" s="1727"/>
      <c r="B163" s="790" t="s">
        <v>1183</v>
      </c>
      <c r="C163" s="1745">
        <v>0</v>
      </c>
      <c r="D163" s="793">
        <v>0</v>
      </c>
      <c r="E163" s="1783">
        <v>39680.400000000001</v>
      </c>
      <c r="F163" s="1681">
        <v>55586</v>
      </c>
      <c r="G163" s="1711">
        <v>0</v>
      </c>
      <c r="H163" s="1715">
        <v>0</v>
      </c>
      <c r="I163" s="1716">
        <v>0</v>
      </c>
      <c r="J163" s="1708"/>
    </row>
    <row r="164" spans="1:40" ht="12.75" customHeight="1" x14ac:dyDescent="0.2">
      <c r="A164" s="1784"/>
      <c r="B164" s="823" t="s">
        <v>2174</v>
      </c>
      <c r="C164" s="1785">
        <v>1000000</v>
      </c>
      <c r="D164" s="829">
        <f>1000000-500000</f>
        <v>500000</v>
      </c>
      <c r="E164" s="993">
        <v>0</v>
      </c>
      <c r="F164" s="1716">
        <v>0</v>
      </c>
      <c r="G164" s="1711">
        <v>500000</v>
      </c>
      <c r="H164" s="1681">
        <v>500000</v>
      </c>
      <c r="I164" s="1681">
        <v>500000</v>
      </c>
      <c r="J164" s="1708"/>
    </row>
    <row r="165" spans="1:40" x14ac:dyDescent="0.2">
      <c r="A165" s="1784"/>
      <c r="B165" s="823" t="s">
        <v>2175</v>
      </c>
      <c r="C165" s="1785">
        <v>0</v>
      </c>
      <c r="D165" s="829">
        <v>16164266.27</v>
      </c>
      <c r="E165" s="993">
        <v>97734860.540000007</v>
      </c>
      <c r="F165" s="854">
        <v>97734860.540000007</v>
      </c>
      <c r="G165" s="768">
        <f>102867431.07+200.98-97734860.54</f>
        <v>5132771.5099999905</v>
      </c>
      <c r="H165" s="1715">
        <v>0</v>
      </c>
      <c r="I165" s="1716">
        <v>0</v>
      </c>
      <c r="J165" s="1708"/>
    </row>
    <row r="166" spans="1:40" ht="12.75" customHeight="1" x14ac:dyDescent="0.2">
      <c r="A166" s="1786"/>
      <c r="B166" s="1787"/>
      <c r="C166" s="1788"/>
      <c r="D166" s="833"/>
      <c r="E166" s="1789"/>
      <c r="F166" s="1790"/>
      <c r="G166" s="1791"/>
      <c r="H166" s="1792"/>
      <c r="I166" s="1793"/>
      <c r="J166" s="1708"/>
    </row>
    <row r="167" spans="1:40" s="98" customFormat="1" ht="18.75" customHeight="1" x14ac:dyDescent="0.25">
      <c r="A167" s="839"/>
      <c r="B167" s="840" t="s">
        <v>11</v>
      </c>
      <c r="C167" s="841">
        <f t="shared" ref="C167:I167" si="35">SUM(C168:C170,C178:C178,C179,C181)</f>
        <v>72976820.010000005</v>
      </c>
      <c r="D167" s="841">
        <f t="shared" si="35"/>
        <v>71051552</v>
      </c>
      <c r="E167" s="841">
        <f t="shared" si="35"/>
        <v>4471093</v>
      </c>
      <c r="F167" s="637">
        <f t="shared" si="35"/>
        <v>117224581</v>
      </c>
      <c r="G167" s="637">
        <f>SUM(G168:G170,G178:G178,G179,G181)</f>
        <v>45747371</v>
      </c>
      <c r="H167" s="637">
        <f t="shared" si="35"/>
        <v>3572552</v>
      </c>
      <c r="I167" s="637">
        <f t="shared" si="35"/>
        <v>3572552</v>
      </c>
      <c r="J167" s="1693"/>
    </row>
    <row r="168" spans="1:40" s="1693" customFormat="1" x14ac:dyDescent="0.2">
      <c r="A168" s="842">
        <v>3111</v>
      </c>
      <c r="B168" s="843" t="s">
        <v>2176</v>
      </c>
      <c r="C168" s="844">
        <v>49200000</v>
      </c>
      <c r="D168" s="844">
        <v>49200000</v>
      </c>
      <c r="E168" s="845">
        <v>1377587</v>
      </c>
      <c r="F168" s="882">
        <v>106799790</v>
      </c>
      <c r="G168" s="844">
        <v>2300000</v>
      </c>
      <c r="H168" s="848">
        <v>600000</v>
      </c>
      <c r="I168" s="746">
        <v>600000</v>
      </c>
      <c r="J168" s="1361"/>
    </row>
    <row r="169" spans="1:40" s="1693" customFormat="1" x14ac:dyDescent="0.2">
      <c r="A169" s="842">
        <v>3111</v>
      </c>
      <c r="B169" s="843" t="s">
        <v>1189</v>
      </c>
      <c r="C169" s="746">
        <v>600000</v>
      </c>
      <c r="D169" s="746">
        <v>600000</v>
      </c>
      <c r="E169" s="848">
        <v>195920</v>
      </c>
      <c r="F169" s="882">
        <v>600000</v>
      </c>
      <c r="G169" s="746">
        <v>600000</v>
      </c>
      <c r="H169" s="848">
        <v>600000</v>
      </c>
      <c r="I169" s="746">
        <v>600000</v>
      </c>
      <c r="J169" s="1361"/>
    </row>
    <row r="170" spans="1:40" s="98" customFormat="1" x14ac:dyDescent="0.2">
      <c r="A170" s="791">
        <v>3112</v>
      </c>
      <c r="B170" s="787" t="s">
        <v>2177</v>
      </c>
      <c r="C170" s="734">
        <f t="shared" ref="C170:I170" si="36">SUM(C171:C177)</f>
        <v>14648000</v>
      </c>
      <c r="D170" s="734">
        <f t="shared" si="36"/>
        <v>14648000</v>
      </c>
      <c r="E170" s="734">
        <f t="shared" si="36"/>
        <v>851160</v>
      </c>
      <c r="F170" s="998">
        <f t="shared" si="36"/>
        <v>5051160</v>
      </c>
      <c r="G170" s="734">
        <f>SUM(G171:G177)</f>
        <v>33309049</v>
      </c>
      <c r="H170" s="734">
        <f t="shared" si="36"/>
        <v>0</v>
      </c>
      <c r="I170" s="734">
        <f t="shared" si="36"/>
        <v>0</v>
      </c>
      <c r="J170" s="1693"/>
    </row>
    <row r="171" spans="1:40" s="781" customFormat="1" x14ac:dyDescent="0.2">
      <c r="A171" s="791"/>
      <c r="B171" s="824" t="s">
        <v>1190</v>
      </c>
      <c r="C171" s="772">
        <v>3306000</v>
      </c>
      <c r="D171" s="772">
        <v>3306000</v>
      </c>
      <c r="E171" s="772">
        <v>0</v>
      </c>
      <c r="F171" s="1794">
        <v>0</v>
      </c>
      <c r="G171" s="1734">
        <v>2975049</v>
      </c>
      <c r="H171" s="1688"/>
      <c r="I171" s="1688"/>
      <c r="J171" s="1693"/>
      <c r="K171" s="98"/>
      <c r="L171" s="98"/>
      <c r="M171" s="98"/>
      <c r="N171" s="98"/>
      <c r="O171" s="98"/>
      <c r="P171" s="98"/>
      <c r="Q171" s="98"/>
      <c r="R171" s="98"/>
      <c r="S171" s="98"/>
      <c r="T171" s="98"/>
      <c r="U171" s="98"/>
      <c r="V171" s="98"/>
      <c r="W171" s="98"/>
      <c r="X171" s="98"/>
      <c r="Y171" s="98"/>
      <c r="Z171" s="98"/>
      <c r="AA171" s="98"/>
      <c r="AB171" s="98"/>
      <c r="AC171" s="98"/>
      <c r="AD171" s="98"/>
      <c r="AE171" s="98"/>
      <c r="AF171" s="98"/>
      <c r="AG171" s="98"/>
      <c r="AH171" s="98"/>
      <c r="AI171" s="98"/>
      <c r="AJ171" s="98"/>
      <c r="AK171" s="98"/>
      <c r="AL171" s="98"/>
      <c r="AM171" s="98"/>
      <c r="AN171" s="98"/>
    </row>
    <row r="172" spans="1:40" s="781" customFormat="1" x14ac:dyDescent="0.2">
      <c r="A172" s="791"/>
      <c r="B172" s="824" t="s">
        <v>2178</v>
      </c>
      <c r="C172" s="767">
        <v>0</v>
      </c>
      <c r="D172" s="767">
        <v>0</v>
      </c>
      <c r="E172" s="767">
        <v>0</v>
      </c>
      <c r="F172" s="1686">
        <v>0</v>
      </c>
      <c r="G172" s="1716">
        <v>5455000</v>
      </c>
      <c r="H172" s="1690"/>
      <c r="I172" s="1690"/>
      <c r="J172" s="1693"/>
      <c r="K172" s="98"/>
      <c r="L172" s="98"/>
      <c r="M172" s="98"/>
      <c r="N172" s="98"/>
      <c r="O172" s="98"/>
      <c r="P172" s="98"/>
      <c r="Q172" s="98"/>
      <c r="R172" s="98"/>
      <c r="S172" s="98"/>
      <c r="T172" s="98"/>
      <c r="U172" s="98"/>
      <c r="V172" s="98"/>
      <c r="W172" s="98"/>
      <c r="X172" s="98"/>
      <c r="Y172" s="98"/>
      <c r="Z172" s="98"/>
      <c r="AA172" s="98"/>
      <c r="AB172" s="98"/>
      <c r="AC172" s="98"/>
      <c r="AD172" s="98"/>
      <c r="AE172" s="98"/>
      <c r="AF172" s="98"/>
      <c r="AG172" s="98"/>
      <c r="AH172" s="98"/>
      <c r="AI172" s="98"/>
      <c r="AJ172" s="98"/>
      <c r="AK172" s="98"/>
      <c r="AL172" s="98"/>
      <c r="AM172" s="98"/>
      <c r="AN172" s="98"/>
    </row>
    <row r="173" spans="1:40" s="781" customFormat="1" x14ac:dyDescent="0.2">
      <c r="A173" s="791"/>
      <c r="B173" s="824" t="s">
        <v>1192</v>
      </c>
      <c r="C173" s="767">
        <v>4200000</v>
      </c>
      <c r="D173" s="767">
        <v>4200000</v>
      </c>
      <c r="E173" s="767">
        <v>0</v>
      </c>
      <c r="F173" s="1795">
        <v>4200000</v>
      </c>
      <c r="G173" s="1703">
        <v>0</v>
      </c>
      <c r="H173" s="1666"/>
      <c r="I173" s="1666"/>
      <c r="J173" s="1693"/>
      <c r="K173" s="98"/>
      <c r="L173" s="98"/>
      <c r="M173" s="98"/>
      <c r="N173" s="98"/>
      <c r="O173" s="98"/>
      <c r="P173" s="98"/>
      <c r="Q173" s="98"/>
      <c r="R173" s="98"/>
      <c r="S173" s="98"/>
      <c r="T173" s="98"/>
      <c r="U173" s="98"/>
      <c r="V173" s="98"/>
      <c r="W173" s="98"/>
      <c r="X173" s="98"/>
      <c r="Y173" s="98"/>
      <c r="Z173" s="98"/>
      <c r="AA173" s="98"/>
      <c r="AB173" s="98"/>
      <c r="AC173" s="98"/>
      <c r="AD173" s="98"/>
      <c r="AE173" s="98"/>
      <c r="AF173" s="98"/>
      <c r="AG173" s="98"/>
      <c r="AH173" s="98"/>
      <c r="AI173" s="98"/>
      <c r="AJ173" s="98"/>
      <c r="AK173" s="98"/>
      <c r="AL173" s="98"/>
      <c r="AM173" s="98"/>
      <c r="AN173" s="98"/>
    </row>
    <row r="174" spans="1:40" s="781" customFormat="1" x14ac:dyDescent="0.2">
      <c r="A174" s="791"/>
      <c r="B174" s="824" t="s">
        <v>1193</v>
      </c>
      <c r="C174" s="767">
        <v>5690000</v>
      </c>
      <c r="D174" s="767">
        <v>5690000</v>
      </c>
      <c r="E174" s="767">
        <v>0</v>
      </c>
      <c r="F174" s="1686">
        <v>0</v>
      </c>
      <c r="G174" s="1681">
        <v>3969000</v>
      </c>
      <c r="H174" s="1666"/>
      <c r="I174" s="1666"/>
      <c r="J174" s="1693"/>
      <c r="K174" s="98"/>
      <c r="L174" s="98"/>
      <c r="M174" s="98"/>
      <c r="N174" s="98"/>
      <c r="O174" s="98"/>
      <c r="P174" s="98"/>
      <c r="Q174" s="98"/>
      <c r="R174" s="98"/>
      <c r="S174" s="98"/>
      <c r="T174" s="98"/>
      <c r="U174" s="98"/>
      <c r="V174" s="98"/>
      <c r="W174" s="98"/>
      <c r="X174" s="98"/>
      <c r="Y174" s="98"/>
      <c r="Z174" s="98"/>
      <c r="AA174" s="98"/>
      <c r="AB174" s="98"/>
      <c r="AC174" s="98"/>
      <c r="AD174" s="98"/>
      <c r="AE174" s="98"/>
      <c r="AF174" s="98"/>
      <c r="AG174" s="98"/>
      <c r="AH174" s="98"/>
      <c r="AI174" s="98"/>
      <c r="AJ174" s="98"/>
      <c r="AK174" s="98"/>
      <c r="AL174" s="98"/>
      <c r="AM174" s="98"/>
      <c r="AN174" s="98"/>
    </row>
    <row r="175" spans="1:40" s="781" customFormat="1" x14ac:dyDescent="0.2">
      <c r="A175" s="791"/>
      <c r="B175" s="824" t="s">
        <v>2179</v>
      </c>
      <c r="C175" s="767">
        <v>842000</v>
      </c>
      <c r="D175" s="767">
        <v>842000</v>
      </c>
      <c r="E175" s="767">
        <v>851160</v>
      </c>
      <c r="F175" s="1795">
        <v>851160</v>
      </c>
      <c r="G175" s="1703">
        <v>0</v>
      </c>
      <c r="H175" s="1666"/>
      <c r="I175" s="1666"/>
      <c r="J175" s="1693"/>
      <c r="K175" s="98"/>
      <c r="L175" s="98"/>
      <c r="M175" s="98"/>
      <c r="N175" s="98"/>
      <c r="O175" s="98"/>
      <c r="P175" s="98"/>
      <c r="Q175" s="98"/>
      <c r="R175" s="98"/>
      <c r="S175" s="98"/>
      <c r="T175" s="98"/>
      <c r="U175" s="98"/>
      <c r="V175" s="98"/>
      <c r="W175" s="98"/>
      <c r="X175" s="98"/>
      <c r="Y175" s="98"/>
      <c r="Z175" s="98"/>
      <c r="AA175" s="98"/>
      <c r="AB175" s="98"/>
      <c r="AC175" s="98"/>
      <c r="AD175" s="98"/>
      <c r="AE175" s="98"/>
      <c r="AF175" s="98"/>
      <c r="AG175" s="98"/>
      <c r="AH175" s="98"/>
      <c r="AI175" s="98"/>
      <c r="AJ175" s="98"/>
      <c r="AK175" s="98"/>
      <c r="AL175" s="98"/>
      <c r="AM175" s="98"/>
      <c r="AN175" s="98"/>
    </row>
    <row r="176" spans="1:40" s="781" customFormat="1" x14ac:dyDescent="0.2">
      <c r="A176" s="791"/>
      <c r="B176" s="824" t="s">
        <v>2180</v>
      </c>
      <c r="C176" s="767">
        <v>0</v>
      </c>
      <c r="D176" s="767">
        <v>0</v>
      </c>
      <c r="E176" s="767">
        <v>0</v>
      </c>
      <c r="F176" s="1796">
        <v>0</v>
      </c>
      <c r="G176" s="1681">
        <v>20300000</v>
      </c>
      <c r="H176" s="1666"/>
      <c r="I176" s="1666"/>
      <c r="J176" s="1693"/>
      <c r="K176" s="98"/>
      <c r="L176" s="98"/>
      <c r="M176" s="98"/>
      <c r="N176" s="98"/>
      <c r="O176" s="98"/>
      <c r="P176" s="98"/>
      <c r="Q176" s="98"/>
      <c r="R176" s="98"/>
      <c r="S176" s="98"/>
      <c r="T176" s="98"/>
      <c r="U176" s="98"/>
      <c r="V176" s="98"/>
      <c r="W176" s="98"/>
      <c r="X176" s="98"/>
      <c r="Y176" s="98"/>
      <c r="Z176" s="98"/>
      <c r="AA176" s="98"/>
      <c r="AB176" s="98"/>
      <c r="AC176" s="98"/>
      <c r="AD176" s="98"/>
      <c r="AE176" s="98"/>
      <c r="AF176" s="98"/>
      <c r="AG176" s="98"/>
      <c r="AH176" s="98"/>
      <c r="AI176" s="98"/>
      <c r="AJ176" s="98"/>
      <c r="AK176" s="98"/>
      <c r="AL176" s="98"/>
      <c r="AM176" s="98"/>
      <c r="AN176" s="98"/>
    </row>
    <row r="177" spans="1:40" s="781" customFormat="1" x14ac:dyDescent="0.2">
      <c r="A177" s="791"/>
      <c r="B177" s="824" t="s">
        <v>1195</v>
      </c>
      <c r="C177" s="767">
        <v>610000</v>
      </c>
      <c r="D177" s="767">
        <v>610000</v>
      </c>
      <c r="E177" s="767">
        <v>0</v>
      </c>
      <c r="F177" s="1665">
        <v>0</v>
      </c>
      <c r="G177" s="1681">
        <v>610000</v>
      </c>
      <c r="H177" s="1666"/>
      <c r="I177" s="1666"/>
      <c r="J177" s="1693"/>
      <c r="K177" s="98"/>
      <c r="L177" s="98"/>
      <c r="M177" s="98"/>
      <c r="N177" s="98"/>
      <c r="O177" s="98"/>
      <c r="P177" s="98"/>
      <c r="Q177" s="98"/>
      <c r="R177" s="98"/>
      <c r="S177" s="98"/>
      <c r="T177" s="98"/>
      <c r="U177" s="98"/>
      <c r="V177" s="98"/>
      <c r="W177" s="98"/>
      <c r="X177" s="98"/>
      <c r="Y177" s="98"/>
      <c r="Z177" s="98"/>
      <c r="AA177" s="98"/>
      <c r="AB177" s="98"/>
      <c r="AC177" s="98"/>
      <c r="AD177" s="98"/>
      <c r="AE177" s="98"/>
      <c r="AF177" s="98"/>
      <c r="AG177" s="98"/>
      <c r="AH177" s="98"/>
      <c r="AI177" s="98"/>
      <c r="AJ177" s="98"/>
      <c r="AK177" s="98"/>
      <c r="AL177" s="98"/>
      <c r="AM177" s="98"/>
      <c r="AN177" s="98"/>
    </row>
    <row r="178" spans="1:40" s="98" customFormat="1" x14ac:dyDescent="0.2">
      <c r="A178" s="791">
        <v>3113</v>
      </c>
      <c r="B178" s="787" t="s">
        <v>2181</v>
      </c>
      <c r="C178" s="746">
        <v>50000</v>
      </c>
      <c r="D178" s="746">
        <v>50000</v>
      </c>
      <c r="E178" s="746">
        <v>69300</v>
      </c>
      <c r="F178" s="1692">
        <v>69300</v>
      </c>
      <c r="G178" s="1674">
        <v>50000</v>
      </c>
      <c r="H178" s="1692"/>
      <c r="I178" s="1674"/>
      <c r="J178" s="1693"/>
    </row>
    <row r="179" spans="1:40" s="1693" customFormat="1" x14ac:dyDescent="0.2">
      <c r="A179" s="791">
        <v>3122</v>
      </c>
      <c r="B179" s="782" t="s">
        <v>1200</v>
      </c>
      <c r="C179" s="746">
        <f t="shared" ref="C179:I179" si="37">C180</f>
        <v>2372552</v>
      </c>
      <c r="D179" s="746">
        <f t="shared" si="37"/>
        <v>2372552</v>
      </c>
      <c r="E179" s="746">
        <f t="shared" si="37"/>
        <v>1977126</v>
      </c>
      <c r="F179" s="1797">
        <f t="shared" si="37"/>
        <v>2372552</v>
      </c>
      <c r="G179" s="1722">
        <f t="shared" si="37"/>
        <v>0</v>
      </c>
      <c r="H179" s="1721">
        <f t="shared" si="37"/>
        <v>2372552</v>
      </c>
      <c r="I179" s="1722">
        <f t="shared" si="37"/>
        <v>2372552</v>
      </c>
      <c r="J179" s="1361"/>
    </row>
    <row r="180" spans="1:40" s="1693" customFormat="1" x14ac:dyDescent="0.2">
      <c r="A180" s="791"/>
      <c r="B180" s="782" t="s">
        <v>1201</v>
      </c>
      <c r="C180" s="793">
        <v>2372552</v>
      </c>
      <c r="D180" s="794">
        <v>2372552</v>
      </c>
      <c r="E180" s="851">
        <v>1977126</v>
      </c>
      <c r="F180" s="990">
        <v>2372552</v>
      </c>
      <c r="G180" s="793">
        <v>0</v>
      </c>
      <c r="H180" s="1798">
        <v>2372552</v>
      </c>
      <c r="I180" s="793">
        <v>2372552</v>
      </c>
      <c r="J180" s="1772"/>
    </row>
    <row r="181" spans="1:40" s="98" customFormat="1" ht="12.75" customHeight="1" x14ac:dyDescent="0.2">
      <c r="A181" s="791">
        <v>3129</v>
      </c>
      <c r="B181" s="787" t="s">
        <v>191</v>
      </c>
      <c r="C181" s="734">
        <f t="shared" ref="C181:H181" si="38">SUM(C182:C191)</f>
        <v>6106268.0099999998</v>
      </c>
      <c r="D181" s="734">
        <f t="shared" si="38"/>
        <v>4181000</v>
      </c>
      <c r="E181" s="734">
        <f t="shared" si="38"/>
        <v>0</v>
      </c>
      <c r="F181" s="998">
        <f t="shared" si="38"/>
        <v>2331779</v>
      </c>
      <c r="G181" s="734">
        <f t="shared" si="38"/>
        <v>9488322</v>
      </c>
      <c r="H181" s="734">
        <f t="shared" si="38"/>
        <v>0</v>
      </c>
      <c r="I181" s="1688"/>
      <c r="J181" s="1693"/>
    </row>
    <row r="182" spans="1:40" s="98" customFormat="1" ht="12.75" customHeight="1" x14ac:dyDescent="0.2">
      <c r="A182" s="852"/>
      <c r="B182" s="1799" t="s">
        <v>1205</v>
      </c>
      <c r="C182" s="858">
        <v>1896000</v>
      </c>
      <c r="D182" s="858">
        <v>1896000</v>
      </c>
      <c r="E182" s="854">
        <v>0</v>
      </c>
      <c r="F182" s="1676">
        <v>1500000</v>
      </c>
      <c r="G182" s="1800">
        <v>0</v>
      </c>
      <c r="H182" s="1666"/>
      <c r="I182" s="1690"/>
      <c r="J182" s="1693"/>
    </row>
    <row r="183" spans="1:40" s="98" customFormat="1" ht="12.75" customHeight="1" x14ac:dyDescent="0.2">
      <c r="A183" s="852"/>
      <c r="B183" s="809" t="s">
        <v>2182</v>
      </c>
      <c r="C183" s="858">
        <v>0</v>
      </c>
      <c r="D183" s="858"/>
      <c r="E183" s="854"/>
      <c r="F183" s="1676">
        <v>0</v>
      </c>
      <c r="G183" s="1800">
        <v>2499999</v>
      </c>
      <c r="H183" s="1666"/>
      <c r="I183" s="1690"/>
      <c r="J183" s="1693"/>
    </row>
    <row r="184" spans="1:40" s="98" customFormat="1" ht="12.75" customHeight="1" x14ac:dyDescent="0.2">
      <c r="A184" s="864"/>
      <c r="B184" s="809" t="s">
        <v>2183</v>
      </c>
      <c r="C184" s="858">
        <v>0</v>
      </c>
      <c r="D184" s="858"/>
      <c r="E184" s="854"/>
      <c r="F184" s="1676">
        <v>0</v>
      </c>
      <c r="G184" s="1800">
        <v>1356601</v>
      </c>
      <c r="H184" s="1666"/>
      <c r="I184" s="1690"/>
      <c r="J184" s="1693"/>
    </row>
    <row r="185" spans="1:40" s="98" customFormat="1" ht="12.75" customHeight="1" x14ac:dyDescent="0.2">
      <c r="A185" s="867"/>
      <c r="B185" s="809" t="s">
        <v>2184</v>
      </c>
      <c r="C185" s="858">
        <v>0</v>
      </c>
      <c r="D185" s="858"/>
      <c r="E185" s="854"/>
      <c r="F185" s="1676">
        <v>0</v>
      </c>
      <c r="G185" s="1800">
        <v>168585</v>
      </c>
      <c r="H185" s="1666"/>
      <c r="I185" s="1690"/>
      <c r="J185" s="1693"/>
    </row>
    <row r="186" spans="1:40" s="98" customFormat="1" ht="12.75" customHeight="1" x14ac:dyDescent="0.2">
      <c r="A186" s="852"/>
      <c r="B186" s="809" t="s">
        <v>2185</v>
      </c>
      <c r="C186" s="860">
        <v>522932</v>
      </c>
      <c r="D186" s="860">
        <f>522932-522932</f>
        <v>0</v>
      </c>
      <c r="E186" s="854">
        <v>0</v>
      </c>
      <c r="F186" s="1676">
        <v>250000</v>
      </c>
      <c r="G186" s="1800">
        <v>5312129</v>
      </c>
      <c r="H186" s="1666"/>
      <c r="I186" s="1690"/>
      <c r="J186" s="1693"/>
    </row>
    <row r="187" spans="1:40" s="98" customFormat="1" ht="12.75" customHeight="1" x14ac:dyDescent="0.2">
      <c r="A187" s="852"/>
      <c r="B187" s="158" t="s">
        <v>2186</v>
      </c>
      <c r="C187" s="860">
        <v>0</v>
      </c>
      <c r="D187" s="860">
        <v>0</v>
      </c>
      <c r="E187" s="854">
        <v>0</v>
      </c>
      <c r="F187" s="1676">
        <v>0</v>
      </c>
      <c r="G187" s="1800">
        <v>151008</v>
      </c>
      <c r="H187" s="1666"/>
      <c r="I187" s="1690"/>
      <c r="J187" s="1693"/>
    </row>
    <row r="188" spans="1:40" s="98" customFormat="1" ht="12.75" customHeight="1" x14ac:dyDescent="0.2">
      <c r="A188" s="852"/>
      <c r="B188" s="862" t="s">
        <v>2187</v>
      </c>
      <c r="C188" s="860">
        <v>400000</v>
      </c>
      <c r="D188" s="860">
        <f>400000-400000</f>
        <v>0</v>
      </c>
      <c r="E188" s="854">
        <v>0</v>
      </c>
      <c r="F188" s="1676">
        <v>0</v>
      </c>
      <c r="G188" s="1800">
        <v>0</v>
      </c>
      <c r="H188" s="1666"/>
      <c r="I188" s="1690"/>
      <c r="J188" s="1693"/>
    </row>
    <row r="189" spans="1:40" s="98" customFormat="1" ht="12.75" customHeight="1" x14ac:dyDescent="0.2">
      <c r="A189" s="852"/>
      <c r="B189" s="862" t="s">
        <v>2188</v>
      </c>
      <c r="C189" s="860">
        <v>1002336.01</v>
      </c>
      <c r="D189" s="860">
        <f>1002336.01-1002336.01</f>
        <v>0</v>
      </c>
      <c r="E189" s="1781">
        <v>0</v>
      </c>
      <c r="F189" s="860">
        <v>0</v>
      </c>
      <c r="G189" s="1800">
        <v>0</v>
      </c>
      <c r="H189" s="1666"/>
      <c r="I189" s="1690"/>
      <c r="J189" s="1693"/>
    </row>
    <row r="190" spans="1:40" s="98" customFormat="1" ht="12.75" customHeight="1" x14ac:dyDescent="0.2">
      <c r="A190" s="864"/>
      <c r="B190" s="1801" t="s">
        <v>2189</v>
      </c>
      <c r="C190" s="860">
        <v>1700000</v>
      </c>
      <c r="D190" s="860">
        <v>1700000</v>
      </c>
      <c r="E190" s="854">
        <v>0</v>
      </c>
      <c r="F190" s="1676">
        <v>0</v>
      </c>
      <c r="G190" s="1800">
        <v>0</v>
      </c>
      <c r="H190" s="1666"/>
      <c r="I190" s="1690"/>
      <c r="J190" s="1693"/>
    </row>
    <row r="191" spans="1:40" s="98" customFormat="1" x14ac:dyDescent="0.2">
      <c r="A191" s="865"/>
      <c r="B191" s="862" t="s">
        <v>1211</v>
      </c>
      <c r="C191" s="860">
        <v>585000</v>
      </c>
      <c r="D191" s="866">
        <v>585000</v>
      </c>
      <c r="E191" s="854">
        <v>0</v>
      </c>
      <c r="F191" s="1676">
        <v>581779</v>
      </c>
      <c r="G191" s="1800">
        <v>0</v>
      </c>
      <c r="H191" s="1666"/>
      <c r="I191" s="1690"/>
      <c r="J191" s="1693"/>
    </row>
    <row r="192" spans="1:40" s="98" customFormat="1" x14ac:dyDescent="0.2">
      <c r="A192" s="910"/>
      <c r="B192" s="862" t="s">
        <v>2190</v>
      </c>
      <c r="C192" s="866">
        <v>0</v>
      </c>
      <c r="D192" s="866"/>
      <c r="E192" s="779"/>
      <c r="F192" s="1703">
        <v>604048</v>
      </c>
      <c r="G192" s="1703">
        <v>0</v>
      </c>
      <c r="H192" s="1692"/>
      <c r="I192" s="1674"/>
      <c r="J192" s="1693"/>
    </row>
    <row r="193" spans="1:10" s="98" customFormat="1" x14ac:dyDescent="0.2">
      <c r="A193" s="867"/>
      <c r="B193" s="862"/>
      <c r="C193" s="868"/>
      <c r="D193" s="868"/>
      <c r="E193" s="833"/>
      <c r="F193" s="1693"/>
      <c r="G193" s="1802"/>
      <c r="H193" s="1692"/>
      <c r="I193" s="1674"/>
      <c r="J193" s="1693"/>
    </row>
    <row r="194" spans="1:10" s="98" customFormat="1" ht="18" x14ac:dyDescent="0.25">
      <c r="A194" s="839"/>
      <c r="B194" s="873" t="s">
        <v>196</v>
      </c>
      <c r="C194" s="637">
        <f t="shared" ref="C194:I194" si="39">SUM(C195,C199,C200,C202,C209,C218,C228,C230:C231,C234,C243)</f>
        <v>56420206.439999998</v>
      </c>
      <c r="D194" s="637">
        <f t="shared" si="39"/>
        <v>83643156.409999996</v>
      </c>
      <c r="E194" s="637">
        <f t="shared" si="39"/>
        <v>60983919.380000003</v>
      </c>
      <c r="F194" s="637">
        <f t="shared" si="39"/>
        <v>95787288.540000007</v>
      </c>
      <c r="G194" s="637">
        <f t="shared" si="39"/>
        <v>91705431.088</v>
      </c>
      <c r="H194" s="637">
        <f t="shared" si="39"/>
        <v>60170804.088</v>
      </c>
      <c r="I194" s="637">
        <f t="shared" si="39"/>
        <v>60170804.088</v>
      </c>
      <c r="J194" s="1693"/>
    </row>
    <row r="195" spans="1:10" s="98" customFormat="1" x14ac:dyDescent="0.2">
      <c r="A195" s="874">
        <v>4111</v>
      </c>
      <c r="B195" s="875" t="s">
        <v>197</v>
      </c>
      <c r="C195" s="876">
        <f t="shared" ref="C195:I195" si="40">SUM(C196:C197)</f>
        <v>0</v>
      </c>
      <c r="D195" s="876">
        <f t="shared" si="40"/>
        <v>848612.64</v>
      </c>
      <c r="E195" s="876">
        <f t="shared" si="40"/>
        <v>848612.64</v>
      </c>
      <c r="F195" s="876">
        <f t="shared" si="40"/>
        <v>848612.64</v>
      </c>
      <c r="G195" s="876">
        <f t="shared" si="40"/>
        <v>0</v>
      </c>
      <c r="H195" s="876">
        <f t="shared" si="40"/>
        <v>0</v>
      </c>
      <c r="I195" s="876">
        <f t="shared" si="40"/>
        <v>0</v>
      </c>
      <c r="J195" s="1693"/>
    </row>
    <row r="196" spans="1:10" s="98" customFormat="1" x14ac:dyDescent="0.2">
      <c r="A196" s="877"/>
      <c r="B196" s="878" t="s">
        <v>2191</v>
      </c>
      <c r="C196" s="879">
        <v>0</v>
      </c>
      <c r="D196" s="879">
        <v>124612.64</v>
      </c>
      <c r="E196" s="879">
        <v>124612.64</v>
      </c>
      <c r="F196" s="879">
        <v>124612.64</v>
      </c>
      <c r="G196" s="853">
        <v>0</v>
      </c>
      <c r="H196" s="1703">
        <v>0</v>
      </c>
      <c r="I196" s="1704">
        <v>0</v>
      </c>
      <c r="J196" s="1693"/>
    </row>
    <row r="197" spans="1:10" s="98" customFormat="1" x14ac:dyDescent="0.2">
      <c r="A197" s="877"/>
      <c r="B197" s="878" t="s">
        <v>2192</v>
      </c>
      <c r="C197" s="879">
        <v>0</v>
      </c>
      <c r="D197" s="879">
        <v>724000</v>
      </c>
      <c r="E197" s="879">
        <v>724000</v>
      </c>
      <c r="F197" s="1676">
        <v>724000</v>
      </c>
      <c r="G197" s="1800">
        <v>0</v>
      </c>
      <c r="H197" s="1703"/>
      <c r="I197" s="1704"/>
      <c r="J197" s="1693"/>
    </row>
    <row r="198" spans="1:10" s="98" customFormat="1" x14ac:dyDescent="0.2">
      <c r="A198" s="877"/>
      <c r="B198" s="878" t="s">
        <v>2193</v>
      </c>
      <c r="C198" s="879">
        <v>0</v>
      </c>
      <c r="D198" s="879">
        <v>0</v>
      </c>
      <c r="E198" s="879">
        <v>0</v>
      </c>
      <c r="F198" s="1703">
        <v>713000</v>
      </c>
      <c r="G198" s="1703">
        <v>0</v>
      </c>
      <c r="H198" s="1703"/>
      <c r="I198" s="1703"/>
      <c r="J198" s="1693"/>
    </row>
    <row r="199" spans="1:10" ht="25.5" x14ac:dyDescent="0.2">
      <c r="A199" s="842">
        <v>4112</v>
      </c>
      <c r="B199" s="843" t="s">
        <v>1219</v>
      </c>
      <c r="C199" s="746">
        <f>(1016932+736317+467712+420864+713728+43008+4253687+8154340+23444493+795804+17710+1525000+1296966+241392+782383+86001+2624+348336+27880+12045)-22</f>
        <v>44387200</v>
      </c>
      <c r="D199" s="746">
        <f>(1016932+736317+467712+420864+713728+43008+4253687+8154340+23444493+795804+17710+1525000+1296966+241392+782383+86001+2624+348336+27880+12045)-22</f>
        <v>44387200</v>
      </c>
      <c r="E199" s="746">
        <v>29591464</v>
      </c>
      <c r="F199" s="746">
        <f>(1016932+736317+467712+420864+713728+43008+4253687+8154340+23444493+795804+17710+1525000+1296966+241392+782383+86001+2624+348336+27880+12045)-22</f>
        <v>44387200</v>
      </c>
      <c r="G199" s="746">
        <f>(1016932+736317+467712+420864+713728+43008+4253687+8154340+23444493+795804+17710+1525000+1296966+241392+782383+86001+2624+348336+27880+12045)-22</f>
        <v>44387200</v>
      </c>
      <c r="H199" s="746">
        <f>(1016932+736317+467712+420864+713728+43008+4253687+8154340+23444493+795804+17710+1525000+1296966+241392+782383+86001+2624+348336+27880+12045)-22</f>
        <v>44387200</v>
      </c>
      <c r="I199" s="746">
        <f>(1016932+736317+467712+420864+713728+43008+4253687+8154340+23444493+795804+17710+1525000+1296966+241392+782383+86001+2624+348336+27880+12045)-22</f>
        <v>44387200</v>
      </c>
      <c r="J199" s="1708"/>
    </row>
    <row r="200" spans="1:10" x14ac:dyDescent="0.2">
      <c r="A200" s="842">
        <v>4113</v>
      </c>
      <c r="B200" s="843" t="s">
        <v>2194</v>
      </c>
      <c r="C200" s="746">
        <f t="shared" ref="C200:I200" si="41">C201</f>
        <v>0</v>
      </c>
      <c r="D200" s="746">
        <f t="shared" si="41"/>
        <v>0</v>
      </c>
      <c r="E200" s="746">
        <f t="shared" si="41"/>
        <v>0</v>
      </c>
      <c r="F200" s="746">
        <f t="shared" si="41"/>
        <v>0</v>
      </c>
      <c r="G200" s="746">
        <f t="shared" si="41"/>
        <v>55091.756999999998</v>
      </c>
      <c r="H200" s="746">
        <f t="shared" si="41"/>
        <v>55091.756999999998</v>
      </c>
      <c r="I200" s="746">
        <f t="shared" si="41"/>
        <v>55091.756999999998</v>
      </c>
      <c r="J200" s="1708"/>
    </row>
    <row r="201" spans="1:10" x14ac:dyDescent="0.2">
      <c r="A201" s="842"/>
      <c r="B201" s="1423" t="s">
        <v>2195</v>
      </c>
      <c r="C201" s="767">
        <v>0</v>
      </c>
      <c r="D201" s="767">
        <v>0</v>
      </c>
      <c r="E201" s="767">
        <v>0</v>
      </c>
      <c r="F201" s="1803">
        <v>0</v>
      </c>
      <c r="G201" s="1682">
        <v>55091.756999999998</v>
      </c>
      <c r="H201" s="1682">
        <v>55091.756999999998</v>
      </c>
      <c r="I201" s="1714">
        <v>55091.756999999998</v>
      </c>
      <c r="J201" s="1708"/>
    </row>
    <row r="202" spans="1:10" s="98" customFormat="1" x14ac:dyDescent="0.2">
      <c r="A202" s="791">
        <v>4116</v>
      </c>
      <c r="B202" s="787" t="s">
        <v>201</v>
      </c>
      <c r="C202" s="734">
        <f t="shared" ref="C202:I202" si="42">SUM(C203:C208)</f>
        <v>100000</v>
      </c>
      <c r="D202" s="734">
        <f t="shared" si="42"/>
        <v>5264122.8899999997</v>
      </c>
      <c r="E202" s="734">
        <f t="shared" si="42"/>
        <v>5164122.8899999997</v>
      </c>
      <c r="F202" s="734">
        <f t="shared" si="42"/>
        <v>14454725.890000001</v>
      </c>
      <c r="G202" s="734">
        <f t="shared" si="42"/>
        <v>9290603</v>
      </c>
      <c r="H202" s="734">
        <f t="shared" si="42"/>
        <v>9290603</v>
      </c>
      <c r="I202" s="734">
        <f t="shared" si="42"/>
        <v>9290603</v>
      </c>
      <c r="J202" s="1693"/>
    </row>
    <row r="203" spans="1:10" x14ac:dyDescent="0.2">
      <c r="A203" s="883"/>
      <c r="B203" s="789" t="s">
        <v>1231</v>
      </c>
      <c r="C203" s="767">
        <v>0</v>
      </c>
      <c r="D203" s="767"/>
      <c r="E203" s="767"/>
      <c r="F203" s="767">
        <v>8122800</v>
      </c>
      <c r="G203" s="767">
        <v>8122800</v>
      </c>
      <c r="H203" s="767">
        <v>8122800</v>
      </c>
      <c r="I203" s="767">
        <v>8122800</v>
      </c>
      <c r="J203" s="1708"/>
    </row>
    <row r="204" spans="1:10" x14ac:dyDescent="0.2">
      <c r="A204" s="883"/>
      <c r="B204" s="789" t="s">
        <v>2196</v>
      </c>
      <c r="C204" s="767">
        <v>0</v>
      </c>
      <c r="D204" s="767"/>
      <c r="E204" s="767"/>
      <c r="F204" s="767">
        <v>1067803</v>
      </c>
      <c r="G204" s="767">
        <v>1067803</v>
      </c>
      <c r="H204" s="767">
        <v>1067803</v>
      </c>
      <c r="I204" s="767">
        <v>1067803</v>
      </c>
      <c r="J204" s="1708"/>
    </row>
    <row r="205" spans="1:10" s="98" customFormat="1" ht="12.75" customHeight="1" x14ac:dyDescent="0.2">
      <c r="A205" s="883"/>
      <c r="B205" s="796" t="s">
        <v>2197</v>
      </c>
      <c r="C205" s="767">
        <v>0</v>
      </c>
      <c r="D205" s="767">
        <f>261245.45+4441172.63</f>
        <v>4702418.08</v>
      </c>
      <c r="E205" s="767">
        <v>4702418.08</v>
      </c>
      <c r="F205" s="1676">
        <v>4702418.08</v>
      </c>
      <c r="G205" s="1703">
        <v>0</v>
      </c>
      <c r="H205" s="1666"/>
      <c r="I205" s="1689"/>
      <c r="J205" s="1693"/>
    </row>
    <row r="206" spans="1:10" s="98" customFormat="1" ht="12.75" customHeight="1" x14ac:dyDescent="0.2">
      <c r="A206" s="883"/>
      <c r="B206" s="796" t="s">
        <v>2198</v>
      </c>
      <c r="C206" s="767">
        <v>0</v>
      </c>
      <c r="D206" s="767">
        <v>61704.81</v>
      </c>
      <c r="E206" s="767">
        <v>61704.81</v>
      </c>
      <c r="F206" s="1676">
        <v>61704.81</v>
      </c>
      <c r="G206" s="1703">
        <v>0</v>
      </c>
      <c r="H206" s="1666"/>
      <c r="I206" s="1689"/>
      <c r="J206" s="1693"/>
    </row>
    <row r="207" spans="1:10" s="98" customFormat="1" ht="12.75" customHeight="1" x14ac:dyDescent="0.2">
      <c r="A207" s="883"/>
      <c r="B207" s="796" t="s">
        <v>2199</v>
      </c>
      <c r="C207" s="767">
        <v>0</v>
      </c>
      <c r="D207" s="767">
        <v>400000</v>
      </c>
      <c r="E207" s="767">
        <v>400000</v>
      </c>
      <c r="F207" s="1676">
        <v>400000</v>
      </c>
      <c r="G207" s="1800">
        <v>0</v>
      </c>
      <c r="H207" s="1690"/>
      <c r="I207" s="1689"/>
      <c r="J207" s="1693"/>
    </row>
    <row r="208" spans="1:10" s="98" customFormat="1" ht="12.75" customHeight="1" x14ac:dyDescent="0.2">
      <c r="A208" s="883"/>
      <c r="B208" s="796" t="s">
        <v>2200</v>
      </c>
      <c r="C208" s="767">
        <v>100000</v>
      </c>
      <c r="D208" s="767">
        <v>100000</v>
      </c>
      <c r="E208" s="767">
        <v>0</v>
      </c>
      <c r="F208" s="1676">
        <v>100000</v>
      </c>
      <c r="G208" s="767">
        <v>100000</v>
      </c>
      <c r="H208" s="767">
        <v>100000</v>
      </c>
      <c r="I208" s="767">
        <v>100000</v>
      </c>
      <c r="J208" s="1693"/>
    </row>
    <row r="209" spans="1:10" x14ac:dyDescent="0.2">
      <c r="A209" s="791">
        <v>4121</v>
      </c>
      <c r="B209" s="787" t="s">
        <v>213</v>
      </c>
      <c r="C209" s="734">
        <f t="shared" ref="C209:I209" si="43">SUM(C210:C217)</f>
        <v>3747689</v>
      </c>
      <c r="D209" s="734">
        <f t="shared" si="43"/>
        <v>2376961</v>
      </c>
      <c r="E209" s="734">
        <f t="shared" si="43"/>
        <v>2315645</v>
      </c>
      <c r="F209" s="998">
        <f t="shared" si="43"/>
        <v>2393611</v>
      </c>
      <c r="G209" s="734">
        <f>SUM(G210:G217)</f>
        <v>3641716.8</v>
      </c>
      <c r="H209" s="734">
        <f t="shared" si="43"/>
        <v>3138716.8</v>
      </c>
      <c r="I209" s="734">
        <f t="shared" si="43"/>
        <v>3138716.8</v>
      </c>
      <c r="J209" s="1708"/>
    </row>
    <row r="210" spans="1:10" x14ac:dyDescent="0.2">
      <c r="A210" s="791"/>
      <c r="B210" s="796" t="s">
        <v>1247</v>
      </c>
      <c r="C210" s="767">
        <v>420000</v>
      </c>
      <c r="D210" s="767">
        <v>420000</v>
      </c>
      <c r="E210" s="767">
        <v>427500</v>
      </c>
      <c r="F210" s="1796">
        <v>427500</v>
      </c>
      <c r="G210" s="1734">
        <v>500000</v>
      </c>
      <c r="H210" s="1716"/>
      <c r="I210" s="1711"/>
      <c r="J210" s="1708"/>
    </row>
    <row r="211" spans="1:10" x14ac:dyDescent="0.2">
      <c r="A211" s="791"/>
      <c r="B211" s="796" t="s">
        <v>1248</v>
      </c>
      <c r="C211" s="767">
        <v>3000</v>
      </c>
      <c r="D211" s="767">
        <v>3000</v>
      </c>
      <c r="E211" s="767">
        <v>1869</v>
      </c>
      <c r="F211" s="1795">
        <v>3000</v>
      </c>
      <c r="G211" s="1716">
        <v>3000</v>
      </c>
      <c r="H211" s="1716"/>
      <c r="I211" s="1711"/>
      <c r="J211" s="1708"/>
    </row>
    <row r="212" spans="1:10" ht="12.75" customHeight="1" x14ac:dyDescent="0.2">
      <c r="A212" s="791"/>
      <c r="B212" s="796" t="s">
        <v>1249</v>
      </c>
      <c r="C212" s="2614">
        <v>3017049</v>
      </c>
      <c r="D212" s="1804">
        <v>918175</v>
      </c>
      <c r="E212" s="767">
        <v>918175</v>
      </c>
      <c r="F212" s="1804">
        <v>918175</v>
      </c>
      <c r="G212" s="1804">
        <v>1465013</v>
      </c>
      <c r="H212" s="1804">
        <v>1465013</v>
      </c>
      <c r="I212" s="1804">
        <v>1465013</v>
      </c>
      <c r="J212" s="1708"/>
    </row>
    <row r="213" spans="1:10" ht="12.75" customHeight="1" x14ac:dyDescent="0.2">
      <c r="A213" s="791"/>
      <c r="B213" s="796" t="s">
        <v>1250</v>
      </c>
      <c r="C213" s="2615"/>
      <c r="D213" s="1805">
        <v>602075</v>
      </c>
      <c r="E213" s="767">
        <v>602075</v>
      </c>
      <c r="F213" s="1804">
        <v>602075</v>
      </c>
      <c r="G213" s="1804">
        <v>1086156</v>
      </c>
      <c r="H213" s="1804">
        <v>1086156</v>
      </c>
      <c r="I213" s="1804">
        <v>1086156</v>
      </c>
      <c r="J213" s="1708"/>
    </row>
    <row r="214" spans="1:10" ht="12.75" customHeight="1" x14ac:dyDescent="0.2">
      <c r="A214" s="791"/>
      <c r="B214" s="796" t="s">
        <v>1251</v>
      </c>
      <c r="C214" s="2616"/>
      <c r="D214" s="1806">
        <v>126071</v>
      </c>
      <c r="E214" s="767">
        <v>126071</v>
      </c>
      <c r="F214" s="1804">
        <v>126071</v>
      </c>
      <c r="G214" s="1804">
        <v>258394</v>
      </c>
      <c r="H214" s="1804">
        <v>258394</v>
      </c>
      <c r="I214" s="1804">
        <v>258394</v>
      </c>
      <c r="J214" s="1708"/>
    </row>
    <row r="215" spans="1:10" s="1708" customFormat="1" x14ac:dyDescent="0.2">
      <c r="A215" s="791"/>
      <c r="B215" s="796" t="s">
        <v>1252</v>
      </c>
      <c r="C215" s="767">
        <v>307340</v>
      </c>
      <c r="D215" s="893">
        <v>307340</v>
      </c>
      <c r="E215" s="772">
        <v>230505</v>
      </c>
      <c r="F215" s="893">
        <v>307340</v>
      </c>
      <c r="G215" s="767">
        <v>328853.8</v>
      </c>
      <c r="H215" s="879">
        <v>328853.8</v>
      </c>
      <c r="I215" s="773">
        <v>328853.8</v>
      </c>
      <c r="J215" s="1730"/>
    </row>
    <row r="216" spans="1:10" x14ac:dyDescent="0.2">
      <c r="A216" s="791"/>
      <c r="B216" s="796" t="s">
        <v>1253</v>
      </c>
      <c r="C216" s="767">
        <v>300</v>
      </c>
      <c r="D216" s="767">
        <v>300</v>
      </c>
      <c r="E216" s="772">
        <v>450</v>
      </c>
      <c r="F216" s="767">
        <v>450</v>
      </c>
      <c r="G216" s="767">
        <v>300</v>
      </c>
      <c r="H216" s="767">
        <v>300</v>
      </c>
      <c r="I216" s="767">
        <v>300</v>
      </c>
      <c r="J216" s="1708"/>
    </row>
    <row r="217" spans="1:10" x14ac:dyDescent="0.2">
      <c r="A217" s="791"/>
      <c r="B217" s="796" t="s">
        <v>2201</v>
      </c>
      <c r="C217" s="767">
        <v>0</v>
      </c>
      <c r="D217" s="767">
        <v>0</v>
      </c>
      <c r="E217" s="772">
        <v>9000</v>
      </c>
      <c r="F217" s="1712">
        <v>9000</v>
      </c>
      <c r="G217" s="1682">
        <v>0</v>
      </c>
      <c r="H217" s="1682"/>
      <c r="I217" s="1714"/>
      <c r="J217" s="1708"/>
    </row>
    <row r="218" spans="1:10" ht="12.75" customHeight="1" x14ac:dyDescent="0.2">
      <c r="A218" s="791">
        <v>4122</v>
      </c>
      <c r="B218" s="782" t="s">
        <v>221</v>
      </c>
      <c r="C218" s="734">
        <f t="shared" ref="C218:I218" si="44">SUM(C219:C227)</f>
        <v>0</v>
      </c>
      <c r="D218" s="734">
        <f t="shared" si="44"/>
        <v>9826286</v>
      </c>
      <c r="E218" s="734">
        <f t="shared" si="44"/>
        <v>7374786</v>
      </c>
      <c r="F218" s="998">
        <f t="shared" si="44"/>
        <v>10481564</v>
      </c>
      <c r="G218" s="734">
        <f t="shared" si="44"/>
        <v>80000</v>
      </c>
      <c r="H218" s="734">
        <f t="shared" si="44"/>
        <v>80000</v>
      </c>
      <c r="I218" s="783">
        <f t="shared" si="44"/>
        <v>80000</v>
      </c>
      <c r="J218" s="1708"/>
    </row>
    <row r="219" spans="1:10" s="98" customFormat="1" ht="12.75" customHeight="1" x14ac:dyDescent="0.2">
      <c r="A219" s="883"/>
      <c r="B219" s="896" t="s">
        <v>2202</v>
      </c>
      <c r="C219" s="767">
        <v>0</v>
      </c>
      <c r="D219" s="767">
        <v>4743000</v>
      </c>
      <c r="E219" s="767">
        <v>2371500</v>
      </c>
      <c r="F219" s="1807">
        <v>4743000</v>
      </c>
      <c r="G219" s="853">
        <v>0</v>
      </c>
      <c r="H219" s="1688"/>
      <c r="I219" s="1808"/>
      <c r="J219" s="1693"/>
    </row>
    <row r="220" spans="1:10" s="98" customFormat="1" ht="12.75" customHeight="1" x14ac:dyDescent="0.2">
      <c r="A220" s="883"/>
      <c r="B220" s="896" t="s">
        <v>2203</v>
      </c>
      <c r="C220" s="767">
        <v>0</v>
      </c>
      <c r="D220" s="767">
        <f>80000</f>
        <v>80000</v>
      </c>
      <c r="E220" s="767">
        <v>0</v>
      </c>
      <c r="F220" s="1676">
        <v>80000</v>
      </c>
      <c r="G220" s="1800">
        <v>80000</v>
      </c>
      <c r="H220" s="1703">
        <v>80000</v>
      </c>
      <c r="I220" s="1776">
        <v>80000</v>
      </c>
      <c r="J220" s="1693"/>
    </row>
    <row r="221" spans="1:10" s="98" customFormat="1" ht="12.75" customHeight="1" x14ac:dyDescent="0.2">
      <c r="A221" s="852"/>
      <c r="B221" s="896" t="s">
        <v>2204</v>
      </c>
      <c r="C221" s="767">
        <v>0</v>
      </c>
      <c r="D221" s="767">
        <v>210200</v>
      </c>
      <c r="E221" s="767">
        <v>210200</v>
      </c>
      <c r="F221" s="1676">
        <v>210200</v>
      </c>
      <c r="G221" s="1800">
        <v>0</v>
      </c>
      <c r="H221" s="1666"/>
      <c r="I221" s="1691"/>
      <c r="J221" s="1693"/>
    </row>
    <row r="222" spans="1:10" s="98" customFormat="1" ht="12.75" customHeight="1" x14ac:dyDescent="0.2">
      <c r="A222" s="883"/>
      <c r="B222" s="896" t="s">
        <v>2205</v>
      </c>
      <c r="C222" s="767">
        <v>0</v>
      </c>
      <c r="D222" s="767">
        <f>(3419.6+30776.4)</f>
        <v>34196</v>
      </c>
      <c r="E222" s="767">
        <v>34196</v>
      </c>
      <c r="F222" s="1676">
        <v>149498</v>
      </c>
      <c r="G222" s="1800">
        <v>0</v>
      </c>
      <c r="H222" s="1666"/>
      <c r="I222" s="1689"/>
      <c r="J222" s="1693"/>
    </row>
    <row r="223" spans="1:10" s="98" customFormat="1" ht="12.75" customHeight="1" x14ac:dyDescent="0.2">
      <c r="A223" s="883"/>
      <c r="B223" s="896" t="s">
        <v>2206</v>
      </c>
      <c r="C223" s="767">
        <v>0</v>
      </c>
      <c r="D223" s="767">
        <f>(4890+44010)</f>
        <v>48900</v>
      </c>
      <c r="E223" s="767">
        <v>48900</v>
      </c>
      <c r="F223" s="1676">
        <v>32828</v>
      </c>
      <c r="G223" s="1800">
        <v>0</v>
      </c>
      <c r="H223" s="1666"/>
      <c r="I223" s="1689"/>
      <c r="J223" s="1693"/>
    </row>
    <row r="224" spans="1:10" s="98" customFormat="1" ht="12.75" customHeight="1" x14ac:dyDescent="0.2">
      <c r="A224" s="883"/>
      <c r="B224" s="896" t="s">
        <v>2207</v>
      </c>
      <c r="C224" s="767">
        <v>0</v>
      </c>
      <c r="D224" s="767">
        <f>(7519+67671)</f>
        <v>75190</v>
      </c>
      <c r="E224" s="767">
        <v>75190</v>
      </c>
      <c r="F224" s="1676">
        <v>23166</v>
      </c>
      <c r="G224" s="1800">
        <v>0</v>
      </c>
      <c r="H224" s="1666"/>
      <c r="I224" s="1689"/>
      <c r="J224" s="1693"/>
    </row>
    <row r="225" spans="1:10" s="98" customFormat="1" ht="12.75" customHeight="1" x14ac:dyDescent="0.2">
      <c r="A225" s="883"/>
      <c r="B225" s="896" t="s">
        <v>2208</v>
      </c>
      <c r="C225" s="767">
        <v>0</v>
      </c>
      <c r="D225" s="767">
        <f>(6180+55620)</f>
        <v>61800</v>
      </c>
      <c r="E225" s="767">
        <v>61800</v>
      </c>
      <c r="F225" s="1676">
        <v>112237.5</v>
      </c>
      <c r="G225" s="1703">
        <v>0</v>
      </c>
      <c r="H225" s="1666"/>
      <c r="I225" s="1689"/>
      <c r="J225" s="1693"/>
    </row>
    <row r="226" spans="1:10" s="98" customFormat="1" ht="12.75" customHeight="1" x14ac:dyDescent="0.2">
      <c r="A226" s="883"/>
      <c r="B226" s="896" t="s">
        <v>2209</v>
      </c>
      <c r="C226" s="767">
        <v>0</v>
      </c>
      <c r="D226" s="767">
        <v>0</v>
      </c>
      <c r="E226" s="854">
        <v>1829200</v>
      </c>
      <c r="F226" s="1676">
        <v>116634.5</v>
      </c>
      <c r="G226" s="1800">
        <v>0</v>
      </c>
      <c r="H226" s="1666"/>
      <c r="I226" s="1689"/>
      <c r="J226" s="1693"/>
    </row>
    <row r="227" spans="1:10" ht="12.75" customHeight="1" x14ac:dyDescent="0.2">
      <c r="A227" s="1240"/>
      <c r="B227" s="809" t="s">
        <v>2210</v>
      </c>
      <c r="C227" s="1809">
        <v>0</v>
      </c>
      <c r="D227" s="1781">
        <v>4573000</v>
      </c>
      <c r="E227" s="854">
        <v>2743800</v>
      </c>
      <c r="F227" s="1783">
        <v>5014000</v>
      </c>
      <c r="G227" s="1800">
        <v>0</v>
      </c>
      <c r="H227" s="1681"/>
      <c r="I227" s="1711"/>
      <c r="J227" s="1708"/>
    </row>
    <row r="228" spans="1:10" s="98" customFormat="1" x14ac:dyDescent="0.2">
      <c r="A228" s="897">
        <v>4134</v>
      </c>
      <c r="B228" s="787" t="s">
        <v>1273</v>
      </c>
      <c r="C228" s="746">
        <f t="shared" ref="C228:I228" si="45">SUM(C229:C229)</f>
        <v>6000000</v>
      </c>
      <c r="D228" s="746">
        <f t="shared" si="45"/>
        <v>6000000</v>
      </c>
      <c r="E228" s="746">
        <f t="shared" si="45"/>
        <v>3000168.03</v>
      </c>
      <c r="F228" s="746">
        <f t="shared" si="45"/>
        <v>6000000</v>
      </c>
      <c r="G228" s="746">
        <f t="shared" si="45"/>
        <v>7800000</v>
      </c>
      <c r="H228" s="746">
        <f t="shared" si="45"/>
        <v>0</v>
      </c>
      <c r="I228" s="746">
        <f t="shared" si="45"/>
        <v>0</v>
      </c>
      <c r="J228" s="1693"/>
    </row>
    <row r="229" spans="1:10" s="98" customFormat="1" x14ac:dyDescent="0.2">
      <c r="A229" s="812"/>
      <c r="B229" s="796" t="s">
        <v>1275</v>
      </c>
      <c r="C229" s="767">
        <v>6000000</v>
      </c>
      <c r="D229" s="767">
        <v>6000000</v>
      </c>
      <c r="E229" s="772">
        <v>3000168.03</v>
      </c>
      <c r="F229" s="1676">
        <v>6000000</v>
      </c>
      <c r="G229" s="853">
        <v>7800000</v>
      </c>
      <c r="H229" s="1703"/>
      <c r="I229" s="1776"/>
      <c r="J229" s="1693"/>
    </row>
    <row r="230" spans="1:10" s="98" customFormat="1" x14ac:dyDescent="0.2">
      <c r="A230" s="897">
        <v>4140</v>
      </c>
      <c r="B230" s="787" t="s">
        <v>2211</v>
      </c>
      <c r="C230" s="746">
        <v>0</v>
      </c>
      <c r="D230" s="746">
        <v>0</v>
      </c>
      <c r="E230" s="746">
        <v>233553.38</v>
      </c>
      <c r="F230" s="1810">
        <v>0</v>
      </c>
      <c r="G230" s="1690">
        <v>0</v>
      </c>
      <c r="H230" s="1666"/>
      <c r="I230" s="1691"/>
      <c r="J230" s="1693"/>
    </row>
    <row r="231" spans="1:10" s="98" customFormat="1" x14ac:dyDescent="0.2">
      <c r="A231" s="791">
        <v>4213</v>
      </c>
      <c r="B231" s="787" t="s">
        <v>1279</v>
      </c>
      <c r="C231" s="734">
        <f t="shared" ref="C231:I231" si="46">SUM(C232:C233)</f>
        <v>1817357.44</v>
      </c>
      <c r="D231" s="734">
        <f t="shared" si="46"/>
        <v>1817357.44</v>
      </c>
      <c r="E231" s="734">
        <f t="shared" si="46"/>
        <v>0</v>
      </c>
      <c r="F231" s="734">
        <f t="shared" si="46"/>
        <v>0</v>
      </c>
      <c r="G231" s="734">
        <f>SUM(G232:G233)</f>
        <v>2919192.531</v>
      </c>
      <c r="H231" s="734">
        <f t="shared" si="46"/>
        <v>2919192.531</v>
      </c>
      <c r="I231" s="734">
        <f t="shared" si="46"/>
        <v>2919192.531</v>
      </c>
      <c r="J231" s="1693"/>
    </row>
    <row r="232" spans="1:10" s="2" customFormat="1" x14ac:dyDescent="0.2">
      <c r="A232" s="900"/>
      <c r="B232" s="903" t="s">
        <v>2212</v>
      </c>
      <c r="C232" s="772">
        <v>1817357.44</v>
      </c>
      <c r="D232" s="772">
        <v>1817357.44</v>
      </c>
      <c r="E232" s="772">
        <v>0</v>
      </c>
      <c r="F232" s="1676">
        <v>0</v>
      </c>
      <c r="G232" s="1800">
        <v>1817357.44</v>
      </c>
      <c r="H232" s="1800">
        <v>1817357.44</v>
      </c>
      <c r="I232" s="1800">
        <v>1817357.44</v>
      </c>
      <c r="J232" s="1750"/>
    </row>
    <row r="233" spans="1:10" s="2" customFormat="1" x14ac:dyDescent="0.2">
      <c r="A233" s="900"/>
      <c r="B233" s="1423" t="s">
        <v>2213</v>
      </c>
      <c r="C233" s="772">
        <v>0</v>
      </c>
      <c r="D233" s="772">
        <v>0</v>
      </c>
      <c r="E233" s="772">
        <v>0</v>
      </c>
      <c r="F233" s="1811">
        <v>0</v>
      </c>
      <c r="G233" s="1763">
        <v>1101835.091</v>
      </c>
      <c r="H233" s="1763">
        <v>1101835.091</v>
      </c>
      <c r="I233" s="1763">
        <v>1101835.091</v>
      </c>
      <c r="J233" s="1750"/>
    </row>
    <row r="234" spans="1:10" s="98" customFormat="1" ht="12.75" customHeight="1" x14ac:dyDescent="0.2">
      <c r="A234" s="791">
        <v>4216</v>
      </c>
      <c r="B234" s="843" t="s">
        <v>234</v>
      </c>
      <c r="C234" s="904">
        <f>SUM(C235:C242)</f>
        <v>0</v>
      </c>
      <c r="D234" s="904">
        <f>SUM(D235:D241)</f>
        <v>12454656.440000001</v>
      </c>
      <c r="E234" s="904">
        <f>SUM(E235:E241)</f>
        <v>12454656.439999999</v>
      </c>
      <c r="F234" s="904">
        <f>SUM(F235:F242)</f>
        <v>15432684.01</v>
      </c>
      <c r="G234" s="904">
        <f>SUM(G235:G242)</f>
        <v>22851647</v>
      </c>
      <c r="H234" s="904">
        <f>SUM(H235:H241)</f>
        <v>0</v>
      </c>
      <c r="I234" s="904">
        <f>SUM(I235:I241)</f>
        <v>0</v>
      </c>
      <c r="J234" s="1693"/>
    </row>
    <row r="235" spans="1:10" s="98" customFormat="1" ht="12.75" customHeight="1" x14ac:dyDescent="0.2">
      <c r="A235" s="886"/>
      <c r="B235" s="1018" t="s">
        <v>2214</v>
      </c>
      <c r="C235" s="767">
        <v>0</v>
      </c>
      <c r="D235" s="767">
        <f>336616.61+5722482.44</f>
        <v>6059099.0500000007</v>
      </c>
      <c r="E235" s="767">
        <v>6059099.0499999998</v>
      </c>
      <c r="F235" s="1676">
        <v>6059099.0499999998</v>
      </c>
      <c r="G235" s="1800">
        <v>0</v>
      </c>
      <c r="H235" s="1688"/>
      <c r="I235" s="1691"/>
      <c r="J235" s="1693"/>
    </row>
    <row r="236" spans="1:10" s="98" customFormat="1" ht="12.75" customHeight="1" x14ac:dyDescent="0.2">
      <c r="A236" s="888"/>
      <c r="B236" s="1018" t="s">
        <v>2215</v>
      </c>
      <c r="C236" s="767">
        <v>0</v>
      </c>
      <c r="D236" s="767">
        <v>0</v>
      </c>
      <c r="E236" s="767">
        <v>0</v>
      </c>
      <c r="F236" s="1676">
        <v>0</v>
      </c>
      <c r="G236" s="1703">
        <v>13964800</v>
      </c>
      <c r="H236" s="1690"/>
      <c r="I236" s="1666"/>
      <c r="J236" s="1693"/>
    </row>
    <row r="237" spans="1:10" s="98" customFormat="1" ht="12.75" customHeight="1" x14ac:dyDescent="0.2">
      <c r="A237" s="883"/>
      <c r="B237" s="1018" t="s">
        <v>2216</v>
      </c>
      <c r="C237" s="767">
        <v>0</v>
      </c>
      <c r="D237" s="767">
        <v>0</v>
      </c>
      <c r="E237" s="767">
        <v>0</v>
      </c>
      <c r="F237" s="1676">
        <v>0</v>
      </c>
      <c r="G237" s="1703">
        <v>8886847</v>
      </c>
      <c r="H237" s="1666"/>
      <c r="I237" s="1666"/>
      <c r="J237" s="1693"/>
    </row>
    <row r="238" spans="1:10" s="98" customFormat="1" ht="12.75" customHeight="1" x14ac:dyDescent="0.2">
      <c r="A238" s="883"/>
      <c r="B238" s="1018" t="s">
        <v>2217</v>
      </c>
      <c r="C238" s="767">
        <v>0</v>
      </c>
      <c r="D238" s="767">
        <v>0</v>
      </c>
      <c r="E238" s="767">
        <v>0</v>
      </c>
      <c r="F238" s="1676">
        <v>1181626</v>
      </c>
      <c r="G238" s="1703">
        <v>0</v>
      </c>
      <c r="H238" s="1674"/>
      <c r="I238" s="1666"/>
      <c r="J238" s="1693"/>
    </row>
    <row r="239" spans="1:10" s="98" customFormat="1" ht="12.75" customHeight="1" x14ac:dyDescent="0.2">
      <c r="A239" s="883"/>
      <c r="B239" s="796" t="s">
        <v>2218</v>
      </c>
      <c r="C239" s="767">
        <v>0</v>
      </c>
      <c r="D239" s="767">
        <v>881497.39</v>
      </c>
      <c r="E239" s="767">
        <v>881497.39</v>
      </c>
      <c r="F239" s="1703">
        <v>881497.39</v>
      </c>
      <c r="G239" s="1763">
        <v>0</v>
      </c>
      <c r="H239" s="1666"/>
      <c r="I239" s="1726"/>
      <c r="J239" s="1693"/>
    </row>
    <row r="240" spans="1:10" s="98" customFormat="1" ht="12.75" customHeight="1" x14ac:dyDescent="0.2">
      <c r="A240" s="883"/>
      <c r="B240" s="796" t="s">
        <v>2219</v>
      </c>
      <c r="C240" s="767"/>
      <c r="D240" s="767"/>
      <c r="E240" s="767"/>
      <c r="F240" s="1812">
        <v>1093905.82</v>
      </c>
      <c r="G240" s="1813">
        <v>0</v>
      </c>
      <c r="H240" s="1674"/>
      <c r="I240" s="1726"/>
      <c r="J240" s="1693"/>
    </row>
    <row r="241" spans="1:10" s="98" customFormat="1" ht="12.75" customHeight="1" x14ac:dyDescent="0.2">
      <c r="A241" s="852"/>
      <c r="B241" s="901" t="s">
        <v>2220</v>
      </c>
      <c r="C241" s="772">
        <v>0</v>
      </c>
      <c r="D241" s="772">
        <v>5514060</v>
      </c>
      <c r="E241" s="767">
        <v>5514060</v>
      </c>
      <c r="F241" s="893">
        <v>5514060</v>
      </c>
      <c r="G241" s="772">
        <v>0</v>
      </c>
      <c r="H241" s="767">
        <v>0</v>
      </c>
      <c r="I241" s="773">
        <v>0</v>
      </c>
      <c r="J241" s="1730"/>
    </row>
    <row r="242" spans="1:10" s="98" customFormat="1" ht="12.75" customHeight="1" x14ac:dyDescent="0.2">
      <c r="A242" s="852"/>
      <c r="B242" s="901" t="s">
        <v>2221</v>
      </c>
      <c r="C242" s="772">
        <v>0</v>
      </c>
      <c r="D242" s="772"/>
      <c r="E242" s="767"/>
      <c r="F242" s="893">
        <v>702495.75</v>
      </c>
      <c r="G242" s="772">
        <v>0</v>
      </c>
      <c r="H242" s="767"/>
      <c r="I242" s="773"/>
      <c r="J242" s="1730"/>
    </row>
    <row r="243" spans="1:10" s="98" customFormat="1" ht="12.75" customHeight="1" x14ac:dyDescent="0.2">
      <c r="A243" s="791">
        <v>4222</v>
      </c>
      <c r="B243" s="782" t="s">
        <v>245</v>
      </c>
      <c r="C243" s="904">
        <f t="shared" ref="C243:I243" si="47">SUM(C244:C248)</f>
        <v>367960</v>
      </c>
      <c r="D243" s="904">
        <f t="shared" si="47"/>
        <v>667960</v>
      </c>
      <c r="E243" s="904">
        <f t="shared" si="47"/>
        <v>911</v>
      </c>
      <c r="F243" s="904">
        <f t="shared" si="47"/>
        <v>1788891</v>
      </c>
      <c r="G243" s="904">
        <f t="shared" si="47"/>
        <v>679980</v>
      </c>
      <c r="H243" s="904">
        <f t="shared" si="47"/>
        <v>300000</v>
      </c>
      <c r="I243" s="904">
        <f t="shared" si="47"/>
        <v>300000</v>
      </c>
      <c r="J243" s="1693"/>
    </row>
    <row r="244" spans="1:10" s="98" customFormat="1" ht="12.75" customHeight="1" x14ac:dyDescent="0.2">
      <c r="A244" s="883"/>
      <c r="B244" s="824" t="s">
        <v>2222</v>
      </c>
      <c r="C244" s="767">
        <v>0</v>
      </c>
      <c r="D244" s="767">
        <v>300000</v>
      </c>
      <c r="E244" s="767">
        <v>0</v>
      </c>
      <c r="F244" s="1676">
        <v>300000</v>
      </c>
      <c r="G244" s="1800">
        <v>300000</v>
      </c>
      <c r="H244" s="1703">
        <v>300000</v>
      </c>
      <c r="I244" s="1776">
        <v>300000</v>
      </c>
      <c r="J244" s="1693"/>
    </row>
    <row r="245" spans="1:10" s="98" customFormat="1" ht="12.75" customHeight="1" x14ac:dyDescent="0.2">
      <c r="A245" s="883"/>
      <c r="B245" s="778" t="s">
        <v>2223</v>
      </c>
      <c r="C245" s="767">
        <v>0</v>
      </c>
      <c r="D245" s="767">
        <v>0</v>
      </c>
      <c r="E245" s="767">
        <v>911</v>
      </c>
      <c r="F245" s="1676">
        <v>911</v>
      </c>
      <c r="G245" s="1800">
        <v>0</v>
      </c>
      <c r="H245" s="1666"/>
      <c r="I245" s="1691"/>
      <c r="J245" s="1693"/>
    </row>
    <row r="246" spans="1:10" s="98" customFormat="1" ht="12.75" customHeight="1" x14ac:dyDescent="0.2">
      <c r="A246" s="852"/>
      <c r="B246" s="907" t="s">
        <v>1300</v>
      </c>
      <c r="C246" s="908">
        <v>79980</v>
      </c>
      <c r="D246" s="908">
        <v>79980</v>
      </c>
      <c r="E246" s="767">
        <v>0</v>
      </c>
      <c r="F246" s="1676">
        <v>0</v>
      </c>
      <c r="G246" s="1800">
        <v>79980</v>
      </c>
      <c r="H246" s="1690"/>
      <c r="I246" s="1691"/>
      <c r="J246" s="1693"/>
    </row>
    <row r="247" spans="1:10" s="98" customFormat="1" ht="12.75" customHeight="1" x14ac:dyDescent="0.2">
      <c r="A247" s="910"/>
      <c r="B247" s="911" t="s">
        <v>1301</v>
      </c>
      <c r="C247" s="854">
        <v>287980</v>
      </c>
      <c r="D247" s="854">
        <v>287980</v>
      </c>
      <c r="E247" s="854">
        <v>0</v>
      </c>
      <c r="F247" s="1676">
        <v>287980</v>
      </c>
      <c r="G247" s="1800">
        <v>0</v>
      </c>
      <c r="H247" s="1666"/>
      <c r="I247" s="1691"/>
      <c r="J247" s="1693"/>
    </row>
    <row r="248" spans="1:10" s="98" customFormat="1" ht="12.75" customHeight="1" x14ac:dyDescent="0.2">
      <c r="A248" s="910"/>
      <c r="B248" s="1077" t="s">
        <v>2224</v>
      </c>
      <c r="C248" s="733">
        <v>0</v>
      </c>
      <c r="D248" s="1800">
        <v>0</v>
      </c>
      <c r="E248" s="1800">
        <v>0</v>
      </c>
      <c r="F248" s="1703">
        <v>1200000</v>
      </c>
      <c r="G248" s="1703">
        <v>300000</v>
      </c>
      <c r="H248" s="1666"/>
      <c r="I248" s="1666"/>
      <c r="J248" s="1693"/>
    </row>
    <row r="249" spans="1:10" s="98" customFormat="1" x14ac:dyDescent="0.2">
      <c r="A249" s="912"/>
      <c r="B249" s="913"/>
      <c r="C249" s="833"/>
      <c r="D249" s="833"/>
      <c r="E249" s="833"/>
      <c r="F249" s="1692"/>
      <c r="G249" s="1802"/>
      <c r="H249" s="1802"/>
      <c r="I249" s="1814"/>
      <c r="J249" s="1693"/>
    </row>
    <row r="250" spans="1:10" s="98" customFormat="1" ht="20.25" x14ac:dyDescent="0.3">
      <c r="A250" s="915"/>
      <c r="B250" s="916" t="s">
        <v>13</v>
      </c>
      <c r="C250" s="917">
        <f t="shared" ref="C250:I250" si="48">SUM(C33+C68+C167+C194)</f>
        <v>839036351.17000008</v>
      </c>
      <c r="D250" s="917">
        <f t="shared" si="48"/>
        <v>914143653.48999989</v>
      </c>
      <c r="E250" s="917">
        <f t="shared" si="48"/>
        <v>689052670.46999991</v>
      </c>
      <c r="F250" s="917">
        <f t="shared" si="48"/>
        <v>1034743919.52</v>
      </c>
      <c r="G250" s="917">
        <f t="shared" si="48"/>
        <v>880607447.43799996</v>
      </c>
      <c r="H250" s="917">
        <f t="shared" si="48"/>
        <v>656611121.92799997</v>
      </c>
      <c r="I250" s="917">
        <f t="shared" si="48"/>
        <v>664510421.92799997</v>
      </c>
      <c r="J250" s="1693"/>
    </row>
    <row r="251" spans="1:10" s="98" customFormat="1" ht="15.75" x14ac:dyDescent="0.25">
      <c r="A251" s="918"/>
      <c r="B251" s="919"/>
      <c r="C251" s="920"/>
      <c r="D251" s="920"/>
      <c r="E251" s="920"/>
      <c r="F251" s="1692"/>
      <c r="G251" s="1674"/>
      <c r="H251" s="1692"/>
      <c r="I251" s="1674"/>
      <c r="J251" s="1693"/>
    </row>
    <row r="252" spans="1:10" s="98" customFormat="1" ht="18" x14ac:dyDescent="0.25">
      <c r="A252" s="839"/>
      <c r="B252" s="925" t="s">
        <v>14</v>
      </c>
      <c r="C252" s="608">
        <f t="shared" ref="C252:I252" si="49">SUM(C253:C256)</f>
        <v>173504211.83249995</v>
      </c>
      <c r="D252" s="608">
        <f t="shared" si="49"/>
        <v>173504211.83249995</v>
      </c>
      <c r="E252" s="608">
        <f t="shared" si="49"/>
        <v>-8713718.9199999999</v>
      </c>
      <c r="F252" s="608">
        <f t="shared" si="49"/>
        <v>195833328</v>
      </c>
      <c r="G252" s="608">
        <f>SUM(G253:G256)</f>
        <v>240886192.56</v>
      </c>
      <c r="H252" s="608">
        <f t="shared" si="49"/>
        <v>183333328</v>
      </c>
      <c r="I252" s="608">
        <f t="shared" si="49"/>
        <v>173333328</v>
      </c>
      <c r="J252" s="1693"/>
    </row>
    <row r="253" spans="1:10" ht="25.5" x14ac:dyDescent="0.2">
      <c r="A253" s="842">
        <v>8115</v>
      </c>
      <c r="B253" s="926" t="s">
        <v>2225</v>
      </c>
      <c r="C253" s="844">
        <f>50000000+97724250.45+30000000-2140560.86-400000+24200-125387.36-55000</f>
        <v>175027502.22999996</v>
      </c>
      <c r="D253" s="844">
        <f>50000000+97724250.45+30000000-2140560.86-400000+24200-125387.36-55000</f>
        <v>175027502.22999996</v>
      </c>
      <c r="E253" s="882">
        <v>0</v>
      </c>
      <c r="F253" s="1815">
        <v>200000000</v>
      </c>
      <c r="G253" s="1815">
        <f>248167864.56-615000</f>
        <v>247552864.56</v>
      </c>
      <c r="H253" s="1816">
        <v>190000000</v>
      </c>
      <c r="I253" s="1815">
        <v>180000000</v>
      </c>
      <c r="J253" s="1708"/>
    </row>
    <row r="254" spans="1:10" ht="12.75" customHeight="1" x14ac:dyDescent="0.2">
      <c r="A254" s="842">
        <v>8124</v>
      </c>
      <c r="B254" s="928" t="s">
        <v>1304</v>
      </c>
      <c r="C254" s="746">
        <f>-(555556*12)</f>
        <v>-6666672</v>
      </c>
      <c r="D254" s="746">
        <f>-(555556*12)</f>
        <v>-6666672</v>
      </c>
      <c r="E254" s="882">
        <v>-4444448</v>
      </c>
      <c r="F254" s="746">
        <f>-(555556*12)</f>
        <v>-6666672</v>
      </c>
      <c r="G254" s="746">
        <f>-(555556*12)</f>
        <v>-6666672</v>
      </c>
      <c r="H254" s="746">
        <f>-(555556*12)</f>
        <v>-6666672</v>
      </c>
      <c r="I254" s="746">
        <f>-(555556*12)</f>
        <v>-6666672</v>
      </c>
      <c r="J254" s="1708"/>
    </row>
    <row r="255" spans="1:10" ht="25.5" x14ac:dyDescent="0.2">
      <c r="A255" s="842">
        <v>8125</v>
      </c>
      <c r="B255" s="928" t="s">
        <v>2226</v>
      </c>
      <c r="C255" s="746">
        <f>(102867431.07+200.98)*0.05</f>
        <v>5143381.6025</v>
      </c>
      <c r="D255" s="746">
        <f>(102867431.07+200.98)*0.05</f>
        <v>5143381.6025</v>
      </c>
      <c r="E255" s="882">
        <v>0</v>
      </c>
      <c r="F255" s="746">
        <v>0</v>
      </c>
      <c r="G255" s="1671">
        <v>0</v>
      </c>
      <c r="H255" s="1684">
        <v>0</v>
      </c>
      <c r="I255" s="1671">
        <v>0</v>
      </c>
      <c r="J255" s="1708"/>
    </row>
    <row r="256" spans="1:10" s="235" customFormat="1" ht="12.75" customHeight="1" x14ac:dyDescent="0.4">
      <c r="A256" s="791">
        <v>8901</v>
      </c>
      <c r="B256" s="782" t="s">
        <v>254</v>
      </c>
      <c r="C256" s="734">
        <f t="shared" ref="C256:I256" si="50">SUM(C257:C258)</f>
        <v>0</v>
      </c>
      <c r="D256" s="734">
        <f t="shared" si="50"/>
        <v>0</v>
      </c>
      <c r="E256" s="998">
        <f t="shared" si="50"/>
        <v>-4269270.92</v>
      </c>
      <c r="F256" s="998">
        <f t="shared" si="50"/>
        <v>2500000</v>
      </c>
      <c r="G256" s="734">
        <f t="shared" si="50"/>
        <v>0</v>
      </c>
      <c r="H256" s="998">
        <f t="shared" si="50"/>
        <v>0</v>
      </c>
      <c r="I256" s="734">
        <f t="shared" si="50"/>
        <v>0</v>
      </c>
      <c r="J256" s="1817"/>
    </row>
    <row r="257" spans="1:10" s="236" customFormat="1" ht="12.75" customHeight="1" x14ac:dyDescent="0.35">
      <c r="A257" s="887"/>
      <c r="B257" s="933" t="s">
        <v>1306</v>
      </c>
      <c r="C257" s="856">
        <v>0</v>
      </c>
      <c r="D257" s="856">
        <v>0</v>
      </c>
      <c r="E257" s="993">
        <v>-5746361.29</v>
      </c>
      <c r="F257" s="1805">
        <v>1500000</v>
      </c>
      <c r="G257" s="854">
        <v>0</v>
      </c>
      <c r="H257" s="1818"/>
      <c r="I257" s="1819"/>
      <c r="J257" s="1820"/>
    </row>
    <row r="258" spans="1:10" s="236" customFormat="1" ht="12.75" customHeight="1" x14ac:dyDescent="0.35">
      <c r="A258" s="887"/>
      <c r="B258" s="933" t="s">
        <v>2227</v>
      </c>
      <c r="C258" s="856">
        <v>0</v>
      </c>
      <c r="D258" s="856">
        <v>0</v>
      </c>
      <c r="E258" s="993">
        <v>1477090.37</v>
      </c>
      <c r="F258" s="854">
        <v>1000000</v>
      </c>
      <c r="G258" s="854">
        <v>0</v>
      </c>
      <c r="H258" s="1818"/>
      <c r="I258" s="1819"/>
      <c r="J258" s="1820"/>
    </row>
    <row r="259" spans="1:10" x14ac:dyDescent="0.2">
      <c r="A259" s="938"/>
      <c r="B259" s="939"/>
      <c r="C259" s="940"/>
      <c r="D259" s="940"/>
      <c r="E259" s="1821"/>
      <c r="F259" s="1793"/>
      <c r="G259" s="1793"/>
      <c r="H259" s="1712"/>
      <c r="I259" s="1793"/>
      <c r="J259" s="1708"/>
    </row>
    <row r="260" spans="1:10" s="85" customFormat="1" ht="24" customHeight="1" x14ac:dyDescent="0.4">
      <c r="A260" s="946"/>
      <c r="B260" s="947" t="s">
        <v>15</v>
      </c>
      <c r="C260" s="948">
        <f t="shared" ref="C260:I260" si="51">SUM(C250+C252)</f>
        <v>1012540563.0025001</v>
      </c>
      <c r="D260" s="948">
        <f t="shared" si="51"/>
        <v>1087647865.3224998</v>
      </c>
      <c r="E260" s="948">
        <f t="shared" si="51"/>
        <v>680338951.54999995</v>
      </c>
      <c r="F260" s="948">
        <f t="shared" si="51"/>
        <v>1230577247.52</v>
      </c>
      <c r="G260" s="948">
        <f t="shared" si="51"/>
        <v>1121493639.9979999</v>
      </c>
      <c r="H260" s="949">
        <f t="shared" si="51"/>
        <v>839944449.92799997</v>
      </c>
      <c r="I260" s="948">
        <f t="shared" si="51"/>
        <v>837843749.92799997</v>
      </c>
      <c r="J260" s="1822"/>
    </row>
    <row r="261" spans="1:10" s="98" customFormat="1" ht="22.5" customHeight="1" x14ac:dyDescent="0.3">
      <c r="A261" s="950"/>
      <c r="B261" s="951" t="s">
        <v>2228</v>
      </c>
      <c r="C261" s="952"/>
      <c r="D261" s="952"/>
      <c r="E261" s="952"/>
      <c r="F261" s="1692"/>
      <c r="G261" s="1674"/>
      <c r="H261" s="1692"/>
      <c r="I261" s="1802"/>
      <c r="J261" s="1693"/>
    </row>
    <row r="262" spans="1:10" ht="20.25" x14ac:dyDescent="0.3">
      <c r="A262" s="956"/>
      <c r="B262" s="951" t="s">
        <v>258</v>
      </c>
      <c r="C262" s="957">
        <f t="shared" ref="C262:I262" si="52">C263+C277+C307+C317</f>
        <v>90523182</v>
      </c>
      <c r="D262" s="957">
        <f t="shared" si="52"/>
        <v>90996765.629999995</v>
      </c>
      <c r="E262" s="957">
        <f t="shared" si="52"/>
        <v>42993195.109999999</v>
      </c>
      <c r="F262" s="957">
        <f t="shared" si="52"/>
        <v>74799267.25999999</v>
      </c>
      <c r="G262" s="957">
        <f>G263+G277+G307+G317</f>
        <v>79616000</v>
      </c>
      <c r="H262" s="957">
        <f t="shared" si="52"/>
        <v>79756000</v>
      </c>
      <c r="I262" s="1823">
        <f t="shared" si="52"/>
        <v>0</v>
      </c>
      <c r="J262" s="1824"/>
    </row>
    <row r="263" spans="1:10" ht="15.75" x14ac:dyDescent="0.2">
      <c r="A263" s="958"/>
      <c r="B263" s="959" t="s">
        <v>259</v>
      </c>
      <c r="C263" s="960">
        <f t="shared" ref="C263:I263" si="53">SUM(C264+C268+C274)</f>
        <v>3825000</v>
      </c>
      <c r="D263" s="960">
        <f t="shared" si="53"/>
        <v>2643811.7000000002</v>
      </c>
      <c r="E263" s="960">
        <f t="shared" si="53"/>
        <v>905859.6</v>
      </c>
      <c r="F263" s="960">
        <f t="shared" si="53"/>
        <v>2553811.7000000002</v>
      </c>
      <c r="G263" s="960">
        <f>SUM(G264+G268+G274)</f>
        <v>5835000</v>
      </c>
      <c r="H263" s="1825">
        <f t="shared" si="53"/>
        <v>6725000</v>
      </c>
      <c r="I263" s="1109">
        <f t="shared" si="53"/>
        <v>0</v>
      </c>
      <c r="J263" s="1826"/>
    </row>
    <row r="264" spans="1:10" x14ac:dyDescent="0.2">
      <c r="A264" s="962">
        <v>2310</v>
      </c>
      <c r="B264" s="963" t="s">
        <v>1307</v>
      </c>
      <c r="C264" s="964">
        <f t="shared" ref="C264:I264" si="54">SUM(C265:C267)</f>
        <v>1865000</v>
      </c>
      <c r="D264" s="964">
        <f t="shared" si="54"/>
        <v>165000</v>
      </c>
      <c r="E264" s="964">
        <f t="shared" si="54"/>
        <v>0</v>
      </c>
      <c r="F264" s="964">
        <f t="shared" si="54"/>
        <v>115000</v>
      </c>
      <c r="G264" s="964">
        <f t="shared" si="54"/>
        <v>265000</v>
      </c>
      <c r="H264" s="964">
        <f t="shared" si="54"/>
        <v>265000</v>
      </c>
      <c r="I264" s="1827">
        <f t="shared" si="54"/>
        <v>0</v>
      </c>
      <c r="J264" s="1361"/>
    </row>
    <row r="265" spans="1:10" ht="15" x14ac:dyDescent="0.2">
      <c r="A265" s="967" t="s">
        <v>261</v>
      </c>
      <c r="B265" s="778" t="s">
        <v>262</v>
      </c>
      <c r="C265" s="767">
        <v>15000</v>
      </c>
      <c r="D265" s="968">
        <v>15000</v>
      </c>
      <c r="E265" s="968">
        <v>0</v>
      </c>
      <c r="F265" s="739">
        <v>15000</v>
      </c>
      <c r="G265" s="1828">
        <v>15000</v>
      </c>
      <c r="H265" s="1829">
        <v>15000</v>
      </c>
      <c r="I265" s="1830">
        <v>0</v>
      </c>
      <c r="J265" s="1831"/>
    </row>
    <row r="266" spans="1:10" x14ac:dyDescent="0.2">
      <c r="A266" s="967" t="s">
        <v>263</v>
      </c>
      <c r="B266" s="778" t="s">
        <v>2229</v>
      </c>
      <c r="C266" s="767">
        <v>200000</v>
      </c>
      <c r="D266" s="969">
        <v>0</v>
      </c>
      <c r="E266" s="968">
        <v>0</v>
      </c>
      <c r="F266" s="739">
        <v>0</v>
      </c>
      <c r="G266" s="767">
        <v>50000</v>
      </c>
      <c r="H266" s="767">
        <v>50000</v>
      </c>
      <c r="I266" s="1832">
        <v>0</v>
      </c>
      <c r="J266" s="1730"/>
    </row>
    <row r="267" spans="1:10" x14ac:dyDescent="0.2">
      <c r="A267" s="967" t="s">
        <v>265</v>
      </c>
      <c r="B267" s="778" t="s">
        <v>2230</v>
      </c>
      <c r="C267" s="767">
        <v>1650000</v>
      </c>
      <c r="D267" s="970">
        <v>150000</v>
      </c>
      <c r="E267" s="970">
        <v>0</v>
      </c>
      <c r="F267" s="1833">
        <v>100000</v>
      </c>
      <c r="G267" s="767">
        <v>200000</v>
      </c>
      <c r="H267" s="767">
        <v>200000</v>
      </c>
      <c r="I267" s="1832">
        <v>0</v>
      </c>
      <c r="J267" s="1730"/>
    </row>
    <row r="268" spans="1:10" x14ac:dyDescent="0.2">
      <c r="A268" s="791">
        <v>2321</v>
      </c>
      <c r="B268" s="787" t="s">
        <v>1314</v>
      </c>
      <c r="C268" s="734">
        <f t="shared" ref="C268:I268" si="55">SUM(C269:C273)</f>
        <v>1800000</v>
      </c>
      <c r="D268" s="734">
        <f t="shared" si="55"/>
        <v>2318811.7000000002</v>
      </c>
      <c r="E268" s="734">
        <f t="shared" si="55"/>
        <v>905859.6</v>
      </c>
      <c r="F268" s="734">
        <f t="shared" si="55"/>
        <v>2318811.7000000002</v>
      </c>
      <c r="G268" s="734">
        <f t="shared" si="55"/>
        <v>5410000</v>
      </c>
      <c r="H268" s="734">
        <f t="shared" si="55"/>
        <v>6300000</v>
      </c>
      <c r="I268" s="1834">
        <f t="shared" si="55"/>
        <v>0</v>
      </c>
      <c r="J268" s="1361"/>
    </row>
    <row r="269" spans="1:10" x14ac:dyDescent="0.2">
      <c r="A269" s="967" t="s">
        <v>268</v>
      </c>
      <c r="B269" s="778" t="s">
        <v>269</v>
      </c>
      <c r="C269" s="767">
        <v>200000</v>
      </c>
      <c r="D269" s="968">
        <v>270000</v>
      </c>
      <c r="E269" s="968">
        <v>203205</v>
      </c>
      <c r="F269" s="739">
        <v>270000</v>
      </c>
      <c r="G269" s="767">
        <v>300000</v>
      </c>
      <c r="H269" s="767">
        <v>300000</v>
      </c>
      <c r="I269" s="1832">
        <v>0</v>
      </c>
      <c r="J269" s="1730"/>
    </row>
    <row r="270" spans="1:10" s="2" customFormat="1" x14ac:dyDescent="0.2">
      <c r="A270" s="967" t="s">
        <v>270</v>
      </c>
      <c r="B270" s="778" t="s">
        <v>2231</v>
      </c>
      <c r="C270" s="767">
        <v>800000</v>
      </c>
      <c r="D270" s="968">
        <v>800000</v>
      </c>
      <c r="E270" s="968">
        <v>308823.59999999998</v>
      </c>
      <c r="F270" s="739">
        <v>800000</v>
      </c>
      <c r="G270" s="1835">
        <v>910000</v>
      </c>
      <c r="H270" s="1835">
        <v>800000</v>
      </c>
      <c r="I270" s="1836">
        <v>0</v>
      </c>
      <c r="J270" s="1837"/>
    </row>
    <row r="271" spans="1:10" x14ac:dyDescent="0.2">
      <c r="A271" s="1009" t="s">
        <v>270</v>
      </c>
      <c r="B271" s="818" t="s">
        <v>1316</v>
      </c>
      <c r="C271" s="1838">
        <v>600000</v>
      </c>
      <c r="D271" s="934">
        <v>1048811.7</v>
      </c>
      <c r="E271" s="934">
        <v>393831</v>
      </c>
      <c r="F271" s="1839">
        <v>1048811.7</v>
      </c>
      <c r="G271" s="820">
        <v>3000000</v>
      </c>
      <c r="H271" s="767">
        <v>4000000</v>
      </c>
      <c r="I271" s="1832">
        <v>0</v>
      </c>
      <c r="J271" s="1730"/>
    </row>
    <row r="272" spans="1:10" x14ac:dyDescent="0.2">
      <c r="A272" s="1066" t="s">
        <v>417</v>
      </c>
      <c r="B272" s="1039" t="s">
        <v>2232</v>
      </c>
      <c r="C272" s="1077">
        <v>0</v>
      </c>
      <c r="D272" s="779">
        <v>0</v>
      </c>
      <c r="E272" s="1730">
        <v>0</v>
      </c>
      <c r="F272" s="779">
        <v>0</v>
      </c>
      <c r="G272" s="854">
        <v>1000000</v>
      </c>
      <c r="H272" s="1676">
        <v>1000000</v>
      </c>
      <c r="I272" s="1676">
        <v>0</v>
      </c>
      <c r="J272" s="1708"/>
    </row>
    <row r="273" spans="1:13" x14ac:dyDescent="0.2">
      <c r="A273" s="967" t="s">
        <v>272</v>
      </c>
      <c r="B273" s="789" t="s">
        <v>1317</v>
      </c>
      <c r="C273" s="767">
        <v>200000</v>
      </c>
      <c r="D273" s="968">
        <v>200000</v>
      </c>
      <c r="E273" s="968">
        <v>0</v>
      </c>
      <c r="F273" s="739">
        <v>200000</v>
      </c>
      <c r="G273" s="767">
        <v>200000</v>
      </c>
      <c r="H273" s="767">
        <v>200000</v>
      </c>
      <c r="I273" s="1832">
        <v>0</v>
      </c>
      <c r="J273" s="1730"/>
    </row>
    <row r="274" spans="1:13" x14ac:dyDescent="0.2">
      <c r="A274" s="842">
        <v>2333</v>
      </c>
      <c r="B274" s="973" t="s">
        <v>1318</v>
      </c>
      <c r="C274" s="974">
        <f t="shared" ref="C274:I274" si="56">SUM(C275:C276)</f>
        <v>160000</v>
      </c>
      <c r="D274" s="974">
        <f t="shared" si="56"/>
        <v>160000</v>
      </c>
      <c r="E274" s="974">
        <f t="shared" si="56"/>
        <v>0</v>
      </c>
      <c r="F274" s="974">
        <f t="shared" si="56"/>
        <v>120000</v>
      </c>
      <c r="G274" s="974">
        <f t="shared" si="56"/>
        <v>160000</v>
      </c>
      <c r="H274" s="974">
        <f t="shared" si="56"/>
        <v>160000</v>
      </c>
      <c r="I274" s="1840">
        <f t="shared" si="56"/>
        <v>0</v>
      </c>
      <c r="J274" s="1361"/>
    </row>
    <row r="275" spans="1:13" x14ac:dyDescent="0.2">
      <c r="A275" s="967" t="s">
        <v>276</v>
      </c>
      <c r="B275" s="778" t="s">
        <v>1319</v>
      </c>
      <c r="C275" s="767">
        <v>80000</v>
      </c>
      <c r="D275" s="968">
        <v>80000</v>
      </c>
      <c r="E275" s="968">
        <v>0</v>
      </c>
      <c r="F275" s="739">
        <v>80000</v>
      </c>
      <c r="G275" s="767">
        <v>80000</v>
      </c>
      <c r="H275" s="767">
        <v>80000</v>
      </c>
      <c r="I275" s="1832">
        <v>0</v>
      </c>
      <c r="J275" s="1730"/>
    </row>
    <row r="276" spans="1:13" x14ac:dyDescent="0.2">
      <c r="A276" s="967" t="s">
        <v>278</v>
      </c>
      <c r="B276" s="778" t="s">
        <v>2233</v>
      </c>
      <c r="C276" s="779">
        <v>80000</v>
      </c>
      <c r="D276" s="976">
        <v>80000</v>
      </c>
      <c r="E276" s="935">
        <v>0</v>
      </c>
      <c r="F276" s="1841">
        <v>40000</v>
      </c>
      <c r="G276" s="779">
        <v>80000</v>
      </c>
      <c r="H276" s="779">
        <v>80000</v>
      </c>
      <c r="I276" s="1842">
        <v>0</v>
      </c>
      <c r="J276" s="1730"/>
    </row>
    <row r="277" spans="1:13" s="98" customFormat="1" ht="15.75" x14ac:dyDescent="0.25">
      <c r="A277" s="980"/>
      <c r="B277" s="925" t="s">
        <v>279</v>
      </c>
      <c r="C277" s="981">
        <f t="shared" ref="C277:I277" si="57">SUM(C278+C292+C302)</f>
        <v>54135000</v>
      </c>
      <c r="D277" s="981">
        <f t="shared" si="57"/>
        <v>55275039.999999993</v>
      </c>
      <c r="E277" s="981">
        <f t="shared" si="57"/>
        <v>25738423.800000001</v>
      </c>
      <c r="F277" s="981">
        <f t="shared" si="57"/>
        <v>44573135.029999994</v>
      </c>
      <c r="G277" s="981">
        <f t="shared" si="57"/>
        <v>40696000</v>
      </c>
      <c r="H277" s="1110">
        <f t="shared" si="57"/>
        <v>44696000</v>
      </c>
      <c r="I277" s="1109">
        <f t="shared" si="57"/>
        <v>0</v>
      </c>
      <c r="J277" s="1826"/>
    </row>
    <row r="278" spans="1:13" s="98" customFormat="1" x14ac:dyDescent="0.2">
      <c r="A278" s="867">
        <v>2212</v>
      </c>
      <c r="B278" s="963" t="s">
        <v>1321</v>
      </c>
      <c r="C278" s="984">
        <f t="shared" ref="C278:I278" si="58">SUM(C280:C291)</f>
        <v>51195000</v>
      </c>
      <c r="D278" s="984">
        <f t="shared" si="58"/>
        <v>51097073.379999995</v>
      </c>
      <c r="E278" s="984">
        <f t="shared" si="58"/>
        <v>24169736.280000001</v>
      </c>
      <c r="F278" s="984">
        <f t="shared" si="58"/>
        <v>40789893.629999995</v>
      </c>
      <c r="G278" s="984">
        <f t="shared" si="58"/>
        <v>34970000</v>
      </c>
      <c r="H278" s="984">
        <f t="shared" si="58"/>
        <v>37970000</v>
      </c>
      <c r="I278" s="927">
        <f t="shared" si="58"/>
        <v>0</v>
      </c>
      <c r="J278" s="1361"/>
    </row>
    <row r="279" spans="1:13" s="2" customFormat="1" x14ac:dyDescent="0.2">
      <c r="A279" s="900"/>
      <c r="B279" s="889" t="s">
        <v>2234</v>
      </c>
      <c r="C279" s="772">
        <f t="shared" ref="C279:I279" si="59">SUM(C280:C281)</f>
        <v>12550000</v>
      </c>
      <c r="D279" s="772">
        <f t="shared" si="59"/>
        <v>12550000</v>
      </c>
      <c r="E279" s="772">
        <f t="shared" si="59"/>
        <v>0</v>
      </c>
      <c r="F279" s="772">
        <f t="shared" si="59"/>
        <v>1800000</v>
      </c>
      <c r="G279" s="772">
        <f t="shared" si="59"/>
        <v>0</v>
      </c>
      <c r="H279" s="772">
        <f t="shared" si="59"/>
        <v>0</v>
      </c>
      <c r="I279" s="1843">
        <f t="shared" si="59"/>
        <v>0</v>
      </c>
      <c r="J279" s="1730"/>
    </row>
    <row r="280" spans="1:13" s="98" customFormat="1" x14ac:dyDescent="0.2">
      <c r="A280" s="967" t="s">
        <v>282</v>
      </c>
      <c r="B280" s="989" t="s">
        <v>2235</v>
      </c>
      <c r="C280" s="767">
        <v>10750000</v>
      </c>
      <c r="D280" s="893">
        <v>10750000</v>
      </c>
      <c r="E280" s="990">
        <v>0</v>
      </c>
      <c r="F280" s="794">
        <v>0</v>
      </c>
      <c r="G280" s="767">
        <v>0</v>
      </c>
      <c r="H280" s="767">
        <v>0</v>
      </c>
      <c r="I280" s="1832">
        <v>0</v>
      </c>
      <c r="J280" s="1730"/>
    </row>
    <row r="281" spans="1:13" s="98" customFormat="1" ht="25.5" x14ac:dyDescent="0.2">
      <c r="A281" s="967" t="s">
        <v>282</v>
      </c>
      <c r="B281" s="992" t="s">
        <v>2236</v>
      </c>
      <c r="C281" s="767">
        <f>2200000-400000</f>
        <v>1800000</v>
      </c>
      <c r="D281" s="893">
        <v>1800000</v>
      </c>
      <c r="E281" s="990">
        <v>0</v>
      </c>
      <c r="F281" s="794">
        <v>1800000</v>
      </c>
      <c r="G281" s="767">
        <v>0</v>
      </c>
      <c r="H281" s="767">
        <v>0</v>
      </c>
      <c r="I281" s="1832">
        <v>0</v>
      </c>
      <c r="J281" s="1730"/>
    </row>
    <row r="282" spans="1:13" s="98" customFormat="1" x14ac:dyDescent="0.2">
      <c r="A282" s="967" t="s">
        <v>286</v>
      </c>
      <c r="B282" s="778" t="s">
        <v>2237</v>
      </c>
      <c r="C282" s="767">
        <v>4600000</v>
      </c>
      <c r="D282" s="894">
        <v>4600000</v>
      </c>
      <c r="E282" s="990">
        <v>3450000</v>
      </c>
      <c r="F282" s="794">
        <v>4600000</v>
      </c>
      <c r="G282" s="767">
        <v>4800000</v>
      </c>
      <c r="H282" s="767">
        <v>4800000</v>
      </c>
      <c r="I282" s="1832">
        <v>0</v>
      </c>
      <c r="J282" s="1730"/>
    </row>
    <row r="283" spans="1:13" s="98" customFormat="1" x14ac:dyDescent="0.2">
      <c r="A283" s="967" t="s">
        <v>286</v>
      </c>
      <c r="B283" s="778" t="s">
        <v>2238</v>
      </c>
      <c r="C283" s="767">
        <v>24695000</v>
      </c>
      <c r="D283" s="892">
        <v>24341680</v>
      </c>
      <c r="E283" s="990">
        <v>16463336</v>
      </c>
      <c r="F283" s="794">
        <v>24695000</v>
      </c>
      <c r="G283" s="767">
        <v>24500000</v>
      </c>
      <c r="H283" s="767">
        <v>24500000</v>
      </c>
      <c r="I283" s="1832">
        <v>0</v>
      </c>
      <c r="J283" s="1730"/>
      <c r="M283" s="1361"/>
    </row>
    <row r="284" spans="1:13" s="98" customFormat="1" x14ac:dyDescent="0.2">
      <c r="A284" s="967" t="s">
        <v>2239</v>
      </c>
      <c r="B284" s="778" t="s">
        <v>1383</v>
      </c>
      <c r="C284" s="767">
        <v>0</v>
      </c>
      <c r="D284" s="893">
        <v>17472.400000000001</v>
      </c>
      <c r="E284" s="990">
        <v>17472.400000000001</v>
      </c>
      <c r="F284" s="794">
        <v>17472.400000000001</v>
      </c>
      <c r="G284" s="767">
        <v>20000</v>
      </c>
      <c r="H284" s="767">
        <v>20000</v>
      </c>
      <c r="I284" s="1832">
        <v>0</v>
      </c>
      <c r="J284" s="1730"/>
    </row>
    <row r="285" spans="1:13" s="98" customFormat="1" ht="25.5" x14ac:dyDescent="0.2">
      <c r="A285" s="967" t="s">
        <v>291</v>
      </c>
      <c r="B285" s="1844" t="s">
        <v>2240</v>
      </c>
      <c r="C285" s="767">
        <v>2000000</v>
      </c>
      <c r="D285" s="893">
        <v>1137920.98</v>
      </c>
      <c r="E285" s="990">
        <v>1069727.71</v>
      </c>
      <c r="F285" s="794">
        <v>2000000</v>
      </c>
      <c r="G285" s="767">
        <v>3000000</v>
      </c>
      <c r="H285" s="767">
        <v>4000000</v>
      </c>
      <c r="I285" s="1832">
        <v>0</v>
      </c>
      <c r="J285" s="1730"/>
    </row>
    <row r="286" spans="1:13" s="98" customFormat="1" x14ac:dyDescent="0.2">
      <c r="A286" s="967" t="s">
        <v>291</v>
      </c>
      <c r="B286" s="778" t="s">
        <v>1332</v>
      </c>
      <c r="C286" s="767">
        <v>820000</v>
      </c>
      <c r="D286" s="893">
        <v>820000</v>
      </c>
      <c r="E286" s="990">
        <v>665335.23</v>
      </c>
      <c r="F286" s="794">
        <v>665335.23</v>
      </c>
      <c r="G286" s="767">
        <v>0</v>
      </c>
      <c r="H286" s="767">
        <v>0</v>
      </c>
      <c r="I286" s="1832">
        <v>0</v>
      </c>
      <c r="J286" s="1730"/>
    </row>
    <row r="287" spans="1:13" s="98" customFormat="1" x14ac:dyDescent="0.2">
      <c r="A287" s="967" t="s">
        <v>1330</v>
      </c>
      <c r="B287" s="778" t="s">
        <v>2241</v>
      </c>
      <c r="C287" s="767">
        <v>3700000</v>
      </c>
      <c r="D287" s="893">
        <v>3700000</v>
      </c>
      <c r="E287" s="990">
        <v>519786.96</v>
      </c>
      <c r="F287" s="794">
        <v>3700000</v>
      </c>
      <c r="G287" s="793">
        <v>1700000</v>
      </c>
      <c r="H287" s="793">
        <v>3700000</v>
      </c>
      <c r="I287" s="1845">
        <v>0</v>
      </c>
      <c r="J287" s="1772"/>
      <c r="M287" s="1846"/>
    </row>
    <row r="288" spans="1:13" s="98" customFormat="1" ht="15" x14ac:dyDescent="0.2">
      <c r="A288" s="967" t="s">
        <v>293</v>
      </c>
      <c r="B288" s="778" t="s">
        <v>2242</v>
      </c>
      <c r="C288" s="767">
        <f>1230000+800000</f>
        <v>2030000</v>
      </c>
      <c r="D288" s="892">
        <v>2030000</v>
      </c>
      <c r="E288" s="906">
        <v>1010945.48</v>
      </c>
      <c r="F288" s="829">
        <v>1500000</v>
      </c>
      <c r="G288" s="793">
        <v>500000</v>
      </c>
      <c r="H288" s="793">
        <v>500000</v>
      </c>
      <c r="I288" s="1845">
        <v>0</v>
      </c>
      <c r="J288" s="1772"/>
      <c r="M288" s="1846"/>
    </row>
    <row r="289" spans="1:10" s="98" customFormat="1" x14ac:dyDescent="0.2">
      <c r="A289" s="967" t="s">
        <v>1334</v>
      </c>
      <c r="B289" s="778" t="s">
        <v>1335</v>
      </c>
      <c r="C289" s="767">
        <v>450000</v>
      </c>
      <c r="D289" s="993">
        <v>1550000</v>
      </c>
      <c r="E289" s="994">
        <v>973132.5</v>
      </c>
      <c r="F289" s="831">
        <v>1550000</v>
      </c>
      <c r="G289" s="793">
        <v>450000</v>
      </c>
      <c r="H289" s="793">
        <v>450000</v>
      </c>
      <c r="I289" s="1845">
        <v>0</v>
      </c>
      <c r="J289" s="1772"/>
    </row>
    <row r="290" spans="1:10" s="98" customFormat="1" x14ac:dyDescent="0.2">
      <c r="A290" s="967" t="s">
        <v>1336</v>
      </c>
      <c r="B290" s="778" t="s">
        <v>2243</v>
      </c>
      <c r="C290" s="767">
        <v>130000</v>
      </c>
      <c r="D290" s="993">
        <v>87914</v>
      </c>
      <c r="E290" s="994">
        <v>0</v>
      </c>
      <c r="F290" s="831">
        <v>0</v>
      </c>
      <c r="G290" s="767">
        <v>0</v>
      </c>
      <c r="H290" s="767">
        <v>0</v>
      </c>
      <c r="I290" s="1832">
        <v>0</v>
      </c>
      <c r="J290" s="1730"/>
    </row>
    <row r="291" spans="1:10" s="98" customFormat="1" x14ac:dyDescent="0.2">
      <c r="A291" s="967" t="s">
        <v>1338</v>
      </c>
      <c r="B291" s="778" t="s">
        <v>2244</v>
      </c>
      <c r="C291" s="767">
        <v>220000</v>
      </c>
      <c r="D291" s="993">
        <v>262086</v>
      </c>
      <c r="E291" s="994">
        <v>0</v>
      </c>
      <c r="F291" s="831">
        <v>262086</v>
      </c>
      <c r="G291" s="767">
        <v>0</v>
      </c>
      <c r="H291" s="767">
        <v>0</v>
      </c>
      <c r="I291" s="1832">
        <v>0</v>
      </c>
      <c r="J291" s="1730"/>
    </row>
    <row r="292" spans="1:10" s="98" customFormat="1" x14ac:dyDescent="0.2">
      <c r="A292" s="791">
        <v>2219</v>
      </c>
      <c r="B292" s="787" t="s">
        <v>1342</v>
      </c>
      <c r="C292" s="734">
        <f t="shared" ref="C292:I292" si="60">SUM(C293+C300+C301+C299)</f>
        <v>2790000</v>
      </c>
      <c r="D292" s="734">
        <f t="shared" si="60"/>
        <v>4027966.62</v>
      </c>
      <c r="E292" s="734">
        <f t="shared" si="60"/>
        <v>1539865.32</v>
      </c>
      <c r="F292" s="734">
        <f t="shared" si="60"/>
        <v>3677196.8</v>
      </c>
      <c r="G292" s="734">
        <f t="shared" si="60"/>
        <v>5260000</v>
      </c>
      <c r="H292" s="734">
        <f t="shared" si="60"/>
        <v>6260000</v>
      </c>
      <c r="I292" s="1834">
        <f t="shared" si="60"/>
        <v>0</v>
      </c>
      <c r="J292" s="1361"/>
    </row>
    <row r="293" spans="1:10" s="98" customFormat="1" x14ac:dyDescent="0.2">
      <c r="A293" s="900"/>
      <c r="B293" s="889" t="s">
        <v>2245</v>
      </c>
      <c r="C293" s="772">
        <f t="shared" ref="C293:H293" si="61">SUM(C294:C298)</f>
        <v>1880000</v>
      </c>
      <c r="D293" s="772">
        <f t="shared" si="61"/>
        <v>2083007.3599999999</v>
      </c>
      <c r="E293" s="772">
        <f t="shared" si="61"/>
        <v>849230.18</v>
      </c>
      <c r="F293" s="772">
        <f t="shared" si="61"/>
        <v>1732237.54</v>
      </c>
      <c r="G293" s="772">
        <f>SUM(G294:G298)</f>
        <v>150000</v>
      </c>
      <c r="H293" s="772">
        <f t="shared" si="61"/>
        <v>150000</v>
      </c>
      <c r="I293" s="1843">
        <v>0</v>
      </c>
      <c r="J293" s="1730"/>
    </row>
    <row r="294" spans="1:10" s="98" customFormat="1" x14ac:dyDescent="0.2">
      <c r="A294" s="967" t="s">
        <v>1343</v>
      </c>
      <c r="B294" s="778" t="s">
        <v>2246</v>
      </c>
      <c r="C294" s="767">
        <v>30000</v>
      </c>
      <c r="D294" s="893">
        <v>56555</v>
      </c>
      <c r="E294" s="990">
        <v>0</v>
      </c>
      <c r="F294" s="794">
        <v>56555</v>
      </c>
      <c r="G294" s="767">
        <v>0</v>
      </c>
      <c r="H294" s="767">
        <v>0</v>
      </c>
      <c r="I294" s="1832">
        <v>0</v>
      </c>
      <c r="J294" s="1730"/>
    </row>
    <row r="295" spans="1:10" s="98" customFormat="1" x14ac:dyDescent="0.2">
      <c r="A295" s="967" t="s">
        <v>1345</v>
      </c>
      <c r="B295" s="796" t="s">
        <v>1346</v>
      </c>
      <c r="C295" s="767">
        <v>1050000</v>
      </c>
      <c r="D295" s="893">
        <v>1050000</v>
      </c>
      <c r="E295" s="990">
        <v>849230.18</v>
      </c>
      <c r="F295" s="794">
        <v>849230.18</v>
      </c>
      <c r="G295" s="767">
        <v>0</v>
      </c>
      <c r="H295" s="767">
        <v>0</v>
      </c>
      <c r="I295" s="1832">
        <v>0</v>
      </c>
      <c r="J295" s="1730"/>
    </row>
    <row r="296" spans="1:10" s="98" customFormat="1" x14ac:dyDescent="0.2">
      <c r="A296" s="967" t="s">
        <v>477</v>
      </c>
      <c r="B296" s="778" t="s">
        <v>1347</v>
      </c>
      <c r="C296" s="767">
        <v>700000</v>
      </c>
      <c r="D296" s="893">
        <v>700000</v>
      </c>
      <c r="E296" s="990">
        <v>0</v>
      </c>
      <c r="F296" s="794">
        <v>550000</v>
      </c>
      <c r="G296" s="767">
        <v>0</v>
      </c>
      <c r="H296" s="767">
        <v>0</v>
      </c>
      <c r="I296" s="1832">
        <v>0</v>
      </c>
      <c r="J296" s="1730"/>
    </row>
    <row r="297" spans="1:10" s="98" customFormat="1" x14ac:dyDescent="0.2">
      <c r="A297" s="967" t="s">
        <v>1525</v>
      </c>
      <c r="B297" s="778" t="s">
        <v>2247</v>
      </c>
      <c r="C297" s="767">
        <v>0</v>
      </c>
      <c r="D297" s="893">
        <v>176452.36</v>
      </c>
      <c r="E297" s="990">
        <v>0</v>
      </c>
      <c r="F297" s="794">
        <v>176452.36</v>
      </c>
      <c r="G297" s="767">
        <v>0</v>
      </c>
      <c r="H297" s="767">
        <v>0</v>
      </c>
      <c r="I297" s="1832">
        <v>0</v>
      </c>
      <c r="J297" s="1730"/>
    </row>
    <row r="298" spans="1:10" s="98" customFormat="1" x14ac:dyDescent="0.2">
      <c r="A298" s="967" t="s">
        <v>501</v>
      </c>
      <c r="B298" s="778" t="s">
        <v>1350</v>
      </c>
      <c r="C298" s="767">
        <v>100000</v>
      </c>
      <c r="D298" s="893">
        <v>100000</v>
      </c>
      <c r="E298" s="990">
        <v>0</v>
      </c>
      <c r="F298" s="794">
        <v>100000</v>
      </c>
      <c r="G298" s="767">
        <v>150000</v>
      </c>
      <c r="H298" s="767">
        <v>150000</v>
      </c>
      <c r="I298" s="1832">
        <v>0</v>
      </c>
      <c r="J298" s="1730"/>
    </row>
    <row r="299" spans="1:10" s="98" customFormat="1" x14ac:dyDescent="0.2">
      <c r="A299" s="967" t="s">
        <v>1351</v>
      </c>
      <c r="B299" s="778" t="s">
        <v>2248</v>
      </c>
      <c r="C299" s="767">
        <v>10000</v>
      </c>
      <c r="D299" s="893">
        <v>10000</v>
      </c>
      <c r="E299" s="990">
        <v>0</v>
      </c>
      <c r="F299" s="794">
        <v>10000</v>
      </c>
      <c r="G299" s="767">
        <v>10000</v>
      </c>
      <c r="H299" s="767">
        <v>10000</v>
      </c>
      <c r="I299" s="1832">
        <v>0</v>
      </c>
      <c r="J299" s="1730"/>
    </row>
    <row r="300" spans="1:10" ht="15" x14ac:dyDescent="0.2">
      <c r="A300" s="995" t="s">
        <v>299</v>
      </c>
      <c r="B300" s="824" t="s">
        <v>1353</v>
      </c>
      <c r="C300" s="767">
        <v>100000</v>
      </c>
      <c r="D300" s="892">
        <v>23547.64</v>
      </c>
      <c r="E300" s="990">
        <v>2996.58</v>
      </c>
      <c r="F300" s="794">
        <v>23547.64</v>
      </c>
      <c r="G300" s="1828">
        <v>100000</v>
      </c>
      <c r="H300" s="1829">
        <v>100000</v>
      </c>
      <c r="I300" s="1830">
        <v>0</v>
      </c>
      <c r="J300" s="1831"/>
    </row>
    <row r="301" spans="1:10" s="2" customFormat="1" ht="25.5" x14ac:dyDescent="0.2">
      <c r="A301" s="997" t="s">
        <v>301</v>
      </c>
      <c r="B301" s="1847" t="s">
        <v>2249</v>
      </c>
      <c r="C301" s="767">
        <v>800000</v>
      </c>
      <c r="D301" s="892">
        <v>1911411.62</v>
      </c>
      <c r="E301" s="893">
        <v>687638.56</v>
      </c>
      <c r="F301" s="772">
        <v>1911411.62</v>
      </c>
      <c r="G301" s="793">
        <v>5000000</v>
      </c>
      <c r="H301" s="793">
        <v>6000000</v>
      </c>
      <c r="I301" s="1845">
        <v>0</v>
      </c>
      <c r="J301" s="1772"/>
    </row>
    <row r="302" spans="1:10" x14ac:dyDescent="0.2">
      <c r="A302" s="791">
        <v>2221</v>
      </c>
      <c r="B302" s="787" t="s">
        <v>1355</v>
      </c>
      <c r="C302" s="734">
        <f t="shared" ref="C302:I302" si="62">SUM(C303:C306)</f>
        <v>150000</v>
      </c>
      <c r="D302" s="734">
        <f t="shared" si="62"/>
        <v>150000</v>
      </c>
      <c r="E302" s="734">
        <f t="shared" si="62"/>
        <v>28822.2</v>
      </c>
      <c r="F302" s="734">
        <f t="shared" si="62"/>
        <v>106044.6</v>
      </c>
      <c r="G302" s="734">
        <f t="shared" si="62"/>
        <v>466000</v>
      </c>
      <c r="H302" s="734">
        <f t="shared" si="62"/>
        <v>466000</v>
      </c>
      <c r="I302" s="1834">
        <f t="shared" si="62"/>
        <v>0</v>
      </c>
      <c r="J302" s="1361"/>
    </row>
    <row r="303" spans="1:10" x14ac:dyDescent="0.2">
      <c r="A303" s="967" t="s">
        <v>1356</v>
      </c>
      <c r="B303" s="889" t="s">
        <v>2250</v>
      </c>
      <c r="C303" s="767">
        <v>0</v>
      </c>
      <c r="D303" s="820">
        <v>0</v>
      </c>
      <c r="E303" s="892">
        <v>0</v>
      </c>
      <c r="F303" s="856">
        <v>0</v>
      </c>
      <c r="G303" s="767">
        <v>200000</v>
      </c>
      <c r="H303" s="767">
        <v>200000</v>
      </c>
      <c r="I303" s="1832">
        <v>0</v>
      </c>
      <c r="J303" s="1730"/>
    </row>
    <row r="304" spans="1:10" x14ac:dyDescent="0.2">
      <c r="A304" s="999" t="s">
        <v>2251</v>
      </c>
      <c r="B304" s="889" t="s">
        <v>2252</v>
      </c>
      <c r="C304" s="767">
        <v>0</v>
      </c>
      <c r="D304" s="779">
        <v>16044.6</v>
      </c>
      <c r="E304" s="892">
        <v>16044.6</v>
      </c>
      <c r="F304" s="856">
        <v>16044.6</v>
      </c>
      <c r="G304" s="767">
        <v>16000</v>
      </c>
      <c r="H304" s="767">
        <v>16000</v>
      </c>
      <c r="I304" s="1832">
        <v>0</v>
      </c>
      <c r="J304" s="1730"/>
    </row>
    <row r="305" spans="1:10" x14ac:dyDescent="0.2">
      <c r="A305" s="999" t="s">
        <v>308</v>
      </c>
      <c r="B305" s="889" t="s">
        <v>2253</v>
      </c>
      <c r="C305" s="767">
        <v>60000</v>
      </c>
      <c r="D305" s="890">
        <v>43955.4</v>
      </c>
      <c r="E305" s="893">
        <v>0</v>
      </c>
      <c r="F305" s="772">
        <v>0</v>
      </c>
      <c r="G305" s="767">
        <v>100000</v>
      </c>
      <c r="H305" s="767">
        <v>100000</v>
      </c>
      <c r="I305" s="1832">
        <v>0</v>
      </c>
      <c r="J305" s="1730"/>
    </row>
    <row r="306" spans="1:10" x14ac:dyDescent="0.2">
      <c r="A306" s="999" t="s">
        <v>310</v>
      </c>
      <c r="B306" s="889" t="s">
        <v>2254</v>
      </c>
      <c r="C306" s="767">
        <v>90000</v>
      </c>
      <c r="D306" s="914">
        <v>90000</v>
      </c>
      <c r="E306" s="892">
        <v>12777.6</v>
      </c>
      <c r="F306" s="856">
        <v>90000</v>
      </c>
      <c r="G306" s="767">
        <v>150000</v>
      </c>
      <c r="H306" s="767">
        <v>150000</v>
      </c>
      <c r="I306" s="1832">
        <v>0</v>
      </c>
      <c r="J306" s="1730"/>
    </row>
    <row r="307" spans="1:10" ht="15.75" x14ac:dyDescent="0.25">
      <c r="A307" s="980"/>
      <c r="B307" s="925" t="s">
        <v>312</v>
      </c>
      <c r="C307" s="1002">
        <f t="shared" ref="C307:I307" si="63">C308</f>
        <v>5110000</v>
      </c>
      <c r="D307" s="1002">
        <f t="shared" si="63"/>
        <v>5110000</v>
      </c>
      <c r="E307" s="1002">
        <f t="shared" si="63"/>
        <v>629474.9</v>
      </c>
      <c r="F307" s="1002">
        <f t="shared" si="63"/>
        <v>2105000</v>
      </c>
      <c r="G307" s="1002">
        <f t="shared" si="63"/>
        <v>5120000</v>
      </c>
      <c r="H307" s="1848">
        <f t="shared" si="63"/>
        <v>1020000</v>
      </c>
      <c r="I307" s="1849">
        <f t="shared" si="63"/>
        <v>0</v>
      </c>
      <c r="J307" s="1850"/>
    </row>
    <row r="308" spans="1:10" x14ac:dyDescent="0.2">
      <c r="A308" s="962">
        <v>3639</v>
      </c>
      <c r="B308" s="963" t="s">
        <v>313</v>
      </c>
      <c r="C308" s="984">
        <f t="shared" ref="C308:I308" si="64">SUM(C309:C316)</f>
        <v>5110000</v>
      </c>
      <c r="D308" s="984">
        <f t="shared" si="64"/>
        <v>5110000</v>
      </c>
      <c r="E308" s="984">
        <f t="shared" si="64"/>
        <v>629474.9</v>
      </c>
      <c r="F308" s="984">
        <f t="shared" si="64"/>
        <v>2105000</v>
      </c>
      <c r="G308" s="984">
        <f t="shared" si="64"/>
        <v>5120000</v>
      </c>
      <c r="H308" s="984">
        <f t="shared" si="64"/>
        <v>1020000</v>
      </c>
      <c r="I308" s="1851">
        <f t="shared" si="64"/>
        <v>0</v>
      </c>
      <c r="J308" s="1361"/>
    </row>
    <row r="309" spans="1:10" x14ac:dyDescent="0.2">
      <c r="A309" s="967" t="s">
        <v>314</v>
      </c>
      <c r="B309" s="1852" t="s">
        <v>2255</v>
      </c>
      <c r="C309" s="767">
        <v>4500000</v>
      </c>
      <c r="D309" s="772">
        <v>4500000</v>
      </c>
      <c r="E309" s="990">
        <v>306435</v>
      </c>
      <c r="F309" s="794">
        <v>1500000</v>
      </c>
      <c r="G309" s="767">
        <v>4400000</v>
      </c>
      <c r="H309" s="767">
        <v>300000</v>
      </c>
      <c r="I309" s="1832">
        <v>0</v>
      </c>
      <c r="J309" s="1730"/>
    </row>
    <row r="310" spans="1:10" x14ac:dyDescent="0.2">
      <c r="A310" s="1009" t="s">
        <v>316</v>
      </c>
      <c r="B310" s="818" t="s">
        <v>1361</v>
      </c>
      <c r="C310" s="820">
        <v>30000</v>
      </c>
      <c r="D310" s="820">
        <v>25000</v>
      </c>
      <c r="E310" s="829">
        <v>3025</v>
      </c>
      <c r="F310" s="829">
        <v>20000</v>
      </c>
      <c r="G310" s="820">
        <v>40000</v>
      </c>
      <c r="H310" s="820">
        <v>40000</v>
      </c>
      <c r="I310" s="1838">
        <v>0</v>
      </c>
      <c r="J310" s="1730"/>
    </row>
    <row r="311" spans="1:10" x14ac:dyDescent="0.2">
      <c r="A311" s="1010" t="s">
        <v>316</v>
      </c>
      <c r="B311" s="939" t="s">
        <v>1362</v>
      </c>
      <c r="C311" s="890">
        <v>30000</v>
      </c>
      <c r="D311" s="767">
        <v>35000</v>
      </c>
      <c r="E311" s="1011">
        <v>30104</v>
      </c>
      <c r="F311" s="891">
        <v>35000</v>
      </c>
      <c r="G311" s="890">
        <v>30000</v>
      </c>
      <c r="H311" s="890">
        <v>30000</v>
      </c>
      <c r="I311" s="1853">
        <v>0</v>
      </c>
      <c r="J311" s="1730"/>
    </row>
    <row r="312" spans="1:10" x14ac:dyDescent="0.2">
      <c r="A312" s="967" t="s">
        <v>325</v>
      </c>
      <c r="B312" s="778" t="s">
        <v>326</v>
      </c>
      <c r="C312" s="767">
        <v>150000</v>
      </c>
      <c r="D312" s="772">
        <v>150000</v>
      </c>
      <c r="E312" s="893">
        <v>74111.25</v>
      </c>
      <c r="F312" s="772">
        <v>150000</v>
      </c>
      <c r="G312" s="767">
        <v>200000</v>
      </c>
      <c r="H312" s="767">
        <v>200000</v>
      </c>
      <c r="I312" s="1832">
        <v>0</v>
      </c>
      <c r="J312" s="1730"/>
    </row>
    <row r="313" spans="1:10" x14ac:dyDescent="0.2">
      <c r="A313" s="967" t="s">
        <v>321</v>
      </c>
      <c r="B313" s="778" t="s">
        <v>327</v>
      </c>
      <c r="C313" s="767">
        <v>150000</v>
      </c>
      <c r="D313" s="772">
        <v>150000</v>
      </c>
      <c r="E313" s="893">
        <v>61678.75</v>
      </c>
      <c r="F313" s="772">
        <v>150000</v>
      </c>
      <c r="G313" s="767">
        <v>150000</v>
      </c>
      <c r="H313" s="767">
        <v>150000</v>
      </c>
      <c r="I313" s="1832">
        <v>0</v>
      </c>
      <c r="J313" s="1730"/>
    </row>
    <row r="314" spans="1:10" x14ac:dyDescent="0.2">
      <c r="A314" s="967" t="s">
        <v>323</v>
      </c>
      <c r="B314" s="778" t="s">
        <v>328</v>
      </c>
      <c r="C314" s="767">
        <v>210000</v>
      </c>
      <c r="D314" s="772">
        <v>180000</v>
      </c>
      <c r="E314" s="893">
        <v>114052.9</v>
      </c>
      <c r="F314" s="772">
        <v>180000</v>
      </c>
      <c r="G314" s="767">
        <v>210000</v>
      </c>
      <c r="H314" s="767">
        <v>210000</v>
      </c>
      <c r="I314" s="1832">
        <v>0</v>
      </c>
      <c r="J314" s="1730"/>
    </row>
    <row r="315" spans="1:10" x14ac:dyDescent="0.2">
      <c r="A315" s="999" t="s">
        <v>331</v>
      </c>
      <c r="B315" s="796" t="s">
        <v>332</v>
      </c>
      <c r="C315" s="767">
        <v>10000</v>
      </c>
      <c r="D315" s="772">
        <v>0</v>
      </c>
      <c r="E315" s="893">
        <v>0</v>
      </c>
      <c r="F315" s="772">
        <v>0</v>
      </c>
      <c r="G315" s="767">
        <v>0</v>
      </c>
      <c r="H315" s="767">
        <v>0</v>
      </c>
      <c r="I315" s="1832">
        <v>0</v>
      </c>
      <c r="J315" s="1730"/>
    </row>
    <row r="316" spans="1:10" x14ac:dyDescent="0.2">
      <c r="A316" s="999" t="s">
        <v>333</v>
      </c>
      <c r="B316" s="1012" t="s">
        <v>334</v>
      </c>
      <c r="C316" s="767">
        <v>30000</v>
      </c>
      <c r="D316" s="940">
        <v>70000</v>
      </c>
      <c r="E316" s="893">
        <v>40068</v>
      </c>
      <c r="F316" s="772">
        <v>70000</v>
      </c>
      <c r="G316" s="767">
        <v>90000</v>
      </c>
      <c r="H316" s="767">
        <v>90000</v>
      </c>
      <c r="I316" s="1842">
        <v>0</v>
      </c>
      <c r="J316" s="1730"/>
    </row>
    <row r="317" spans="1:10" ht="15.75" x14ac:dyDescent="0.25">
      <c r="A317" s="980"/>
      <c r="B317" s="925" t="s">
        <v>335</v>
      </c>
      <c r="C317" s="1013">
        <f t="shared" ref="C317:I317" si="65">SUM(C318+C323+C331+C334+C339+C346+C365+C373+C375+C378)</f>
        <v>27453182</v>
      </c>
      <c r="D317" s="1013">
        <f t="shared" si="65"/>
        <v>27967913.93</v>
      </c>
      <c r="E317" s="1013">
        <f t="shared" si="65"/>
        <v>15719436.810000002</v>
      </c>
      <c r="F317" s="1013">
        <f t="shared" si="65"/>
        <v>25567320.530000001</v>
      </c>
      <c r="G317" s="1013">
        <f t="shared" si="65"/>
        <v>27965000</v>
      </c>
      <c r="H317" s="1015">
        <f t="shared" si="65"/>
        <v>27315000</v>
      </c>
      <c r="I317" s="1004">
        <f t="shared" si="65"/>
        <v>0</v>
      </c>
      <c r="J317" s="1850"/>
    </row>
    <row r="318" spans="1:10" x14ac:dyDescent="0.2">
      <c r="A318" s="962">
        <v>3341</v>
      </c>
      <c r="B318" s="963" t="s">
        <v>1363</v>
      </c>
      <c r="C318" s="844">
        <f t="shared" ref="C318:I318" si="66">SUM(C319:C322)</f>
        <v>3177552</v>
      </c>
      <c r="D318" s="844">
        <f t="shared" si="66"/>
        <v>3177552</v>
      </c>
      <c r="E318" s="844">
        <f t="shared" si="66"/>
        <v>1758469.68</v>
      </c>
      <c r="F318" s="844">
        <f t="shared" si="66"/>
        <v>2974118.4</v>
      </c>
      <c r="G318" s="844">
        <f t="shared" si="66"/>
        <v>1205000</v>
      </c>
      <c r="H318" s="985">
        <f t="shared" si="66"/>
        <v>1205000</v>
      </c>
      <c r="I318" s="844">
        <f t="shared" si="66"/>
        <v>0</v>
      </c>
      <c r="J318" s="1361"/>
    </row>
    <row r="319" spans="1:10" ht="15" x14ac:dyDescent="0.2">
      <c r="A319" s="967" t="s">
        <v>337</v>
      </c>
      <c r="B319" s="796" t="s">
        <v>338</v>
      </c>
      <c r="C319" s="767">
        <v>200000</v>
      </c>
      <c r="D319" s="893">
        <v>198770</v>
      </c>
      <c r="E319" s="990">
        <v>19612.89</v>
      </c>
      <c r="F319" s="794">
        <v>200000</v>
      </c>
      <c r="G319" s="1828">
        <v>300000</v>
      </c>
      <c r="H319" s="1854">
        <v>300000</v>
      </c>
      <c r="I319" s="1828">
        <v>0</v>
      </c>
      <c r="J319" s="1831"/>
    </row>
    <row r="320" spans="1:10" ht="15" x14ac:dyDescent="0.2">
      <c r="A320" s="967" t="s">
        <v>339</v>
      </c>
      <c r="B320" s="796" t="s">
        <v>1364</v>
      </c>
      <c r="C320" s="767">
        <v>5000</v>
      </c>
      <c r="D320" s="893">
        <v>6230</v>
      </c>
      <c r="E320" s="990">
        <v>6230</v>
      </c>
      <c r="F320" s="794">
        <v>6230</v>
      </c>
      <c r="G320" s="1828">
        <v>5000</v>
      </c>
      <c r="H320" s="1854">
        <v>5000</v>
      </c>
      <c r="I320" s="1828">
        <v>0</v>
      </c>
      <c r="J320" s="1831"/>
    </row>
    <row r="321" spans="1:13" ht="15" x14ac:dyDescent="0.2">
      <c r="A321" s="967" t="s">
        <v>2256</v>
      </c>
      <c r="B321" s="901" t="s">
        <v>2257</v>
      </c>
      <c r="C321" s="767">
        <v>0</v>
      </c>
      <c r="D321" s="893">
        <v>570858</v>
      </c>
      <c r="E321" s="990">
        <v>0</v>
      </c>
      <c r="F321" s="794">
        <v>366194.4</v>
      </c>
      <c r="G321" s="1828">
        <v>300000</v>
      </c>
      <c r="H321" s="1854">
        <v>300000</v>
      </c>
      <c r="I321" s="1828">
        <v>0</v>
      </c>
      <c r="J321" s="1831"/>
    </row>
    <row r="322" spans="1:13" ht="15" x14ac:dyDescent="0.2">
      <c r="A322" s="967" t="s">
        <v>1365</v>
      </c>
      <c r="B322" s="1852" t="s">
        <v>2258</v>
      </c>
      <c r="C322" s="767">
        <v>2972552</v>
      </c>
      <c r="D322" s="893">
        <v>2401694</v>
      </c>
      <c r="E322" s="794">
        <v>1732626.79</v>
      </c>
      <c r="F322" s="794">
        <v>2401694</v>
      </c>
      <c r="G322" s="1828">
        <v>600000</v>
      </c>
      <c r="H322" s="1854">
        <v>600000</v>
      </c>
      <c r="I322" s="1828">
        <v>0</v>
      </c>
      <c r="J322" s="1831"/>
    </row>
    <row r="323" spans="1:13" x14ac:dyDescent="0.2">
      <c r="A323" s="842">
        <v>3421</v>
      </c>
      <c r="B323" s="787" t="s">
        <v>1368</v>
      </c>
      <c r="C323" s="734">
        <f t="shared" ref="C323:I323" si="67">SUM(C324:C330)</f>
        <v>2690000</v>
      </c>
      <c r="D323" s="734">
        <f t="shared" si="67"/>
        <v>2451402.5199999996</v>
      </c>
      <c r="E323" s="734">
        <f t="shared" si="67"/>
        <v>1070420.6000000001</v>
      </c>
      <c r="F323" s="734">
        <f t="shared" si="67"/>
        <v>2289681.3199999998</v>
      </c>
      <c r="G323" s="785">
        <f t="shared" si="67"/>
        <v>3970000</v>
      </c>
      <c r="H323" s="1855">
        <f t="shared" si="67"/>
        <v>3970000</v>
      </c>
      <c r="I323" s="785">
        <f t="shared" si="67"/>
        <v>0</v>
      </c>
      <c r="J323" s="1361"/>
    </row>
    <row r="324" spans="1:13" ht="15" x14ac:dyDescent="0.2">
      <c r="A324" s="967" t="s">
        <v>350</v>
      </c>
      <c r="B324" s="1017" t="s">
        <v>1369</v>
      </c>
      <c r="C324" s="820">
        <v>750000</v>
      </c>
      <c r="D324" s="893">
        <v>524940</v>
      </c>
      <c r="E324" s="990">
        <v>218437.82</v>
      </c>
      <c r="F324" s="794">
        <v>524940</v>
      </c>
      <c r="G324" s="1856">
        <v>550000</v>
      </c>
      <c r="H324" s="1857">
        <v>550000</v>
      </c>
      <c r="I324" s="1856">
        <v>0</v>
      </c>
      <c r="J324" s="1831"/>
    </row>
    <row r="325" spans="1:13" ht="15" x14ac:dyDescent="0.2">
      <c r="A325" s="967" t="s">
        <v>342</v>
      </c>
      <c r="B325" s="1018" t="s">
        <v>1370</v>
      </c>
      <c r="C325" s="767">
        <v>300000</v>
      </c>
      <c r="D325" s="893">
        <v>300000</v>
      </c>
      <c r="E325" s="990">
        <v>0</v>
      </c>
      <c r="F325" s="794">
        <v>0</v>
      </c>
      <c r="G325" s="1828">
        <v>300000</v>
      </c>
      <c r="H325" s="1854">
        <v>300000</v>
      </c>
      <c r="I325" s="1828">
        <v>0</v>
      </c>
      <c r="J325" s="1831"/>
    </row>
    <row r="326" spans="1:13" ht="14.25" customHeight="1" x14ac:dyDescent="0.2">
      <c r="A326" s="967" t="s">
        <v>344</v>
      </c>
      <c r="B326" s="1018" t="s">
        <v>2259</v>
      </c>
      <c r="C326" s="767">
        <v>60000</v>
      </c>
      <c r="D326" s="893">
        <v>20554</v>
      </c>
      <c r="E326" s="990">
        <v>0</v>
      </c>
      <c r="F326" s="794">
        <v>60000</v>
      </c>
      <c r="G326" s="1828">
        <v>20000</v>
      </c>
      <c r="H326" s="1854">
        <v>20000</v>
      </c>
      <c r="I326" s="1828">
        <v>0</v>
      </c>
      <c r="J326" s="1831"/>
    </row>
    <row r="327" spans="1:13" ht="15" x14ac:dyDescent="0.2">
      <c r="A327" s="967" t="s">
        <v>346</v>
      </c>
      <c r="B327" s="1018" t="s">
        <v>2260</v>
      </c>
      <c r="C327" s="767">
        <v>80000</v>
      </c>
      <c r="D327" s="893">
        <v>76975</v>
      </c>
      <c r="E327" s="990">
        <v>0</v>
      </c>
      <c r="F327" s="794">
        <v>80000</v>
      </c>
      <c r="G327" s="1828">
        <v>100000</v>
      </c>
      <c r="H327" s="1854">
        <v>100000</v>
      </c>
      <c r="I327" s="1828">
        <v>0</v>
      </c>
      <c r="J327" s="1831"/>
      <c r="M327" s="1858"/>
    </row>
    <row r="328" spans="1:13" ht="15" x14ac:dyDescent="0.2">
      <c r="A328" s="967" t="s">
        <v>348</v>
      </c>
      <c r="B328" s="1017" t="s">
        <v>2261</v>
      </c>
      <c r="C328" s="767">
        <v>1500000</v>
      </c>
      <c r="D328" s="893">
        <v>1279450.8799999999</v>
      </c>
      <c r="E328" s="990">
        <v>602500.14</v>
      </c>
      <c r="F328" s="794">
        <v>1500000</v>
      </c>
      <c r="G328" s="1828">
        <v>2500000</v>
      </c>
      <c r="H328" s="1854">
        <v>3000000</v>
      </c>
      <c r="I328" s="1828">
        <v>0</v>
      </c>
      <c r="J328" s="1831"/>
    </row>
    <row r="329" spans="1:13" ht="15" x14ac:dyDescent="0.2">
      <c r="A329" s="967" t="s">
        <v>1374</v>
      </c>
      <c r="B329" s="1859" t="s">
        <v>2262</v>
      </c>
      <c r="C329" s="767">
        <v>0</v>
      </c>
      <c r="D329" s="893">
        <v>124741.32</v>
      </c>
      <c r="E329" s="990">
        <v>124741.32</v>
      </c>
      <c r="F329" s="794">
        <v>124741.32</v>
      </c>
      <c r="G329" s="1828">
        <v>0</v>
      </c>
      <c r="H329" s="1854">
        <v>0</v>
      </c>
      <c r="I329" s="1828">
        <v>0</v>
      </c>
      <c r="J329" s="1831"/>
      <c r="M329" s="1858"/>
    </row>
    <row r="330" spans="1:13" ht="15" x14ac:dyDescent="0.2">
      <c r="A330" s="967" t="s">
        <v>1374</v>
      </c>
      <c r="B330" s="1859" t="s">
        <v>2263</v>
      </c>
      <c r="C330" s="767">
        <v>0</v>
      </c>
      <c r="D330" s="893">
        <v>124741.32</v>
      </c>
      <c r="E330" s="990">
        <v>124741.32</v>
      </c>
      <c r="F330" s="794">
        <v>0</v>
      </c>
      <c r="G330" s="1828">
        <v>500000</v>
      </c>
      <c r="H330" s="1854">
        <v>0</v>
      </c>
      <c r="I330" s="1828">
        <v>0</v>
      </c>
      <c r="J330" s="1831"/>
      <c r="M330" s="1858"/>
    </row>
    <row r="331" spans="1:13" x14ac:dyDescent="0.2">
      <c r="A331" s="842">
        <v>3412</v>
      </c>
      <c r="B331" s="787" t="s">
        <v>2264</v>
      </c>
      <c r="C331" s="734">
        <f t="shared" ref="C331:I331" si="68">SUM(C332:C333)</f>
        <v>0</v>
      </c>
      <c r="D331" s="734">
        <f t="shared" si="68"/>
        <v>36251.599999999999</v>
      </c>
      <c r="E331" s="734">
        <f t="shared" si="68"/>
        <v>36251.599999999999</v>
      </c>
      <c r="F331" s="734">
        <f t="shared" si="68"/>
        <v>36251.599999999999</v>
      </c>
      <c r="G331" s="785">
        <f t="shared" si="68"/>
        <v>150000</v>
      </c>
      <c r="H331" s="1855">
        <f t="shared" si="68"/>
        <v>150000</v>
      </c>
      <c r="I331" s="785">
        <f t="shared" si="68"/>
        <v>0</v>
      </c>
      <c r="J331" s="1361"/>
    </row>
    <row r="332" spans="1:13" x14ac:dyDescent="0.2">
      <c r="A332" s="967" t="s">
        <v>2265</v>
      </c>
      <c r="B332" s="1018" t="s">
        <v>2266</v>
      </c>
      <c r="C332" s="767">
        <v>0</v>
      </c>
      <c r="D332" s="893">
        <v>3025</v>
      </c>
      <c r="E332" s="990">
        <v>3025</v>
      </c>
      <c r="F332" s="794">
        <v>3025</v>
      </c>
      <c r="G332" s="1828">
        <v>50000</v>
      </c>
      <c r="H332" s="1854">
        <v>50000</v>
      </c>
      <c r="I332" s="1828">
        <v>0</v>
      </c>
      <c r="J332" s="1730"/>
    </row>
    <row r="333" spans="1:13" x14ac:dyDescent="0.2">
      <c r="A333" s="967" t="s">
        <v>2267</v>
      </c>
      <c r="B333" s="1018" t="s">
        <v>2268</v>
      </c>
      <c r="C333" s="767">
        <v>0</v>
      </c>
      <c r="D333" s="893">
        <v>33226.6</v>
      </c>
      <c r="E333" s="990">
        <v>33226.6</v>
      </c>
      <c r="F333" s="794">
        <v>33226.6</v>
      </c>
      <c r="G333" s="1828">
        <v>100000</v>
      </c>
      <c r="H333" s="1854">
        <v>100000</v>
      </c>
      <c r="I333" s="1828">
        <v>0</v>
      </c>
      <c r="J333" s="1730"/>
    </row>
    <row r="334" spans="1:13" x14ac:dyDescent="0.2">
      <c r="A334" s="842">
        <v>3429</v>
      </c>
      <c r="B334" s="787" t="s">
        <v>2269</v>
      </c>
      <c r="C334" s="734">
        <f t="shared" ref="C334:I334" si="69">SUM(C335:C338)</f>
        <v>0</v>
      </c>
      <c r="D334" s="734">
        <f t="shared" si="69"/>
        <v>327087.2</v>
      </c>
      <c r="E334" s="734">
        <f t="shared" si="69"/>
        <v>327087.2</v>
      </c>
      <c r="F334" s="734">
        <f t="shared" si="69"/>
        <v>327087.2</v>
      </c>
      <c r="G334" s="785">
        <f t="shared" si="69"/>
        <v>140000</v>
      </c>
      <c r="H334" s="1855">
        <f t="shared" si="69"/>
        <v>140000</v>
      </c>
      <c r="I334" s="785">
        <f t="shared" si="69"/>
        <v>0</v>
      </c>
      <c r="J334" s="1361"/>
    </row>
    <row r="335" spans="1:13" x14ac:dyDescent="0.2">
      <c r="A335" s="967" t="s">
        <v>2270</v>
      </c>
      <c r="B335" s="1018" t="s">
        <v>2271</v>
      </c>
      <c r="C335" s="767">
        <v>0</v>
      </c>
      <c r="D335" s="893">
        <v>39446</v>
      </c>
      <c r="E335" s="990">
        <v>39446</v>
      </c>
      <c r="F335" s="794">
        <v>39446</v>
      </c>
      <c r="G335" s="1828">
        <v>20000</v>
      </c>
      <c r="H335" s="1854">
        <v>20000</v>
      </c>
      <c r="I335" s="1828">
        <v>0</v>
      </c>
      <c r="J335" s="1730"/>
    </row>
    <row r="336" spans="1:13" x14ac:dyDescent="0.2">
      <c r="A336" s="967" t="s">
        <v>2272</v>
      </c>
      <c r="B336" s="1018" t="s">
        <v>2273</v>
      </c>
      <c r="C336" s="767">
        <v>0</v>
      </c>
      <c r="D336" s="893">
        <v>0</v>
      </c>
      <c r="E336" s="990">
        <v>0</v>
      </c>
      <c r="F336" s="794">
        <v>0</v>
      </c>
      <c r="G336" s="1828">
        <v>20000</v>
      </c>
      <c r="H336" s="1854">
        <v>20000</v>
      </c>
      <c r="I336" s="1828">
        <v>0</v>
      </c>
      <c r="J336" s="1730"/>
    </row>
    <row r="337" spans="1:10" x14ac:dyDescent="0.2">
      <c r="A337" s="967" t="s">
        <v>2274</v>
      </c>
      <c r="B337" s="1018" t="s">
        <v>2268</v>
      </c>
      <c r="C337" s="767">
        <v>0</v>
      </c>
      <c r="D337" s="893">
        <v>0</v>
      </c>
      <c r="E337" s="990">
        <v>0</v>
      </c>
      <c r="F337" s="794">
        <v>0</v>
      </c>
      <c r="G337" s="1828">
        <v>100000</v>
      </c>
      <c r="H337" s="1854">
        <v>100000</v>
      </c>
      <c r="I337" s="1828">
        <v>0</v>
      </c>
      <c r="J337" s="1730"/>
    </row>
    <row r="338" spans="1:10" ht="15" x14ac:dyDescent="0.2">
      <c r="A338" s="967" t="s">
        <v>2275</v>
      </c>
      <c r="B338" s="1859" t="s">
        <v>2276</v>
      </c>
      <c r="C338" s="767">
        <v>0</v>
      </c>
      <c r="D338" s="893">
        <v>287641.2</v>
      </c>
      <c r="E338" s="990">
        <v>287641.2</v>
      </c>
      <c r="F338" s="794">
        <v>287641.2</v>
      </c>
      <c r="G338" s="1828">
        <v>0</v>
      </c>
      <c r="H338" s="1854">
        <v>0</v>
      </c>
      <c r="I338" s="1828">
        <v>0</v>
      </c>
      <c r="J338" s="1831"/>
    </row>
    <row r="339" spans="1:10" x14ac:dyDescent="0.2">
      <c r="A339" s="791">
        <v>3613</v>
      </c>
      <c r="B339" s="787" t="s">
        <v>1379</v>
      </c>
      <c r="C339" s="734">
        <f t="shared" ref="C339:I339" si="70">SUM(C340:C345)</f>
        <v>1960000</v>
      </c>
      <c r="D339" s="734">
        <f t="shared" si="70"/>
        <v>2385400.31</v>
      </c>
      <c r="E339" s="734">
        <f t="shared" si="70"/>
        <v>1217814.9300000002</v>
      </c>
      <c r="F339" s="734">
        <f t="shared" si="70"/>
        <v>2335400.31</v>
      </c>
      <c r="G339" s="785">
        <f t="shared" si="70"/>
        <v>2380000</v>
      </c>
      <c r="H339" s="1855">
        <f t="shared" si="70"/>
        <v>2380000</v>
      </c>
      <c r="I339" s="785">
        <f t="shared" si="70"/>
        <v>0</v>
      </c>
      <c r="J339" s="1361"/>
    </row>
    <row r="340" spans="1:10" ht="14.25" customHeight="1" x14ac:dyDescent="0.2">
      <c r="A340" s="999" t="s">
        <v>353</v>
      </c>
      <c r="B340" s="889" t="s">
        <v>1382</v>
      </c>
      <c r="C340" s="767">
        <v>5000</v>
      </c>
      <c r="D340" s="893">
        <v>5000</v>
      </c>
      <c r="E340" s="990">
        <v>0</v>
      </c>
      <c r="F340" s="794">
        <v>5000</v>
      </c>
      <c r="G340" s="1828">
        <v>5000</v>
      </c>
      <c r="H340" s="1854">
        <v>5000</v>
      </c>
      <c r="I340" s="1828">
        <v>0</v>
      </c>
      <c r="J340" s="1730"/>
    </row>
    <row r="341" spans="1:10" x14ac:dyDescent="0.2">
      <c r="A341" s="999" t="s">
        <v>355</v>
      </c>
      <c r="B341" s="889" t="s">
        <v>1383</v>
      </c>
      <c r="C341" s="767">
        <v>15000</v>
      </c>
      <c r="D341" s="893">
        <v>15000</v>
      </c>
      <c r="E341" s="990">
        <v>0</v>
      </c>
      <c r="F341" s="794">
        <v>15000</v>
      </c>
      <c r="G341" s="1828">
        <v>15000</v>
      </c>
      <c r="H341" s="1854">
        <v>15000</v>
      </c>
      <c r="I341" s="1828">
        <v>0</v>
      </c>
      <c r="J341" s="1730"/>
    </row>
    <row r="342" spans="1:10" x14ac:dyDescent="0.2">
      <c r="A342" s="999" t="s">
        <v>357</v>
      </c>
      <c r="B342" s="796" t="s">
        <v>1384</v>
      </c>
      <c r="C342" s="767">
        <v>200000</v>
      </c>
      <c r="D342" s="893">
        <v>200000</v>
      </c>
      <c r="E342" s="1023">
        <v>28269</v>
      </c>
      <c r="F342" s="810">
        <v>200000</v>
      </c>
      <c r="G342" s="1828">
        <v>200000</v>
      </c>
      <c r="H342" s="1854">
        <v>200000</v>
      </c>
      <c r="I342" s="1828">
        <v>0</v>
      </c>
      <c r="J342" s="1730"/>
    </row>
    <row r="343" spans="1:10" x14ac:dyDescent="0.2">
      <c r="A343" s="999" t="s">
        <v>359</v>
      </c>
      <c r="B343" s="796" t="s">
        <v>1385</v>
      </c>
      <c r="C343" s="767">
        <v>640000</v>
      </c>
      <c r="D343" s="894">
        <v>640000</v>
      </c>
      <c r="E343" s="894">
        <v>512529.15</v>
      </c>
      <c r="F343" s="767">
        <v>640000</v>
      </c>
      <c r="G343" s="767">
        <v>560000</v>
      </c>
      <c r="H343" s="894">
        <v>560000</v>
      </c>
      <c r="I343" s="767">
        <v>0</v>
      </c>
      <c r="J343" s="1730"/>
    </row>
    <row r="344" spans="1:10" x14ac:dyDescent="0.2">
      <c r="A344" s="999" t="s">
        <v>361</v>
      </c>
      <c r="B344" s="796" t="s">
        <v>1386</v>
      </c>
      <c r="C344" s="767">
        <v>100000</v>
      </c>
      <c r="D344" s="894">
        <v>100000</v>
      </c>
      <c r="E344" s="894">
        <v>0</v>
      </c>
      <c r="F344" s="767">
        <v>50000</v>
      </c>
      <c r="G344" s="767">
        <v>100000</v>
      </c>
      <c r="H344" s="894">
        <v>100000</v>
      </c>
      <c r="I344" s="767">
        <v>0</v>
      </c>
      <c r="J344" s="1730"/>
    </row>
    <row r="345" spans="1:10" ht="25.5" x14ac:dyDescent="0.2">
      <c r="A345" s="999" t="s">
        <v>364</v>
      </c>
      <c r="B345" s="1860" t="s">
        <v>2277</v>
      </c>
      <c r="C345" s="767">
        <v>1000000</v>
      </c>
      <c r="D345" s="894">
        <v>1425400.31</v>
      </c>
      <c r="E345" s="894">
        <v>677016.78</v>
      </c>
      <c r="F345" s="767">
        <v>1425400.31</v>
      </c>
      <c r="G345" s="767">
        <v>1500000</v>
      </c>
      <c r="H345" s="894">
        <v>1500000</v>
      </c>
      <c r="I345" s="767">
        <v>0</v>
      </c>
      <c r="J345" s="1730"/>
    </row>
    <row r="346" spans="1:10" x14ac:dyDescent="0.2">
      <c r="A346" s="791">
        <v>3631</v>
      </c>
      <c r="B346" s="787" t="s">
        <v>1390</v>
      </c>
      <c r="C346" s="734">
        <f t="shared" ref="C346:I346" si="71">SUM(C347++C348+C349+C350+C351+C352+C353)</f>
        <v>15504000</v>
      </c>
      <c r="D346" s="734">
        <f t="shared" si="71"/>
        <v>15115270.299999999</v>
      </c>
      <c r="E346" s="734">
        <f t="shared" si="71"/>
        <v>8588567.8000000007</v>
      </c>
      <c r="F346" s="734">
        <f t="shared" si="71"/>
        <v>13329831.699999999</v>
      </c>
      <c r="G346" s="734">
        <f t="shared" si="71"/>
        <v>15650000</v>
      </c>
      <c r="H346" s="998">
        <f t="shared" si="71"/>
        <v>15000000</v>
      </c>
      <c r="I346" s="734">
        <f t="shared" si="71"/>
        <v>0</v>
      </c>
      <c r="J346" s="1361"/>
    </row>
    <row r="347" spans="1:10" x14ac:dyDescent="0.2">
      <c r="A347" s="967" t="s">
        <v>371</v>
      </c>
      <c r="B347" s="778" t="s">
        <v>1391</v>
      </c>
      <c r="C347" s="767">
        <v>4900000</v>
      </c>
      <c r="D347" s="893">
        <v>4975138</v>
      </c>
      <c r="E347" s="1023">
        <v>3341802</v>
      </c>
      <c r="F347" s="810">
        <v>4900000</v>
      </c>
      <c r="G347" s="767">
        <v>5450000</v>
      </c>
      <c r="H347" s="894">
        <v>5450000</v>
      </c>
      <c r="I347" s="767">
        <v>0</v>
      </c>
      <c r="J347" s="1730"/>
    </row>
    <row r="348" spans="1:10" x14ac:dyDescent="0.2">
      <c r="A348" s="1025" t="s">
        <v>1392</v>
      </c>
      <c r="B348" s="778" t="s">
        <v>1393</v>
      </c>
      <c r="C348" s="767">
        <v>84000</v>
      </c>
      <c r="D348" s="893">
        <v>0</v>
      </c>
      <c r="E348" s="1023">
        <v>0</v>
      </c>
      <c r="F348" s="810">
        <v>0</v>
      </c>
      <c r="G348" s="767">
        <v>0</v>
      </c>
      <c r="H348" s="894">
        <v>0</v>
      </c>
      <c r="I348" s="767">
        <v>0</v>
      </c>
      <c r="J348" s="1730"/>
    </row>
    <row r="349" spans="1:10" x14ac:dyDescent="0.2">
      <c r="A349" s="999" t="s">
        <v>367</v>
      </c>
      <c r="B349" s="778" t="s">
        <v>1394</v>
      </c>
      <c r="C349" s="767">
        <v>50000</v>
      </c>
      <c r="D349" s="893">
        <v>50000</v>
      </c>
      <c r="E349" s="893">
        <v>0</v>
      </c>
      <c r="F349" s="772">
        <v>50000</v>
      </c>
      <c r="G349" s="767">
        <v>50000</v>
      </c>
      <c r="H349" s="894">
        <v>50000</v>
      </c>
      <c r="I349" s="767">
        <v>0</v>
      </c>
      <c r="J349" s="1730"/>
    </row>
    <row r="350" spans="1:10" ht="15" x14ac:dyDescent="0.2">
      <c r="A350" s="999" t="s">
        <v>369</v>
      </c>
      <c r="B350" s="778" t="s">
        <v>1395</v>
      </c>
      <c r="C350" s="767">
        <v>250000</v>
      </c>
      <c r="D350" s="893">
        <v>250000</v>
      </c>
      <c r="E350" s="1023">
        <v>0</v>
      </c>
      <c r="F350" s="810">
        <v>250000</v>
      </c>
      <c r="G350" s="1829">
        <v>0</v>
      </c>
      <c r="H350" s="1861">
        <v>0</v>
      </c>
      <c r="I350" s="1829">
        <v>0</v>
      </c>
      <c r="J350" s="1831"/>
    </row>
    <row r="351" spans="1:10" x14ac:dyDescent="0.2">
      <c r="A351" s="999" t="s">
        <v>369</v>
      </c>
      <c r="B351" s="778" t="s">
        <v>2278</v>
      </c>
      <c r="C351" s="767">
        <v>600000</v>
      </c>
      <c r="D351" s="893">
        <v>387549.24</v>
      </c>
      <c r="E351" s="893">
        <v>360016.14</v>
      </c>
      <c r="F351" s="772">
        <v>387249.24</v>
      </c>
      <c r="G351" s="767">
        <v>1500000</v>
      </c>
      <c r="H351" s="894">
        <v>1500000</v>
      </c>
      <c r="I351" s="767">
        <v>0</v>
      </c>
      <c r="J351" s="1730"/>
    </row>
    <row r="352" spans="1:10" x14ac:dyDescent="0.2">
      <c r="A352" s="967" t="s">
        <v>373</v>
      </c>
      <c r="B352" s="778" t="s">
        <v>374</v>
      </c>
      <c r="C352" s="767">
        <v>7200000</v>
      </c>
      <c r="D352" s="893">
        <v>6481188.2999999998</v>
      </c>
      <c r="E352" s="1026">
        <v>4680523.1500000004</v>
      </c>
      <c r="F352" s="767">
        <v>6481188.2999999998</v>
      </c>
      <c r="G352" s="767">
        <v>6300000</v>
      </c>
      <c r="H352" s="894">
        <v>6300000</v>
      </c>
      <c r="I352" s="767">
        <v>0</v>
      </c>
      <c r="J352" s="1730"/>
    </row>
    <row r="353" spans="1:10" x14ac:dyDescent="0.2">
      <c r="A353" s="967"/>
      <c r="B353" s="889" t="s">
        <v>2279</v>
      </c>
      <c r="C353" s="772">
        <f>SUM(C354:C364)</f>
        <v>2420000</v>
      </c>
      <c r="D353" s="772">
        <f>SUM(D354:D364)</f>
        <v>2971394.76</v>
      </c>
      <c r="E353" s="772">
        <f>SUM(E354:E364)</f>
        <v>206226.51</v>
      </c>
      <c r="F353" s="772">
        <f>SUM(F354:F364)</f>
        <v>1261394.1600000001</v>
      </c>
      <c r="G353" s="772">
        <f>SUM(G355:G364)</f>
        <v>2350000</v>
      </c>
      <c r="H353" s="893">
        <f>SUM(H355:H364)</f>
        <v>1700000</v>
      </c>
      <c r="I353" s="772">
        <v>0</v>
      </c>
      <c r="J353" s="1730"/>
    </row>
    <row r="354" spans="1:10" x14ac:dyDescent="0.2">
      <c r="A354" s="967" t="s">
        <v>2280</v>
      </c>
      <c r="B354" s="1018" t="s">
        <v>2281</v>
      </c>
      <c r="C354" s="767">
        <v>0</v>
      </c>
      <c r="D354" s="893">
        <v>154129.01</v>
      </c>
      <c r="E354" s="990">
        <v>154129.01</v>
      </c>
      <c r="F354" s="794">
        <v>154129.01</v>
      </c>
      <c r="G354" s="767">
        <v>0</v>
      </c>
      <c r="H354" s="894">
        <v>0</v>
      </c>
      <c r="I354" s="767">
        <v>0</v>
      </c>
      <c r="J354" s="1730"/>
    </row>
    <row r="355" spans="1:10" x14ac:dyDescent="0.2">
      <c r="A355" s="967" t="s">
        <v>2280</v>
      </c>
      <c r="B355" s="1018" t="s">
        <v>2282</v>
      </c>
      <c r="C355" s="767">
        <v>0</v>
      </c>
      <c r="D355" s="893">
        <v>300707.75</v>
      </c>
      <c r="E355" s="990">
        <v>48097.5</v>
      </c>
      <c r="F355" s="794">
        <v>300707.15000000002</v>
      </c>
      <c r="G355" s="767">
        <v>0</v>
      </c>
      <c r="H355" s="894">
        <v>0</v>
      </c>
      <c r="I355" s="767">
        <v>0</v>
      </c>
      <c r="J355" s="1730"/>
    </row>
    <row r="356" spans="1:10" x14ac:dyDescent="0.2">
      <c r="A356" s="967" t="s">
        <v>585</v>
      </c>
      <c r="B356" s="1018" t="s">
        <v>2283</v>
      </c>
      <c r="C356" s="767">
        <v>650000</v>
      </c>
      <c r="D356" s="893">
        <v>650000</v>
      </c>
      <c r="E356" s="990">
        <v>0</v>
      </c>
      <c r="F356" s="794">
        <v>0</v>
      </c>
      <c r="G356" s="767">
        <v>650000</v>
      </c>
      <c r="H356" s="894">
        <v>0</v>
      </c>
      <c r="I356" s="767">
        <v>0</v>
      </c>
      <c r="J356" s="1730"/>
    </row>
    <row r="357" spans="1:10" x14ac:dyDescent="0.2">
      <c r="A357" s="967" t="s">
        <v>2284</v>
      </c>
      <c r="B357" s="1018" t="s">
        <v>2285</v>
      </c>
      <c r="C357" s="767">
        <v>0</v>
      </c>
      <c r="D357" s="893">
        <v>70301</v>
      </c>
      <c r="E357" s="990">
        <v>0</v>
      </c>
      <c r="F357" s="794">
        <v>70301</v>
      </c>
      <c r="G357" s="767">
        <v>0</v>
      </c>
      <c r="H357" s="894">
        <v>0</v>
      </c>
      <c r="I357" s="767">
        <v>0</v>
      </c>
      <c r="J357" s="1730"/>
    </row>
    <row r="358" spans="1:10" x14ac:dyDescent="0.2">
      <c r="A358" s="967" t="s">
        <v>577</v>
      </c>
      <c r="B358" s="1018" t="s">
        <v>2286</v>
      </c>
      <c r="C358" s="767">
        <v>0</v>
      </c>
      <c r="D358" s="893">
        <v>26257</v>
      </c>
      <c r="E358" s="1026">
        <v>0</v>
      </c>
      <c r="F358" s="1027">
        <v>26257</v>
      </c>
      <c r="G358" s="767">
        <v>0</v>
      </c>
      <c r="H358" s="894">
        <v>0</v>
      </c>
      <c r="I358" s="767">
        <v>0</v>
      </c>
      <c r="J358" s="1730"/>
    </row>
    <row r="359" spans="1:10" s="2" customFormat="1" x14ac:dyDescent="0.2">
      <c r="A359" s="967" t="s">
        <v>1401</v>
      </c>
      <c r="B359" s="1018" t="s">
        <v>2287</v>
      </c>
      <c r="C359" s="767">
        <v>80000</v>
      </c>
      <c r="D359" s="893">
        <v>80000</v>
      </c>
      <c r="E359" s="1026">
        <v>0</v>
      </c>
      <c r="F359" s="1027">
        <v>80000</v>
      </c>
      <c r="G359" s="767">
        <v>0</v>
      </c>
      <c r="H359" s="894">
        <v>0</v>
      </c>
      <c r="I359" s="767">
        <v>0</v>
      </c>
      <c r="J359" s="1730"/>
    </row>
    <row r="360" spans="1:10" s="98" customFormat="1" x14ac:dyDescent="0.2">
      <c r="A360" s="967" t="s">
        <v>1403</v>
      </c>
      <c r="B360" s="1018" t="s">
        <v>2288</v>
      </c>
      <c r="C360" s="767">
        <v>550000</v>
      </c>
      <c r="D360" s="893">
        <v>550000</v>
      </c>
      <c r="E360" s="1026">
        <v>4000</v>
      </c>
      <c r="F360" s="1027">
        <v>550000</v>
      </c>
      <c r="G360" s="767">
        <v>0</v>
      </c>
      <c r="H360" s="894">
        <v>0</v>
      </c>
      <c r="I360" s="767">
        <v>0</v>
      </c>
      <c r="J360" s="1730"/>
    </row>
    <row r="361" spans="1:10" s="98" customFormat="1" x14ac:dyDescent="0.2">
      <c r="A361" s="1009" t="s">
        <v>1405</v>
      </c>
      <c r="B361" s="1862" t="s">
        <v>2289</v>
      </c>
      <c r="C361" s="820">
        <v>80000</v>
      </c>
      <c r="D361" s="820">
        <v>80000</v>
      </c>
      <c r="E361" s="1863">
        <v>0</v>
      </c>
      <c r="F361" s="1863">
        <v>80000</v>
      </c>
      <c r="G361" s="820">
        <v>0</v>
      </c>
      <c r="H361" s="894">
        <v>0</v>
      </c>
      <c r="I361" s="767">
        <v>0</v>
      </c>
      <c r="J361" s="1730"/>
    </row>
    <row r="362" spans="1:10" x14ac:dyDescent="0.2">
      <c r="A362" s="1150" t="s">
        <v>1759</v>
      </c>
      <c r="B362" s="809" t="s">
        <v>2290</v>
      </c>
      <c r="C362" s="1077">
        <v>0</v>
      </c>
      <c r="D362" s="1077">
        <v>0</v>
      </c>
      <c r="E362" s="1077">
        <v>0</v>
      </c>
      <c r="F362" s="1077">
        <v>0</v>
      </c>
      <c r="G362" s="1077">
        <v>700000</v>
      </c>
      <c r="H362" s="733">
        <v>700000</v>
      </c>
      <c r="I362" s="1864">
        <v>0</v>
      </c>
    </row>
    <row r="363" spans="1:10" s="98" customFormat="1" x14ac:dyDescent="0.2">
      <c r="A363" s="999" t="s">
        <v>1407</v>
      </c>
      <c r="B363" s="1017" t="s">
        <v>2291</v>
      </c>
      <c r="C363" s="767">
        <v>60000</v>
      </c>
      <c r="D363" s="894">
        <v>60000</v>
      </c>
      <c r="E363" s="1865">
        <v>0</v>
      </c>
      <c r="F363" s="1355">
        <v>0</v>
      </c>
      <c r="G363" s="767">
        <v>0</v>
      </c>
      <c r="H363" s="894">
        <v>0</v>
      </c>
      <c r="I363" s="767">
        <v>0</v>
      </c>
      <c r="J363" s="1730"/>
    </row>
    <row r="364" spans="1:10" s="98" customFormat="1" x14ac:dyDescent="0.2">
      <c r="A364" s="1028" t="s">
        <v>591</v>
      </c>
      <c r="B364" s="1029" t="s">
        <v>2292</v>
      </c>
      <c r="C364" s="738">
        <v>1000000</v>
      </c>
      <c r="D364" s="1030">
        <v>1000000</v>
      </c>
      <c r="E364" s="1031">
        <v>0</v>
      </c>
      <c r="F364" s="1032">
        <v>0</v>
      </c>
      <c r="G364" s="738">
        <v>1000000</v>
      </c>
      <c r="H364" s="1338">
        <v>1000000</v>
      </c>
      <c r="I364" s="738">
        <v>0</v>
      </c>
      <c r="J364" s="32"/>
    </row>
    <row r="365" spans="1:10" s="98" customFormat="1" x14ac:dyDescent="0.2">
      <c r="A365" s="771">
        <v>3632</v>
      </c>
      <c r="B365" s="717" t="s">
        <v>2293</v>
      </c>
      <c r="C365" s="726">
        <f t="shared" ref="C365:I365" si="72">SUM(C366:C372)</f>
        <v>3466630</v>
      </c>
      <c r="D365" s="726">
        <f t="shared" si="72"/>
        <v>3466630</v>
      </c>
      <c r="E365" s="726">
        <f t="shared" si="72"/>
        <v>2191329</v>
      </c>
      <c r="F365" s="726">
        <f t="shared" si="72"/>
        <v>3366630</v>
      </c>
      <c r="G365" s="726">
        <f t="shared" si="72"/>
        <v>4015000</v>
      </c>
      <c r="H365" s="1033">
        <f t="shared" si="72"/>
        <v>4015000</v>
      </c>
      <c r="I365" s="726">
        <f t="shared" si="72"/>
        <v>0</v>
      </c>
      <c r="J365" s="1245"/>
    </row>
    <row r="366" spans="1:10" s="98" customFormat="1" x14ac:dyDescent="0.2">
      <c r="A366" s="1028" t="s">
        <v>383</v>
      </c>
      <c r="B366" s="737" t="s">
        <v>2294</v>
      </c>
      <c r="C366" s="1710">
        <v>0</v>
      </c>
      <c r="D366" s="1710">
        <v>0</v>
      </c>
      <c r="E366" s="1710">
        <v>0</v>
      </c>
      <c r="F366" s="1710">
        <v>0</v>
      </c>
      <c r="G366" s="1710">
        <v>50000</v>
      </c>
      <c r="H366" s="1709">
        <v>50000</v>
      </c>
      <c r="I366" s="1710">
        <v>0</v>
      </c>
      <c r="J366" s="1866"/>
    </row>
    <row r="367" spans="1:10" s="98" customFormat="1" x14ac:dyDescent="0.2">
      <c r="A367" s="1028" t="s">
        <v>383</v>
      </c>
      <c r="B367" s="1035" t="s">
        <v>2295</v>
      </c>
      <c r="C367" s="1710">
        <v>0</v>
      </c>
      <c r="D367" s="1710">
        <v>0</v>
      </c>
      <c r="E367" s="1710">
        <v>0</v>
      </c>
      <c r="F367" s="1710">
        <v>0</v>
      </c>
      <c r="G367" s="1710">
        <v>400000</v>
      </c>
      <c r="H367" s="1709">
        <v>400000</v>
      </c>
      <c r="I367" s="1710">
        <v>0</v>
      </c>
      <c r="J367" s="1866"/>
    </row>
    <row r="368" spans="1:10" s="98" customFormat="1" x14ac:dyDescent="0.2">
      <c r="A368" s="1028" t="s">
        <v>383</v>
      </c>
      <c r="B368" s="1035" t="s">
        <v>2296</v>
      </c>
      <c r="C368" s="1710">
        <v>0</v>
      </c>
      <c r="D368" s="1710">
        <v>0</v>
      </c>
      <c r="E368" s="1710">
        <v>0</v>
      </c>
      <c r="F368" s="1710">
        <v>0</v>
      </c>
      <c r="G368" s="1710">
        <v>245000</v>
      </c>
      <c r="H368" s="1709">
        <v>245000</v>
      </c>
      <c r="I368" s="1710">
        <v>0</v>
      </c>
      <c r="J368" s="1866"/>
    </row>
    <row r="369" spans="1:10" s="98" customFormat="1" ht="25.5" x14ac:dyDescent="0.2">
      <c r="A369" s="1028" t="s">
        <v>383</v>
      </c>
      <c r="B369" s="1525" t="s">
        <v>2297</v>
      </c>
      <c r="C369" s="1710">
        <v>0</v>
      </c>
      <c r="D369" s="1710">
        <v>0</v>
      </c>
      <c r="E369" s="1710">
        <v>0</v>
      </c>
      <c r="F369" s="1710">
        <v>0</v>
      </c>
      <c r="G369" s="1710">
        <v>120000</v>
      </c>
      <c r="H369" s="1709">
        <v>120000</v>
      </c>
      <c r="I369" s="1710">
        <v>0</v>
      </c>
      <c r="J369" s="1866"/>
    </row>
    <row r="370" spans="1:10" s="98" customFormat="1" x14ac:dyDescent="0.2">
      <c r="A370" s="1028" t="s">
        <v>377</v>
      </c>
      <c r="B370" s="737" t="s">
        <v>2298</v>
      </c>
      <c r="C370" s="738">
        <f>342430+24200</f>
        <v>366630</v>
      </c>
      <c r="D370" s="1030">
        <v>366630</v>
      </c>
      <c r="E370" s="1030">
        <v>191329</v>
      </c>
      <c r="F370" s="750">
        <v>366630</v>
      </c>
      <c r="G370" s="738">
        <v>0</v>
      </c>
      <c r="H370" s="1338">
        <v>0</v>
      </c>
      <c r="I370" s="738">
        <v>0</v>
      </c>
      <c r="J370" s="32"/>
    </row>
    <row r="371" spans="1:10" s="98" customFormat="1" x14ac:dyDescent="0.2">
      <c r="A371" s="1028" t="s">
        <v>383</v>
      </c>
      <c r="B371" s="737" t="s">
        <v>2299</v>
      </c>
      <c r="C371" s="738">
        <v>3000000</v>
      </c>
      <c r="D371" s="1030">
        <v>3000000</v>
      </c>
      <c r="E371" s="1030">
        <v>2000000</v>
      </c>
      <c r="F371" s="750">
        <v>3000000</v>
      </c>
      <c r="G371" s="738">
        <v>3100000</v>
      </c>
      <c r="H371" s="1338">
        <v>3100000</v>
      </c>
      <c r="I371" s="738">
        <v>0</v>
      </c>
      <c r="J371" s="32"/>
    </row>
    <row r="372" spans="1:10" s="98" customFormat="1" x14ac:dyDescent="0.2">
      <c r="A372" s="1028" t="s">
        <v>387</v>
      </c>
      <c r="B372" s="737" t="s">
        <v>2300</v>
      </c>
      <c r="C372" s="738">
        <v>100000</v>
      </c>
      <c r="D372" s="1030">
        <v>100000</v>
      </c>
      <c r="E372" s="1030">
        <v>0</v>
      </c>
      <c r="F372" s="750">
        <v>0</v>
      </c>
      <c r="G372" s="738">
        <v>100000</v>
      </c>
      <c r="H372" s="1338">
        <v>100000</v>
      </c>
      <c r="I372" s="738">
        <v>0</v>
      </c>
      <c r="J372" s="32"/>
    </row>
    <row r="373" spans="1:10" s="98" customFormat="1" x14ac:dyDescent="0.2">
      <c r="A373" s="771">
        <v>3639</v>
      </c>
      <c r="B373" s="717" t="s">
        <v>1418</v>
      </c>
      <c r="C373" s="726">
        <f t="shared" ref="C373:I373" si="73">SUM(C374:C374)</f>
        <v>5000</v>
      </c>
      <c r="D373" s="726">
        <f t="shared" si="73"/>
        <v>5000</v>
      </c>
      <c r="E373" s="726">
        <f t="shared" si="73"/>
        <v>0</v>
      </c>
      <c r="F373" s="726">
        <f t="shared" si="73"/>
        <v>5000</v>
      </c>
      <c r="G373" s="726">
        <f t="shared" si="73"/>
        <v>5000</v>
      </c>
      <c r="H373" s="1033">
        <f t="shared" si="73"/>
        <v>5000</v>
      </c>
      <c r="I373" s="726">
        <f t="shared" si="73"/>
        <v>0</v>
      </c>
      <c r="J373" s="1245"/>
    </row>
    <row r="374" spans="1:10" s="98" customFormat="1" x14ac:dyDescent="0.2">
      <c r="A374" s="1037" t="s">
        <v>392</v>
      </c>
      <c r="B374" s="737" t="s">
        <v>2301</v>
      </c>
      <c r="C374" s="738">
        <v>5000</v>
      </c>
      <c r="D374" s="1030">
        <v>5000</v>
      </c>
      <c r="E374" s="1030">
        <v>0</v>
      </c>
      <c r="F374" s="750">
        <v>5000</v>
      </c>
      <c r="G374" s="738">
        <v>5000</v>
      </c>
      <c r="H374" s="1338">
        <v>5000</v>
      </c>
      <c r="I374" s="738">
        <v>0</v>
      </c>
      <c r="J374" s="32"/>
    </row>
    <row r="375" spans="1:10" s="98" customFormat="1" x14ac:dyDescent="0.2">
      <c r="A375" s="771">
        <v>3699</v>
      </c>
      <c r="B375" s="717" t="s">
        <v>1421</v>
      </c>
      <c r="C375" s="726">
        <f t="shared" ref="C375:I375" si="74">SUM(C376:C377)</f>
        <v>650000</v>
      </c>
      <c r="D375" s="726">
        <f t="shared" si="74"/>
        <v>650000</v>
      </c>
      <c r="E375" s="726">
        <f t="shared" si="74"/>
        <v>176176</v>
      </c>
      <c r="F375" s="726">
        <f t="shared" si="74"/>
        <v>550000</v>
      </c>
      <c r="G375" s="726">
        <f t="shared" si="74"/>
        <v>450000</v>
      </c>
      <c r="H375" s="1033">
        <f t="shared" si="74"/>
        <v>450000</v>
      </c>
      <c r="I375" s="726">
        <f t="shared" si="74"/>
        <v>0</v>
      </c>
      <c r="J375" s="1245"/>
    </row>
    <row r="376" spans="1:10" s="98" customFormat="1" ht="15" x14ac:dyDescent="0.2">
      <c r="A376" s="1038" t="s">
        <v>1422</v>
      </c>
      <c r="B376" s="1039" t="s">
        <v>2302</v>
      </c>
      <c r="C376" s="1040">
        <v>100000</v>
      </c>
      <c r="D376" s="1041">
        <v>100000</v>
      </c>
      <c r="E376" s="1041">
        <v>0</v>
      </c>
      <c r="F376" s="1042">
        <v>0</v>
      </c>
      <c r="G376" s="1867">
        <v>100000</v>
      </c>
      <c r="H376" s="1868">
        <v>100000</v>
      </c>
      <c r="I376" s="1867">
        <v>0</v>
      </c>
      <c r="J376" s="1869"/>
    </row>
    <row r="377" spans="1:10" x14ac:dyDescent="0.2">
      <c r="A377" s="1043" t="s">
        <v>395</v>
      </c>
      <c r="B377" s="1044" t="s">
        <v>2303</v>
      </c>
      <c r="C377" s="1045">
        <v>550000</v>
      </c>
      <c r="D377" s="1042">
        <v>550000</v>
      </c>
      <c r="E377" s="1042">
        <v>176176</v>
      </c>
      <c r="F377" s="1045">
        <v>550000</v>
      </c>
      <c r="G377" s="1045">
        <v>350000</v>
      </c>
      <c r="H377" s="1041">
        <v>350000</v>
      </c>
      <c r="I377" s="1042">
        <v>0</v>
      </c>
      <c r="J377" s="32"/>
    </row>
    <row r="378" spans="1:10" s="98" customFormat="1" x14ac:dyDescent="0.2">
      <c r="A378" s="1870">
        <v>3900</v>
      </c>
      <c r="B378" s="1240" t="s">
        <v>2304</v>
      </c>
      <c r="C378" s="727">
        <f t="shared" ref="C378:I378" si="75">SUM(C379:C379)</f>
        <v>0</v>
      </c>
      <c r="D378" s="1259">
        <f t="shared" si="75"/>
        <v>353320</v>
      </c>
      <c r="E378" s="727">
        <f t="shared" si="75"/>
        <v>353320</v>
      </c>
      <c r="F378" s="727">
        <f t="shared" si="75"/>
        <v>353320</v>
      </c>
      <c r="G378" s="727">
        <f t="shared" si="75"/>
        <v>0</v>
      </c>
      <c r="H378" s="728">
        <f t="shared" si="75"/>
        <v>0</v>
      </c>
      <c r="I378" s="727">
        <f t="shared" si="75"/>
        <v>0</v>
      </c>
      <c r="J378" s="1245"/>
    </row>
    <row r="379" spans="1:10" s="98" customFormat="1" ht="15" x14ac:dyDescent="0.2">
      <c r="A379" s="1871" t="s">
        <v>2305</v>
      </c>
      <c r="B379" s="1872" t="s">
        <v>2306</v>
      </c>
      <c r="C379" s="1158">
        <v>0</v>
      </c>
      <c r="D379" s="1341">
        <v>353320</v>
      </c>
      <c r="E379" s="1341">
        <v>353320</v>
      </c>
      <c r="F379" s="1158">
        <v>353320</v>
      </c>
      <c r="G379" s="1873">
        <v>0</v>
      </c>
      <c r="H379" s="1874">
        <v>0</v>
      </c>
      <c r="I379" s="1873">
        <v>0</v>
      </c>
      <c r="J379" s="1869"/>
    </row>
    <row r="380" spans="1:10" ht="20.25" x14ac:dyDescent="0.3">
      <c r="A380" s="1050"/>
      <c r="B380" s="1051" t="s">
        <v>1031</v>
      </c>
      <c r="C380" s="1052">
        <f>C381+C394+C461+C491+C503+C516+C521+C533+C577+C597</f>
        <v>268131950</v>
      </c>
      <c r="D380" s="1052">
        <f>D381+D394+D461+D491+D503+D516+D521+D533+D577+D597</f>
        <v>269675855.81999999</v>
      </c>
      <c r="E380" s="1052">
        <f>E381+E394+E461+E491+E503+E516+E521+E533+E577+E597</f>
        <v>44545854.339999996</v>
      </c>
      <c r="F380" s="1052">
        <f>F381+F394+F461+F491+F503+F516+F521+F533+F577+F597</f>
        <v>165786193.34</v>
      </c>
      <c r="G380" s="1052">
        <f>G381+G394+G461+G491+G503+G516+G521+G533+G577+G597</f>
        <v>323519700</v>
      </c>
      <c r="H380" s="1875" t="e">
        <f>H381+H394+H461+H491+H503+H515+H520+H532+H577+#REF!</f>
        <v>#REF!</v>
      </c>
      <c r="I380" s="1052" t="e">
        <f>I381+I394+I461+I491+I503+I515+I520+I532+I577+#REF!</f>
        <v>#REF!</v>
      </c>
    </row>
    <row r="381" spans="1:10" s="98" customFormat="1" ht="15.75" x14ac:dyDescent="0.2">
      <c r="A381" s="1053"/>
      <c r="B381" s="1054" t="s">
        <v>398</v>
      </c>
      <c r="C381" s="1055">
        <f t="shared" ref="C381:G381" si="76">SUM(C382+C386)</f>
        <v>7770000</v>
      </c>
      <c r="D381" s="1055">
        <f t="shared" si="76"/>
        <v>9470000</v>
      </c>
      <c r="E381" s="1055">
        <f t="shared" si="76"/>
        <v>72358</v>
      </c>
      <c r="F381" s="1055">
        <f t="shared" si="76"/>
        <v>1318068</v>
      </c>
      <c r="G381" s="1055">
        <f t="shared" si="76"/>
        <v>9902000</v>
      </c>
      <c r="H381" s="1135">
        <f>SUM(H382+H386)</f>
        <v>0</v>
      </c>
      <c r="I381" s="1055">
        <f>SUM(I382+I386)</f>
        <v>0</v>
      </c>
    </row>
    <row r="382" spans="1:10" s="98" customFormat="1" ht="13.5" customHeight="1" x14ac:dyDescent="0.2">
      <c r="A382" s="764">
        <v>2310</v>
      </c>
      <c r="B382" s="709" t="s">
        <v>1425</v>
      </c>
      <c r="C382" s="731">
        <f>SUM(C383:C385)</f>
        <v>505000</v>
      </c>
      <c r="D382" s="731">
        <f>SUM(D383:D385)</f>
        <v>2205000</v>
      </c>
      <c r="E382" s="731">
        <f t="shared" ref="E382:G382" si="77">SUM(E383:E385)</f>
        <v>12100</v>
      </c>
      <c r="F382" s="731">
        <f t="shared" si="77"/>
        <v>107690</v>
      </c>
      <c r="G382" s="731">
        <f t="shared" si="77"/>
        <v>4560000</v>
      </c>
      <c r="H382" s="1116">
        <f>SUM(H383:H385)</f>
        <v>0</v>
      </c>
      <c r="I382" s="731">
        <f>SUM(I383:I385)</f>
        <v>0</v>
      </c>
    </row>
    <row r="383" spans="1:10" x14ac:dyDescent="0.2">
      <c r="A383" s="1056" t="s">
        <v>404</v>
      </c>
      <c r="B383" s="1057" t="s">
        <v>1426</v>
      </c>
      <c r="C383" s="1058">
        <v>5000</v>
      </c>
      <c r="D383" s="1058">
        <v>5000</v>
      </c>
      <c r="E383" s="305">
        <v>0</v>
      </c>
      <c r="F383" s="1058">
        <v>0</v>
      </c>
      <c r="G383" s="1058">
        <v>5000</v>
      </c>
      <c r="H383" s="733">
        <v>0</v>
      </c>
      <c r="I383" s="1864">
        <v>0</v>
      </c>
    </row>
    <row r="384" spans="1:10" x14ac:dyDescent="0.2">
      <c r="A384" s="1056" t="s">
        <v>1427</v>
      </c>
      <c r="B384" s="1057" t="s">
        <v>1428</v>
      </c>
      <c r="C384" s="1058">
        <v>500000</v>
      </c>
      <c r="D384" s="1058">
        <v>500000</v>
      </c>
      <c r="E384" s="305">
        <v>0</v>
      </c>
      <c r="F384" s="1058">
        <v>0</v>
      </c>
      <c r="G384" s="1058">
        <v>5000</v>
      </c>
      <c r="H384" s="733">
        <v>0</v>
      </c>
      <c r="I384" s="1864">
        <v>0</v>
      </c>
    </row>
    <row r="385" spans="1:9" x14ac:dyDescent="0.2">
      <c r="A385" s="1876" t="s">
        <v>2307</v>
      </c>
      <c r="B385" s="1877" t="s">
        <v>2308</v>
      </c>
      <c r="C385" s="1126">
        <v>0</v>
      </c>
      <c r="D385" s="1126">
        <v>1700000</v>
      </c>
      <c r="E385" s="1073">
        <v>12100</v>
      </c>
      <c r="F385" s="1126">
        <v>107690</v>
      </c>
      <c r="G385" s="1126">
        <v>4550000</v>
      </c>
      <c r="H385" s="733">
        <v>0</v>
      </c>
      <c r="I385" s="1864">
        <v>0</v>
      </c>
    </row>
    <row r="386" spans="1:9" x14ac:dyDescent="0.2">
      <c r="A386" s="764">
        <v>2321</v>
      </c>
      <c r="B386" s="709" t="s">
        <v>1429</v>
      </c>
      <c r="C386" s="731">
        <f t="shared" ref="C386:G386" si="78">SUM(C387:C393)</f>
        <v>7265000</v>
      </c>
      <c r="D386" s="731">
        <f t="shared" si="78"/>
        <v>7265000</v>
      </c>
      <c r="E386" s="731">
        <f t="shared" si="78"/>
        <v>60258</v>
      </c>
      <c r="F386" s="731">
        <f t="shared" si="78"/>
        <v>1210378</v>
      </c>
      <c r="G386" s="731">
        <f t="shared" si="78"/>
        <v>5342000</v>
      </c>
      <c r="H386" s="1116">
        <f>SUM(H387:H393)</f>
        <v>0</v>
      </c>
      <c r="I386" s="731">
        <f>SUM(I387:I393)</f>
        <v>0</v>
      </c>
    </row>
    <row r="387" spans="1:9" x14ac:dyDescent="0.2">
      <c r="A387" s="1056" t="s">
        <v>1430</v>
      </c>
      <c r="B387" s="1057" t="s">
        <v>1431</v>
      </c>
      <c r="C387" s="1058">
        <v>5000</v>
      </c>
      <c r="D387" s="1058">
        <v>5000</v>
      </c>
      <c r="E387" s="305">
        <v>0</v>
      </c>
      <c r="F387" s="1058">
        <v>0</v>
      </c>
      <c r="G387" s="1058">
        <v>5000</v>
      </c>
      <c r="H387" s="733">
        <v>0</v>
      </c>
      <c r="I387" s="1864">
        <v>0</v>
      </c>
    </row>
    <row r="388" spans="1:9" x14ac:dyDescent="0.2">
      <c r="A388" s="1056" t="s">
        <v>1432</v>
      </c>
      <c r="B388" s="1057" t="s">
        <v>1433</v>
      </c>
      <c r="C388" s="1878">
        <v>750000</v>
      </c>
      <c r="D388" s="1878">
        <v>750000</v>
      </c>
      <c r="E388" s="1879">
        <v>0</v>
      </c>
      <c r="F388" s="1878">
        <v>0</v>
      </c>
      <c r="G388" s="1878">
        <v>750000</v>
      </c>
      <c r="H388" s="733">
        <v>0</v>
      </c>
      <c r="I388" s="1864">
        <v>0</v>
      </c>
    </row>
    <row r="389" spans="1:9" x14ac:dyDescent="0.2">
      <c r="A389" s="1056" t="s">
        <v>1434</v>
      </c>
      <c r="B389" s="1057" t="s">
        <v>2309</v>
      </c>
      <c r="C389" s="1058">
        <v>500000</v>
      </c>
      <c r="D389" s="1058">
        <v>500000</v>
      </c>
      <c r="E389" s="305">
        <v>0</v>
      </c>
      <c r="F389" s="1058">
        <v>0</v>
      </c>
      <c r="G389" s="1058">
        <v>5000</v>
      </c>
      <c r="H389" s="733">
        <v>0</v>
      </c>
      <c r="I389" s="1864">
        <v>0</v>
      </c>
    </row>
    <row r="390" spans="1:9" x14ac:dyDescent="0.2">
      <c r="A390" s="1056" t="s">
        <v>1436</v>
      </c>
      <c r="B390" s="1057" t="s">
        <v>1437</v>
      </c>
      <c r="C390" s="1058">
        <v>500000</v>
      </c>
      <c r="D390" s="1058">
        <v>499700</v>
      </c>
      <c r="E390" s="305">
        <v>0</v>
      </c>
      <c r="F390" s="1058">
        <v>450120</v>
      </c>
      <c r="G390" s="1058">
        <v>67000</v>
      </c>
      <c r="H390" s="733">
        <v>0</v>
      </c>
      <c r="I390" s="1864">
        <v>0</v>
      </c>
    </row>
    <row r="391" spans="1:9" x14ac:dyDescent="0.2">
      <c r="A391" s="1056" t="s">
        <v>413</v>
      </c>
      <c r="B391" s="1057" t="s">
        <v>414</v>
      </c>
      <c r="C391" s="1058">
        <v>5000000</v>
      </c>
      <c r="D391" s="1058">
        <v>5000000</v>
      </c>
      <c r="E391" s="305">
        <v>0</v>
      </c>
      <c r="F391" s="1058">
        <v>0</v>
      </c>
      <c r="G391" s="1058">
        <v>4200000</v>
      </c>
      <c r="H391" s="733">
        <v>0</v>
      </c>
      <c r="I391" s="1864">
        <v>0</v>
      </c>
    </row>
    <row r="392" spans="1:9" x14ac:dyDescent="0.2">
      <c r="A392" s="1059" t="s">
        <v>417</v>
      </c>
      <c r="B392" s="1060" t="s">
        <v>2310</v>
      </c>
      <c r="C392" s="1061">
        <v>60000</v>
      </c>
      <c r="D392" s="1061">
        <v>60300</v>
      </c>
      <c r="E392" s="311">
        <v>60258</v>
      </c>
      <c r="F392" s="1061">
        <v>610258</v>
      </c>
      <c r="G392" s="1061">
        <v>0</v>
      </c>
      <c r="H392" s="733">
        <v>0</v>
      </c>
      <c r="I392" s="1864">
        <v>0</v>
      </c>
    </row>
    <row r="393" spans="1:9" x14ac:dyDescent="0.2">
      <c r="A393" s="1056" t="s">
        <v>415</v>
      </c>
      <c r="B393" s="1057" t="s">
        <v>1438</v>
      </c>
      <c r="C393" s="1058">
        <v>450000</v>
      </c>
      <c r="D393" s="1058">
        <v>450000</v>
      </c>
      <c r="E393" s="305">
        <v>0</v>
      </c>
      <c r="F393" s="1058">
        <v>150000</v>
      </c>
      <c r="G393" s="1058">
        <v>315000</v>
      </c>
      <c r="H393" s="733">
        <v>0</v>
      </c>
      <c r="I393" s="1864">
        <v>0</v>
      </c>
    </row>
    <row r="394" spans="1:9" ht="15.75" x14ac:dyDescent="0.25">
      <c r="A394" s="690"/>
      <c r="B394" s="1062" t="s">
        <v>424</v>
      </c>
      <c r="C394" s="1055">
        <f t="shared" ref="C394:G394" si="79">SUM(C395+C422+C457)</f>
        <v>65784950</v>
      </c>
      <c r="D394" s="1055">
        <f t="shared" si="79"/>
        <v>70570855.819999993</v>
      </c>
      <c r="E394" s="1055">
        <f t="shared" si="79"/>
        <v>13275595.399999999</v>
      </c>
      <c r="F394" s="1055">
        <f t="shared" si="79"/>
        <v>41368964.390000001</v>
      </c>
      <c r="G394" s="1055">
        <f t="shared" si="79"/>
        <v>53790000</v>
      </c>
      <c r="H394" s="1135">
        <f t="shared" ref="H394:I394" si="80">SUM(H395+H421+H457)</f>
        <v>65810000</v>
      </c>
      <c r="I394" s="1055">
        <f t="shared" si="80"/>
        <v>65810000</v>
      </c>
    </row>
    <row r="395" spans="1:9" x14ac:dyDescent="0.2">
      <c r="A395" s="1697">
        <v>2212</v>
      </c>
      <c r="B395" s="1698" t="s">
        <v>1440</v>
      </c>
      <c r="C395" s="765">
        <f>SUM(C396:C421)</f>
        <v>29190000</v>
      </c>
      <c r="D395" s="153">
        <f t="shared" ref="D395:G395" si="81">SUM(D396:D421)</f>
        <v>36890000</v>
      </c>
      <c r="E395" s="765">
        <f t="shared" si="81"/>
        <v>4409334.0199999996</v>
      </c>
      <c r="F395" s="153">
        <f t="shared" si="81"/>
        <v>12208930.559999999</v>
      </c>
      <c r="G395" s="765">
        <f t="shared" si="81"/>
        <v>35411000</v>
      </c>
      <c r="H395" s="1880">
        <f>SUM(H396:H420)</f>
        <v>24050000</v>
      </c>
      <c r="I395" s="765">
        <f>SUM(I396:I420)</f>
        <v>24050000</v>
      </c>
    </row>
    <row r="396" spans="1:9" x14ac:dyDescent="0.2">
      <c r="A396" s="1881" t="s">
        <v>293</v>
      </c>
      <c r="B396" s="1882" t="s">
        <v>426</v>
      </c>
      <c r="C396" s="1058">
        <v>300000</v>
      </c>
      <c r="D396" s="305">
        <v>140000</v>
      </c>
      <c r="E396" s="1058">
        <v>30000</v>
      </c>
      <c r="F396" s="305">
        <v>85465.2</v>
      </c>
      <c r="G396" s="1058">
        <v>300000</v>
      </c>
      <c r="H396" s="1883">
        <v>0</v>
      </c>
      <c r="I396" s="1864">
        <v>0</v>
      </c>
    </row>
    <row r="397" spans="1:9" x14ac:dyDescent="0.2">
      <c r="A397" s="1881" t="s">
        <v>291</v>
      </c>
      <c r="B397" s="1882" t="s">
        <v>427</v>
      </c>
      <c r="C397" s="1058">
        <v>4000000</v>
      </c>
      <c r="D397" s="305">
        <v>4000000</v>
      </c>
      <c r="E397" s="1058">
        <v>0</v>
      </c>
      <c r="F397" s="305">
        <v>2815937.3</v>
      </c>
      <c r="G397" s="1058">
        <v>4000000</v>
      </c>
      <c r="H397" s="1883">
        <v>0</v>
      </c>
      <c r="I397" s="1864">
        <v>0</v>
      </c>
    </row>
    <row r="398" spans="1:9" x14ac:dyDescent="0.2">
      <c r="A398" s="1881" t="s">
        <v>293</v>
      </c>
      <c r="B398" s="1882" t="s">
        <v>2311</v>
      </c>
      <c r="C398" s="1058">
        <v>1500000</v>
      </c>
      <c r="D398" s="305">
        <v>0</v>
      </c>
      <c r="E398" s="1058">
        <v>0</v>
      </c>
      <c r="F398" s="305">
        <v>0</v>
      </c>
      <c r="G398" s="1058">
        <v>0</v>
      </c>
      <c r="H398" s="1883">
        <v>0</v>
      </c>
      <c r="I398" s="1864">
        <v>0</v>
      </c>
    </row>
    <row r="399" spans="1:9" x14ac:dyDescent="0.2">
      <c r="A399" s="1881" t="s">
        <v>1442</v>
      </c>
      <c r="B399" s="1882" t="s">
        <v>1443</v>
      </c>
      <c r="C399" s="1878">
        <v>750000</v>
      </c>
      <c r="D399" s="1879">
        <v>750000</v>
      </c>
      <c r="E399" s="1878">
        <v>156543.29999999999</v>
      </c>
      <c r="F399" s="1879">
        <v>156543.29999999999</v>
      </c>
      <c r="G399" s="1878">
        <v>750000</v>
      </c>
      <c r="H399" s="1884">
        <v>0</v>
      </c>
      <c r="I399" s="740">
        <v>0</v>
      </c>
    </row>
    <row r="400" spans="1:9" x14ac:dyDescent="0.2">
      <c r="A400" s="1881" t="s">
        <v>440</v>
      </c>
      <c r="B400" s="1882" t="s">
        <v>1444</v>
      </c>
      <c r="C400" s="1058">
        <v>5000</v>
      </c>
      <c r="D400" s="305">
        <v>5000</v>
      </c>
      <c r="E400" s="1058">
        <v>0</v>
      </c>
      <c r="F400" s="305">
        <v>0</v>
      </c>
      <c r="G400" s="1058">
        <v>10000</v>
      </c>
      <c r="H400" s="1884">
        <v>6000000</v>
      </c>
      <c r="I400" s="740">
        <v>6000000</v>
      </c>
    </row>
    <row r="401" spans="1:9" s="98" customFormat="1" ht="13.5" customHeight="1" x14ac:dyDescent="0.2">
      <c r="A401" s="1881" t="s">
        <v>442</v>
      </c>
      <c r="B401" s="1885" t="s">
        <v>2312</v>
      </c>
      <c r="C401" s="1058">
        <v>5000</v>
      </c>
      <c r="D401" s="305">
        <v>5000</v>
      </c>
      <c r="E401" s="1058">
        <v>0</v>
      </c>
      <c r="F401" s="305">
        <v>0</v>
      </c>
      <c r="G401" s="1058">
        <v>10000</v>
      </c>
      <c r="H401" s="1884">
        <v>3000000</v>
      </c>
      <c r="I401" s="740">
        <v>3000000</v>
      </c>
    </row>
    <row r="402" spans="1:9" s="98" customFormat="1" x14ac:dyDescent="0.2">
      <c r="A402" s="1881" t="s">
        <v>1447</v>
      </c>
      <c r="B402" s="1882" t="s">
        <v>2313</v>
      </c>
      <c r="C402" s="1058">
        <v>1150000</v>
      </c>
      <c r="D402" s="305">
        <v>1150000</v>
      </c>
      <c r="E402" s="1058">
        <v>701800</v>
      </c>
      <c r="F402" s="305">
        <v>1137400</v>
      </c>
      <c r="G402" s="1058">
        <v>2400000</v>
      </c>
      <c r="H402" s="1883">
        <v>0</v>
      </c>
      <c r="I402" s="1864">
        <v>0</v>
      </c>
    </row>
    <row r="403" spans="1:9" s="98" customFormat="1" x14ac:dyDescent="0.2">
      <c r="A403" s="1881" t="s">
        <v>449</v>
      </c>
      <c r="B403" s="1882" t="s">
        <v>1449</v>
      </c>
      <c r="C403" s="1058">
        <v>13000000</v>
      </c>
      <c r="D403" s="305">
        <v>22200000</v>
      </c>
      <c r="E403" s="1058">
        <v>0</v>
      </c>
      <c r="F403" s="305">
        <v>1500000</v>
      </c>
      <c r="G403" s="1058">
        <v>18000000</v>
      </c>
      <c r="H403" s="1883">
        <v>0</v>
      </c>
      <c r="I403" s="1864">
        <v>0</v>
      </c>
    </row>
    <row r="404" spans="1:9" s="98" customFormat="1" x14ac:dyDescent="0.2">
      <c r="A404" s="1881" t="s">
        <v>1450</v>
      </c>
      <c r="B404" s="1882" t="s">
        <v>2314</v>
      </c>
      <c r="C404" s="1058">
        <v>30000</v>
      </c>
      <c r="D404" s="305">
        <v>190000</v>
      </c>
      <c r="E404" s="1058">
        <v>126747</v>
      </c>
      <c r="F404" s="305">
        <v>187137</v>
      </c>
      <c r="G404" s="1058">
        <v>10000</v>
      </c>
      <c r="H404" s="1884">
        <v>9400000</v>
      </c>
      <c r="I404" s="740">
        <v>9400000</v>
      </c>
    </row>
    <row r="405" spans="1:9" s="98" customFormat="1" x14ac:dyDescent="0.2">
      <c r="A405" s="1881" t="s">
        <v>1452</v>
      </c>
      <c r="B405" s="1882" t="s">
        <v>2315</v>
      </c>
      <c r="C405" s="1058">
        <v>350000</v>
      </c>
      <c r="D405" s="305">
        <v>350000</v>
      </c>
      <c r="E405" s="1058">
        <v>0</v>
      </c>
      <c r="F405" s="305">
        <v>324280</v>
      </c>
      <c r="G405" s="1058">
        <v>6080000</v>
      </c>
      <c r="H405" s="1883">
        <v>0</v>
      </c>
      <c r="I405" s="1864">
        <v>0</v>
      </c>
    </row>
    <row r="406" spans="1:9" s="98" customFormat="1" x14ac:dyDescent="0.2">
      <c r="A406" s="1886" t="s">
        <v>453</v>
      </c>
      <c r="B406" s="1882" t="s">
        <v>1454</v>
      </c>
      <c r="C406" s="1058">
        <v>200000</v>
      </c>
      <c r="D406" s="305">
        <v>200000</v>
      </c>
      <c r="E406" s="1058">
        <v>0</v>
      </c>
      <c r="F406" s="305">
        <v>0</v>
      </c>
      <c r="G406" s="1058">
        <v>200000</v>
      </c>
      <c r="H406" s="1883">
        <v>0</v>
      </c>
      <c r="I406" s="1864">
        <v>0</v>
      </c>
    </row>
    <row r="407" spans="1:9" s="98" customFormat="1" x14ac:dyDescent="0.2">
      <c r="A407" s="1881" t="s">
        <v>2316</v>
      </c>
      <c r="B407" s="1882" t="s">
        <v>1456</v>
      </c>
      <c r="C407" s="1878">
        <v>500000</v>
      </c>
      <c r="D407" s="1879">
        <v>500000</v>
      </c>
      <c r="E407" s="1878">
        <v>0</v>
      </c>
      <c r="F407" s="1879">
        <v>0</v>
      </c>
      <c r="G407" s="1878">
        <v>500000</v>
      </c>
      <c r="H407" s="1883">
        <v>0</v>
      </c>
      <c r="I407" s="1864">
        <v>0</v>
      </c>
    </row>
    <row r="408" spans="1:9" s="98" customFormat="1" x14ac:dyDescent="0.2">
      <c r="A408" s="1881" t="s">
        <v>2317</v>
      </c>
      <c r="B408" s="1882" t="s">
        <v>2318</v>
      </c>
      <c r="C408" s="1878">
        <v>200000</v>
      </c>
      <c r="D408" s="1879">
        <v>200000</v>
      </c>
      <c r="E408" s="1878">
        <v>0</v>
      </c>
      <c r="F408" s="1879">
        <v>50000</v>
      </c>
      <c r="G408" s="1878">
        <v>0</v>
      </c>
      <c r="H408" s="1883">
        <v>0</v>
      </c>
      <c r="I408" s="1864">
        <v>0</v>
      </c>
    </row>
    <row r="409" spans="1:9" s="98" customFormat="1" x14ac:dyDescent="0.2">
      <c r="A409" s="1881" t="s">
        <v>1336</v>
      </c>
      <c r="B409" s="1882" t="s">
        <v>2319</v>
      </c>
      <c r="C409" s="1058">
        <v>0</v>
      </c>
      <c r="D409" s="305">
        <v>0</v>
      </c>
      <c r="E409" s="1058">
        <v>0</v>
      </c>
      <c r="F409" s="305">
        <v>0</v>
      </c>
      <c r="G409" s="1058">
        <v>250000</v>
      </c>
      <c r="H409" s="1883">
        <v>0</v>
      </c>
      <c r="I409" s="1864">
        <v>0</v>
      </c>
    </row>
    <row r="410" spans="1:9" x14ac:dyDescent="0.2">
      <c r="A410" s="1881" t="s">
        <v>1458</v>
      </c>
      <c r="B410" s="1882" t="s">
        <v>1459</v>
      </c>
      <c r="C410" s="1058">
        <v>350000</v>
      </c>
      <c r="D410" s="305">
        <v>350000</v>
      </c>
      <c r="E410" s="1058">
        <v>30250</v>
      </c>
      <c r="F410" s="305">
        <v>169400</v>
      </c>
      <c r="G410" s="1058">
        <v>91000</v>
      </c>
      <c r="H410" s="1883">
        <v>0</v>
      </c>
      <c r="I410" s="1864">
        <v>0</v>
      </c>
    </row>
    <row r="411" spans="1:9" x14ac:dyDescent="0.2">
      <c r="A411" s="1881" t="s">
        <v>1460</v>
      </c>
      <c r="B411" s="1882" t="s">
        <v>2320</v>
      </c>
      <c r="C411" s="1058">
        <v>3000000</v>
      </c>
      <c r="D411" s="305">
        <v>2600000</v>
      </c>
      <c r="E411" s="1058">
        <v>1245915.32</v>
      </c>
      <c r="F411" s="305">
        <v>2488312.9</v>
      </c>
      <c r="G411" s="1058">
        <v>0</v>
      </c>
      <c r="H411" s="1883">
        <v>0</v>
      </c>
      <c r="I411" s="1864">
        <v>0</v>
      </c>
    </row>
    <row r="412" spans="1:9" ht="14.25" customHeight="1" x14ac:dyDescent="0.2">
      <c r="A412" s="1881" t="s">
        <v>1462</v>
      </c>
      <c r="B412" s="1882" t="s">
        <v>2321</v>
      </c>
      <c r="C412" s="1058">
        <v>350000</v>
      </c>
      <c r="D412" s="305">
        <v>350000</v>
      </c>
      <c r="E412" s="1058">
        <v>279510</v>
      </c>
      <c r="F412" s="305">
        <v>340010</v>
      </c>
      <c r="G412" s="1058">
        <v>10000</v>
      </c>
      <c r="H412" s="1883">
        <v>3000000</v>
      </c>
      <c r="I412" s="1864">
        <v>3000000</v>
      </c>
    </row>
    <row r="413" spans="1:9" x14ac:dyDescent="0.2">
      <c r="A413" s="1887" t="s">
        <v>2322</v>
      </c>
      <c r="B413" s="1888" t="s">
        <v>2323</v>
      </c>
      <c r="C413" s="1061">
        <v>0</v>
      </c>
      <c r="D413" s="311">
        <v>0</v>
      </c>
      <c r="E413" s="1061">
        <v>0</v>
      </c>
      <c r="F413" s="311">
        <v>0</v>
      </c>
      <c r="G413" s="1061">
        <v>1800000</v>
      </c>
      <c r="H413" s="1883">
        <v>0</v>
      </c>
      <c r="I413" s="1864">
        <v>0</v>
      </c>
    </row>
    <row r="414" spans="1:9" x14ac:dyDescent="0.2">
      <c r="A414" s="1887" t="s">
        <v>1464</v>
      </c>
      <c r="B414" s="1888" t="s">
        <v>2324</v>
      </c>
      <c r="C414" s="1061">
        <v>3250000</v>
      </c>
      <c r="D414" s="311">
        <v>3450000</v>
      </c>
      <c r="E414" s="1061">
        <v>1838568.4</v>
      </c>
      <c r="F414" s="311">
        <v>2854444.86</v>
      </c>
      <c r="G414" s="1061">
        <v>0</v>
      </c>
      <c r="H414" s="1884">
        <v>0</v>
      </c>
      <c r="I414" s="740">
        <v>0</v>
      </c>
    </row>
    <row r="415" spans="1:9" ht="25.5" x14ac:dyDescent="0.2">
      <c r="A415" s="1889" t="s">
        <v>1466</v>
      </c>
      <c r="B415" s="1890" t="s">
        <v>2325</v>
      </c>
      <c r="C415" s="1891">
        <v>250000</v>
      </c>
      <c r="D415" s="1892">
        <v>250000</v>
      </c>
      <c r="E415" s="1891">
        <v>0</v>
      </c>
      <c r="F415" s="1892">
        <v>0</v>
      </c>
      <c r="G415" s="1891">
        <v>300000</v>
      </c>
      <c r="H415" s="1884">
        <v>0</v>
      </c>
      <c r="I415" s="740">
        <v>0</v>
      </c>
    </row>
    <row r="416" spans="1:9" x14ac:dyDescent="0.2">
      <c r="A416" s="1889" t="s">
        <v>2326</v>
      </c>
      <c r="B416" s="1177" t="s">
        <v>2327</v>
      </c>
      <c r="C416" s="1891">
        <v>0</v>
      </c>
      <c r="D416" s="1892">
        <v>0</v>
      </c>
      <c r="E416" s="1891">
        <v>0</v>
      </c>
      <c r="F416" s="1892">
        <v>0</v>
      </c>
      <c r="G416" s="1891">
        <v>200000</v>
      </c>
      <c r="H416" s="1884">
        <v>200000</v>
      </c>
      <c r="I416" s="740">
        <v>200000</v>
      </c>
    </row>
    <row r="417" spans="1:9" x14ac:dyDescent="0.2">
      <c r="A417" s="1889" t="s">
        <v>2328</v>
      </c>
      <c r="B417" s="1177" t="s">
        <v>2329</v>
      </c>
      <c r="C417" s="1891">
        <v>0</v>
      </c>
      <c r="D417" s="1892">
        <v>0</v>
      </c>
      <c r="E417" s="1891">
        <v>0</v>
      </c>
      <c r="F417" s="1892">
        <v>0</v>
      </c>
      <c r="G417" s="1891">
        <v>0</v>
      </c>
      <c r="H417" s="1884">
        <v>1250000</v>
      </c>
      <c r="I417" s="740">
        <v>1250000</v>
      </c>
    </row>
    <row r="418" spans="1:9" x14ac:dyDescent="0.2">
      <c r="A418" s="1889" t="s">
        <v>2330</v>
      </c>
      <c r="B418" s="1177" t="s">
        <v>2331</v>
      </c>
      <c r="C418" s="1891">
        <v>0</v>
      </c>
      <c r="D418" s="1892">
        <v>0</v>
      </c>
      <c r="E418" s="1891">
        <v>0</v>
      </c>
      <c r="F418" s="1892">
        <v>0</v>
      </c>
      <c r="G418" s="1891">
        <v>0</v>
      </c>
      <c r="H418" s="1884">
        <v>0</v>
      </c>
      <c r="I418" s="740">
        <v>0</v>
      </c>
    </row>
    <row r="419" spans="1:9" x14ac:dyDescent="0.2">
      <c r="A419" s="1889" t="s">
        <v>2332</v>
      </c>
      <c r="B419" s="1177" t="s">
        <v>2333</v>
      </c>
      <c r="C419" s="1891">
        <v>0</v>
      </c>
      <c r="D419" s="1892">
        <v>0</v>
      </c>
      <c r="E419" s="1891">
        <v>0</v>
      </c>
      <c r="F419" s="1892">
        <v>0</v>
      </c>
      <c r="G419" s="1891">
        <v>200000</v>
      </c>
      <c r="H419" s="1884">
        <v>0</v>
      </c>
      <c r="I419" s="740">
        <v>0</v>
      </c>
    </row>
    <row r="420" spans="1:9" x14ac:dyDescent="0.2">
      <c r="A420" s="1889" t="s">
        <v>2334</v>
      </c>
      <c r="B420" s="1177" t="s">
        <v>2335</v>
      </c>
      <c r="C420" s="1891">
        <v>0</v>
      </c>
      <c r="D420" s="1892">
        <v>0</v>
      </c>
      <c r="E420" s="1891">
        <v>0</v>
      </c>
      <c r="F420" s="1892">
        <v>0</v>
      </c>
      <c r="G420" s="1891">
        <v>200000</v>
      </c>
      <c r="H420" s="1893">
        <v>1200000</v>
      </c>
      <c r="I420" s="740">
        <v>1200000</v>
      </c>
    </row>
    <row r="421" spans="1:9" x14ac:dyDescent="0.2">
      <c r="A421" s="1889" t="s">
        <v>436</v>
      </c>
      <c r="B421" s="1177" t="s">
        <v>2336</v>
      </c>
      <c r="C421" s="1891">
        <v>0</v>
      </c>
      <c r="D421" s="1892">
        <v>200000</v>
      </c>
      <c r="E421" s="1891">
        <v>0</v>
      </c>
      <c r="F421" s="1892">
        <v>100000</v>
      </c>
      <c r="G421" s="1891">
        <v>100000</v>
      </c>
      <c r="H421" s="1894">
        <f t="shared" ref="H421:I421" si="82">SUM(H422:H456)</f>
        <v>40060000</v>
      </c>
      <c r="I421" s="727">
        <f t="shared" si="82"/>
        <v>40060000</v>
      </c>
    </row>
    <row r="422" spans="1:9" x14ac:dyDescent="0.2">
      <c r="A422" s="1895">
        <v>2219</v>
      </c>
      <c r="B422" s="1896" t="s">
        <v>1470</v>
      </c>
      <c r="C422" s="1897">
        <f t="shared" ref="C422:G422" si="83">SUM(C423:C456)</f>
        <v>34448950</v>
      </c>
      <c r="D422" s="1898">
        <f t="shared" si="83"/>
        <v>30440950</v>
      </c>
      <c r="E422" s="1897">
        <f t="shared" si="83"/>
        <v>8237334.3099999987</v>
      </c>
      <c r="F422" s="1898">
        <f t="shared" si="83"/>
        <v>27349360.109999999</v>
      </c>
      <c r="G422" s="1897">
        <f t="shared" si="83"/>
        <v>17979000</v>
      </c>
      <c r="H422" s="1899">
        <v>0</v>
      </c>
      <c r="I422" s="1900">
        <v>0</v>
      </c>
    </row>
    <row r="423" spans="1:9" x14ac:dyDescent="0.2">
      <c r="A423" s="1901" t="s">
        <v>299</v>
      </c>
      <c r="B423" s="1902" t="s">
        <v>463</v>
      </c>
      <c r="C423" s="1071">
        <v>200000</v>
      </c>
      <c r="D423" s="299">
        <v>300000</v>
      </c>
      <c r="E423" s="1071">
        <v>154000</v>
      </c>
      <c r="F423" s="299">
        <v>350593</v>
      </c>
      <c r="G423" s="1071">
        <v>200000</v>
      </c>
      <c r="H423" s="1883">
        <v>0</v>
      </c>
      <c r="I423" s="1864">
        <v>0</v>
      </c>
    </row>
    <row r="424" spans="1:9" x14ac:dyDescent="0.2">
      <c r="A424" s="1881" t="s">
        <v>301</v>
      </c>
      <c r="B424" s="1882" t="s">
        <v>464</v>
      </c>
      <c r="C424" s="1058">
        <v>1500000</v>
      </c>
      <c r="D424" s="305">
        <v>1500000</v>
      </c>
      <c r="E424" s="1058">
        <v>0</v>
      </c>
      <c r="F424" s="305">
        <v>1460856.91</v>
      </c>
      <c r="G424" s="1058">
        <v>1500000</v>
      </c>
      <c r="H424" s="1883">
        <v>0</v>
      </c>
      <c r="I424" s="1864">
        <v>0</v>
      </c>
    </row>
    <row r="425" spans="1:9" x14ac:dyDescent="0.2">
      <c r="A425" s="1881" t="s">
        <v>467</v>
      </c>
      <c r="B425" s="1882" t="s">
        <v>2337</v>
      </c>
      <c r="C425" s="1058">
        <v>2000000</v>
      </c>
      <c r="D425" s="305">
        <v>2481000</v>
      </c>
      <c r="E425" s="1058">
        <v>2351432.83</v>
      </c>
      <c r="F425" s="305">
        <v>2351432.83</v>
      </c>
      <c r="G425" s="1058">
        <v>130000</v>
      </c>
      <c r="H425" s="1884">
        <v>3600000</v>
      </c>
      <c r="I425" s="740">
        <v>3600000</v>
      </c>
    </row>
    <row r="426" spans="1:9" ht="25.5" x14ac:dyDescent="0.2">
      <c r="A426" s="1881" t="s">
        <v>471</v>
      </c>
      <c r="B426" s="1903" t="s">
        <v>2338</v>
      </c>
      <c r="C426" s="1058">
        <v>500000</v>
      </c>
      <c r="D426" s="305">
        <v>500000</v>
      </c>
      <c r="E426" s="1058">
        <v>254100</v>
      </c>
      <c r="F426" s="305">
        <v>453750</v>
      </c>
      <c r="G426" s="1058">
        <v>0</v>
      </c>
      <c r="H426" s="1883">
        <v>0</v>
      </c>
      <c r="I426" s="1864">
        <v>0</v>
      </c>
    </row>
    <row r="427" spans="1:9" x14ac:dyDescent="0.2">
      <c r="A427" s="1881" t="s">
        <v>1473</v>
      </c>
      <c r="B427" s="1885" t="s">
        <v>2339</v>
      </c>
      <c r="C427" s="1058">
        <v>2200000</v>
      </c>
      <c r="D427" s="305">
        <v>1700000</v>
      </c>
      <c r="E427" s="1058">
        <v>1439832.09</v>
      </c>
      <c r="F427" s="305">
        <v>1700000</v>
      </c>
      <c r="G427" s="1058">
        <v>102000</v>
      </c>
      <c r="H427" s="1883">
        <v>0</v>
      </c>
      <c r="I427" s="1864">
        <v>0</v>
      </c>
    </row>
    <row r="428" spans="1:9" x14ac:dyDescent="0.2">
      <c r="A428" s="1881" t="s">
        <v>473</v>
      </c>
      <c r="B428" s="1885" t="s">
        <v>1475</v>
      </c>
      <c r="C428" s="1058">
        <v>5000</v>
      </c>
      <c r="D428" s="305">
        <v>5000</v>
      </c>
      <c r="E428" s="1058">
        <v>0</v>
      </c>
      <c r="F428" s="305">
        <v>0</v>
      </c>
      <c r="G428" s="1058">
        <v>10000</v>
      </c>
      <c r="H428" s="1883">
        <v>0</v>
      </c>
      <c r="I428" s="1864">
        <v>0</v>
      </c>
    </row>
    <row r="429" spans="1:9" x14ac:dyDescent="0.2">
      <c r="A429" s="1881" t="s">
        <v>495</v>
      </c>
      <c r="B429" s="1885" t="s">
        <v>2340</v>
      </c>
      <c r="C429" s="1058">
        <v>2800000</v>
      </c>
      <c r="D429" s="305">
        <v>2288000</v>
      </c>
      <c r="E429" s="1058">
        <v>64473.09</v>
      </c>
      <c r="F429" s="305">
        <v>1756286.99</v>
      </c>
      <c r="G429" s="1058">
        <v>0</v>
      </c>
      <c r="H429" s="1883">
        <v>0</v>
      </c>
      <c r="I429" s="1864">
        <v>0</v>
      </c>
    </row>
    <row r="430" spans="1:9" x14ac:dyDescent="0.2">
      <c r="A430" s="1881" t="s">
        <v>1478</v>
      </c>
      <c r="B430" s="1885" t="s">
        <v>2341</v>
      </c>
      <c r="C430" s="1058">
        <v>5050000</v>
      </c>
      <c r="D430" s="305">
        <v>4450000</v>
      </c>
      <c r="E430" s="1058">
        <v>573357.85</v>
      </c>
      <c r="F430" s="305">
        <v>4027718.89</v>
      </c>
      <c r="G430" s="1058">
        <v>0</v>
      </c>
      <c r="H430" s="1883">
        <v>0</v>
      </c>
      <c r="I430" s="1864">
        <v>0</v>
      </c>
    </row>
    <row r="431" spans="1:9" x14ac:dyDescent="0.2">
      <c r="A431" s="1881" t="s">
        <v>1480</v>
      </c>
      <c r="B431" s="1885" t="s">
        <v>1481</v>
      </c>
      <c r="C431" s="1058">
        <v>200000</v>
      </c>
      <c r="D431" s="305">
        <v>200000</v>
      </c>
      <c r="E431" s="1058">
        <v>9000</v>
      </c>
      <c r="F431" s="305">
        <v>216625</v>
      </c>
      <c r="G431" s="1058">
        <v>10000</v>
      </c>
      <c r="H431" s="1884">
        <v>18000000</v>
      </c>
      <c r="I431" s="740">
        <v>18000000</v>
      </c>
    </row>
    <row r="432" spans="1:9" x14ac:dyDescent="0.2">
      <c r="A432" s="1881" t="s">
        <v>1491</v>
      </c>
      <c r="B432" s="1885" t="s">
        <v>2342</v>
      </c>
      <c r="C432" s="1058">
        <v>2000000</v>
      </c>
      <c r="D432" s="305">
        <v>2200000</v>
      </c>
      <c r="E432" s="1058">
        <v>36300</v>
      </c>
      <c r="F432" s="305">
        <v>1625888.6</v>
      </c>
      <c r="G432" s="1058">
        <v>0</v>
      </c>
      <c r="H432" s="1883">
        <v>0</v>
      </c>
      <c r="I432" s="1864">
        <v>0</v>
      </c>
    </row>
    <row r="433" spans="1:9" x14ac:dyDescent="0.2">
      <c r="A433" s="1881" t="s">
        <v>1495</v>
      </c>
      <c r="B433" s="1885" t="s">
        <v>1496</v>
      </c>
      <c r="C433" s="1058">
        <v>50000</v>
      </c>
      <c r="D433" s="305">
        <v>50000</v>
      </c>
      <c r="E433" s="1058">
        <v>0</v>
      </c>
      <c r="F433" s="305">
        <v>40000</v>
      </c>
      <c r="G433" s="1058">
        <v>20000</v>
      </c>
      <c r="H433" s="1883">
        <v>0</v>
      </c>
      <c r="I433" s="1864">
        <v>0</v>
      </c>
    </row>
    <row r="434" spans="1:9" x14ac:dyDescent="0.2">
      <c r="A434" s="1881" t="s">
        <v>1497</v>
      </c>
      <c r="B434" s="1885" t="s">
        <v>2343</v>
      </c>
      <c r="C434" s="1058">
        <v>60000</v>
      </c>
      <c r="D434" s="305">
        <v>71390</v>
      </c>
      <c r="E434" s="1058">
        <v>71390</v>
      </c>
      <c r="F434" s="305">
        <v>71390</v>
      </c>
      <c r="G434" s="1058">
        <v>5000</v>
      </c>
      <c r="H434" s="1883">
        <v>0</v>
      </c>
      <c r="I434" s="1864">
        <v>0</v>
      </c>
    </row>
    <row r="435" spans="1:9" x14ac:dyDescent="0.2">
      <c r="A435" s="1881" t="s">
        <v>1499</v>
      </c>
      <c r="B435" s="1885" t="s">
        <v>1500</v>
      </c>
      <c r="C435" s="1058">
        <v>330000</v>
      </c>
      <c r="D435" s="305">
        <v>330000</v>
      </c>
      <c r="E435" s="1058">
        <v>0</v>
      </c>
      <c r="F435" s="305">
        <v>0</v>
      </c>
      <c r="G435" s="1058">
        <v>327000</v>
      </c>
      <c r="H435" s="1883">
        <v>0</v>
      </c>
      <c r="I435" s="1864">
        <v>0</v>
      </c>
    </row>
    <row r="436" spans="1:9" x14ac:dyDescent="0.2">
      <c r="A436" s="1881" t="s">
        <v>1501</v>
      </c>
      <c r="B436" s="1885" t="s">
        <v>1502</v>
      </c>
      <c r="C436" s="1058">
        <v>370000</v>
      </c>
      <c r="D436" s="305">
        <v>370000</v>
      </c>
      <c r="E436" s="1058">
        <v>0</v>
      </c>
      <c r="F436" s="305">
        <v>0</v>
      </c>
      <c r="G436" s="1058">
        <v>370000</v>
      </c>
      <c r="H436" s="1883">
        <v>0</v>
      </c>
      <c r="I436" s="1864">
        <v>0</v>
      </c>
    </row>
    <row r="437" spans="1:9" x14ac:dyDescent="0.2">
      <c r="A437" s="1881" t="s">
        <v>1503</v>
      </c>
      <c r="B437" s="1885" t="s">
        <v>2344</v>
      </c>
      <c r="C437" s="1058">
        <v>26000</v>
      </c>
      <c r="D437" s="1904">
        <v>207000</v>
      </c>
      <c r="E437" s="1061">
        <v>191180</v>
      </c>
      <c r="F437" s="311">
        <v>206910</v>
      </c>
      <c r="G437" s="1058">
        <v>5000</v>
      </c>
      <c r="H437" s="1883">
        <v>3300000</v>
      </c>
      <c r="I437" s="1864">
        <v>3300000</v>
      </c>
    </row>
    <row r="438" spans="1:9" x14ac:dyDescent="0.2">
      <c r="A438" s="1881" t="s">
        <v>1505</v>
      </c>
      <c r="B438" s="1885" t="s">
        <v>1506</v>
      </c>
      <c r="C438" s="1058">
        <v>500000</v>
      </c>
      <c r="D438" s="299">
        <v>308000</v>
      </c>
      <c r="E438" s="1072">
        <v>42000</v>
      </c>
      <c r="F438" s="1905">
        <v>117000</v>
      </c>
      <c r="G438" s="1058">
        <v>64000</v>
      </c>
      <c r="H438" s="1883">
        <v>0</v>
      </c>
      <c r="I438" s="1864">
        <v>0</v>
      </c>
    </row>
    <row r="439" spans="1:9" x14ac:dyDescent="0.2">
      <c r="A439" s="1881" t="s">
        <v>1507</v>
      </c>
      <c r="B439" s="1885" t="s">
        <v>1508</v>
      </c>
      <c r="C439" s="1058">
        <v>500000</v>
      </c>
      <c r="D439" s="305">
        <v>189000</v>
      </c>
      <c r="E439" s="1058">
        <v>22000</v>
      </c>
      <c r="F439" s="305">
        <v>110000</v>
      </c>
      <c r="G439" s="1058">
        <v>57000</v>
      </c>
      <c r="H439" s="1883">
        <v>0</v>
      </c>
      <c r="I439" s="1864">
        <v>0</v>
      </c>
    </row>
    <row r="440" spans="1:9" x14ac:dyDescent="0.2">
      <c r="A440" s="1881" t="s">
        <v>1509</v>
      </c>
      <c r="B440" s="1885" t="s">
        <v>1510</v>
      </c>
      <c r="C440" s="1058">
        <v>500000</v>
      </c>
      <c r="D440" s="311">
        <v>450000</v>
      </c>
      <c r="E440" s="1126">
        <v>0</v>
      </c>
      <c r="F440" s="311">
        <v>0</v>
      </c>
      <c r="G440" s="1058">
        <v>0</v>
      </c>
      <c r="H440" s="1883">
        <v>0</v>
      </c>
      <c r="I440" s="1864">
        <v>0</v>
      </c>
    </row>
    <row r="441" spans="1:9" x14ac:dyDescent="0.2">
      <c r="A441" s="1881" t="s">
        <v>1513</v>
      </c>
      <c r="B441" s="1885" t="s">
        <v>2345</v>
      </c>
      <c r="C441" s="1058">
        <v>660000</v>
      </c>
      <c r="D441" s="305">
        <v>660000</v>
      </c>
      <c r="E441" s="1058">
        <v>0</v>
      </c>
      <c r="F441" s="305">
        <v>0</v>
      </c>
      <c r="G441" s="1058">
        <v>9300000</v>
      </c>
      <c r="H441" s="1883">
        <v>0</v>
      </c>
      <c r="I441" s="1864">
        <v>0</v>
      </c>
    </row>
    <row r="442" spans="1:9" x14ac:dyDescent="0.2">
      <c r="A442" s="1881" t="s">
        <v>1515</v>
      </c>
      <c r="B442" s="1885" t="s">
        <v>2346</v>
      </c>
      <c r="C442" s="1058">
        <v>730000</v>
      </c>
      <c r="D442" s="305">
        <v>1304500</v>
      </c>
      <c r="E442" s="1058">
        <v>496000</v>
      </c>
      <c r="F442" s="305">
        <v>1270500</v>
      </c>
      <c r="G442" s="1058">
        <v>350000</v>
      </c>
      <c r="H442" s="1883">
        <v>4860000</v>
      </c>
      <c r="I442" s="1864">
        <v>4860000</v>
      </c>
    </row>
    <row r="443" spans="1:9" x14ac:dyDescent="0.2">
      <c r="A443" s="1881" t="s">
        <v>1517</v>
      </c>
      <c r="B443" s="1885" t="s">
        <v>2347</v>
      </c>
      <c r="C443" s="1058">
        <v>114950</v>
      </c>
      <c r="D443" s="305">
        <v>629450</v>
      </c>
      <c r="E443" s="1058">
        <v>0</v>
      </c>
      <c r="F443" s="305">
        <v>629200</v>
      </c>
      <c r="G443" s="1058">
        <v>10000</v>
      </c>
      <c r="H443" s="1883">
        <v>0</v>
      </c>
      <c r="I443" s="1864">
        <v>0</v>
      </c>
    </row>
    <row r="444" spans="1:9" x14ac:dyDescent="0.2">
      <c r="A444" s="1881" t="s">
        <v>1519</v>
      </c>
      <c r="B444" s="1885" t="s">
        <v>1520</v>
      </c>
      <c r="C444" s="1058">
        <v>560000</v>
      </c>
      <c r="D444" s="305">
        <v>560000</v>
      </c>
      <c r="E444" s="1058">
        <v>0</v>
      </c>
      <c r="F444" s="305">
        <v>471900</v>
      </c>
      <c r="G444" s="1058">
        <v>79000</v>
      </c>
      <c r="H444" s="1883">
        <v>0</v>
      </c>
      <c r="I444" s="1864">
        <v>0</v>
      </c>
    </row>
    <row r="445" spans="1:9" x14ac:dyDescent="0.2">
      <c r="A445" s="1881" t="s">
        <v>1521</v>
      </c>
      <c r="B445" s="1885" t="s">
        <v>1522</v>
      </c>
      <c r="C445" s="1058">
        <v>800000</v>
      </c>
      <c r="D445" s="305">
        <v>610</v>
      </c>
      <c r="E445" s="1058">
        <v>0</v>
      </c>
      <c r="F445" s="305">
        <v>0</v>
      </c>
      <c r="G445" s="1058">
        <v>1000</v>
      </c>
      <c r="H445" s="1883">
        <v>0</v>
      </c>
      <c r="I445" s="1864">
        <v>0</v>
      </c>
    </row>
    <row r="446" spans="1:9" x14ac:dyDescent="0.2">
      <c r="A446" s="1881" t="s">
        <v>1523</v>
      </c>
      <c r="B446" s="1885" t="s">
        <v>2348</v>
      </c>
      <c r="C446" s="1058">
        <v>363000</v>
      </c>
      <c r="D446" s="305">
        <v>393000</v>
      </c>
      <c r="E446" s="1058">
        <v>392040</v>
      </c>
      <c r="F446" s="305">
        <v>2542040</v>
      </c>
      <c r="G446" s="1058">
        <v>3600000</v>
      </c>
      <c r="H446" s="1883">
        <v>0</v>
      </c>
      <c r="I446" s="1864">
        <v>0</v>
      </c>
    </row>
    <row r="447" spans="1:9" x14ac:dyDescent="0.2">
      <c r="A447" s="1881" t="s">
        <v>1525</v>
      </c>
      <c r="B447" s="1885" t="s">
        <v>2349</v>
      </c>
      <c r="C447" s="1058">
        <v>100000</v>
      </c>
      <c r="D447" s="305">
        <v>0</v>
      </c>
      <c r="E447" s="1058">
        <v>0</v>
      </c>
      <c r="F447" s="305">
        <v>0</v>
      </c>
      <c r="G447" s="1058">
        <v>0</v>
      </c>
      <c r="H447" s="1883">
        <v>0</v>
      </c>
      <c r="I447" s="1864">
        <v>0</v>
      </c>
    </row>
    <row r="448" spans="1:9" x14ac:dyDescent="0.2">
      <c r="A448" s="1881" t="s">
        <v>1527</v>
      </c>
      <c r="B448" s="1885" t="s">
        <v>2350</v>
      </c>
      <c r="C448" s="1058">
        <v>11000000</v>
      </c>
      <c r="D448" s="305">
        <v>7964000</v>
      </c>
      <c r="E448" s="1058">
        <v>1939057.89</v>
      </c>
      <c r="F448" s="305">
        <v>6898542.1600000001</v>
      </c>
      <c r="G448" s="1058">
        <v>0</v>
      </c>
      <c r="H448" s="1883">
        <v>0</v>
      </c>
      <c r="I448" s="1864">
        <v>0</v>
      </c>
    </row>
    <row r="449" spans="1:9" x14ac:dyDescent="0.2">
      <c r="A449" s="1881" t="s">
        <v>1529</v>
      </c>
      <c r="B449" s="1885" t="s">
        <v>2351</v>
      </c>
      <c r="C449" s="1058">
        <v>1300000</v>
      </c>
      <c r="D449" s="305">
        <v>1300000</v>
      </c>
      <c r="E449" s="1058">
        <v>182850.56</v>
      </c>
      <c r="F449" s="305">
        <v>1030405.73</v>
      </c>
      <c r="G449" s="1058">
        <v>0</v>
      </c>
      <c r="H449" s="1883">
        <v>0</v>
      </c>
      <c r="I449" s="1864">
        <v>0</v>
      </c>
    </row>
    <row r="450" spans="1:9" x14ac:dyDescent="0.2">
      <c r="A450" s="1881" t="s">
        <v>1531</v>
      </c>
      <c r="B450" s="1885" t="s">
        <v>1532</v>
      </c>
      <c r="C450" s="1058">
        <v>20000</v>
      </c>
      <c r="D450" s="305">
        <v>20000</v>
      </c>
      <c r="E450" s="1058">
        <v>14520</v>
      </c>
      <c r="F450" s="305">
        <v>14520</v>
      </c>
      <c r="G450" s="1058">
        <v>50000</v>
      </c>
      <c r="H450" s="1883">
        <v>0</v>
      </c>
      <c r="I450" s="1864">
        <v>0</v>
      </c>
    </row>
    <row r="451" spans="1:9" x14ac:dyDescent="0.2">
      <c r="A451" s="1881" t="s">
        <v>503</v>
      </c>
      <c r="B451" s="1885" t="s">
        <v>2352</v>
      </c>
      <c r="C451" s="1058">
        <v>10000</v>
      </c>
      <c r="D451" s="305">
        <v>10000</v>
      </c>
      <c r="E451" s="1058">
        <v>3800</v>
      </c>
      <c r="F451" s="305">
        <v>3800</v>
      </c>
      <c r="G451" s="1058">
        <v>5000</v>
      </c>
      <c r="H451" s="1883">
        <v>7000000</v>
      </c>
      <c r="I451" s="1864">
        <v>7000000</v>
      </c>
    </row>
    <row r="452" spans="1:9" x14ac:dyDescent="0.2">
      <c r="A452" s="1881" t="s">
        <v>505</v>
      </c>
      <c r="B452" s="1906" t="s">
        <v>2353</v>
      </c>
      <c r="C452" s="1126">
        <v>0</v>
      </c>
      <c r="D452" s="1073">
        <v>0</v>
      </c>
      <c r="E452" s="1126">
        <v>0</v>
      </c>
      <c r="F452" s="1073">
        <v>0</v>
      </c>
      <c r="G452" s="1126">
        <v>150000</v>
      </c>
      <c r="H452" s="1884">
        <v>3300000</v>
      </c>
      <c r="I452" s="740">
        <v>3300000</v>
      </c>
    </row>
    <row r="453" spans="1:9" x14ac:dyDescent="0.2">
      <c r="A453" s="1881" t="s">
        <v>505</v>
      </c>
      <c r="B453" s="1906" t="s">
        <v>2354</v>
      </c>
      <c r="C453" s="1126">
        <v>0</v>
      </c>
      <c r="D453" s="1073">
        <v>0</v>
      </c>
      <c r="E453" s="1126">
        <v>0</v>
      </c>
      <c r="F453" s="1073">
        <v>0</v>
      </c>
      <c r="G453" s="1126">
        <v>441000</v>
      </c>
      <c r="H453" s="1884">
        <v>0</v>
      </c>
      <c r="I453" s="740">
        <v>0</v>
      </c>
    </row>
    <row r="454" spans="1:9" x14ac:dyDescent="0.2">
      <c r="A454" s="1881" t="s">
        <v>505</v>
      </c>
      <c r="B454" s="1906" t="s">
        <v>2355</v>
      </c>
      <c r="C454" s="1126">
        <v>0</v>
      </c>
      <c r="D454" s="1073">
        <v>0</v>
      </c>
      <c r="E454" s="1126">
        <v>0</v>
      </c>
      <c r="F454" s="1073">
        <v>0</v>
      </c>
      <c r="G454" s="1126">
        <v>303000</v>
      </c>
      <c r="H454" s="1884">
        <v>0</v>
      </c>
      <c r="I454" s="740">
        <v>0</v>
      </c>
    </row>
    <row r="455" spans="1:9" x14ac:dyDescent="0.2">
      <c r="A455" s="1881" t="s">
        <v>2356</v>
      </c>
      <c r="B455" s="1177" t="s">
        <v>2357</v>
      </c>
      <c r="C455" s="1891">
        <v>0</v>
      </c>
      <c r="D455" s="1892">
        <v>0</v>
      </c>
      <c r="E455" s="1891">
        <v>0</v>
      </c>
      <c r="F455" s="1892">
        <v>0</v>
      </c>
      <c r="G455" s="1891">
        <v>740000</v>
      </c>
      <c r="H455" s="1884">
        <v>0</v>
      </c>
      <c r="I455" s="740">
        <v>0</v>
      </c>
    </row>
    <row r="456" spans="1:9" x14ac:dyDescent="0.2">
      <c r="A456" s="1881" t="s">
        <v>505</v>
      </c>
      <c r="B456" s="1907" t="s">
        <v>2358</v>
      </c>
      <c r="C456" s="1908">
        <v>0</v>
      </c>
      <c r="D456" s="1909">
        <v>0</v>
      </c>
      <c r="E456" s="1908">
        <v>0</v>
      </c>
      <c r="F456" s="1909">
        <v>0</v>
      </c>
      <c r="G456" s="1908">
        <v>150000</v>
      </c>
      <c r="H456" s="1893">
        <v>0</v>
      </c>
      <c r="I456" s="740">
        <v>0</v>
      </c>
    </row>
    <row r="457" spans="1:9" x14ac:dyDescent="0.2">
      <c r="A457" s="1910">
        <v>2221</v>
      </c>
      <c r="B457" s="1896" t="s">
        <v>1534</v>
      </c>
      <c r="C457" s="1897">
        <f t="shared" ref="C457:G457" si="84">SUM(C458:C460)</f>
        <v>2146000</v>
      </c>
      <c r="D457" s="1897">
        <f t="shared" si="84"/>
        <v>3239905.82</v>
      </c>
      <c r="E457" s="1897">
        <f t="shared" si="84"/>
        <v>628927.06999999995</v>
      </c>
      <c r="F457" s="1897">
        <f t="shared" si="84"/>
        <v>1810673.72</v>
      </c>
      <c r="G457" s="1897">
        <f t="shared" si="84"/>
        <v>400000</v>
      </c>
      <c r="H457" s="1894">
        <f>SUM(H458:H460)</f>
        <v>1700000</v>
      </c>
      <c r="I457" s="727">
        <f>SUM(I458:I460)</f>
        <v>1700000</v>
      </c>
    </row>
    <row r="458" spans="1:9" x14ac:dyDescent="0.2">
      <c r="A458" s="1901" t="s">
        <v>1536</v>
      </c>
      <c r="B458" s="1911" t="s">
        <v>2359</v>
      </c>
      <c r="C458" s="1087">
        <v>2000000</v>
      </c>
      <c r="D458" s="1088">
        <v>3093905.82</v>
      </c>
      <c r="E458" s="1087">
        <v>628927.06999999995</v>
      </c>
      <c r="F458" s="1088">
        <v>1604973.72</v>
      </c>
      <c r="G458" s="1087">
        <v>0</v>
      </c>
      <c r="H458" s="1899">
        <v>0</v>
      </c>
      <c r="I458" s="1900">
        <v>0</v>
      </c>
    </row>
    <row r="459" spans="1:9" x14ac:dyDescent="0.2">
      <c r="A459" s="1881" t="s">
        <v>1538</v>
      </c>
      <c r="B459" s="1911" t="s">
        <v>2360</v>
      </c>
      <c r="C459" s="1087">
        <v>146000</v>
      </c>
      <c r="D459" s="1088">
        <v>146000</v>
      </c>
      <c r="E459" s="1087">
        <v>0</v>
      </c>
      <c r="F459" s="1088">
        <v>205700</v>
      </c>
      <c r="G459" s="1087">
        <v>150000</v>
      </c>
      <c r="H459" s="1912">
        <v>1700000</v>
      </c>
      <c r="I459" s="743">
        <v>1700000</v>
      </c>
    </row>
    <row r="460" spans="1:9" x14ac:dyDescent="0.2">
      <c r="A460" s="1881" t="s">
        <v>525</v>
      </c>
      <c r="B460" s="1913" t="s">
        <v>2361</v>
      </c>
      <c r="C460" s="1194">
        <v>0</v>
      </c>
      <c r="D460" s="1914">
        <v>0</v>
      </c>
      <c r="E460" s="1194">
        <v>0</v>
      </c>
      <c r="F460" s="1914">
        <v>0</v>
      </c>
      <c r="G460" s="1194">
        <v>250000</v>
      </c>
      <c r="H460" s="1883">
        <v>0</v>
      </c>
      <c r="I460" s="1864">
        <v>0</v>
      </c>
    </row>
    <row r="461" spans="1:9" ht="15.75" x14ac:dyDescent="0.25">
      <c r="A461" s="1915"/>
      <c r="B461" s="1195" t="s">
        <v>1540</v>
      </c>
      <c r="C461" s="1916">
        <f t="shared" ref="C461:G461" si="85">SUM(C462,C473,C486,C488)</f>
        <v>68628000</v>
      </c>
      <c r="D461" s="1916">
        <f t="shared" si="85"/>
        <v>61968000</v>
      </c>
      <c r="E461" s="1916">
        <f t="shared" si="85"/>
        <v>5900162.71</v>
      </c>
      <c r="F461" s="1916">
        <f t="shared" si="85"/>
        <v>60074661.060000002</v>
      </c>
      <c r="G461" s="1916">
        <f t="shared" si="85"/>
        <v>48595000</v>
      </c>
      <c r="H461" s="1081">
        <f>SUM(H462,H473,H486,H488)</f>
        <v>54458000</v>
      </c>
      <c r="I461" s="1080">
        <f>SUM(I462,I473,I486,I488)</f>
        <v>54458000</v>
      </c>
    </row>
    <row r="462" spans="1:9" x14ac:dyDescent="0.2">
      <c r="A462" s="1917">
        <v>3111</v>
      </c>
      <c r="B462" s="1917" t="s">
        <v>1541</v>
      </c>
      <c r="C462" s="765">
        <f t="shared" ref="C462:G462" si="86">SUM(C463:C472)</f>
        <v>6370000</v>
      </c>
      <c r="D462" s="1699">
        <f t="shared" si="86"/>
        <v>5870000</v>
      </c>
      <c r="E462" s="1699">
        <f t="shared" si="86"/>
        <v>840529.05</v>
      </c>
      <c r="F462" s="1880">
        <f t="shared" si="86"/>
        <v>5404387.8600000003</v>
      </c>
      <c r="G462" s="765">
        <f t="shared" si="86"/>
        <v>3730000</v>
      </c>
      <c r="H462" s="765">
        <f>SUM(H463:H472)</f>
        <v>19200000</v>
      </c>
      <c r="I462" s="765">
        <f>SUM(I463:I472)</f>
        <v>19200000</v>
      </c>
    </row>
    <row r="463" spans="1:9" x14ac:dyDescent="0.2">
      <c r="A463" s="1881" t="s">
        <v>1542</v>
      </c>
      <c r="B463" s="1918" t="s">
        <v>2362</v>
      </c>
      <c r="C463" s="1058">
        <v>6000000</v>
      </c>
      <c r="D463" s="1130">
        <v>5500000</v>
      </c>
      <c r="E463" s="305">
        <v>734049.05</v>
      </c>
      <c r="F463" s="1129">
        <v>5097284.8600000003</v>
      </c>
      <c r="G463" s="1058">
        <v>0</v>
      </c>
      <c r="H463" s="1864">
        <v>0</v>
      </c>
      <c r="I463" s="1864">
        <v>0</v>
      </c>
    </row>
    <row r="464" spans="1:9" x14ac:dyDescent="0.2">
      <c r="A464" s="1919" t="s">
        <v>1550</v>
      </c>
      <c r="B464" s="1920" t="s">
        <v>2363</v>
      </c>
      <c r="C464" s="1090">
        <v>45000</v>
      </c>
      <c r="D464" s="1921">
        <v>72000</v>
      </c>
      <c r="E464" s="1091">
        <v>0</v>
      </c>
      <c r="F464" s="1101">
        <v>72000</v>
      </c>
      <c r="G464" s="1087">
        <v>5000</v>
      </c>
      <c r="H464" s="740">
        <v>1700000</v>
      </c>
      <c r="I464" s="740">
        <v>1700000</v>
      </c>
    </row>
    <row r="465" spans="1:9" x14ac:dyDescent="0.2">
      <c r="A465" s="1919" t="s">
        <v>1552</v>
      </c>
      <c r="B465" s="1920" t="s">
        <v>2364</v>
      </c>
      <c r="C465" s="1090">
        <v>100000</v>
      </c>
      <c r="D465" s="1921">
        <v>129000</v>
      </c>
      <c r="E465" s="1091">
        <v>0</v>
      </c>
      <c r="F465" s="1101">
        <v>128623</v>
      </c>
      <c r="G465" s="1087">
        <v>3000000</v>
      </c>
      <c r="H465" s="1864">
        <v>0</v>
      </c>
      <c r="I465" s="1864">
        <v>0</v>
      </c>
    </row>
    <row r="466" spans="1:9" x14ac:dyDescent="0.2">
      <c r="A466" s="1919"/>
      <c r="B466" s="1920" t="s">
        <v>2365</v>
      </c>
      <c r="C466" s="1090">
        <v>0</v>
      </c>
      <c r="D466" s="1091">
        <v>0</v>
      </c>
      <c r="E466" s="1922">
        <v>0</v>
      </c>
      <c r="F466" s="1101">
        <v>0</v>
      </c>
      <c r="G466" s="1087">
        <v>300000</v>
      </c>
      <c r="H466" s="1864">
        <v>0</v>
      </c>
      <c r="I466" s="1864">
        <v>0</v>
      </c>
    </row>
    <row r="467" spans="1:9" x14ac:dyDescent="0.2">
      <c r="A467" s="1887" t="s">
        <v>1546</v>
      </c>
      <c r="B467" s="1923" t="s">
        <v>2366</v>
      </c>
      <c r="C467" s="1061">
        <v>10000</v>
      </c>
      <c r="D467" s="1132">
        <v>10000</v>
      </c>
      <c r="E467" s="311">
        <v>9680</v>
      </c>
      <c r="F467" s="1131">
        <v>9680</v>
      </c>
      <c r="G467" s="1061">
        <v>10000</v>
      </c>
      <c r="H467" s="740">
        <v>15100000</v>
      </c>
      <c r="I467" s="740">
        <v>15100000</v>
      </c>
    </row>
    <row r="468" spans="1:9" x14ac:dyDescent="0.2">
      <c r="A468" s="1919"/>
      <c r="B468" s="1920" t="s">
        <v>2367</v>
      </c>
      <c r="C468" s="1090">
        <v>0</v>
      </c>
      <c r="D468" s="1091">
        <v>0</v>
      </c>
      <c r="E468" s="1922">
        <v>0</v>
      </c>
      <c r="F468" s="1101">
        <v>0</v>
      </c>
      <c r="G468" s="1090">
        <v>100000</v>
      </c>
      <c r="H468" s="1864">
        <v>0</v>
      </c>
      <c r="I468" s="1864">
        <v>0</v>
      </c>
    </row>
    <row r="469" spans="1:9" x14ac:dyDescent="0.2">
      <c r="A469" s="1919" t="s">
        <v>1548</v>
      </c>
      <c r="B469" s="1924" t="s">
        <v>2368</v>
      </c>
      <c r="C469" s="1087">
        <v>5000</v>
      </c>
      <c r="D469" s="1174">
        <v>5000</v>
      </c>
      <c r="E469" s="1088">
        <v>0</v>
      </c>
      <c r="F469" s="1173">
        <v>0</v>
      </c>
      <c r="G469" s="1087">
        <v>5000</v>
      </c>
      <c r="H469" s="1864">
        <v>2400000</v>
      </c>
      <c r="I469" s="1864">
        <v>2400000</v>
      </c>
    </row>
    <row r="470" spans="1:9" x14ac:dyDescent="0.2">
      <c r="A470" s="1919" t="s">
        <v>1558</v>
      </c>
      <c r="B470" s="1920" t="s">
        <v>1559</v>
      </c>
      <c r="C470" s="1090">
        <v>100000</v>
      </c>
      <c r="D470" s="1921">
        <v>100000</v>
      </c>
      <c r="E470" s="1091">
        <v>96800</v>
      </c>
      <c r="F470" s="1101">
        <v>96800</v>
      </c>
      <c r="G470" s="1090">
        <v>200000</v>
      </c>
      <c r="H470" s="1864">
        <v>0</v>
      </c>
      <c r="I470" s="1864">
        <v>0</v>
      </c>
    </row>
    <row r="471" spans="1:9" x14ac:dyDescent="0.2">
      <c r="A471" s="1919" t="s">
        <v>1556</v>
      </c>
      <c r="B471" s="1920" t="s">
        <v>2369</v>
      </c>
      <c r="C471" s="1090">
        <v>100000</v>
      </c>
      <c r="D471" s="1921">
        <v>44000</v>
      </c>
      <c r="E471" s="1091">
        <v>0</v>
      </c>
      <c r="F471" s="1101">
        <v>0</v>
      </c>
      <c r="G471" s="1087">
        <v>100000</v>
      </c>
      <c r="H471" s="1864">
        <v>0</v>
      </c>
      <c r="I471" s="1864">
        <v>0</v>
      </c>
    </row>
    <row r="472" spans="1:9" x14ac:dyDescent="0.2">
      <c r="A472" s="1919" t="s">
        <v>1554</v>
      </c>
      <c r="B472" s="1920" t="s">
        <v>2370</v>
      </c>
      <c r="C472" s="1090">
        <v>10000</v>
      </c>
      <c r="D472" s="1921">
        <v>10000</v>
      </c>
      <c r="E472" s="1091">
        <v>0</v>
      </c>
      <c r="F472" s="1101">
        <v>0</v>
      </c>
      <c r="G472" s="1087">
        <v>10000</v>
      </c>
      <c r="H472" s="1864">
        <v>0</v>
      </c>
      <c r="I472" s="1864">
        <v>0</v>
      </c>
    </row>
    <row r="473" spans="1:9" x14ac:dyDescent="0.2">
      <c r="A473" s="1925">
        <v>3113</v>
      </c>
      <c r="B473" s="1926" t="s">
        <v>1560</v>
      </c>
      <c r="C473" s="1094">
        <f>SUM(C474:C485)</f>
        <v>31955000</v>
      </c>
      <c r="D473" s="1927">
        <f t="shared" ref="D473:G473" si="87">SUM(D474:D485)</f>
        <v>33495000</v>
      </c>
      <c r="E473" s="1928">
        <f t="shared" si="87"/>
        <v>629972</v>
      </c>
      <c r="F473" s="1929">
        <f t="shared" si="87"/>
        <v>32430599.949999999</v>
      </c>
      <c r="G473" s="1094">
        <f t="shared" si="87"/>
        <v>44850000</v>
      </c>
      <c r="H473" s="1350">
        <f>SUM(H474:H485)</f>
        <v>16258000</v>
      </c>
      <c r="I473" s="1671">
        <f>SUM(I474:I485)</f>
        <v>16258000</v>
      </c>
    </row>
    <row r="474" spans="1:9" x14ac:dyDescent="0.2">
      <c r="A474" s="1930" t="s">
        <v>1561</v>
      </c>
      <c r="B474" s="1920" t="s">
        <v>2371</v>
      </c>
      <c r="C474" s="1090">
        <v>500000</v>
      </c>
      <c r="D474" s="1921">
        <v>500000</v>
      </c>
      <c r="E474" s="1091">
        <v>0</v>
      </c>
      <c r="F474" s="1101">
        <v>320700</v>
      </c>
      <c r="G474" s="1090">
        <v>34700000</v>
      </c>
      <c r="H474" s="1900">
        <v>0</v>
      </c>
      <c r="I474" s="1900">
        <v>0</v>
      </c>
    </row>
    <row r="475" spans="1:9" x14ac:dyDescent="0.2">
      <c r="A475" s="1919" t="s">
        <v>1571</v>
      </c>
      <c r="B475" s="1924" t="s">
        <v>1572</v>
      </c>
      <c r="C475" s="1090">
        <v>150000</v>
      </c>
      <c r="D475" s="1091">
        <v>220000</v>
      </c>
      <c r="E475" s="1101">
        <v>0</v>
      </c>
      <c r="F475" s="1173">
        <v>53000</v>
      </c>
      <c r="G475" s="1087">
        <v>220000</v>
      </c>
      <c r="H475" s="740">
        <v>4900000</v>
      </c>
      <c r="I475" s="740">
        <v>4900000</v>
      </c>
    </row>
    <row r="476" spans="1:9" x14ac:dyDescent="0.2">
      <c r="A476" s="1931"/>
      <c r="B476" s="1924" t="s">
        <v>2372</v>
      </c>
      <c r="C476" s="1090">
        <v>0</v>
      </c>
      <c r="D476" s="1091">
        <v>0</v>
      </c>
      <c r="E476" s="1101">
        <v>0</v>
      </c>
      <c r="F476" s="1173">
        <v>0</v>
      </c>
      <c r="G476" s="1087">
        <v>2100000</v>
      </c>
      <c r="H476" s="740">
        <v>0</v>
      </c>
      <c r="I476" s="740">
        <v>0</v>
      </c>
    </row>
    <row r="477" spans="1:9" x14ac:dyDescent="0.2">
      <c r="A477" s="1930" t="s">
        <v>1563</v>
      </c>
      <c r="B477" s="1920" t="s">
        <v>2373</v>
      </c>
      <c r="C477" s="1090">
        <v>5000</v>
      </c>
      <c r="D477" s="1921">
        <v>5000</v>
      </c>
      <c r="E477" s="1091">
        <v>0</v>
      </c>
      <c r="F477" s="1101">
        <v>0</v>
      </c>
      <c r="G477" s="1087">
        <v>5000</v>
      </c>
      <c r="H477" s="740">
        <v>2900000</v>
      </c>
      <c r="I477" s="740">
        <v>2900000</v>
      </c>
    </row>
    <row r="478" spans="1:9" x14ac:dyDescent="0.2">
      <c r="A478" s="1919"/>
      <c r="B478" s="1932" t="s">
        <v>2374</v>
      </c>
      <c r="C478" s="1933">
        <v>0</v>
      </c>
      <c r="D478" s="1934">
        <v>0</v>
      </c>
      <c r="E478" s="1935">
        <v>0</v>
      </c>
      <c r="F478" s="1935">
        <v>0</v>
      </c>
      <c r="G478" s="1891">
        <v>3000000</v>
      </c>
      <c r="H478" s="1864">
        <v>0</v>
      </c>
      <c r="I478" s="1864">
        <v>0</v>
      </c>
    </row>
    <row r="479" spans="1:9" x14ac:dyDescent="0.2">
      <c r="A479" s="1919"/>
      <c r="B479" s="1936" t="s">
        <v>2375</v>
      </c>
      <c r="C479" s="1933">
        <v>0</v>
      </c>
      <c r="D479" s="1934">
        <v>0</v>
      </c>
      <c r="E479" s="1935">
        <v>0</v>
      </c>
      <c r="F479" s="1935">
        <v>0</v>
      </c>
      <c r="G479" s="1891">
        <v>355000</v>
      </c>
      <c r="H479" s="1864">
        <v>0</v>
      </c>
      <c r="I479" s="1864">
        <v>0</v>
      </c>
    </row>
    <row r="480" spans="1:9" x14ac:dyDescent="0.2">
      <c r="A480" s="1919" t="s">
        <v>1573</v>
      </c>
      <c r="B480" s="1937" t="s">
        <v>2376</v>
      </c>
      <c r="C480" s="1090">
        <v>200000</v>
      </c>
      <c r="D480" s="1091">
        <v>190000</v>
      </c>
      <c r="E480" s="1101">
        <v>0</v>
      </c>
      <c r="F480" s="1101">
        <v>148600</v>
      </c>
      <c r="G480" s="1087">
        <v>10000</v>
      </c>
      <c r="H480" s="740">
        <v>4300000</v>
      </c>
      <c r="I480" s="740">
        <v>4300000</v>
      </c>
    </row>
    <row r="481" spans="1:9" x14ac:dyDescent="0.2">
      <c r="A481" s="1919" t="s">
        <v>1575</v>
      </c>
      <c r="B481" s="1920" t="s">
        <v>1576</v>
      </c>
      <c r="C481" s="1090">
        <v>100000</v>
      </c>
      <c r="D481" s="1091">
        <v>110000</v>
      </c>
      <c r="E481" s="1101">
        <v>0</v>
      </c>
      <c r="F481" s="1101">
        <v>106480</v>
      </c>
      <c r="G481" s="1087">
        <v>10000</v>
      </c>
      <c r="H481" s="740">
        <v>4158000</v>
      </c>
      <c r="I481" s="740">
        <v>4158000</v>
      </c>
    </row>
    <row r="482" spans="1:9" x14ac:dyDescent="0.2">
      <c r="A482" s="1919" t="s">
        <v>1577</v>
      </c>
      <c r="B482" s="1920" t="s">
        <v>2377</v>
      </c>
      <c r="C482" s="1090">
        <v>850000</v>
      </c>
      <c r="D482" s="1091">
        <v>0</v>
      </c>
      <c r="E482" s="1101">
        <v>0</v>
      </c>
      <c r="F482" s="1101">
        <v>0</v>
      </c>
      <c r="G482" s="1090">
        <v>0</v>
      </c>
      <c r="H482" s="1864">
        <v>0</v>
      </c>
      <c r="I482" s="1864">
        <v>0</v>
      </c>
    </row>
    <row r="483" spans="1:9" x14ac:dyDescent="0.2">
      <c r="A483" s="1938" t="s">
        <v>1579</v>
      </c>
      <c r="B483" s="1939" t="s">
        <v>1580</v>
      </c>
      <c r="C483" s="779">
        <v>150000</v>
      </c>
      <c r="D483" s="1730">
        <v>150000</v>
      </c>
      <c r="E483" s="1102">
        <v>0</v>
      </c>
      <c r="F483" s="1102">
        <v>0</v>
      </c>
      <c r="G483" s="779">
        <v>150000</v>
      </c>
      <c r="H483" s="1864">
        <v>0</v>
      </c>
      <c r="I483" s="1864">
        <v>0</v>
      </c>
    </row>
    <row r="484" spans="1:9" x14ac:dyDescent="0.2">
      <c r="A484" s="1919"/>
      <c r="B484" s="1920" t="s">
        <v>2378</v>
      </c>
      <c r="C484" s="1933">
        <v>0</v>
      </c>
      <c r="D484" s="1934">
        <v>0</v>
      </c>
      <c r="E484" s="1935">
        <v>0</v>
      </c>
      <c r="F484" s="1935">
        <v>0</v>
      </c>
      <c r="G484" s="1933">
        <v>4300000</v>
      </c>
      <c r="H484" s="1864">
        <v>0</v>
      </c>
      <c r="I484" s="1864">
        <v>0</v>
      </c>
    </row>
    <row r="485" spans="1:9" x14ac:dyDescent="0.2">
      <c r="A485" s="1930" t="s">
        <v>1569</v>
      </c>
      <c r="B485" s="1932" t="s">
        <v>2379</v>
      </c>
      <c r="C485" s="1090">
        <v>30000000</v>
      </c>
      <c r="D485" s="1940">
        <v>32320000</v>
      </c>
      <c r="E485" s="1099">
        <v>629972</v>
      </c>
      <c r="F485" s="1941">
        <v>31801819.949999999</v>
      </c>
      <c r="G485" s="1090">
        <v>0</v>
      </c>
      <c r="H485" s="1864">
        <v>0</v>
      </c>
      <c r="I485" s="1864">
        <v>0</v>
      </c>
    </row>
    <row r="486" spans="1:9" x14ac:dyDescent="0.2">
      <c r="A486" s="1925">
        <v>3233</v>
      </c>
      <c r="B486" s="1925" t="s">
        <v>2380</v>
      </c>
      <c r="C486" s="1094">
        <f>SUM(C487)</f>
        <v>300000</v>
      </c>
      <c r="D486" s="1942">
        <f t="shared" ref="D486:G486" si="88">SUM(D487)</f>
        <v>300000</v>
      </c>
      <c r="E486" s="1094">
        <f t="shared" si="88"/>
        <v>0</v>
      </c>
      <c r="F486" s="1093">
        <f t="shared" si="88"/>
        <v>0</v>
      </c>
      <c r="G486" s="1094">
        <f t="shared" si="88"/>
        <v>0</v>
      </c>
      <c r="H486" s="1350">
        <f t="shared" ref="H486:I486" si="89">SUM(H487)</f>
        <v>0</v>
      </c>
      <c r="I486" s="1671">
        <f t="shared" si="89"/>
        <v>0</v>
      </c>
    </row>
    <row r="487" spans="1:9" x14ac:dyDescent="0.2">
      <c r="A487" s="1919" t="s">
        <v>1587</v>
      </c>
      <c r="B487" s="1920" t="s">
        <v>1588</v>
      </c>
      <c r="C487" s="1943">
        <v>300000</v>
      </c>
      <c r="D487" s="1944">
        <v>300000</v>
      </c>
      <c r="E487" s="1934">
        <v>0</v>
      </c>
      <c r="F487" s="1945">
        <v>0</v>
      </c>
      <c r="G487" s="1943">
        <v>0</v>
      </c>
      <c r="H487" s="1946">
        <v>0</v>
      </c>
      <c r="I487" s="740">
        <v>0</v>
      </c>
    </row>
    <row r="488" spans="1:9" x14ac:dyDescent="0.2">
      <c r="A488" s="1925">
        <v>3412</v>
      </c>
      <c r="B488" s="1947" t="s">
        <v>1581</v>
      </c>
      <c r="C488" s="1948">
        <f t="shared" ref="C488:G488" si="90">SUM(C489:C490)</f>
        <v>30003000</v>
      </c>
      <c r="D488" s="1105">
        <f t="shared" si="90"/>
        <v>22303000</v>
      </c>
      <c r="E488" s="1093">
        <f t="shared" si="90"/>
        <v>4429661.66</v>
      </c>
      <c r="F488" s="1949">
        <f t="shared" si="90"/>
        <v>22239673.25</v>
      </c>
      <c r="G488" s="1948">
        <f t="shared" si="90"/>
        <v>15000</v>
      </c>
      <c r="H488" s="1350">
        <f>SUM(H489:H490)</f>
        <v>19000000</v>
      </c>
      <c r="I488" s="1671">
        <f>SUM(I489:I490)</f>
        <v>19000000</v>
      </c>
    </row>
    <row r="489" spans="1:9" x14ac:dyDescent="0.2">
      <c r="A489" s="1930" t="s">
        <v>1582</v>
      </c>
      <c r="B489" s="1932" t="s">
        <v>2381</v>
      </c>
      <c r="C489" s="1090">
        <v>3000</v>
      </c>
      <c r="D489" s="1940">
        <v>47000</v>
      </c>
      <c r="E489" s="1099">
        <v>46438</v>
      </c>
      <c r="F489" s="1941">
        <v>46438</v>
      </c>
      <c r="G489" s="1087">
        <v>15000</v>
      </c>
      <c r="H489" s="1946">
        <v>19000000</v>
      </c>
      <c r="I489" s="1946">
        <v>19000000</v>
      </c>
    </row>
    <row r="490" spans="1:9" x14ac:dyDescent="0.2">
      <c r="A490" s="1930" t="s">
        <v>1584</v>
      </c>
      <c r="B490" s="1920" t="s">
        <v>2382</v>
      </c>
      <c r="C490" s="1106">
        <v>30000000</v>
      </c>
      <c r="D490" s="1940">
        <v>22256000</v>
      </c>
      <c r="E490" s="1099">
        <v>4383223.66</v>
      </c>
      <c r="F490" s="1941">
        <v>22193235.25</v>
      </c>
      <c r="G490" s="1106">
        <v>0</v>
      </c>
      <c r="H490" s="1950">
        <v>0</v>
      </c>
      <c r="I490" s="1864">
        <v>0</v>
      </c>
    </row>
    <row r="491" spans="1:9" ht="15.75" x14ac:dyDescent="0.25">
      <c r="A491" s="1951"/>
      <c r="B491" s="1107" t="s">
        <v>527</v>
      </c>
      <c r="C491" s="1952">
        <f>SUM(C492+C494+C497)</f>
        <v>7530000</v>
      </c>
      <c r="D491" s="1952">
        <f t="shared" ref="D491:G491" si="91">SUM(D492+D494+D497)</f>
        <v>7130000</v>
      </c>
      <c r="E491" s="1952">
        <f t="shared" si="91"/>
        <v>1806281.31</v>
      </c>
      <c r="F491" s="1952">
        <f t="shared" si="91"/>
        <v>4762834.25</v>
      </c>
      <c r="G491" s="1952">
        <f t="shared" si="91"/>
        <v>6871000</v>
      </c>
      <c r="H491" s="1124">
        <f>SUM(H492+H494+H497)</f>
        <v>0</v>
      </c>
      <c r="I491" s="1109">
        <f>SUM(I492+I494+I497)</f>
        <v>0</v>
      </c>
    </row>
    <row r="492" spans="1:9" x14ac:dyDescent="0.2">
      <c r="A492" s="1895">
        <v>2219</v>
      </c>
      <c r="B492" s="1953" t="s">
        <v>1470</v>
      </c>
      <c r="C492" s="1954">
        <f>SUM(C493)</f>
        <v>0</v>
      </c>
      <c r="D492" s="1897">
        <f t="shared" ref="D492:G492" si="92">SUM(D493)</f>
        <v>1100000</v>
      </c>
      <c r="E492" s="1897">
        <f t="shared" si="92"/>
        <v>676239.35</v>
      </c>
      <c r="F492" s="1138">
        <f t="shared" si="92"/>
        <v>1500000</v>
      </c>
      <c r="G492" s="1138">
        <f t="shared" si="92"/>
        <v>2300000</v>
      </c>
      <c r="H492" s="1138">
        <f t="shared" ref="H492:I492" si="93">SUM(H493)</f>
        <v>0</v>
      </c>
      <c r="I492" s="1138">
        <f t="shared" si="93"/>
        <v>0</v>
      </c>
    </row>
    <row r="493" spans="1:9" x14ac:dyDescent="0.2">
      <c r="A493" s="1184" t="s">
        <v>2383</v>
      </c>
      <c r="B493" s="1955" t="s">
        <v>2384</v>
      </c>
      <c r="C493" s="1076">
        <v>0</v>
      </c>
      <c r="D493" s="1040">
        <v>1100000</v>
      </c>
      <c r="E493" s="32">
        <v>676239.35</v>
      </c>
      <c r="F493" s="1077">
        <v>1500000</v>
      </c>
      <c r="G493" s="1809">
        <v>2300000</v>
      </c>
      <c r="H493" s="747">
        <v>0</v>
      </c>
      <c r="I493" s="1900">
        <v>0</v>
      </c>
    </row>
    <row r="494" spans="1:9" x14ac:dyDescent="0.2">
      <c r="A494" s="910">
        <v>3613</v>
      </c>
      <c r="B494" s="910" t="s">
        <v>1589</v>
      </c>
      <c r="C494" s="1956">
        <f t="shared" ref="C494:G494" si="94">SUM(C495:C496)</f>
        <v>2000000</v>
      </c>
      <c r="D494" s="731">
        <f t="shared" si="94"/>
        <v>2000000</v>
      </c>
      <c r="E494" s="731">
        <f t="shared" si="94"/>
        <v>237921.5</v>
      </c>
      <c r="F494" s="727">
        <f t="shared" si="94"/>
        <v>237921.59</v>
      </c>
      <c r="G494" s="1145">
        <f t="shared" si="94"/>
        <v>550000</v>
      </c>
      <c r="H494" s="1116">
        <f>SUM(H495:H496)</f>
        <v>0</v>
      </c>
      <c r="I494" s="731">
        <f>SUM(I495:I496)</f>
        <v>0</v>
      </c>
    </row>
    <row r="495" spans="1:9" x14ac:dyDescent="0.2">
      <c r="A495" s="1886" t="s">
        <v>1590</v>
      </c>
      <c r="B495" s="1957" t="s">
        <v>1591</v>
      </c>
      <c r="C495" s="1076">
        <v>0</v>
      </c>
      <c r="D495" s="1058">
        <v>200000</v>
      </c>
      <c r="E495" s="305">
        <v>198137.5</v>
      </c>
      <c r="F495" s="1040">
        <v>198137.5</v>
      </c>
      <c r="G495" s="1077">
        <v>150000</v>
      </c>
      <c r="H495" s="733">
        <v>0</v>
      </c>
      <c r="I495" s="1864">
        <v>0</v>
      </c>
    </row>
    <row r="496" spans="1:9" x14ac:dyDescent="0.2">
      <c r="A496" s="1154" t="s">
        <v>529</v>
      </c>
      <c r="B496" s="1958" t="s">
        <v>530</v>
      </c>
      <c r="C496" s="1076">
        <v>2000000</v>
      </c>
      <c r="D496" s="1058">
        <v>1800000</v>
      </c>
      <c r="E496" s="305">
        <v>39784</v>
      </c>
      <c r="F496" s="1077">
        <v>39784.089999999997</v>
      </c>
      <c r="G496" s="1077">
        <v>400000</v>
      </c>
      <c r="H496" s="733">
        <v>0</v>
      </c>
      <c r="I496" s="1864">
        <v>0</v>
      </c>
    </row>
    <row r="497" spans="1:9" x14ac:dyDescent="0.2">
      <c r="A497" s="1152">
        <v>3639</v>
      </c>
      <c r="B497" s="1250" t="s">
        <v>1593</v>
      </c>
      <c r="C497" s="727">
        <f>SUM(C498:C502)</f>
        <v>5530000</v>
      </c>
      <c r="D497" s="755">
        <f t="shared" ref="D497:G497" si="95">SUM(D498:D502)</f>
        <v>4030000</v>
      </c>
      <c r="E497" s="755">
        <f t="shared" si="95"/>
        <v>892120.46</v>
      </c>
      <c r="F497" s="727">
        <f t="shared" si="95"/>
        <v>3024912.66</v>
      </c>
      <c r="G497" s="727">
        <f t="shared" si="95"/>
        <v>4021000</v>
      </c>
      <c r="H497" s="153">
        <f>SUM(H498:H502)</f>
        <v>0</v>
      </c>
      <c r="I497" s="726">
        <f>SUM(I498:I502)</f>
        <v>0</v>
      </c>
    </row>
    <row r="498" spans="1:9" x14ac:dyDescent="0.2">
      <c r="A498" s="1154" t="s">
        <v>534</v>
      </c>
      <c r="B498" s="1955" t="s">
        <v>2385</v>
      </c>
      <c r="C498" s="1077">
        <v>40000</v>
      </c>
      <c r="D498" s="1058">
        <v>40000</v>
      </c>
      <c r="E498" s="305">
        <v>20077.810000000001</v>
      </c>
      <c r="F498" s="1077">
        <v>25077.81</v>
      </c>
      <c r="G498" s="1077">
        <v>45000</v>
      </c>
      <c r="H498" s="733">
        <v>0</v>
      </c>
      <c r="I498" s="1864">
        <v>0</v>
      </c>
    </row>
    <row r="499" spans="1:9" x14ac:dyDescent="0.2">
      <c r="A499" s="1150" t="s">
        <v>538</v>
      </c>
      <c r="B499" s="1959" t="s">
        <v>2386</v>
      </c>
      <c r="C499" s="1175">
        <v>515000</v>
      </c>
      <c r="D499" s="1058">
        <v>515000</v>
      </c>
      <c r="E499" s="305">
        <v>238082.8</v>
      </c>
      <c r="F499" s="1077">
        <v>412500</v>
      </c>
      <c r="G499" s="1040">
        <v>412500</v>
      </c>
      <c r="H499" s="733">
        <v>0</v>
      </c>
      <c r="I499" s="1864">
        <v>0</v>
      </c>
    </row>
    <row r="500" spans="1:9" ht="25.5" x14ac:dyDescent="0.2">
      <c r="A500" s="1150" t="s">
        <v>540</v>
      </c>
      <c r="B500" s="1958" t="s">
        <v>2387</v>
      </c>
      <c r="C500" s="1077">
        <v>4950000</v>
      </c>
      <c r="D500" s="1058">
        <v>3390710</v>
      </c>
      <c r="E500" s="305">
        <v>563192.5</v>
      </c>
      <c r="F500" s="1077">
        <v>2507567.5</v>
      </c>
      <c r="G500" s="1077">
        <v>3538500</v>
      </c>
      <c r="H500" s="814">
        <v>0</v>
      </c>
      <c r="I500" s="1077">
        <v>0</v>
      </c>
    </row>
    <row r="501" spans="1:9" x14ac:dyDescent="0.2">
      <c r="A501" s="1150" t="s">
        <v>542</v>
      </c>
      <c r="B501" s="1955" t="s">
        <v>1598</v>
      </c>
      <c r="C501" s="1175">
        <v>25000</v>
      </c>
      <c r="D501" s="1126">
        <v>25000</v>
      </c>
      <c r="E501" s="1073">
        <v>11477.35</v>
      </c>
      <c r="F501" s="1077">
        <v>20477.349999999999</v>
      </c>
      <c r="G501" s="1077">
        <v>25000</v>
      </c>
      <c r="H501" s="733">
        <v>0</v>
      </c>
      <c r="I501" s="1864">
        <v>0</v>
      </c>
    </row>
    <row r="502" spans="1:9" x14ac:dyDescent="0.2">
      <c r="A502" s="1886" t="s">
        <v>2388</v>
      </c>
      <c r="B502" s="1960" t="s">
        <v>2389</v>
      </c>
      <c r="C502" s="1048">
        <v>0</v>
      </c>
      <c r="D502" s="1087">
        <v>59290</v>
      </c>
      <c r="E502" s="1088">
        <v>59290</v>
      </c>
      <c r="F502" s="1190">
        <v>59290</v>
      </c>
      <c r="G502" s="1190">
        <v>0</v>
      </c>
      <c r="H502" s="733">
        <v>0</v>
      </c>
      <c r="I502" s="1864">
        <v>0</v>
      </c>
    </row>
    <row r="503" spans="1:9" ht="15.75" x14ac:dyDescent="0.2">
      <c r="A503" s="1114"/>
      <c r="B503" s="1115" t="s">
        <v>1603</v>
      </c>
      <c r="C503" s="1055">
        <f>SUM(C504,C509,C511)</f>
        <v>3805000</v>
      </c>
      <c r="D503" s="1055">
        <f>SUM(D504,D509,D511)</f>
        <v>4773000</v>
      </c>
      <c r="E503" s="1055">
        <f t="shared" ref="E503:G503" si="96">SUM(E504,E509,E511)</f>
        <v>2179534.4500000002</v>
      </c>
      <c r="F503" s="1055">
        <f t="shared" si="96"/>
        <v>3831219.45</v>
      </c>
      <c r="G503" s="1055">
        <f t="shared" si="96"/>
        <v>21805000</v>
      </c>
      <c r="H503" s="1135">
        <f>SUM(H504,H508,H510)</f>
        <v>7500000</v>
      </c>
      <c r="I503" s="1055">
        <f>SUM(I504,I508,I510)</f>
        <v>7500000</v>
      </c>
    </row>
    <row r="504" spans="1:9" x14ac:dyDescent="0.2">
      <c r="A504" s="764">
        <v>3311</v>
      </c>
      <c r="B504" s="709" t="s">
        <v>1604</v>
      </c>
      <c r="C504" s="731">
        <f t="shared" ref="C504:F504" si="97">SUM(C505:C507)</f>
        <v>800000</v>
      </c>
      <c r="D504" s="731">
        <f t="shared" si="97"/>
        <v>1608000</v>
      </c>
      <c r="E504" s="731">
        <f t="shared" si="97"/>
        <v>19000</v>
      </c>
      <c r="F504" s="731">
        <f t="shared" si="97"/>
        <v>1439540</v>
      </c>
      <c r="G504" s="731">
        <f>SUM(G505:G508)</f>
        <v>20410000</v>
      </c>
      <c r="H504" s="1116">
        <f>SUM(H505:H507)</f>
        <v>0</v>
      </c>
      <c r="I504" s="731">
        <f>SUM(I505:I507)</f>
        <v>0</v>
      </c>
    </row>
    <row r="505" spans="1:9" x14ac:dyDescent="0.2">
      <c r="A505" s="1117" t="s">
        <v>2390</v>
      </c>
      <c r="B505" s="1118" t="s">
        <v>2391</v>
      </c>
      <c r="C505" s="1119">
        <v>250000</v>
      </c>
      <c r="D505" s="1120">
        <v>679000</v>
      </c>
      <c r="E505" s="1119">
        <v>19000</v>
      </c>
      <c r="F505" s="1119">
        <v>582255</v>
      </c>
      <c r="G505" s="1058">
        <v>14900000</v>
      </c>
      <c r="H505" s="733">
        <v>0</v>
      </c>
      <c r="I505" s="1864">
        <v>0</v>
      </c>
    </row>
    <row r="506" spans="1:9" x14ac:dyDescent="0.2">
      <c r="A506" s="1121" t="s">
        <v>2392</v>
      </c>
      <c r="B506" s="1096" t="s">
        <v>2393</v>
      </c>
      <c r="C506" s="779">
        <v>250000</v>
      </c>
      <c r="D506" s="1102">
        <v>629000</v>
      </c>
      <c r="E506" s="779">
        <v>0</v>
      </c>
      <c r="F506" s="779">
        <v>563255</v>
      </c>
      <c r="G506" s="1058">
        <v>5100000</v>
      </c>
      <c r="H506" s="733">
        <v>0</v>
      </c>
      <c r="I506" s="1864">
        <v>0</v>
      </c>
    </row>
    <row r="507" spans="1:9" x14ac:dyDescent="0.2">
      <c r="A507" s="1085" t="s">
        <v>1609</v>
      </c>
      <c r="B507" s="1096" t="s">
        <v>1610</v>
      </c>
      <c r="C507" s="1090">
        <v>300000</v>
      </c>
      <c r="D507" s="1101">
        <v>300000</v>
      </c>
      <c r="E507" s="1090">
        <v>0</v>
      </c>
      <c r="F507" s="1090">
        <v>294030</v>
      </c>
      <c r="G507" s="1087">
        <v>210000</v>
      </c>
      <c r="H507" s="733">
        <v>0</v>
      </c>
      <c r="I507" s="1864">
        <v>0</v>
      </c>
    </row>
    <row r="508" spans="1:9" x14ac:dyDescent="0.2">
      <c r="A508" s="1066"/>
      <c r="B508" s="1039" t="s">
        <v>2394</v>
      </c>
      <c r="C508" s="1040">
        <v>0</v>
      </c>
      <c r="D508" s="1049">
        <v>0</v>
      </c>
      <c r="E508" s="1040">
        <v>0</v>
      </c>
      <c r="F508" s="1040">
        <v>0</v>
      </c>
      <c r="G508" s="1040">
        <v>200000</v>
      </c>
      <c r="H508" s="1670">
        <f t="shared" ref="H508:I508" si="98">SUM(H509)</f>
        <v>0</v>
      </c>
      <c r="I508" s="1671">
        <f t="shared" si="98"/>
        <v>0</v>
      </c>
    </row>
    <row r="509" spans="1:9" x14ac:dyDescent="0.2">
      <c r="A509" s="910">
        <v>3326</v>
      </c>
      <c r="B509" s="1961" t="s">
        <v>2395</v>
      </c>
      <c r="C509" s="1671">
        <f>SUM(C510)</f>
        <v>1600000</v>
      </c>
      <c r="D509" s="1671">
        <f>SUM(D510)</f>
        <v>1600000</v>
      </c>
      <c r="E509" s="1671">
        <f t="shared" ref="E509:G509" si="99">SUM(E510)</f>
        <v>1441189.45</v>
      </c>
      <c r="F509" s="1671">
        <f t="shared" si="99"/>
        <v>1441189.45</v>
      </c>
      <c r="G509" s="1671">
        <f t="shared" si="99"/>
        <v>0</v>
      </c>
      <c r="H509" s="733">
        <v>0</v>
      </c>
      <c r="I509" s="1864">
        <v>0</v>
      </c>
    </row>
    <row r="510" spans="1:9" x14ac:dyDescent="0.2">
      <c r="A510" s="1085" t="s">
        <v>2396</v>
      </c>
      <c r="B510" s="1096" t="s">
        <v>2397</v>
      </c>
      <c r="C510" s="1090">
        <v>1600000</v>
      </c>
      <c r="D510" s="1101">
        <v>1600000</v>
      </c>
      <c r="E510" s="1106">
        <v>1441189.45</v>
      </c>
      <c r="F510" s="1962">
        <v>1441189.45</v>
      </c>
      <c r="G510" s="1090">
        <v>0</v>
      </c>
      <c r="H510" s="882">
        <f>SUM(H511:H514)</f>
        <v>7500000</v>
      </c>
      <c r="I510" s="746">
        <f>SUM(I511:I514)</f>
        <v>7500000</v>
      </c>
    </row>
    <row r="511" spans="1:9" x14ac:dyDescent="0.2">
      <c r="A511" s="842">
        <v>3392</v>
      </c>
      <c r="B511" s="973" t="s">
        <v>1611</v>
      </c>
      <c r="C511" s="746">
        <f>SUM(C512:C515)</f>
        <v>1405000</v>
      </c>
      <c r="D511" s="746">
        <f t="shared" ref="D511:G511" si="100">SUM(D512:D515)</f>
        <v>1565000</v>
      </c>
      <c r="E511" s="746">
        <f t="shared" si="100"/>
        <v>719345</v>
      </c>
      <c r="F511" s="746">
        <f t="shared" si="100"/>
        <v>950490</v>
      </c>
      <c r="G511" s="746">
        <f t="shared" si="100"/>
        <v>1395000</v>
      </c>
      <c r="H511" s="1330">
        <v>0</v>
      </c>
      <c r="I511" s="740">
        <v>0</v>
      </c>
    </row>
    <row r="512" spans="1:9" x14ac:dyDescent="0.2">
      <c r="A512" s="1117" t="s">
        <v>1612</v>
      </c>
      <c r="B512" s="1057" t="s">
        <v>2398</v>
      </c>
      <c r="C512" s="1878">
        <v>750000</v>
      </c>
      <c r="D512" s="1963">
        <v>744000</v>
      </c>
      <c r="E512" s="1878">
        <v>486420</v>
      </c>
      <c r="F512" s="1878">
        <v>688490</v>
      </c>
      <c r="G512" s="1878">
        <v>50000</v>
      </c>
      <c r="H512" s="733">
        <v>0</v>
      </c>
      <c r="I512" s="1864">
        <v>0</v>
      </c>
    </row>
    <row r="513" spans="1:9" x14ac:dyDescent="0.2">
      <c r="A513" s="1095" t="s">
        <v>1616</v>
      </c>
      <c r="B513" s="1096" t="s">
        <v>1617</v>
      </c>
      <c r="C513" s="1090">
        <v>5000</v>
      </c>
      <c r="D513" s="1101">
        <v>5000</v>
      </c>
      <c r="E513" s="1090">
        <v>0</v>
      </c>
      <c r="F513" s="1090">
        <v>0</v>
      </c>
      <c r="G513" s="1090">
        <v>0</v>
      </c>
      <c r="H513" s="733">
        <v>0</v>
      </c>
      <c r="I513" s="1864">
        <v>0</v>
      </c>
    </row>
    <row r="514" spans="1:9" x14ac:dyDescent="0.2">
      <c r="A514" s="1095" t="s">
        <v>1618</v>
      </c>
      <c r="B514" s="1096" t="s">
        <v>2399</v>
      </c>
      <c r="C514" s="1090">
        <v>500000</v>
      </c>
      <c r="D514" s="1101">
        <v>660000</v>
      </c>
      <c r="E514" s="1090">
        <v>76925</v>
      </c>
      <c r="F514" s="1090">
        <v>106000</v>
      </c>
      <c r="G514" s="1087">
        <v>1340000</v>
      </c>
      <c r="H514" s="1330">
        <v>7500000</v>
      </c>
      <c r="I514" s="740">
        <v>7500000</v>
      </c>
    </row>
    <row r="515" spans="1:9" ht="15.75" x14ac:dyDescent="0.2">
      <c r="A515" s="1085" t="s">
        <v>1620</v>
      </c>
      <c r="B515" s="1096" t="s">
        <v>1621</v>
      </c>
      <c r="C515" s="1090">
        <v>150000</v>
      </c>
      <c r="D515" s="1101">
        <v>156000</v>
      </c>
      <c r="E515" s="1090">
        <v>156000</v>
      </c>
      <c r="F515" s="1090">
        <v>156000</v>
      </c>
      <c r="G515" s="1087">
        <v>5000</v>
      </c>
      <c r="H515" s="1404">
        <f t="shared" ref="H515:I515" si="101">SUM(H516)</f>
        <v>0</v>
      </c>
      <c r="I515" s="1109">
        <f t="shared" si="101"/>
        <v>0</v>
      </c>
    </row>
    <row r="516" spans="1:9" ht="15.75" x14ac:dyDescent="0.2">
      <c r="A516" s="1122"/>
      <c r="B516" s="1123" t="s">
        <v>1624</v>
      </c>
      <c r="C516" s="1109">
        <f>SUM(C517)</f>
        <v>8650000</v>
      </c>
      <c r="D516" s="1109">
        <f t="shared" ref="D516:G516" si="102">SUM(D517)</f>
        <v>13150000</v>
      </c>
      <c r="E516" s="1109">
        <f t="shared" si="102"/>
        <v>664720</v>
      </c>
      <c r="F516" s="1109">
        <f t="shared" si="102"/>
        <v>7000470</v>
      </c>
      <c r="G516" s="1109">
        <f t="shared" si="102"/>
        <v>4105000</v>
      </c>
      <c r="H516" s="882">
        <f>SUM(H517:H519)</f>
        <v>0</v>
      </c>
      <c r="I516" s="746">
        <f>SUM(I517:I519)</f>
        <v>0</v>
      </c>
    </row>
    <row r="517" spans="1:9" x14ac:dyDescent="0.2">
      <c r="A517" s="842">
        <v>6171</v>
      </c>
      <c r="B517" s="973" t="s">
        <v>1625</v>
      </c>
      <c r="C517" s="746">
        <f t="shared" ref="C517:G517" si="103">SUM(C518:C520)</f>
        <v>8650000</v>
      </c>
      <c r="D517" s="746">
        <f t="shared" si="103"/>
        <v>13150000</v>
      </c>
      <c r="E517" s="746">
        <f t="shared" si="103"/>
        <v>664720</v>
      </c>
      <c r="F517" s="746">
        <f t="shared" si="103"/>
        <v>7000470</v>
      </c>
      <c r="G517" s="746">
        <f t="shared" si="103"/>
        <v>4105000</v>
      </c>
      <c r="H517" s="733">
        <v>0</v>
      </c>
      <c r="I517" s="1864">
        <v>0</v>
      </c>
    </row>
    <row r="518" spans="1:9" x14ac:dyDescent="0.2">
      <c r="A518" s="1056" t="s">
        <v>1632</v>
      </c>
      <c r="B518" s="1060" t="s">
        <v>1633</v>
      </c>
      <c r="C518" s="1061">
        <v>8300000</v>
      </c>
      <c r="D518" s="1131">
        <v>12629530</v>
      </c>
      <c r="E518" s="1061">
        <v>284350</v>
      </c>
      <c r="F518" s="1132">
        <v>6500000</v>
      </c>
      <c r="G518" s="1061">
        <v>4100000</v>
      </c>
      <c r="H518" s="733">
        <v>0</v>
      </c>
      <c r="I518" s="1864">
        <v>0</v>
      </c>
    </row>
    <row r="519" spans="1:9" x14ac:dyDescent="0.2">
      <c r="A519" s="1876" t="s">
        <v>1634</v>
      </c>
      <c r="B519" s="1877" t="s">
        <v>1635</v>
      </c>
      <c r="C519" s="1126">
        <v>350000</v>
      </c>
      <c r="D519" s="1127">
        <v>370000</v>
      </c>
      <c r="E519" s="1126">
        <v>229900</v>
      </c>
      <c r="F519" s="1128">
        <v>350000</v>
      </c>
      <c r="G519" s="1126">
        <v>5000</v>
      </c>
      <c r="H519" s="733">
        <v>0</v>
      </c>
      <c r="I519" s="1864">
        <v>0</v>
      </c>
    </row>
    <row r="520" spans="1:9" ht="15.75" x14ac:dyDescent="0.2">
      <c r="A520" s="1066" t="s">
        <v>1628</v>
      </c>
      <c r="B520" s="1039" t="s">
        <v>2400</v>
      </c>
      <c r="C520" s="1040">
        <v>0</v>
      </c>
      <c r="D520" s="1049">
        <v>150470</v>
      </c>
      <c r="E520" s="1040">
        <v>150470</v>
      </c>
      <c r="F520" s="32">
        <v>150470</v>
      </c>
      <c r="G520" s="1040">
        <v>0</v>
      </c>
      <c r="H520" s="1135">
        <f>SUM(H521,H523,H525,H527,H530)</f>
        <v>4700000</v>
      </c>
      <c r="I520" s="1055">
        <f>SUM(I521,I523,I525,I527,I530)</f>
        <v>4700000</v>
      </c>
    </row>
    <row r="521" spans="1:9" ht="15.75" x14ac:dyDescent="0.2">
      <c r="A521" s="1114"/>
      <c r="B521" s="1134" t="s">
        <v>1636</v>
      </c>
      <c r="C521" s="1055">
        <f>SUM(C522,C524,C526,C528,C531)</f>
        <v>5955000</v>
      </c>
      <c r="D521" s="1055">
        <f t="shared" ref="D521:G521" si="104">SUM(D522,D524,D526,D528,D531)</f>
        <v>7485000</v>
      </c>
      <c r="E521" s="1055">
        <f t="shared" si="104"/>
        <v>312080</v>
      </c>
      <c r="F521" s="1055">
        <f t="shared" si="104"/>
        <v>5097000</v>
      </c>
      <c r="G521" s="1055">
        <f t="shared" si="104"/>
        <v>5921000</v>
      </c>
      <c r="H521" s="1139">
        <f t="shared" ref="H521:I525" si="105">SUM(H522:H522)</f>
        <v>0</v>
      </c>
      <c r="I521" s="1138">
        <f t="shared" si="105"/>
        <v>0</v>
      </c>
    </row>
    <row r="522" spans="1:9" x14ac:dyDescent="0.2">
      <c r="A522" s="1964">
        <v>3745</v>
      </c>
      <c r="B522" s="1964" t="s">
        <v>1637</v>
      </c>
      <c r="C522" s="1965">
        <f>SUM(C523:C523)</f>
        <v>5000</v>
      </c>
      <c r="D522" s="1965">
        <f t="shared" ref="D522:G522" si="106">SUM(D523:D523)</f>
        <v>5000</v>
      </c>
      <c r="E522" s="1965">
        <f t="shared" si="106"/>
        <v>0</v>
      </c>
      <c r="F522" s="1965">
        <f t="shared" si="106"/>
        <v>0</v>
      </c>
      <c r="G522" s="1965">
        <f t="shared" si="106"/>
        <v>5000</v>
      </c>
      <c r="H522" s="733">
        <v>0</v>
      </c>
      <c r="I522" s="1864">
        <v>0</v>
      </c>
    </row>
    <row r="523" spans="1:9" x14ac:dyDescent="0.2">
      <c r="A523" s="1085" t="s">
        <v>1638</v>
      </c>
      <c r="B523" s="1177" t="s">
        <v>1639</v>
      </c>
      <c r="C523" s="1087">
        <v>5000</v>
      </c>
      <c r="D523" s="1173">
        <v>5000</v>
      </c>
      <c r="E523" s="1087">
        <v>0</v>
      </c>
      <c r="F523" s="1087">
        <v>0</v>
      </c>
      <c r="G523" s="1087">
        <v>5000</v>
      </c>
      <c r="H523" s="1244">
        <f t="shared" si="105"/>
        <v>0</v>
      </c>
      <c r="I523" s="1145">
        <f t="shared" si="105"/>
        <v>0</v>
      </c>
    </row>
    <row r="524" spans="1:9" x14ac:dyDescent="0.2">
      <c r="A524" s="1896">
        <v>2321</v>
      </c>
      <c r="B524" s="1896" t="s">
        <v>1429</v>
      </c>
      <c r="C524" s="1897">
        <f t="shared" ref="C524:G526" si="107">SUM(C525:C525)</f>
        <v>250000</v>
      </c>
      <c r="D524" s="1897">
        <f t="shared" si="107"/>
        <v>250000</v>
      </c>
      <c r="E524" s="1897">
        <f t="shared" si="107"/>
        <v>0</v>
      </c>
      <c r="F524" s="1897">
        <f t="shared" si="107"/>
        <v>0</v>
      </c>
      <c r="G524" s="1897">
        <f t="shared" si="107"/>
        <v>250000</v>
      </c>
      <c r="H524" s="733">
        <v>0</v>
      </c>
      <c r="I524" s="1864">
        <v>0</v>
      </c>
    </row>
    <row r="525" spans="1:9" x14ac:dyDescent="0.2">
      <c r="A525" s="1085" t="s">
        <v>1642</v>
      </c>
      <c r="B525" s="1100" t="s">
        <v>1643</v>
      </c>
      <c r="C525" s="1087">
        <v>250000</v>
      </c>
      <c r="D525" s="1173">
        <v>250000</v>
      </c>
      <c r="E525" s="1087">
        <v>0</v>
      </c>
      <c r="F525" s="1087">
        <v>0</v>
      </c>
      <c r="G525" s="1087">
        <v>250000</v>
      </c>
      <c r="H525" s="1966">
        <f t="shared" si="105"/>
        <v>0</v>
      </c>
      <c r="I525" s="1149">
        <f t="shared" si="105"/>
        <v>0</v>
      </c>
    </row>
    <row r="526" spans="1:9" x14ac:dyDescent="0.2">
      <c r="A526" s="1896">
        <v>3612</v>
      </c>
      <c r="B526" s="1896" t="s">
        <v>1644</v>
      </c>
      <c r="C526" s="1897">
        <f t="shared" si="107"/>
        <v>400000</v>
      </c>
      <c r="D526" s="1897">
        <f t="shared" si="107"/>
        <v>400000</v>
      </c>
      <c r="E526" s="1897">
        <f t="shared" si="107"/>
        <v>12000</v>
      </c>
      <c r="F526" s="1897">
        <f t="shared" si="107"/>
        <v>12000</v>
      </c>
      <c r="G526" s="1897">
        <f t="shared" si="107"/>
        <v>5000</v>
      </c>
      <c r="H526" s="733">
        <v>0</v>
      </c>
      <c r="I526" s="1864">
        <v>0</v>
      </c>
    </row>
    <row r="527" spans="1:9" x14ac:dyDescent="0.2">
      <c r="A527" s="1085" t="s">
        <v>2401</v>
      </c>
      <c r="B527" s="1100" t="s">
        <v>1645</v>
      </c>
      <c r="C527" s="1087">
        <v>400000</v>
      </c>
      <c r="D527" s="1173">
        <v>400000</v>
      </c>
      <c r="E527" s="1087">
        <v>12000</v>
      </c>
      <c r="F527" s="1087">
        <v>12000</v>
      </c>
      <c r="G527" s="1087">
        <v>5000</v>
      </c>
      <c r="H527" s="1967">
        <f>SUM(H528:H529)</f>
        <v>4700000</v>
      </c>
      <c r="I527" s="1153">
        <f>SUM(I528:I529)</f>
        <v>4700000</v>
      </c>
    </row>
    <row r="528" spans="1:9" x14ac:dyDescent="0.2">
      <c r="A528" s="1968">
        <v>3613</v>
      </c>
      <c r="B528" s="1896" t="s">
        <v>1646</v>
      </c>
      <c r="C528" s="1897">
        <f t="shared" ref="C528:G528" si="108">SUM(C529:C530)</f>
        <v>700000</v>
      </c>
      <c r="D528" s="1897">
        <f t="shared" si="108"/>
        <v>630000</v>
      </c>
      <c r="E528" s="1897">
        <f t="shared" si="108"/>
        <v>0</v>
      </c>
      <c r="F528" s="1897">
        <f t="shared" si="108"/>
        <v>200000</v>
      </c>
      <c r="G528" s="1897">
        <f t="shared" si="108"/>
        <v>11000</v>
      </c>
      <c r="H528" s="1330">
        <v>4400000</v>
      </c>
      <c r="I528" s="740">
        <v>4400000</v>
      </c>
    </row>
    <row r="529" spans="1:9" x14ac:dyDescent="0.2">
      <c r="A529" s="1085" t="s">
        <v>1647</v>
      </c>
      <c r="B529" s="1177" t="s">
        <v>2402</v>
      </c>
      <c r="C529" s="1087">
        <v>400000</v>
      </c>
      <c r="D529" s="1173">
        <v>330000</v>
      </c>
      <c r="E529" s="1087">
        <v>0</v>
      </c>
      <c r="F529" s="1087">
        <v>200000</v>
      </c>
      <c r="G529" s="1087">
        <v>10000</v>
      </c>
      <c r="H529" s="733">
        <v>300000</v>
      </c>
      <c r="I529" s="1864">
        <v>300000</v>
      </c>
    </row>
    <row r="530" spans="1:9" x14ac:dyDescent="0.2">
      <c r="A530" s="1085" t="s">
        <v>1649</v>
      </c>
      <c r="B530" s="1177" t="s">
        <v>1650</v>
      </c>
      <c r="C530" s="1087">
        <v>300000</v>
      </c>
      <c r="D530" s="1173">
        <v>300000</v>
      </c>
      <c r="E530" s="1087">
        <v>0</v>
      </c>
      <c r="F530" s="1087">
        <v>0</v>
      </c>
      <c r="G530" s="1087">
        <v>1000</v>
      </c>
      <c r="H530" s="728">
        <f t="shared" ref="H530:I530" si="109">SUM(H531:H531)</f>
        <v>0</v>
      </c>
      <c r="I530" s="727">
        <f t="shared" si="109"/>
        <v>0</v>
      </c>
    </row>
    <row r="531" spans="1:9" x14ac:dyDescent="0.2">
      <c r="A531" s="1968">
        <v>3722</v>
      </c>
      <c r="B531" s="1969" t="s">
        <v>1651</v>
      </c>
      <c r="C531" s="1897">
        <f t="shared" ref="C531:G531" si="110">SUM(C532:C532)</f>
        <v>4600000</v>
      </c>
      <c r="D531" s="1897">
        <f t="shared" si="110"/>
        <v>6200000</v>
      </c>
      <c r="E531" s="1897">
        <f t="shared" si="110"/>
        <v>300080</v>
      </c>
      <c r="F531" s="1897">
        <f t="shared" si="110"/>
        <v>4885000</v>
      </c>
      <c r="G531" s="1897">
        <f t="shared" si="110"/>
        <v>5650000</v>
      </c>
      <c r="H531" s="733">
        <v>0</v>
      </c>
      <c r="I531" s="1864">
        <v>0</v>
      </c>
    </row>
    <row r="532" spans="1:9" s="2" customFormat="1" ht="15.75" x14ac:dyDescent="0.25">
      <c r="A532" s="1066" t="s">
        <v>1652</v>
      </c>
      <c r="B532" s="1970" t="s">
        <v>2403</v>
      </c>
      <c r="C532" s="1040">
        <v>4600000</v>
      </c>
      <c r="D532" s="1049">
        <v>6200000</v>
      </c>
      <c r="E532" s="1158">
        <v>300080</v>
      </c>
      <c r="F532" s="1158">
        <v>4885000</v>
      </c>
      <c r="G532" s="1040">
        <v>5650000</v>
      </c>
      <c r="H532" s="600">
        <f>SUM(H538,H533,H556,H566,H573,H575)</f>
        <v>17000000</v>
      </c>
      <c r="I532" s="1080">
        <f>SUM(I538,I533,I556,I566,I573,I575)</f>
        <v>17000000</v>
      </c>
    </row>
    <row r="533" spans="1:9" ht="15.75" x14ac:dyDescent="0.25">
      <c r="A533" s="690"/>
      <c r="B533" s="1062" t="s">
        <v>1654</v>
      </c>
      <c r="C533" s="1080">
        <f>SUM(C539,C534,C556,C566,D573,D575)</f>
        <v>76802000</v>
      </c>
      <c r="D533" s="1080">
        <f>SUM(D539,D534,D556,D566,D573,D575)</f>
        <v>73242000</v>
      </c>
      <c r="E533" s="1080">
        <f>SUM(E539,E534,E556,E566,E573,E575)</f>
        <v>10260234.469999999</v>
      </c>
      <c r="F533" s="1080">
        <f>SUM(F539,F534,F556,F566,F573,F575)</f>
        <v>28743818.189999998</v>
      </c>
      <c r="G533" s="1080">
        <f>SUM(G539,G534,G556,G566,G573,G575)</f>
        <v>157228000</v>
      </c>
      <c r="H533" s="1170">
        <f>SUM(H534:H537)</f>
        <v>6300000</v>
      </c>
      <c r="I533" s="1161">
        <f>SUM(I534:I537)</f>
        <v>6300000</v>
      </c>
    </row>
    <row r="534" spans="1:9" x14ac:dyDescent="0.2">
      <c r="A534" s="1159">
        <v>3412</v>
      </c>
      <c r="B534" s="1971" t="s">
        <v>1655</v>
      </c>
      <c r="C534" s="1163">
        <f>SUM(C535:C538)</f>
        <v>22500000</v>
      </c>
      <c r="D534" s="1972">
        <f t="shared" ref="D534:G534" si="111">SUM(D535:D538)</f>
        <v>22500000</v>
      </c>
      <c r="E534" s="1161">
        <f t="shared" si="111"/>
        <v>567490</v>
      </c>
      <c r="F534" s="1170">
        <f t="shared" si="111"/>
        <v>879240</v>
      </c>
      <c r="G534" s="1163">
        <f t="shared" si="111"/>
        <v>102310000</v>
      </c>
      <c r="H534" s="733">
        <v>0</v>
      </c>
      <c r="I534" s="1864">
        <v>0</v>
      </c>
    </row>
    <row r="535" spans="1:9" x14ac:dyDescent="0.2">
      <c r="A535" s="1059" t="s">
        <v>1656</v>
      </c>
      <c r="B535" s="1973" t="s">
        <v>1657</v>
      </c>
      <c r="C535" s="1165">
        <v>20000000</v>
      </c>
      <c r="D535" s="1974">
        <v>20000000</v>
      </c>
      <c r="E535" s="1165">
        <v>350900</v>
      </c>
      <c r="F535" s="1974">
        <v>108900</v>
      </c>
      <c r="G535" s="1165">
        <v>102000000</v>
      </c>
      <c r="H535" s="733">
        <v>0</v>
      </c>
      <c r="I535" s="1864">
        <v>0</v>
      </c>
    </row>
    <row r="536" spans="1:9" x14ac:dyDescent="0.2">
      <c r="A536" s="1059" t="s">
        <v>1658</v>
      </c>
      <c r="B536" s="1973" t="s">
        <v>2404</v>
      </c>
      <c r="C536" s="1165">
        <v>700000</v>
      </c>
      <c r="D536" s="1974">
        <v>700000</v>
      </c>
      <c r="E536" s="1165">
        <v>0</v>
      </c>
      <c r="F536" s="1974">
        <v>453750</v>
      </c>
      <c r="G536" s="1165">
        <v>5000</v>
      </c>
      <c r="H536" s="1330">
        <v>6300000</v>
      </c>
      <c r="I536" s="740">
        <v>6300000</v>
      </c>
    </row>
    <row r="537" spans="1:9" x14ac:dyDescent="0.2">
      <c r="A537" s="1059" t="s">
        <v>1660</v>
      </c>
      <c r="B537" s="1973" t="s">
        <v>2405</v>
      </c>
      <c r="C537" s="1165">
        <v>500000</v>
      </c>
      <c r="D537" s="1974">
        <v>500000</v>
      </c>
      <c r="E537" s="1165">
        <v>216590</v>
      </c>
      <c r="F537" s="1974">
        <v>216590</v>
      </c>
      <c r="G537" s="1165">
        <v>5000</v>
      </c>
      <c r="H537" s="733">
        <v>0</v>
      </c>
      <c r="I537" s="1864">
        <v>0</v>
      </c>
    </row>
    <row r="538" spans="1:9" x14ac:dyDescent="0.2">
      <c r="A538" s="1059" t="s">
        <v>1662</v>
      </c>
      <c r="B538" s="1973" t="s">
        <v>2406</v>
      </c>
      <c r="C538" s="1165">
        <v>1300000</v>
      </c>
      <c r="D538" s="1974">
        <v>1300000</v>
      </c>
      <c r="E538" s="1165">
        <v>0</v>
      </c>
      <c r="F538" s="1974">
        <v>100000</v>
      </c>
      <c r="G538" s="1165">
        <v>300000</v>
      </c>
      <c r="H538" s="722">
        <f>SUM(H539:H555)</f>
        <v>0</v>
      </c>
      <c r="I538" s="722">
        <f>SUM(I539:I555)</f>
        <v>0</v>
      </c>
    </row>
    <row r="539" spans="1:9" x14ac:dyDescent="0.2">
      <c r="A539" s="1169">
        <v>3612</v>
      </c>
      <c r="B539" s="1975" t="s">
        <v>1644</v>
      </c>
      <c r="C539" s="1161">
        <f t="shared" ref="C539:G539" si="112">SUM(C540:C555)</f>
        <v>22660000</v>
      </c>
      <c r="D539" s="1972">
        <f t="shared" si="112"/>
        <v>19600000</v>
      </c>
      <c r="E539" s="1161">
        <f t="shared" si="112"/>
        <v>4849484.21</v>
      </c>
      <c r="F539" s="1170">
        <f t="shared" si="112"/>
        <v>14509669.17</v>
      </c>
      <c r="G539" s="1161">
        <f t="shared" si="112"/>
        <v>32440000</v>
      </c>
      <c r="H539" s="747">
        <v>0</v>
      </c>
      <c r="I539" s="1900">
        <v>0</v>
      </c>
    </row>
    <row r="540" spans="1:9" x14ac:dyDescent="0.2">
      <c r="A540" s="1085" t="s">
        <v>1666</v>
      </c>
      <c r="B540" s="1976" t="s">
        <v>2407</v>
      </c>
      <c r="C540" s="1087">
        <v>10000</v>
      </c>
      <c r="D540" s="1069">
        <v>10000</v>
      </c>
      <c r="E540" s="1068">
        <v>0</v>
      </c>
      <c r="F540" s="1069">
        <v>0</v>
      </c>
      <c r="G540" s="1087">
        <v>10100000</v>
      </c>
      <c r="H540" s="733">
        <v>0</v>
      </c>
      <c r="I540" s="1864">
        <v>0</v>
      </c>
    </row>
    <row r="541" spans="1:9" x14ac:dyDescent="0.2">
      <c r="A541" s="1085" t="s">
        <v>1668</v>
      </c>
      <c r="B541" s="1976" t="s">
        <v>2408</v>
      </c>
      <c r="C541" s="1087">
        <v>8800000</v>
      </c>
      <c r="D541" s="1088">
        <v>7800000</v>
      </c>
      <c r="E541" s="1087">
        <v>2436715.21</v>
      </c>
      <c r="F541" s="1088">
        <v>7361680.1699999999</v>
      </c>
      <c r="G541" s="1087">
        <v>0</v>
      </c>
      <c r="H541" s="814">
        <v>0</v>
      </c>
      <c r="I541" s="1077">
        <v>0</v>
      </c>
    </row>
    <row r="542" spans="1:9" ht="25.5" x14ac:dyDescent="0.2">
      <c r="A542" s="1066" t="s">
        <v>1670</v>
      </c>
      <c r="B542" s="1977" t="s">
        <v>2409</v>
      </c>
      <c r="C542" s="1040">
        <v>400000</v>
      </c>
      <c r="D542" s="32">
        <v>400000</v>
      </c>
      <c r="E542" s="1040">
        <v>393250</v>
      </c>
      <c r="F542" s="32">
        <v>393250</v>
      </c>
      <c r="G542" s="1040">
        <v>0</v>
      </c>
      <c r="H542" s="733">
        <v>0</v>
      </c>
      <c r="I542" s="1864">
        <v>0</v>
      </c>
    </row>
    <row r="543" spans="1:9" x14ac:dyDescent="0.2">
      <c r="A543" s="1085" t="s">
        <v>1676</v>
      </c>
      <c r="B543" s="1978" t="s">
        <v>2410</v>
      </c>
      <c r="C543" s="1068">
        <v>500000</v>
      </c>
      <c r="D543" s="1172">
        <v>500000</v>
      </c>
      <c r="E543" s="1068">
        <v>0</v>
      </c>
      <c r="F543" s="1171">
        <v>365500</v>
      </c>
      <c r="G543" s="1068">
        <v>5000000</v>
      </c>
      <c r="H543" s="814">
        <v>0</v>
      </c>
      <c r="I543" s="1077">
        <v>0</v>
      </c>
    </row>
    <row r="544" spans="1:9" ht="25.5" x14ac:dyDescent="0.2">
      <c r="A544" s="1085" t="s">
        <v>1678</v>
      </c>
      <c r="B544" s="1979" t="s">
        <v>2411</v>
      </c>
      <c r="C544" s="1068">
        <v>550000</v>
      </c>
      <c r="D544" s="1172">
        <v>0</v>
      </c>
      <c r="E544" s="1068">
        <v>0</v>
      </c>
      <c r="F544" s="1171">
        <v>0</v>
      </c>
      <c r="G544" s="1068">
        <v>550000</v>
      </c>
      <c r="H544" s="733">
        <v>0</v>
      </c>
      <c r="I544" s="1864">
        <v>0</v>
      </c>
    </row>
    <row r="545" spans="1:9" x14ac:dyDescent="0.2">
      <c r="A545" s="1085" t="s">
        <v>1680</v>
      </c>
      <c r="B545" s="1980" t="s">
        <v>2412</v>
      </c>
      <c r="C545" s="1068">
        <v>450000</v>
      </c>
      <c r="D545" s="1172">
        <v>450000</v>
      </c>
      <c r="E545" s="1068">
        <v>0</v>
      </c>
      <c r="F545" s="1171">
        <v>145200</v>
      </c>
      <c r="G545" s="1068">
        <v>2750000</v>
      </c>
      <c r="H545" s="733">
        <v>0</v>
      </c>
      <c r="I545" s="1864">
        <v>0</v>
      </c>
    </row>
    <row r="546" spans="1:9" x14ac:dyDescent="0.2">
      <c r="A546" s="1085" t="s">
        <v>1682</v>
      </c>
      <c r="B546" s="1981" t="s">
        <v>2413</v>
      </c>
      <c r="C546" s="1068">
        <v>450000</v>
      </c>
      <c r="D546" s="1172">
        <v>450000</v>
      </c>
      <c r="E546" s="1068">
        <v>0</v>
      </c>
      <c r="F546" s="1171">
        <v>450000</v>
      </c>
      <c r="G546" s="1068">
        <v>250000</v>
      </c>
      <c r="H546" s="733">
        <v>0</v>
      </c>
      <c r="I546" s="1864">
        <v>0</v>
      </c>
    </row>
    <row r="547" spans="1:9" x14ac:dyDescent="0.2">
      <c r="A547" s="1085" t="s">
        <v>1684</v>
      </c>
      <c r="B547" s="1979" t="s">
        <v>2414</v>
      </c>
      <c r="C547" s="1068">
        <v>400000</v>
      </c>
      <c r="D547" s="1172">
        <v>400000</v>
      </c>
      <c r="E547" s="1068">
        <v>82280</v>
      </c>
      <c r="F547" s="1171">
        <v>82280</v>
      </c>
      <c r="G547" s="1068">
        <v>5750000</v>
      </c>
      <c r="H547" s="733">
        <v>0</v>
      </c>
      <c r="I547" s="1864">
        <v>0</v>
      </c>
    </row>
    <row r="548" spans="1:9" x14ac:dyDescent="0.2">
      <c r="A548" s="1085" t="s">
        <v>1686</v>
      </c>
      <c r="B548" s="1979" t="s">
        <v>2415</v>
      </c>
      <c r="C548" s="1068">
        <v>300000</v>
      </c>
      <c r="D548" s="1172">
        <v>300000</v>
      </c>
      <c r="E548" s="1068">
        <v>235000</v>
      </c>
      <c r="F548" s="1171">
        <v>235000</v>
      </c>
      <c r="G548" s="1068">
        <v>400000</v>
      </c>
      <c r="H548" s="733">
        <v>0</v>
      </c>
      <c r="I548" s="1864">
        <v>0</v>
      </c>
    </row>
    <row r="549" spans="1:9" x14ac:dyDescent="0.2">
      <c r="A549" s="1085" t="s">
        <v>1688</v>
      </c>
      <c r="B549" s="1979" t="s">
        <v>1689</v>
      </c>
      <c r="C549" s="1068">
        <v>300000</v>
      </c>
      <c r="D549" s="1172">
        <v>300000</v>
      </c>
      <c r="E549" s="1068">
        <v>0</v>
      </c>
      <c r="F549" s="1171">
        <v>55000</v>
      </c>
      <c r="G549" s="1068">
        <v>300000</v>
      </c>
      <c r="H549" s="733">
        <v>0</v>
      </c>
      <c r="I549" s="1864">
        <v>0</v>
      </c>
    </row>
    <row r="550" spans="1:9" s="2" customFormat="1" x14ac:dyDescent="0.2">
      <c r="A550" s="1085" t="s">
        <v>2416</v>
      </c>
      <c r="B550" s="1979" t="s">
        <v>2417</v>
      </c>
      <c r="C550" s="1068">
        <v>0</v>
      </c>
      <c r="D550" s="1172">
        <v>550000</v>
      </c>
      <c r="E550" s="1068">
        <v>299475</v>
      </c>
      <c r="F550" s="1171">
        <v>299475</v>
      </c>
      <c r="G550" s="1068">
        <v>300000</v>
      </c>
      <c r="H550" s="733">
        <v>0</v>
      </c>
      <c r="I550" s="1864">
        <v>0</v>
      </c>
    </row>
    <row r="551" spans="1:9" x14ac:dyDescent="0.2">
      <c r="A551" s="1085"/>
      <c r="B551" s="1979" t="s">
        <v>2418</v>
      </c>
      <c r="C551" s="1068">
        <v>0</v>
      </c>
      <c r="D551" s="1172">
        <v>0</v>
      </c>
      <c r="E551" s="1068">
        <v>0</v>
      </c>
      <c r="F551" s="1171">
        <v>0</v>
      </c>
      <c r="G551" s="1068">
        <v>3500000</v>
      </c>
      <c r="H551" s="733">
        <v>0</v>
      </c>
      <c r="I551" s="1864">
        <v>0</v>
      </c>
    </row>
    <row r="552" spans="1:9" x14ac:dyDescent="0.2">
      <c r="A552" s="1085" t="s">
        <v>1690</v>
      </c>
      <c r="B552" s="1978" t="s">
        <v>1691</v>
      </c>
      <c r="C552" s="1068">
        <v>6000000</v>
      </c>
      <c r="D552" s="1172">
        <v>4100000</v>
      </c>
      <c r="E552" s="1068">
        <v>0</v>
      </c>
      <c r="F552" s="1171">
        <v>1120000</v>
      </c>
      <c r="G552" s="1068">
        <v>2240000</v>
      </c>
      <c r="H552" s="733">
        <v>0</v>
      </c>
      <c r="I552" s="1864">
        <v>0</v>
      </c>
    </row>
    <row r="553" spans="1:9" x14ac:dyDescent="0.2">
      <c r="A553" s="1085" t="s">
        <v>1692</v>
      </c>
      <c r="B553" s="1982" t="s">
        <v>2419</v>
      </c>
      <c r="C553" s="1087">
        <v>4500000</v>
      </c>
      <c r="D553" s="1088">
        <v>4340000</v>
      </c>
      <c r="E553" s="1087">
        <v>1402764</v>
      </c>
      <c r="F553" s="1088">
        <v>4002284</v>
      </c>
      <c r="G553" s="1087">
        <v>0</v>
      </c>
      <c r="H553" s="814">
        <v>0</v>
      </c>
      <c r="I553" s="1077">
        <v>0</v>
      </c>
    </row>
    <row r="554" spans="1:9" ht="25.5" x14ac:dyDescent="0.2">
      <c r="A554" s="1176"/>
      <c r="B554" s="1978" t="s">
        <v>2420</v>
      </c>
      <c r="C554" s="1983">
        <v>0</v>
      </c>
      <c r="D554" s="1984">
        <v>0</v>
      </c>
      <c r="E554" s="1983">
        <v>0</v>
      </c>
      <c r="F554" s="1984">
        <v>0</v>
      </c>
      <c r="G554" s="1983">
        <v>500000</v>
      </c>
      <c r="H554" s="814">
        <v>0</v>
      </c>
      <c r="I554" s="1077">
        <v>0</v>
      </c>
    </row>
    <row r="555" spans="1:9" ht="25.5" x14ac:dyDescent="0.2">
      <c r="A555" s="1176"/>
      <c r="B555" s="1978" t="s">
        <v>2421</v>
      </c>
      <c r="C555" s="1983">
        <v>0</v>
      </c>
      <c r="D555" s="1984"/>
      <c r="E555" s="1983">
        <v>0</v>
      </c>
      <c r="F555" s="1984">
        <v>0</v>
      </c>
      <c r="G555" s="1983">
        <v>800000</v>
      </c>
      <c r="H555" s="1077">
        <v>0</v>
      </c>
      <c r="I555" s="1077">
        <v>0</v>
      </c>
    </row>
    <row r="556" spans="1:9" ht="12" customHeight="1" x14ac:dyDescent="0.2">
      <c r="A556" s="1179">
        <v>3613</v>
      </c>
      <c r="B556" s="1985" t="s">
        <v>1646</v>
      </c>
      <c r="C556" s="1181">
        <f t="shared" ref="C556:I556" si="113">SUM(C557:C565)</f>
        <v>11837000</v>
      </c>
      <c r="D556" s="1986">
        <f t="shared" si="113"/>
        <v>14037000</v>
      </c>
      <c r="E556" s="1181">
        <f t="shared" si="113"/>
        <v>360145</v>
      </c>
      <c r="F556" s="1182">
        <f t="shared" si="113"/>
        <v>12802870.02</v>
      </c>
      <c r="G556" s="1181">
        <f t="shared" si="113"/>
        <v>11470000</v>
      </c>
      <c r="H556" s="727">
        <f t="shared" si="113"/>
        <v>7500000</v>
      </c>
      <c r="I556" s="727">
        <f t="shared" si="113"/>
        <v>7500000</v>
      </c>
    </row>
    <row r="557" spans="1:9" ht="12" customHeight="1" x14ac:dyDescent="0.2">
      <c r="A557" s="1059" t="s">
        <v>1694</v>
      </c>
      <c r="B557" s="1987" t="s">
        <v>2422</v>
      </c>
      <c r="C557" s="1061">
        <v>1000000</v>
      </c>
      <c r="D557" s="311">
        <v>700000</v>
      </c>
      <c r="E557" s="1061">
        <v>46500</v>
      </c>
      <c r="F557" s="311">
        <v>46500</v>
      </c>
      <c r="G557" s="1061">
        <v>1000000</v>
      </c>
      <c r="H557" s="747">
        <v>0</v>
      </c>
      <c r="I557" s="1900">
        <v>0</v>
      </c>
    </row>
    <row r="558" spans="1:9" ht="12" customHeight="1" x14ac:dyDescent="0.2">
      <c r="A558" s="1876" t="s">
        <v>1698</v>
      </c>
      <c r="B558" s="1976" t="s">
        <v>2423</v>
      </c>
      <c r="C558" s="1087">
        <v>6687000</v>
      </c>
      <c r="D558" s="1088">
        <v>12587000</v>
      </c>
      <c r="E558" s="1087">
        <v>296705</v>
      </c>
      <c r="F558" s="1088">
        <v>12534180.02</v>
      </c>
      <c r="G558" s="1087">
        <v>5000000</v>
      </c>
      <c r="H558" s="1330">
        <v>0</v>
      </c>
      <c r="I558" s="740">
        <v>0</v>
      </c>
    </row>
    <row r="559" spans="1:9" x14ac:dyDescent="0.2">
      <c r="A559" s="1187" t="s">
        <v>2424</v>
      </c>
      <c r="B559" s="1988" t="s">
        <v>1711</v>
      </c>
      <c r="C559" s="1189">
        <v>3500000</v>
      </c>
      <c r="D559" s="1193">
        <v>140000</v>
      </c>
      <c r="E559" s="1189">
        <v>0</v>
      </c>
      <c r="F559" s="1192">
        <v>30250</v>
      </c>
      <c r="G559" s="1087">
        <v>3200000</v>
      </c>
      <c r="H559" s="733">
        <v>0</v>
      </c>
      <c r="I559" s="1864">
        <v>0</v>
      </c>
    </row>
    <row r="560" spans="1:9" x14ac:dyDescent="0.2">
      <c r="A560" s="1085" t="s">
        <v>1712</v>
      </c>
      <c r="B560" s="1976" t="s">
        <v>1713</v>
      </c>
      <c r="C560" s="1087">
        <v>250000</v>
      </c>
      <c r="D560" s="1174">
        <v>210000</v>
      </c>
      <c r="E560" s="1087">
        <v>0</v>
      </c>
      <c r="F560" s="1173">
        <v>175000</v>
      </c>
      <c r="G560" s="1234">
        <v>10000</v>
      </c>
      <c r="H560" s="733">
        <v>0</v>
      </c>
      <c r="I560" s="1864">
        <v>0</v>
      </c>
    </row>
    <row r="561" spans="1:9" x14ac:dyDescent="0.2">
      <c r="A561" s="1085" t="s">
        <v>1714</v>
      </c>
      <c r="B561" s="1976" t="s">
        <v>1715</v>
      </c>
      <c r="C561" s="1087">
        <v>400000</v>
      </c>
      <c r="D561" s="1174">
        <v>400000</v>
      </c>
      <c r="E561" s="1087">
        <v>16940</v>
      </c>
      <c r="F561" s="1173">
        <v>16940</v>
      </c>
      <c r="G561" s="1087">
        <v>0</v>
      </c>
      <c r="H561" s="733">
        <v>0</v>
      </c>
      <c r="I561" s="1864">
        <v>0</v>
      </c>
    </row>
    <row r="562" spans="1:9" x14ac:dyDescent="0.2">
      <c r="A562" s="1989"/>
      <c r="B562" s="1990" t="s">
        <v>2425</v>
      </c>
      <c r="C562" s="1087">
        <v>0</v>
      </c>
      <c r="D562" s="1991">
        <v>0</v>
      </c>
      <c r="E562" s="1992">
        <v>0</v>
      </c>
      <c r="F562" s="1993">
        <v>0</v>
      </c>
      <c r="G562" s="1087">
        <v>750000</v>
      </c>
      <c r="H562" s="733">
        <v>0</v>
      </c>
      <c r="I562" s="1864">
        <v>0</v>
      </c>
    </row>
    <row r="563" spans="1:9" x14ac:dyDescent="0.2">
      <c r="A563" s="1989"/>
      <c r="B563" s="1976" t="s">
        <v>2426</v>
      </c>
      <c r="C563" s="1087">
        <v>0</v>
      </c>
      <c r="D563" s="1991">
        <v>0</v>
      </c>
      <c r="E563" s="1992">
        <v>0</v>
      </c>
      <c r="F563" s="1993">
        <v>0</v>
      </c>
      <c r="G563" s="1087">
        <v>400000</v>
      </c>
      <c r="H563" s="733">
        <v>0</v>
      </c>
      <c r="I563" s="1864">
        <v>0</v>
      </c>
    </row>
    <row r="564" spans="1:9" x14ac:dyDescent="0.2">
      <c r="A564" s="1989"/>
      <c r="B564" s="1976" t="s">
        <v>2427</v>
      </c>
      <c r="C564" s="1087">
        <v>0</v>
      </c>
      <c r="D564" s="1991">
        <v>0</v>
      </c>
      <c r="E564" s="1992">
        <v>0</v>
      </c>
      <c r="F564" s="1993">
        <v>0</v>
      </c>
      <c r="G564" s="1087">
        <v>10000</v>
      </c>
      <c r="H564" s="1994">
        <v>7500000</v>
      </c>
      <c r="I564" s="742">
        <v>7500000</v>
      </c>
    </row>
    <row r="565" spans="1:9" x14ac:dyDescent="0.2">
      <c r="A565" s="1989"/>
      <c r="B565" s="1982" t="s">
        <v>2428</v>
      </c>
      <c r="C565" s="1087">
        <v>0</v>
      </c>
      <c r="D565" s="1991">
        <v>0</v>
      </c>
      <c r="E565" s="1088">
        <v>0</v>
      </c>
      <c r="F565" s="1993">
        <v>0</v>
      </c>
      <c r="G565" s="1087">
        <v>1100000</v>
      </c>
      <c r="H565" s="733">
        <v>0</v>
      </c>
      <c r="I565" s="1864">
        <v>0</v>
      </c>
    </row>
    <row r="566" spans="1:9" x14ac:dyDescent="0.2">
      <c r="A566" s="1191">
        <v>3634</v>
      </c>
      <c r="B566" s="1975" t="s">
        <v>1716</v>
      </c>
      <c r="C566" s="731">
        <f>SUM(C567:C572)</f>
        <v>15805000</v>
      </c>
      <c r="D566" s="1995">
        <f t="shared" ref="D566:G566" si="114">SUM(D567:D572)</f>
        <v>13105000</v>
      </c>
      <c r="E566" s="731">
        <f t="shared" si="114"/>
        <v>4119510.26</v>
      </c>
      <c r="F566" s="1116">
        <f t="shared" si="114"/>
        <v>121000</v>
      </c>
      <c r="G566" s="731">
        <f t="shared" si="114"/>
        <v>7105000</v>
      </c>
      <c r="H566" s="1116">
        <f>SUM(H567:H572)</f>
        <v>3200000</v>
      </c>
      <c r="I566" s="731">
        <f>SUM(I567:I572)</f>
        <v>3200000</v>
      </c>
    </row>
    <row r="567" spans="1:9" x14ac:dyDescent="0.2">
      <c r="A567" s="1176" t="s">
        <v>1719</v>
      </c>
      <c r="B567" s="1982" t="s">
        <v>2429</v>
      </c>
      <c r="C567" s="1087">
        <v>200000</v>
      </c>
      <c r="D567" s="1088">
        <v>200000</v>
      </c>
      <c r="E567" s="1087">
        <v>0</v>
      </c>
      <c r="F567" s="1088">
        <v>0</v>
      </c>
      <c r="G567" s="1087">
        <v>0</v>
      </c>
      <c r="H567" s="733">
        <v>0</v>
      </c>
      <c r="I567" s="1864">
        <v>0</v>
      </c>
    </row>
    <row r="568" spans="1:9" x14ac:dyDescent="0.2">
      <c r="A568" s="1176" t="s">
        <v>1721</v>
      </c>
      <c r="B568" s="1982" t="s">
        <v>1722</v>
      </c>
      <c r="C568" s="1891">
        <v>800000</v>
      </c>
      <c r="D568" s="1892">
        <v>800000</v>
      </c>
      <c r="E568" s="1891">
        <v>0</v>
      </c>
      <c r="F568" s="1892">
        <v>0</v>
      </c>
      <c r="G568" s="1891">
        <v>800000</v>
      </c>
      <c r="H568" s="1330">
        <v>0</v>
      </c>
      <c r="I568" s="740">
        <v>0</v>
      </c>
    </row>
    <row r="569" spans="1:9" x14ac:dyDescent="0.2">
      <c r="A569" s="1176" t="s">
        <v>1723</v>
      </c>
      <c r="B569" s="1982" t="s">
        <v>2430</v>
      </c>
      <c r="C569" s="1087">
        <v>3300000</v>
      </c>
      <c r="D569" s="1069">
        <v>3300000</v>
      </c>
      <c r="E569" s="1068">
        <v>0</v>
      </c>
      <c r="F569" s="1069">
        <v>121000</v>
      </c>
      <c r="G569" s="1087">
        <v>2000000</v>
      </c>
      <c r="H569" s="733">
        <v>0</v>
      </c>
      <c r="I569" s="1864">
        <v>0</v>
      </c>
    </row>
    <row r="570" spans="1:9" x14ac:dyDescent="0.2">
      <c r="A570" s="1176" t="s">
        <v>1725</v>
      </c>
      <c r="B570" s="1982" t="s">
        <v>2431</v>
      </c>
      <c r="C570" s="1087">
        <v>5000</v>
      </c>
      <c r="D570" s="1088">
        <v>5000</v>
      </c>
      <c r="E570" s="1087">
        <v>0</v>
      </c>
      <c r="F570" s="1088">
        <v>0</v>
      </c>
      <c r="G570" s="1087">
        <v>5000</v>
      </c>
      <c r="H570" s="733">
        <v>3200000</v>
      </c>
      <c r="I570" s="1864">
        <v>3200000</v>
      </c>
    </row>
    <row r="571" spans="1:9" x14ac:dyDescent="0.2">
      <c r="A571" s="1085" t="s">
        <v>1737</v>
      </c>
      <c r="B571" s="1982" t="s">
        <v>2432</v>
      </c>
      <c r="C571" s="1087">
        <v>11500000</v>
      </c>
      <c r="D571" s="1088">
        <v>8800000</v>
      </c>
      <c r="E571" s="1087">
        <v>4119510.26</v>
      </c>
      <c r="F571" s="1088">
        <v>0</v>
      </c>
      <c r="G571" s="1087">
        <v>0</v>
      </c>
      <c r="H571" s="733">
        <v>0</v>
      </c>
      <c r="I571" s="1864">
        <v>0</v>
      </c>
    </row>
    <row r="572" spans="1:9" s="2" customFormat="1" x14ac:dyDescent="0.2">
      <c r="A572" s="1085"/>
      <c r="B572" s="158" t="s">
        <v>2433</v>
      </c>
      <c r="C572" s="1040">
        <v>0</v>
      </c>
      <c r="D572" s="32">
        <v>0</v>
      </c>
      <c r="E572" s="1040">
        <v>0</v>
      </c>
      <c r="F572" s="32">
        <v>0</v>
      </c>
      <c r="G572" s="1040">
        <v>4300000</v>
      </c>
      <c r="H572" s="733">
        <v>0</v>
      </c>
      <c r="I572" s="1864">
        <v>0</v>
      </c>
    </row>
    <row r="573" spans="1:9" x14ac:dyDescent="0.2">
      <c r="A573" s="1191">
        <v>4351</v>
      </c>
      <c r="B573" s="1910" t="s">
        <v>2434</v>
      </c>
      <c r="C573" s="1897">
        <f>SUM(C574)</f>
        <v>3500000</v>
      </c>
      <c r="D573" s="1996">
        <f t="shared" ref="D573:G575" si="115">SUM(D574)</f>
        <v>3500000</v>
      </c>
      <c r="E573" s="1897">
        <f t="shared" si="115"/>
        <v>0</v>
      </c>
      <c r="F573" s="1997">
        <f t="shared" si="115"/>
        <v>67434</v>
      </c>
      <c r="G573" s="1897">
        <f t="shared" si="115"/>
        <v>3850000</v>
      </c>
      <c r="H573" s="1116">
        <f t="shared" ref="H573:I575" si="116">SUM(H574)</f>
        <v>0</v>
      </c>
      <c r="I573" s="731">
        <f t="shared" si="116"/>
        <v>0</v>
      </c>
    </row>
    <row r="574" spans="1:9" x14ac:dyDescent="0.2">
      <c r="A574" s="1876" t="s">
        <v>2435</v>
      </c>
      <c r="B574" s="1976" t="s">
        <v>2436</v>
      </c>
      <c r="C574" s="1087">
        <v>3500000</v>
      </c>
      <c r="D574" s="1088">
        <v>3500000</v>
      </c>
      <c r="E574" s="1087">
        <v>0</v>
      </c>
      <c r="F574" s="1088">
        <v>67434</v>
      </c>
      <c r="G574" s="1087">
        <v>3850000</v>
      </c>
      <c r="H574" s="733">
        <v>0</v>
      </c>
      <c r="I574" s="1864">
        <v>0</v>
      </c>
    </row>
    <row r="575" spans="1:9" x14ac:dyDescent="0.2">
      <c r="A575" s="1191">
        <v>4374</v>
      </c>
      <c r="B575" s="1975" t="s">
        <v>2437</v>
      </c>
      <c r="C575" s="731">
        <f>SUM(C576)</f>
        <v>500000</v>
      </c>
      <c r="D575" s="1995">
        <f t="shared" si="115"/>
        <v>500000</v>
      </c>
      <c r="E575" s="731">
        <f t="shared" si="115"/>
        <v>363605</v>
      </c>
      <c r="F575" s="1116">
        <f t="shared" si="115"/>
        <v>363605</v>
      </c>
      <c r="G575" s="731">
        <f t="shared" si="115"/>
        <v>53000</v>
      </c>
      <c r="H575" s="1116">
        <f t="shared" si="116"/>
        <v>0</v>
      </c>
      <c r="I575" s="731">
        <f t="shared" si="116"/>
        <v>0</v>
      </c>
    </row>
    <row r="576" spans="1:9" x14ac:dyDescent="0.2">
      <c r="A576" s="1085" t="s">
        <v>2438</v>
      </c>
      <c r="B576" s="1982" t="s">
        <v>1705</v>
      </c>
      <c r="C576" s="1087">
        <v>500000</v>
      </c>
      <c r="D576" s="1088">
        <v>500000</v>
      </c>
      <c r="E576" s="1087">
        <v>363605</v>
      </c>
      <c r="F576" s="1088">
        <v>363605</v>
      </c>
      <c r="G576" s="1087">
        <v>53000</v>
      </c>
      <c r="H576" s="733">
        <v>0</v>
      </c>
      <c r="I576" s="1864">
        <v>0</v>
      </c>
    </row>
    <row r="577" spans="1:9" ht="15.75" x14ac:dyDescent="0.25">
      <c r="A577" s="649"/>
      <c r="B577" s="1998" t="s">
        <v>2439</v>
      </c>
      <c r="C577" s="1197">
        <f t="shared" ref="C577:G577" si="117">C578+C584+C586+C590+C595</f>
        <v>22807000</v>
      </c>
      <c r="D577" s="1999">
        <f t="shared" si="117"/>
        <v>21487000</v>
      </c>
      <c r="E577" s="1197">
        <f t="shared" si="117"/>
        <v>10010082</v>
      </c>
      <c r="F577" s="2000">
        <f t="shared" si="117"/>
        <v>13524352</v>
      </c>
      <c r="G577" s="2001">
        <f t="shared" si="117"/>
        <v>15102700</v>
      </c>
      <c r="H577" s="2000" t="e">
        <f>H578+H588+H590+H594+#REF!</f>
        <v>#REF!</v>
      </c>
      <c r="I577" s="1197" t="e">
        <f>I578+I588+I590+I594+#REF!</f>
        <v>#REF!</v>
      </c>
    </row>
    <row r="578" spans="1:9" x14ac:dyDescent="0.2">
      <c r="A578" s="1082">
        <v>3412</v>
      </c>
      <c r="B578" s="2002" t="s">
        <v>1739</v>
      </c>
      <c r="C578" s="731">
        <f>SUM(C579:C583)</f>
        <v>13037000</v>
      </c>
      <c r="D578" s="1995">
        <f t="shared" ref="D578:G578" si="118">SUM(D579:D583)</f>
        <v>11717000</v>
      </c>
      <c r="E578" s="731">
        <f t="shared" si="118"/>
        <v>1578235</v>
      </c>
      <c r="F578" s="1116">
        <f t="shared" si="118"/>
        <v>4907505</v>
      </c>
      <c r="G578" s="765">
        <f t="shared" si="118"/>
        <v>14527700</v>
      </c>
      <c r="H578" s="1116">
        <f>SUM(H579:H587)</f>
        <v>0</v>
      </c>
      <c r="I578" s="731">
        <f>SUM(I579:I587)</f>
        <v>0</v>
      </c>
    </row>
    <row r="579" spans="1:9" x14ac:dyDescent="0.2">
      <c r="A579" s="1056" t="s">
        <v>1744</v>
      </c>
      <c r="B579" s="2003" t="s">
        <v>1745</v>
      </c>
      <c r="C579" s="1058">
        <v>650000</v>
      </c>
      <c r="D579" s="1130">
        <v>1030000</v>
      </c>
      <c r="E579" s="305">
        <v>31500</v>
      </c>
      <c r="F579" s="1129">
        <v>363000</v>
      </c>
      <c r="G579" s="1058">
        <v>622000</v>
      </c>
      <c r="H579" s="733">
        <v>0</v>
      </c>
      <c r="I579" s="1864">
        <v>0</v>
      </c>
    </row>
    <row r="580" spans="1:9" x14ac:dyDescent="0.2">
      <c r="A580" s="1056" t="s">
        <v>1746</v>
      </c>
      <c r="B580" s="2003" t="s">
        <v>1747</v>
      </c>
      <c r="C580" s="1058">
        <v>250000</v>
      </c>
      <c r="D580" s="1130">
        <v>350000</v>
      </c>
      <c r="E580" s="305">
        <v>20160</v>
      </c>
      <c r="F580" s="1129">
        <v>121000</v>
      </c>
      <c r="G580" s="1058">
        <v>205700</v>
      </c>
      <c r="H580" s="733"/>
      <c r="I580" s="1864"/>
    </row>
    <row r="581" spans="1:9" x14ac:dyDescent="0.2">
      <c r="A581" s="1056" t="s">
        <v>1748</v>
      </c>
      <c r="B581" s="2004" t="s">
        <v>2440</v>
      </c>
      <c r="C581" s="1058">
        <v>137000</v>
      </c>
      <c r="D581" s="1130">
        <v>137000</v>
      </c>
      <c r="E581" s="305">
        <v>96800</v>
      </c>
      <c r="F581" s="1129">
        <v>896800</v>
      </c>
      <c r="G581" s="1058">
        <v>6200000</v>
      </c>
      <c r="H581" s="733"/>
      <c r="I581" s="1864"/>
    </row>
    <row r="582" spans="1:9" x14ac:dyDescent="0.2">
      <c r="A582" s="1056" t="s">
        <v>1750</v>
      </c>
      <c r="B582" s="2004" t="s">
        <v>1751</v>
      </c>
      <c r="C582" s="1058">
        <v>4000000</v>
      </c>
      <c r="D582" s="1130">
        <v>2200000</v>
      </c>
      <c r="E582" s="305">
        <v>0</v>
      </c>
      <c r="F582" s="1129">
        <v>0</v>
      </c>
      <c r="G582" s="1058">
        <v>4000000</v>
      </c>
      <c r="H582" s="733"/>
      <c r="I582" s="1864"/>
    </row>
    <row r="583" spans="1:9" x14ac:dyDescent="0.2">
      <c r="A583" s="1876" t="s">
        <v>1752</v>
      </c>
      <c r="B583" s="2005" t="s">
        <v>1753</v>
      </c>
      <c r="C583" s="1126">
        <v>8000000</v>
      </c>
      <c r="D583" s="1128">
        <v>8000000</v>
      </c>
      <c r="E583" s="1073">
        <v>1429775</v>
      </c>
      <c r="F583" s="1127">
        <v>3526705</v>
      </c>
      <c r="G583" s="1126">
        <v>3500000</v>
      </c>
      <c r="H583" s="733"/>
      <c r="I583" s="1864"/>
    </row>
    <row r="584" spans="1:9" x14ac:dyDescent="0.2">
      <c r="A584" s="764">
        <v>3613</v>
      </c>
      <c r="B584" s="1975" t="s">
        <v>1646</v>
      </c>
      <c r="C584" s="731">
        <f t="shared" ref="C584:G584" si="119">SUM(C585:C585)</f>
        <v>300000</v>
      </c>
      <c r="D584" s="1995">
        <f t="shared" si="119"/>
        <v>300000</v>
      </c>
      <c r="E584" s="731">
        <f t="shared" si="119"/>
        <v>0</v>
      </c>
      <c r="F584" s="1116">
        <f t="shared" si="119"/>
        <v>120000</v>
      </c>
      <c r="G584" s="731">
        <f t="shared" si="119"/>
        <v>300000</v>
      </c>
      <c r="H584" s="733">
        <v>0</v>
      </c>
      <c r="I584" s="1864">
        <v>0</v>
      </c>
    </row>
    <row r="585" spans="1:9" s="2" customFormat="1" x14ac:dyDescent="0.2">
      <c r="A585" s="1056" t="s">
        <v>558</v>
      </c>
      <c r="B585" s="2003" t="s">
        <v>1754</v>
      </c>
      <c r="C585" s="1058">
        <v>300000</v>
      </c>
      <c r="D585" s="1130">
        <v>300000</v>
      </c>
      <c r="E585" s="305">
        <v>0</v>
      </c>
      <c r="F585" s="1129">
        <v>120000</v>
      </c>
      <c r="G585" s="1058">
        <v>300000</v>
      </c>
      <c r="H585" s="733">
        <v>0</v>
      </c>
      <c r="I585" s="1864">
        <v>0</v>
      </c>
    </row>
    <row r="586" spans="1:9" x14ac:dyDescent="0.2">
      <c r="A586" s="771">
        <v>3631</v>
      </c>
      <c r="B586" s="2006" t="s">
        <v>1755</v>
      </c>
      <c r="C586" s="726">
        <f t="shared" ref="C586:G586" si="120">SUM(C587:C589)</f>
        <v>7850000</v>
      </c>
      <c r="D586" s="755">
        <f t="shared" si="120"/>
        <v>7850000</v>
      </c>
      <c r="E586" s="726">
        <f t="shared" si="120"/>
        <v>7582517.4000000004</v>
      </c>
      <c r="F586" s="1033">
        <f t="shared" si="120"/>
        <v>7647517.4000000004</v>
      </c>
      <c r="G586" s="726">
        <f t="shared" si="120"/>
        <v>5000</v>
      </c>
      <c r="H586" s="733">
        <v>0</v>
      </c>
      <c r="I586" s="1864">
        <v>0</v>
      </c>
    </row>
    <row r="587" spans="1:9" s="2" customFormat="1" ht="12.75" customHeight="1" x14ac:dyDescent="0.2">
      <c r="A587" s="1056" t="s">
        <v>573</v>
      </c>
      <c r="B587" s="2003" t="s">
        <v>1756</v>
      </c>
      <c r="C587" s="1058">
        <v>7600000</v>
      </c>
      <c r="D587" s="1130">
        <v>7710000</v>
      </c>
      <c r="E587" s="305">
        <v>7569917.4000000004</v>
      </c>
      <c r="F587" s="1129">
        <v>7569917.4000000004</v>
      </c>
      <c r="G587" s="1058">
        <v>0</v>
      </c>
      <c r="H587" s="733">
        <v>0</v>
      </c>
      <c r="I587" s="1864">
        <v>0</v>
      </c>
    </row>
    <row r="588" spans="1:9" s="2" customFormat="1" ht="12.75" customHeight="1" x14ac:dyDescent="0.2">
      <c r="A588" s="1056"/>
      <c r="B588" s="2003" t="s">
        <v>2441</v>
      </c>
      <c r="C588" s="1058">
        <v>0</v>
      </c>
      <c r="D588" s="1130">
        <v>0</v>
      </c>
      <c r="E588" s="305">
        <v>0</v>
      </c>
      <c r="F588" s="1129">
        <v>0</v>
      </c>
      <c r="G588" s="1058">
        <v>5000</v>
      </c>
      <c r="H588" s="1033">
        <f t="shared" ref="H588:I588" si="121">SUM(H589:H589)</f>
        <v>12000000</v>
      </c>
      <c r="I588" s="726">
        <f t="shared" si="121"/>
        <v>12000000</v>
      </c>
    </row>
    <row r="589" spans="1:9" s="2" customFormat="1" x14ac:dyDescent="0.2">
      <c r="A589" s="1056" t="s">
        <v>1759</v>
      </c>
      <c r="B589" s="2003" t="s">
        <v>2442</v>
      </c>
      <c r="C589" s="1058">
        <v>250000</v>
      </c>
      <c r="D589" s="1130">
        <v>140000</v>
      </c>
      <c r="E589" s="305">
        <v>12600</v>
      </c>
      <c r="F589" s="1129">
        <v>77600</v>
      </c>
      <c r="G589" s="1058">
        <v>0</v>
      </c>
      <c r="H589" s="1330">
        <v>12000000</v>
      </c>
      <c r="I589" s="740">
        <v>12000000</v>
      </c>
    </row>
    <row r="590" spans="1:9" x14ac:dyDescent="0.2">
      <c r="A590" s="2007">
        <v>3632</v>
      </c>
      <c r="B590" s="2008" t="s">
        <v>1410</v>
      </c>
      <c r="C590" s="2009">
        <f t="shared" ref="C590:G590" si="122">SUM(C591:C594)</f>
        <v>1220000</v>
      </c>
      <c r="D590" s="2010">
        <f t="shared" si="122"/>
        <v>1220000</v>
      </c>
      <c r="E590" s="2009">
        <f t="shared" si="122"/>
        <v>849329.6</v>
      </c>
      <c r="F590" s="2011">
        <f t="shared" si="122"/>
        <v>849329.6</v>
      </c>
      <c r="G590" s="2009">
        <f t="shared" si="122"/>
        <v>20000</v>
      </c>
      <c r="H590" s="1033">
        <f>SUM(H591:H593)</f>
        <v>0</v>
      </c>
      <c r="I590" s="726">
        <f>SUM(I591:I593)</f>
        <v>0</v>
      </c>
    </row>
    <row r="591" spans="1:9" x14ac:dyDescent="0.2">
      <c r="A591" s="2012" t="s">
        <v>1762</v>
      </c>
      <c r="B591" s="2013" t="s">
        <v>2443</v>
      </c>
      <c r="C591" s="1071">
        <v>10000</v>
      </c>
      <c r="D591" s="2014">
        <v>10000</v>
      </c>
      <c r="E591" s="299">
        <v>0</v>
      </c>
      <c r="F591" s="2015">
        <v>0</v>
      </c>
      <c r="G591" s="1071">
        <v>10000</v>
      </c>
      <c r="H591" s="733">
        <v>0</v>
      </c>
      <c r="I591" s="1864">
        <v>0</v>
      </c>
    </row>
    <row r="592" spans="1:9" x14ac:dyDescent="0.2">
      <c r="A592" s="1056" t="s">
        <v>1762</v>
      </c>
      <c r="B592" s="2004" t="s">
        <v>1764</v>
      </c>
      <c r="C592" s="1058">
        <v>5000</v>
      </c>
      <c r="D592" s="1130">
        <v>5000</v>
      </c>
      <c r="E592" s="305">
        <v>0</v>
      </c>
      <c r="F592" s="1129">
        <v>0</v>
      </c>
      <c r="G592" s="1058">
        <v>5000</v>
      </c>
      <c r="H592" s="733">
        <v>0</v>
      </c>
      <c r="I592" s="1864">
        <v>0</v>
      </c>
    </row>
    <row r="593" spans="1:243" x14ac:dyDescent="0.2">
      <c r="A593" s="1056" t="s">
        <v>594</v>
      </c>
      <c r="B593" s="2004" t="s">
        <v>2444</v>
      </c>
      <c r="C593" s="1061">
        <v>1200000</v>
      </c>
      <c r="D593" s="1132">
        <v>1200000</v>
      </c>
      <c r="E593" s="311">
        <v>849329.6</v>
      </c>
      <c r="F593" s="1131">
        <v>849329.6</v>
      </c>
      <c r="G593" s="1061">
        <v>0</v>
      </c>
      <c r="H593" s="733">
        <v>0</v>
      </c>
      <c r="I593" s="1864">
        <v>0</v>
      </c>
    </row>
    <row r="594" spans="1:243" x14ac:dyDescent="0.2">
      <c r="A594" s="1056" t="s">
        <v>1766</v>
      </c>
      <c r="B594" s="2004" t="s">
        <v>1767</v>
      </c>
      <c r="C594" s="1087">
        <v>5000</v>
      </c>
      <c r="D594" s="1991">
        <v>5000</v>
      </c>
      <c r="E594" s="1992">
        <v>0</v>
      </c>
      <c r="F594" s="1993">
        <v>0</v>
      </c>
      <c r="G594" s="1087">
        <v>5000</v>
      </c>
      <c r="H594" s="727">
        <f>SUM(H595:H598)</f>
        <v>12300000</v>
      </c>
      <c r="I594" s="727">
        <f>SUM(I595:I598)</f>
        <v>12300000</v>
      </c>
    </row>
    <row r="595" spans="1:243" s="2" customFormat="1" x14ac:dyDescent="0.2">
      <c r="A595" s="771">
        <v>3633</v>
      </c>
      <c r="B595" s="2006" t="s">
        <v>1416</v>
      </c>
      <c r="C595" s="1897">
        <f t="shared" ref="C595:I600" si="123">SUM(C596:C596)</f>
        <v>400000</v>
      </c>
      <c r="D595" s="2016">
        <f t="shared" si="123"/>
        <v>400000</v>
      </c>
      <c r="E595" s="2017">
        <f t="shared" si="123"/>
        <v>0</v>
      </c>
      <c r="F595" s="2018">
        <f t="shared" si="123"/>
        <v>0</v>
      </c>
      <c r="G595" s="1897">
        <f t="shared" si="123"/>
        <v>250000</v>
      </c>
      <c r="H595" s="747">
        <v>12300000</v>
      </c>
      <c r="I595" s="1900">
        <v>12300000</v>
      </c>
    </row>
    <row r="596" spans="1:243" s="2" customFormat="1" x14ac:dyDescent="0.2">
      <c r="A596" s="1066" t="s">
        <v>1768</v>
      </c>
      <c r="B596" s="1981" t="s">
        <v>1769</v>
      </c>
      <c r="C596" s="1087">
        <v>400000</v>
      </c>
      <c r="D596" s="1991">
        <v>400000</v>
      </c>
      <c r="E596" s="1992">
        <v>0</v>
      </c>
      <c r="F596" s="1993">
        <v>0</v>
      </c>
      <c r="G596" s="1087">
        <v>250000</v>
      </c>
      <c r="H596" s="733">
        <v>0</v>
      </c>
      <c r="I596" s="1864">
        <v>0</v>
      </c>
    </row>
    <row r="597" spans="1:243" s="2" customFormat="1" ht="15.75" x14ac:dyDescent="0.25">
      <c r="A597" s="649"/>
      <c r="B597" s="1998" t="s">
        <v>1770</v>
      </c>
      <c r="C597" s="2019">
        <f t="shared" si="123"/>
        <v>400000</v>
      </c>
      <c r="D597" s="2020">
        <f t="shared" si="123"/>
        <v>400000</v>
      </c>
      <c r="E597" s="2021">
        <f t="shared" si="123"/>
        <v>64806</v>
      </c>
      <c r="F597" s="2022">
        <f t="shared" si="123"/>
        <v>64806</v>
      </c>
      <c r="G597" s="2019">
        <f t="shared" si="123"/>
        <v>200000</v>
      </c>
      <c r="H597" s="733">
        <v>0</v>
      </c>
      <c r="I597" s="1864">
        <v>0</v>
      </c>
    </row>
    <row r="598" spans="1:243" x14ac:dyDescent="0.2">
      <c r="A598" s="1199" t="s">
        <v>609</v>
      </c>
      <c r="B598" s="1200" t="s">
        <v>1771</v>
      </c>
      <c r="C598" s="1809">
        <v>400000</v>
      </c>
      <c r="D598" s="1201">
        <v>400000</v>
      </c>
      <c r="E598" s="1131">
        <v>64806</v>
      </c>
      <c r="F598" s="1201">
        <v>64806</v>
      </c>
      <c r="G598" s="1809">
        <v>200000</v>
      </c>
      <c r="H598" s="733">
        <v>0</v>
      </c>
      <c r="I598" s="1864">
        <v>0</v>
      </c>
    </row>
    <row r="599" spans="1:243" s="1973" customFormat="1" x14ac:dyDescent="0.2">
      <c r="A599" s="2023"/>
      <c r="B599" s="1988"/>
      <c r="C599" s="1190"/>
      <c r="D599" s="2024"/>
      <c r="E599" s="1190"/>
      <c r="F599" s="2024"/>
      <c r="G599" s="1190"/>
      <c r="H599" s="733"/>
      <c r="I599" s="1864"/>
      <c r="J599" s="2"/>
      <c r="K599" s="2"/>
      <c r="L599" s="2"/>
      <c r="M599" s="2"/>
      <c r="N599" s="2"/>
      <c r="O599" s="2"/>
      <c r="P599" s="2"/>
      <c r="Q599" s="2"/>
      <c r="R599" s="2"/>
      <c r="S599" s="2"/>
      <c r="T599" s="2"/>
      <c r="U599" s="2"/>
      <c r="V599" s="2"/>
      <c r="W599" s="2"/>
      <c r="X599" s="2"/>
      <c r="Y599" s="2"/>
      <c r="Z599" s="2"/>
      <c r="AA599" s="2"/>
      <c r="AB599" s="2"/>
      <c r="AC599" s="2"/>
      <c r="AD599" s="2"/>
      <c r="AE599" s="2"/>
      <c r="AF599" s="2"/>
      <c r="AG599" s="2"/>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c r="FL599" s="2"/>
      <c r="FM599" s="2"/>
      <c r="FN599" s="2"/>
      <c r="FO599" s="2"/>
      <c r="FP599" s="2"/>
      <c r="FQ599" s="2"/>
      <c r="FR599" s="2"/>
      <c r="FS599" s="2"/>
      <c r="FT599" s="2"/>
      <c r="FU599" s="2"/>
      <c r="FV599" s="2"/>
      <c r="FW599" s="2"/>
      <c r="FX599" s="2"/>
      <c r="FY599" s="2"/>
      <c r="FZ599" s="2"/>
      <c r="GA599" s="2"/>
      <c r="GB599" s="2"/>
      <c r="GC599" s="2"/>
      <c r="GD599" s="2"/>
      <c r="GE599" s="2"/>
      <c r="GF599" s="2"/>
      <c r="GG599" s="2"/>
      <c r="GH599" s="2"/>
      <c r="GI599" s="2"/>
      <c r="GJ599" s="2"/>
      <c r="GK599" s="2"/>
      <c r="GL599" s="2"/>
      <c r="GM599" s="2"/>
      <c r="GN599" s="2"/>
      <c r="GO599" s="2"/>
      <c r="GP599" s="2"/>
      <c r="GQ599" s="2"/>
      <c r="GR599" s="2"/>
      <c r="GS599" s="2"/>
      <c r="GT599" s="2"/>
      <c r="GU599" s="2"/>
      <c r="GV599" s="2"/>
      <c r="GW599" s="2"/>
      <c r="GX599" s="2"/>
      <c r="GY599" s="2"/>
      <c r="GZ599" s="2"/>
      <c r="HA599" s="2"/>
      <c r="HB599" s="2"/>
      <c r="HC599" s="2"/>
      <c r="HD599" s="2"/>
      <c r="HE599" s="2"/>
      <c r="HF599" s="2"/>
      <c r="HG599" s="2"/>
      <c r="HH599" s="2"/>
      <c r="HI599" s="2"/>
      <c r="HJ599" s="2"/>
      <c r="HK599" s="2"/>
      <c r="HL599" s="2"/>
      <c r="HM599" s="2"/>
      <c r="HN599" s="2"/>
      <c r="HO599" s="2"/>
      <c r="HP599" s="2"/>
      <c r="HQ599" s="2"/>
      <c r="HR599" s="2"/>
      <c r="HS599" s="2"/>
      <c r="HT599" s="2"/>
      <c r="HU599" s="2"/>
      <c r="HV599" s="2"/>
      <c r="HW599" s="2"/>
      <c r="HX599" s="2"/>
      <c r="HY599" s="2"/>
      <c r="HZ599" s="2"/>
      <c r="IA599" s="2"/>
      <c r="IB599" s="2"/>
      <c r="IC599" s="2"/>
      <c r="ID599" s="2"/>
      <c r="IE599" s="2"/>
      <c r="IF599" s="2"/>
      <c r="IG599" s="2"/>
      <c r="IH599" s="2"/>
      <c r="II599" s="2"/>
    </row>
    <row r="600" spans="1:243" ht="20.25" x14ac:dyDescent="0.2">
      <c r="A600" s="659"/>
      <c r="B600" s="1204" t="s">
        <v>31</v>
      </c>
      <c r="C600" s="1205">
        <f t="shared" si="123"/>
        <v>15000</v>
      </c>
      <c r="D600" s="1205">
        <f t="shared" si="123"/>
        <v>15000</v>
      </c>
      <c r="E600" s="1205">
        <f t="shared" si="123"/>
        <v>0</v>
      </c>
      <c r="F600" s="1205">
        <f t="shared" si="123"/>
        <v>15000</v>
      </c>
      <c r="G600" s="1205">
        <f t="shared" si="123"/>
        <v>15000</v>
      </c>
      <c r="H600" s="1206">
        <f t="shared" si="123"/>
        <v>15000</v>
      </c>
      <c r="I600" s="1205">
        <f t="shared" si="123"/>
        <v>15000</v>
      </c>
    </row>
    <row r="601" spans="1:243" x14ac:dyDescent="0.2">
      <c r="A601" s="2025">
        <v>2141</v>
      </c>
      <c r="B601" s="1208" t="s">
        <v>1773</v>
      </c>
      <c r="C601" s="731">
        <v>15000</v>
      </c>
      <c r="D601" s="731">
        <v>15000</v>
      </c>
      <c r="E601" s="731">
        <v>0</v>
      </c>
      <c r="F601" s="731">
        <v>15000</v>
      </c>
      <c r="G601" s="731">
        <v>15000</v>
      </c>
      <c r="H601" s="1116">
        <v>15000</v>
      </c>
      <c r="I601" s="731">
        <v>15000</v>
      </c>
    </row>
    <row r="602" spans="1:243" s="244" customFormat="1" ht="12.75" customHeight="1" x14ac:dyDescent="0.25">
      <c r="A602" s="1212"/>
      <c r="B602" s="1213"/>
      <c r="C602" s="1042"/>
      <c r="D602" s="1042"/>
      <c r="E602" s="1042"/>
      <c r="G602" s="2026"/>
      <c r="I602" s="2026"/>
    </row>
    <row r="603" spans="1:243" s="98" customFormat="1" ht="20.25" x14ac:dyDescent="0.3">
      <c r="A603" s="649"/>
      <c r="B603" s="701" t="s">
        <v>614</v>
      </c>
      <c r="C603" s="1217">
        <f t="shared" ref="C603:I603" si="124">SUM(C604:C608)</f>
        <v>15625044</v>
      </c>
      <c r="D603" s="1217">
        <f t="shared" si="124"/>
        <v>16236396.609999999</v>
      </c>
      <c r="E603" s="1217">
        <f t="shared" si="124"/>
        <v>9798109.5800000001</v>
      </c>
      <c r="F603" s="1217">
        <f t="shared" si="124"/>
        <v>16241396.609999999</v>
      </c>
      <c r="G603" s="1217">
        <f>SUM(G604:G608)</f>
        <v>17594633</v>
      </c>
      <c r="H603" s="2027">
        <f t="shared" si="124"/>
        <v>17286893</v>
      </c>
      <c r="I603" s="1218">
        <f t="shared" si="124"/>
        <v>17286893</v>
      </c>
    </row>
    <row r="604" spans="1:243" s="98" customFormat="1" ht="29.25" customHeight="1" x14ac:dyDescent="0.2">
      <c r="A604" s="764">
        <v>2141</v>
      </c>
      <c r="B604" s="1977" t="s">
        <v>2445</v>
      </c>
      <c r="C604" s="731">
        <v>871332</v>
      </c>
      <c r="D604" s="731">
        <v>948359.69</v>
      </c>
      <c r="E604" s="731">
        <v>158688.87</v>
      </c>
      <c r="F604" s="1138">
        <v>948359.69</v>
      </c>
      <c r="G604" s="2028">
        <f>(15+50+129+1264.741+6.5+100)*1000</f>
        <v>1565241</v>
      </c>
      <c r="H604" s="2028">
        <f>(15+50+129+1264.741+6.5+100)*1000</f>
        <v>1565241</v>
      </c>
      <c r="I604" s="2028">
        <f>(15+50+129+1264.741+6.5+100)*1000</f>
        <v>1565241</v>
      </c>
    </row>
    <row r="605" spans="1:243" s="98" customFormat="1" ht="79.5" customHeight="1" x14ac:dyDescent="0.2">
      <c r="A605" s="771">
        <v>2143</v>
      </c>
      <c r="B605" s="725" t="s">
        <v>2446</v>
      </c>
      <c r="C605" s="731">
        <v>13609712</v>
      </c>
      <c r="D605" s="731">
        <v>13509036.92</v>
      </c>
      <c r="E605" s="731">
        <v>8143821.3200000003</v>
      </c>
      <c r="F605" s="727">
        <v>13509036.92</v>
      </c>
      <c r="G605" s="727">
        <f>(4610+230+600+1143.28+57.04+414.9+20.7+10+1300+1130+400+1+7.5+10+50+900+130+2050+235.972+130+15+200+5+50+5+200+490)*1000</f>
        <v>14395391.999999998</v>
      </c>
      <c r="H605" s="727">
        <f>(4610+600+1143.28+414.9+10+1300+1130+400+1+7.5+10+50+900+130+2050+235.972+130+15+200+5+50+5+200+490)*1000</f>
        <v>14087652</v>
      </c>
      <c r="I605" s="727">
        <f>(4610+600+1143.28+414.9+10+1300+1130+400+1+7.5+10+50+900+130+2050+235.972+130+15+200+5+50+5+200+490)*1000</f>
        <v>14087652</v>
      </c>
    </row>
    <row r="606" spans="1:243" s="98" customFormat="1" ht="27.75" customHeight="1" x14ac:dyDescent="0.2">
      <c r="A606" s="771">
        <v>3399</v>
      </c>
      <c r="B606" s="725" t="s">
        <v>1776</v>
      </c>
      <c r="C606" s="731">
        <v>70000</v>
      </c>
      <c r="D606" s="731">
        <v>170000</v>
      </c>
      <c r="E606" s="731">
        <v>154413.98000000001</v>
      </c>
      <c r="F606" s="2029">
        <v>170000</v>
      </c>
      <c r="G606" s="727">
        <v>130000</v>
      </c>
      <c r="H606" s="727">
        <v>130000</v>
      </c>
      <c r="I606" s="727">
        <v>130000</v>
      </c>
    </row>
    <row r="607" spans="1:243" s="98" customFormat="1" x14ac:dyDescent="0.2">
      <c r="A607" s="771">
        <v>6171</v>
      </c>
      <c r="B607" s="725" t="s">
        <v>2447</v>
      </c>
      <c r="C607" s="731">
        <v>0</v>
      </c>
      <c r="D607" s="731">
        <v>0</v>
      </c>
      <c r="E607" s="731">
        <v>5000</v>
      </c>
      <c r="F607" s="2029">
        <v>5000</v>
      </c>
      <c r="G607" s="2029">
        <v>0</v>
      </c>
      <c r="H607" s="2029">
        <v>0</v>
      </c>
      <c r="I607" s="727">
        <v>0</v>
      </c>
    </row>
    <row r="608" spans="1:243" s="98" customFormat="1" ht="29.25" customHeight="1" x14ac:dyDescent="0.2">
      <c r="A608" s="771">
        <v>6223</v>
      </c>
      <c r="B608" s="725" t="s">
        <v>2448</v>
      </c>
      <c r="C608" s="731">
        <v>1074000</v>
      </c>
      <c r="D608" s="731">
        <f>1074000+535000</f>
        <v>1609000</v>
      </c>
      <c r="E608" s="731">
        <v>1336185.4099999999</v>
      </c>
      <c r="F608" s="2029">
        <v>1609000</v>
      </c>
      <c r="G608" s="727">
        <f>(150+50+15+40+900+77+250+5.5+5.5+5.5+5.5)*1000</f>
        <v>1504000</v>
      </c>
      <c r="H608" s="727">
        <f>(150+50+15+40+900+77+250+5.5+5.5+5.5+5.5)*1000</f>
        <v>1504000</v>
      </c>
      <c r="I608" s="727">
        <f>(150+50+15+40+900+77+250+5.5+5.5+5.5+5.5)*1000</f>
        <v>1504000</v>
      </c>
    </row>
    <row r="609" spans="1:9" s="98" customFormat="1" x14ac:dyDescent="0.2">
      <c r="A609" s="1220"/>
      <c r="B609" s="1221"/>
      <c r="C609" s="1042"/>
      <c r="D609" s="1042"/>
      <c r="E609" s="1042"/>
      <c r="G609" s="899"/>
      <c r="I609" s="899"/>
    </row>
    <row r="610" spans="1:9" s="98" customFormat="1" ht="20.25" x14ac:dyDescent="0.2">
      <c r="A610" s="1225"/>
      <c r="B610" s="1226" t="s">
        <v>33</v>
      </c>
      <c r="C610" s="1227">
        <f t="shared" ref="C610:I610" si="125">SUM(C611,C612)</f>
        <v>11266280</v>
      </c>
      <c r="D610" s="1227">
        <f t="shared" si="125"/>
        <v>11266280</v>
      </c>
      <c r="E610" s="1227">
        <f t="shared" si="125"/>
        <v>7658184.96</v>
      </c>
      <c r="F610" s="1205">
        <f t="shared" si="125"/>
        <v>10929459</v>
      </c>
      <c r="G610" s="1205">
        <f t="shared" si="125"/>
        <v>11914064</v>
      </c>
      <c r="H610" s="1205">
        <f t="shared" si="125"/>
        <v>11914064</v>
      </c>
      <c r="I610" s="1205">
        <f t="shared" si="125"/>
        <v>11914064</v>
      </c>
    </row>
    <row r="611" spans="1:9" s="98" customFormat="1" ht="24.75" x14ac:dyDescent="0.2">
      <c r="A611" s="771">
        <v>2223</v>
      </c>
      <c r="B611" s="725" t="s">
        <v>1778</v>
      </c>
      <c r="C611" s="765">
        <v>87000</v>
      </c>
      <c r="D611" s="765">
        <v>87000</v>
      </c>
      <c r="E611" s="765">
        <v>86100.3</v>
      </c>
      <c r="F611" s="1138">
        <v>87000</v>
      </c>
      <c r="G611" s="1138">
        <v>110000</v>
      </c>
      <c r="H611" s="1138">
        <v>110000</v>
      </c>
      <c r="I611" s="1138">
        <v>110000</v>
      </c>
    </row>
    <row r="612" spans="1:9" s="98" customFormat="1" x14ac:dyDescent="0.2">
      <c r="A612" s="771">
        <v>2292</v>
      </c>
      <c r="B612" s="717" t="s">
        <v>2449</v>
      </c>
      <c r="C612" s="731">
        <f t="shared" ref="C612:I612" si="126">SUM(C613:C617)</f>
        <v>11179280</v>
      </c>
      <c r="D612" s="731">
        <f t="shared" si="126"/>
        <v>11179280</v>
      </c>
      <c r="E612" s="731">
        <f t="shared" si="126"/>
        <v>7572084.6600000001</v>
      </c>
      <c r="F612" s="731">
        <f t="shared" si="126"/>
        <v>10842459</v>
      </c>
      <c r="G612" s="731">
        <f t="shared" si="126"/>
        <v>11804064</v>
      </c>
      <c r="H612" s="731">
        <f t="shared" si="126"/>
        <v>11804064</v>
      </c>
      <c r="I612" s="731">
        <f t="shared" si="126"/>
        <v>11804064</v>
      </c>
    </row>
    <row r="613" spans="1:9" s="98" customFormat="1" x14ac:dyDescent="0.2">
      <c r="A613" s="771"/>
      <c r="B613" s="737" t="s">
        <v>623</v>
      </c>
      <c r="C613" s="738">
        <v>1917280</v>
      </c>
      <c r="D613" s="738">
        <v>1917280</v>
      </c>
      <c r="E613" s="738">
        <v>1437960</v>
      </c>
      <c r="F613" s="1232">
        <v>1917280</v>
      </c>
      <c r="G613" s="1232">
        <v>2234064</v>
      </c>
      <c r="H613" s="1232">
        <v>2234064</v>
      </c>
      <c r="I613" s="1232">
        <v>2234064</v>
      </c>
    </row>
    <row r="614" spans="1:9" s="98" customFormat="1" x14ac:dyDescent="0.2">
      <c r="A614" s="771"/>
      <c r="B614" s="737" t="s">
        <v>2450</v>
      </c>
      <c r="C614" s="738">
        <v>8500000</v>
      </c>
      <c r="D614" s="738">
        <v>8500000</v>
      </c>
      <c r="E614" s="738">
        <v>5567097</v>
      </c>
      <c r="F614" s="1864">
        <v>8350645</v>
      </c>
      <c r="G614" s="1900">
        <v>8800000</v>
      </c>
      <c r="H614" s="1900">
        <v>8800000</v>
      </c>
      <c r="I614" s="1864">
        <v>8800000</v>
      </c>
    </row>
    <row r="615" spans="1:9" s="98" customFormat="1" x14ac:dyDescent="0.2">
      <c r="A615" s="771"/>
      <c r="B615" s="749" t="s">
        <v>2451</v>
      </c>
      <c r="C615" s="738">
        <v>350000</v>
      </c>
      <c r="D615" s="738">
        <v>350000</v>
      </c>
      <c r="E615" s="738">
        <v>298897</v>
      </c>
      <c r="F615" s="1864">
        <v>298897</v>
      </c>
      <c r="G615" s="1900">
        <v>350000</v>
      </c>
      <c r="H615" s="1900">
        <v>350000</v>
      </c>
      <c r="I615" s="1864">
        <v>350000</v>
      </c>
    </row>
    <row r="616" spans="1:9" s="98" customFormat="1" x14ac:dyDescent="0.2">
      <c r="A616" s="1228"/>
      <c r="B616" s="1229" t="s">
        <v>2452</v>
      </c>
      <c r="C616" s="750">
        <v>400000</v>
      </c>
      <c r="D616" s="750">
        <v>400000</v>
      </c>
      <c r="E616" s="750">
        <v>263637</v>
      </c>
      <c r="F616" s="1864">
        <v>263637</v>
      </c>
      <c r="G616" s="1900">
        <v>400000</v>
      </c>
      <c r="H616" s="1900">
        <v>400000</v>
      </c>
      <c r="I616" s="1864">
        <v>400000</v>
      </c>
    </row>
    <row r="617" spans="1:9" s="98" customFormat="1" x14ac:dyDescent="0.2">
      <c r="A617" s="2030"/>
      <c r="B617" s="1231" t="s">
        <v>2453</v>
      </c>
      <c r="C617" s="1045">
        <v>12000</v>
      </c>
      <c r="D617" s="1045">
        <v>12000</v>
      </c>
      <c r="E617" s="1045">
        <v>4493.66</v>
      </c>
      <c r="F617" s="1864">
        <v>12000</v>
      </c>
      <c r="G617" s="1900">
        <v>20000</v>
      </c>
      <c r="H617" s="1900">
        <v>20000</v>
      </c>
      <c r="I617" s="1864">
        <v>20000</v>
      </c>
    </row>
    <row r="618" spans="1:9" s="98" customFormat="1" x14ac:dyDescent="0.2">
      <c r="A618" s="2031"/>
      <c r="B618" s="1231"/>
      <c r="C618" s="1158"/>
      <c r="D618" s="1158"/>
      <c r="E618" s="1158"/>
      <c r="G618" s="899"/>
      <c r="I618" s="899"/>
    </row>
    <row r="619" spans="1:9" s="98" customFormat="1" ht="20.25" x14ac:dyDescent="0.3">
      <c r="A619" s="649"/>
      <c r="B619" s="701" t="s">
        <v>34</v>
      </c>
      <c r="C619" s="652">
        <f t="shared" ref="C619:I619" si="127">SUM(C620:C621)</f>
        <v>162000</v>
      </c>
      <c r="D619" s="652">
        <f t="shared" si="127"/>
        <v>162000</v>
      </c>
      <c r="E619" s="652">
        <f t="shared" si="127"/>
        <v>87592.84</v>
      </c>
      <c r="F619" s="652">
        <f t="shared" si="127"/>
        <v>104000</v>
      </c>
      <c r="G619" s="652">
        <f t="shared" si="127"/>
        <v>162000</v>
      </c>
      <c r="H619" s="652">
        <f t="shared" si="127"/>
        <v>0</v>
      </c>
      <c r="I619" s="652">
        <f t="shared" si="127"/>
        <v>0</v>
      </c>
    </row>
    <row r="620" spans="1:9" s="98" customFormat="1" ht="12.75" customHeight="1" x14ac:dyDescent="0.2">
      <c r="A620" s="771">
        <v>2223</v>
      </c>
      <c r="B620" s="717" t="s">
        <v>1784</v>
      </c>
      <c r="C620" s="731">
        <v>150000</v>
      </c>
      <c r="D620" s="731">
        <v>150000</v>
      </c>
      <c r="E620" s="731">
        <v>86277.84</v>
      </c>
      <c r="F620" s="715">
        <v>100000</v>
      </c>
      <c r="G620" s="715">
        <v>150000</v>
      </c>
      <c r="H620" s="715"/>
      <c r="I620" s="715"/>
    </row>
    <row r="621" spans="1:9" s="98" customFormat="1" x14ac:dyDescent="0.2">
      <c r="A621" s="771">
        <v>6171</v>
      </c>
      <c r="B621" s="717" t="s">
        <v>1785</v>
      </c>
      <c r="C621" s="731">
        <v>12000</v>
      </c>
      <c r="D621" s="731">
        <v>12000</v>
      </c>
      <c r="E621" s="731">
        <v>1315</v>
      </c>
      <c r="F621" s="722">
        <v>4000</v>
      </c>
      <c r="G621" s="722">
        <v>12000</v>
      </c>
      <c r="H621" s="2032"/>
      <c r="I621" s="730"/>
    </row>
    <row r="622" spans="1:9" s="98" customFormat="1" x14ac:dyDescent="0.2">
      <c r="A622" s="682"/>
      <c r="B622" s="1236"/>
      <c r="C622" s="1042"/>
      <c r="D622" s="1042"/>
      <c r="E622" s="1517"/>
      <c r="G622" s="899"/>
      <c r="I622" s="899"/>
    </row>
    <row r="623" spans="1:9" s="98" customFormat="1" ht="20.25" x14ac:dyDescent="0.3">
      <c r="A623" s="1225"/>
      <c r="B623" s="1238" t="s">
        <v>630</v>
      </c>
      <c r="C623" s="1239">
        <f t="shared" ref="C623:I623" si="128">SUM(C624:C626)</f>
        <v>1000000</v>
      </c>
      <c r="D623" s="1239">
        <f t="shared" si="128"/>
        <v>1224000</v>
      </c>
      <c r="E623" s="1239">
        <f t="shared" si="128"/>
        <v>1933595.5699999998</v>
      </c>
      <c r="F623" s="1239">
        <f t="shared" si="128"/>
        <v>1437000</v>
      </c>
      <c r="G623" s="1239">
        <f t="shared" si="128"/>
        <v>500000</v>
      </c>
      <c r="H623" s="1239">
        <f t="shared" si="128"/>
        <v>500000</v>
      </c>
      <c r="I623" s="1239">
        <f t="shared" si="128"/>
        <v>500000</v>
      </c>
    </row>
    <row r="624" spans="1:9" s="98" customFormat="1" x14ac:dyDescent="0.2">
      <c r="A624" s="864">
        <v>6114</v>
      </c>
      <c r="B624" s="842" t="s">
        <v>2454</v>
      </c>
      <c r="C624" s="998">
        <v>0</v>
      </c>
      <c r="D624" s="734">
        <v>0</v>
      </c>
      <c r="E624" s="1677">
        <v>0</v>
      </c>
      <c r="F624" s="734">
        <v>0</v>
      </c>
      <c r="G624" s="998">
        <v>500000</v>
      </c>
      <c r="H624" s="998">
        <v>500000</v>
      </c>
      <c r="I624" s="734">
        <v>500000</v>
      </c>
    </row>
    <row r="625" spans="1:9" s="98" customFormat="1" x14ac:dyDescent="0.2">
      <c r="A625" s="2033">
        <v>6115</v>
      </c>
      <c r="B625" s="1147" t="s">
        <v>631</v>
      </c>
      <c r="C625" s="726">
        <v>500000</v>
      </c>
      <c r="D625" s="726">
        <v>500000</v>
      </c>
      <c r="E625" s="731">
        <v>1213000</v>
      </c>
      <c r="F625" s="731">
        <v>713000</v>
      </c>
      <c r="G625" s="731">
        <v>0</v>
      </c>
      <c r="H625" s="731">
        <v>0</v>
      </c>
      <c r="I625" s="731">
        <v>0</v>
      </c>
    </row>
    <row r="626" spans="1:9" s="98" customFormat="1" x14ac:dyDescent="0.2">
      <c r="A626" s="1240">
        <v>6117</v>
      </c>
      <c r="B626" s="771" t="s">
        <v>1787</v>
      </c>
      <c r="C626" s="726">
        <v>500000</v>
      </c>
      <c r="D626" s="726">
        <f>500000+(724000-500000)</f>
        <v>724000</v>
      </c>
      <c r="E626" s="731">
        <v>720595.57</v>
      </c>
      <c r="F626" s="734">
        <v>724000</v>
      </c>
      <c r="G626" s="734">
        <v>0</v>
      </c>
      <c r="H626" s="734">
        <v>0</v>
      </c>
      <c r="I626" s="734">
        <v>0</v>
      </c>
    </row>
    <row r="627" spans="1:9" s="98" customFormat="1" x14ac:dyDescent="0.2">
      <c r="A627" s="867"/>
      <c r="B627" s="2034"/>
      <c r="C627" s="1006"/>
      <c r="D627" s="1359"/>
      <c r="E627" s="1361"/>
      <c r="F627" s="1359"/>
      <c r="G627" s="1006"/>
      <c r="H627" s="1006"/>
      <c r="I627" s="1359"/>
    </row>
    <row r="628" spans="1:9" customFormat="1" ht="20.25" x14ac:dyDescent="0.3">
      <c r="A628" s="659"/>
      <c r="B628" s="1246" t="s">
        <v>36</v>
      </c>
      <c r="C628" s="1247">
        <f t="shared" ref="C628:I628" si="129">C629+C674+C701</f>
        <v>112714300</v>
      </c>
      <c r="D628" s="1247">
        <f t="shared" si="129"/>
        <v>131296914.09999999</v>
      </c>
      <c r="E628" s="1247">
        <f t="shared" si="129"/>
        <v>93407188.049999997</v>
      </c>
      <c r="F628" s="1247">
        <f t="shared" si="129"/>
        <v>130887110.97</v>
      </c>
      <c r="G628" s="1247">
        <f>G629+G674+G701</f>
        <v>125656247</v>
      </c>
      <c r="H628" s="1247">
        <f t="shared" si="129"/>
        <v>0</v>
      </c>
      <c r="I628" s="1247">
        <f t="shared" si="129"/>
        <v>0</v>
      </c>
    </row>
    <row r="629" spans="1:9" customFormat="1" ht="15.75" x14ac:dyDescent="0.25">
      <c r="A629" s="690"/>
      <c r="B629" s="1249" t="s">
        <v>633</v>
      </c>
      <c r="C629" s="1080">
        <f t="shared" ref="C629:I629" si="130">SUM(C630,C646,C672,C667)</f>
        <v>44001000</v>
      </c>
      <c r="D629" s="1080">
        <f t="shared" si="130"/>
        <v>56830062.099999994</v>
      </c>
      <c r="E629" s="1080">
        <f t="shared" si="130"/>
        <v>41634118.039999999</v>
      </c>
      <c r="F629" s="1080">
        <f t="shared" si="130"/>
        <v>56420258.969999999</v>
      </c>
      <c r="G629" s="1080">
        <f t="shared" si="130"/>
        <v>47677600</v>
      </c>
      <c r="H629" s="1080">
        <f t="shared" si="130"/>
        <v>0</v>
      </c>
      <c r="I629" s="1080">
        <f t="shared" si="130"/>
        <v>0</v>
      </c>
    </row>
    <row r="630" spans="1:9" customFormat="1" x14ac:dyDescent="0.2">
      <c r="A630" s="1250">
        <v>3111</v>
      </c>
      <c r="B630" s="1251" t="s">
        <v>2455</v>
      </c>
      <c r="C630" s="1138">
        <f t="shared" ref="C630:I630" si="131">SUM(C631:C633)</f>
        <v>9931000</v>
      </c>
      <c r="D630" s="1138">
        <f t="shared" si="131"/>
        <v>10154944</v>
      </c>
      <c r="E630" s="1138">
        <f t="shared" si="131"/>
        <v>7174007.6399999997</v>
      </c>
      <c r="F630" s="1138">
        <f t="shared" si="131"/>
        <v>10120748</v>
      </c>
      <c r="G630" s="1138">
        <f t="shared" si="131"/>
        <v>11790900</v>
      </c>
      <c r="H630" s="1138">
        <f t="shared" si="131"/>
        <v>0</v>
      </c>
      <c r="I630" s="1138">
        <f t="shared" si="131"/>
        <v>0</v>
      </c>
    </row>
    <row r="631" spans="1:9" customFormat="1" x14ac:dyDescent="0.2">
      <c r="A631" s="809"/>
      <c r="B631" s="1255" t="s">
        <v>635</v>
      </c>
      <c r="C631" s="1256">
        <f t="shared" ref="C631:I633" si="132">+C635+C639+C643</f>
        <v>8544000</v>
      </c>
      <c r="D631" s="1256">
        <f t="shared" si="132"/>
        <v>8767944</v>
      </c>
      <c r="E631" s="1256">
        <f t="shared" si="132"/>
        <v>6364874</v>
      </c>
      <c r="F631" s="1256">
        <f t="shared" si="132"/>
        <v>8733748</v>
      </c>
      <c r="G631" s="1256">
        <f>+G635+G639+G643</f>
        <v>10198900</v>
      </c>
      <c r="H631" s="1256">
        <f t="shared" si="132"/>
        <v>0</v>
      </c>
      <c r="I631" s="1256">
        <f t="shared" si="132"/>
        <v>0</v>
      </c>
    </row>
    <row r="632" spans="1:9" customFormat="1" x14ac:dyDescent="0.2">
      <c r="A632" s="809"/>
      <c r="B632" s="1255" t="s">
        <v>1788</v>
      </c>
      <c r="C632" s="1256">
        <f t="shared" si="132"/>
        <v>937000</v>
      </c>
      <c r="D632" s="1256">
        <f>+D636+D640+D644</f>
        <v>937000</v>
      </c>
      <c r="E632" s="1256">
        <f>+E636+E640+E644</f>
        <v>409133.64</v>
      </c>
      <c r="F632" s="1256">
        <f t="shared" si="132"/>
        <v>937000</v>
      </c>
      <c r="G632" s="1256">
        <f t="shared" si="132"/>
        <v>1462000</v>
      </c>
      <c r="H632" s="1256">
        <f t="shared" si="132"/>
        <v>0</v>
      </c>
      <c r="I632" s="1256">
        <f t="shared" si="132"/>
        <v>0</v>
      </c>
    </row>
    <row r="633" spans="1:9" customFormat="1" x14ac:dyDescent="0.2">
      <c r="A633" s="809"/>
      <c r="B633" s="1255" t="s">
        <v>1789</v>
      </c>
      <c r="C633" s="1256">
        <f t="shared" si="132"/>
        <v>450000</v>
      </c>
      <c r="D633" s="1256">
        <f t="shared" si="132"/>
        <v>450000</v>
      </c>
      <c r="E633" s="1256">
        <f t="shared" si="132"/>
        <v>400000</v>
      </c>
      <c r="F633" s="1256">
        <f t="shared" si="132"/>
        <v>450000</v>
      </c>
      <c r="G633" s="1256">
        <f t="shared" si="132"/>
        <v>130000</v>
      </c>
      <c r="H633" s="1256">
        <f t="shared" si="132"/>
        <v>0</v>
      </c>
      <c r="I633" s="1256">
        <f t="shared" si="132"/>
        <v>0</v>
      </c>
    </row>
    <row r="634" spans="1:9" customFormat="1" x14ac:dyDescent="0.2">
      <c r="A634" s="809"/>
      <c r="B634" s="1258" t="s">
        <v>1790</v>
      </c>
      <c r="C634" s="727">
        <f t="shared" ref="C634:I634" si="133">C635+C636+C637</f>
        <v>2687000</v>
      </c>
      <c r="D634" s="727">
        <f t="shared" si="133"/>
        <v>2687000</v>
      </c>
      <c r="E634" s="727">
        <f t="shared" si="133"/>
        <v>2013000</v>
      </c>
      <c r="F634" s="727">
        <f t="shared" si="133"/>
        <v>2687000</v>
      </c>
      <c r="G634" s="727">
        <f t="shared" si="133"/>
        <v>3361300</v>
      </c>
      <c r="H634" s="727">
        <f t="shared" si="133"/>
        <v>0</v>
      </c>
      <c r="I634" s="727">
        <f t="shared" si="133"/>
        <v>0</v>
      </c>
    </row>
    <row r="635" spans="1:9" customFormat="1" x14ac:dyDescent="0.2">
      <c r="A635" s="809"/>
      <c r="B635" s="1258" t="s">
        <v>2456</v>
      </c>
      <c r="C635" s="1260">
        <v>2673000</v>
      </c>
      <c r="D635" s="1260">
        <v>2673000</v>
      </c>
      <c r="E635" s="1077">
        <v>2013000</v>
      </c>
      <c r="F635" s="88">
        <v>2673000</v>
      </c>
      <c r="G635" s="1234">
        <f>2997000+32300</f>
        <v>3029300</v>
      </c>
      <c r="H635" s="88"/>
      <c r="I635" s="1234"/>
    </row>
    <row r="636" spans="1:9" customFormat="1" ht="24.75" x14ac:dyDescent="0.2">
      <c r="A636" s="809" t="s">
        <v>640</v>
      </c>
      <c r="B636" s="1258" t="s">
        <v>2457</v>
      </c>
      <c r="C636" s="1260">
        <v>14000</v>
      </c>
      <c r="D636" s="1260">
        <v>14000</v>
      </c>
      <c r="E636" s="1809">
        <v>0</v>
      </c>
      <c r="F636" s="88">
        <v>14000</v>
      </c>
      <c r="G636" s="1234">
        <v>332000</v>
      </c>
      <c r="H636" s="88"/>
      <c r="I636" s="1234"/>
    </row>
    <row r="637" spans="1:9" customFormat="1" x14ac:dyDescent="0.2">
      <c r="A637" s="809"/>
      <c r="B637" s="1258" t="s">
        <v>1793</v>
      </c>
      <c r="C637" s="1260">
        <v>0</v>
      </c>
      <c r="D637" s="1260">
        <v>0</v>
      </c>
      <c r="E637" s="1809">
        <v>0</v>
      </c>
      <c r="F637">
        <v>0</v>
      </c>
      <c r="G637" s="1234">
        <v>0</v>
      </c>
      <c r="H637" s="88"/>
      <c r="I637" s="1234"/>
    </row>
    <row r="638" spans="1:9" customFormat="1" ht="15" x14ac:dyDescent="0.2">
      <c r="A638" s="809"/>
      <c r="B638" s="1261" t="s">
        <v>1794</v>
      </c>
      <c r="C638" s="1262">
        <f t="shared" ref="C638:I638" si="134">SUM(C639:C641)</f>
        <v>4000000</v>
      </c>
      <c r="D638" s="1262">
        <f t="shared" si="134"/>
        <v>4000000</v>
      </c>
      <c r="E638" s="1262">
        <f t="shared" si="134"/>
        <v>2968005</v>
      </c>
      <c r="F638" s="1262">
        <f t="shared" si="134"/>
        <v>4000000</v>
      </c>
      <c r="G638" s="1262">
        <f t="shared" si="134"/>
        <v>4337900</v>
      </c>
      <c r="H638" s="1262">
        <f t="shared" si="134"/>
        <v>0</v>
      </c>
      <c r="I638" s="1262">
        <f t="shared" si="134"/>
        <v>0</v>
      </c>
    </row>
    <row r="639" spans="1:9" customFormat="1" x14ac:dyDescent="0.2">
      <c r="A639" s="809"/>
      <c r="B639" s="1258" t="s">
        <v>1795</v>
      </c>
      <c r="C639" s="1260">
        <f>70000+3075000</f>
        <v>3145000</v>
      </c>
      <c r="D639" s="1260">
        <f>70000+3075000</f>
        <v>3145000</v>
      </c>
      <c r="E639" s="1077">
        <v>2285000</v>
      </c>
      <c r="F639" s="1864">
        <v>3145000</v>
      </c>
      <c r="G639" s="1234">
        <f>3579000+37900+21000</f>
        <v>3637900</v>
      </c>
      <c r="H639" s="1864"/>
      <c r="I639" s="1864"/>
    </row>
    <row r="640" spans="1:9" customFormat="1" x14ac:dyDescent="0.2">
      <c r="A640" s="809"/>
      <c r="B640" s="1258" t="s">
        <v>2458</v>
      </c>
      <c r="C640" s="1260">
        <v>455000</v>
      </c>
      <c r="D640" s="1260">
        <v>455000</v>
      </c>
      <c r="E640" s="1077">
        <v>283005</v>
      </c>
      <c r="F640" s="2035">
        <v>455000</v>
      </c>
      <c r="G640" s="2036">
        <v>700000</v>
      </c>
      <c r="H640" s="1900"/>
      <c r="I640" s="1864"/>
    </row>
    <row r="641" spans="1:9" customFormat="1" x14ac:dyDescent="0.2">
      <c r="A641" s="809"/>
      <c r="B641" s="1258" t="s">
        <v>2459</v>
      </c>
      <c r="C641" s="1260">
        <v>400000</v>
      </c>
      <c r="D641" s="1260">
        <v>400000</v>
      </c>
      <c r="E641" s="1809">
        <v>400000</v>
      </c>
      <c r="F641" s="88">
        <v>400000</v>
      </c>
      <c r="G641" s="1234">
        <v>0</v>
      </c>
      <c r="H641" s="88"/>
      <c r="I641" s="1234"/>
    </row>
    <row r="642" spans="1:9" customFormat="1" x14ac:dyDescent="0.2">
      <c r="A642" s="809"/>
      <c r="B642" s="1258" t="s">
        <v>1798</v>
      </c>
      <c r="C642" s="1262">
        <f t="shared" ref="C642:I642" si="135">SUM(C643:C645)</f>
        <v>3244000</v>
      </c>
      <c r="D642" s="1262">
        <f t="shared" si="135"/>
        <v>3467944</v>
      </c>
      <c r="E642" s="1262">
        <f t="shared" si="135"/>
        <v>2193002.64</v>
      </c>
      <c r="F642" s="1262">
        <f t="shared" si="135"/>
        <v>3433748</v>
      </c>
      <c r="G642" s="1262">
        <f t="shared" si="135"/>
        <v>4091700</v>
      </c>
      <c r="H642" s="1262">
        <f t="shared" si="135"/>
        <v>0</v>
      </c>
      <c r="I642" s="1262">
        <f t="shared" si="135"/>
        <v>0</v>
      </c>
    </row>
    <row r="643" spans="1:9" customFormat="1" x14ac:dyDescent="0.2">
      <c r="A643" s="809"/>
      <c r="B643" s="1258" t="s">
        <v>2460</v>
      </c>
      <c r="C643" s="1260">
        <v>2726000</v>
      </c>
      <c r="D643" s="1260">
        <f>2726000+192228+(3419.6+30776.4)-1284-1196</f>
        <v>2949944</v>
      </c>
      <c r="E643" s="1809">
        <v>2066874</v>
      </c>
      <c r="F643" s="1864">
        <v>2915748</v>
      </c>
      <c r="G643" s="1864">
        <f>3502000+29700</f>
        <v>3531700</v>
      </c>
      <c r="H643" s="1864"/>
      <c r="I643" s="1864"/>
    </row>
    <row r="644" spans="1:9" customFormat="1" ht="24.75" x14ac:dyDescent="0.2">
      <c r="A644" s="809"/>
      <c r="B644" s="1258" t="s">
        <v>2461</v>
      </c>
      <c r="C644" s="1260">
        <v>468000</v>
      </c>
      <c r="D644" s="1260">
        <v>468000</v>
      </c>
      <c r="E644" s="1809">
        <v>126128.64</v>
      </c>
      <c r="F644" s="1864">
        <v>468000</v>
      </c>
      <c r="G644" s="1864">
        <v>430000</v>
      </c>
      <c r="H644" s="1900"/>
      <c r="I644" s="1900"/>
    </row>
    <row r="645" spans="1:9" customFormat="1" x14ac:dyDescent="0.2">
      <c r="A645" s="809"/>
      <c r="B645" s="1258" t="s">
        <v>2462</v>
      </c>
      <c r="C645" s="1260">
        <v>50000</v>
      </c>
      <c r="D645" s="1260">
        <v>50000</v>
      </c>
      <c r="E645" s="1077">
        <v>0</v>
      </c>
      <c r="F645" s="88">
        <v>50000</v>
      </c>
      <c r="G645" s="1234">
        <v>130000</v>
      </c>
      <c r="H645" s="88"/>
      <c r="I645" s="1234"/>
    </row>
    <row r="646" spans="1:9" customFormat="1" x14ac:dyDescent="0.2">
      <c r="A646" s="1240">
        <v>3113</v>
      </c>
      <c r="B646" s="1266" t="s">
        <v>650</v>
      </c>
      <c r="C646" s="1262">
        <f t="shared" ref="C646:I646" si="136">SUM(C647:C650)</f>
        <v>31532000</v>
      </c>
      <c r="D646" s="1262">
        <f t="shared" si="136"/>
        <v>43792608.099999994</v>
      </c>
      <c r="E646" s="1262">
        <f t="shared" si="136"/>
        <v>32564252.399999999</v>
      </c>
      <c r="F646" s="1262">
        <f t="shared" si="136"/>
        <v>43605200.969999999</v>
      </c>
      <c r="G646" s="1262">
        <f t="shared" si="136"/>
        <v>32723700</v>
      </c>
      <c r="H646" s="1262">
        <f t="shared" si="136"/>
        <v>0</v>
      </c>
      <c r="I646" s="1262">
        <f t="shared" si="136"/>
        <v>0</v>
      </c>
    </row>
    <row r="647" spans="1:9" customFormat="1" x14ac:dyDescent="0.2">
      <c r="A647" s="1240"/>
      <c r="B647" s="1258" t="s">
        <v>651</v>
      </c>
      <c r="C647" s="1260">
        <v>548000</v>
      </c>
      <c r="D647" s="1260">
        <f>548000</f>
        <v>548000</v>
      </c>
      <c r="E647" s="1809">
        <v>214729</v>
      </c>
      <c r="F647" s="88">
        <v>526000</v>
      </c>
      <c r="G647" s="1234">
        <v>400000</v>
      </c>
      <c r="H647" s="88"/>
      <c r="I647" s="1234"/>
    </row>
    <row r="648" spans="1:9" customFormat="1" x14ac:dyDescent="0.2">
      <c r="A648" s="809"/>
      <c r="B648" s="1258" t="s">
        <v>652</v>
      </c>
      <c r="C648" s="1256">
        <f t="shared" ref="C648:C649" si="137">+C652+C656+C660+C664</f>
        <v>26899000</v>
      </c>
      <c r="D648" s="1256">
        <f t="shared" ref="D648:D649" si="138">+D652+D656+D660+D664</f>
        <v>32178301.050000001</v>
      </c>
      <c r="E648" s="1256">
        <f t="shared" ref="E648:I649" si="139">+E652+E656+E660+E664</f>
        <v>29631144</v>
      </c>
      <c r="F648" s="1256">
        <f t="shared" si="139"/>
        <v>38144200.969999999</v>
      </c>
      <c r="G648" s="1256">
        <f t="shared" si="139"/>
        <v>28271700</v>
      </c>
      <c r="H648" s="1256">
        <f t="shared" si="139"/>
        <v>0</v>
      </c>
      <c r="I648" s="1256">
        <f t="shared" si="139"/>
        <v>0</v>
      </c>
    </row>
    <row r="649" spans="1:9" customFormat="1" x14ac:dyDescent="0.2">
      <c r="A649" s="809"/>
      <c r="B649" s="1258" t="s">
        <v>1802</v>
      </c>
      <c r="C649" s="1256">
        <f t="shared" si="137"/>
        <v>2123000</v>
      </c>
      <c r="D649" s="1256">
        <f t="shared" si="138"/>
        <v>3045208</v>
      </c>
      <c r="E649" s="1256">
        <f t="shared" si="139"/>
        <v>1048379.4</v>
      </c>
      <c r="F649" s="1256">
        <f t="shared" si="139"/>
        <v>2973000</v>
      </c>
      <c r="G649" s="1256">
        <f t="shared" si="139"/>
        <v>3453000</v>
      </c>
      <c r="H649" s="1256">
        <f t="shared" si="139"/>
        <v>0</v>
      </c>
      <c r="I649" s="1256">
        <f t="shared" si="139"/>
        <v>0</v>
      </c>
    </row>
    <row r="650" spans="1:9" customFormat="1" x14ac:dyDescent="0.2">
      <c r="A650" s="809"/>
      <c r="B650" s="1258" t="s">
        <v>1803</v>
      </c>
      <c r="C650" s="1256">
        <f t="shared" ref="C650:I650" si="140">+C654+C662+C666</f>
        <v>1962000</v>
      </c>
      <c r="D650" s="1256">
        <f t="shared" si="140"/>
        <v>8021099.0500000007</v>
      </c>
      <c r="E650" s="1256">
        <f t="shared" si="140"/>
        <v>1670000</v>
      </c>
      <c r="F650" s="1256">
        <f t="shared" si="140"/>
        <v>1962000</v>
      </c>
      <c r="G650" s="1256">
        <f>+G654+G662+G666+G658</f>
        <v>599000</v>
      </c>
      <c r="H650" s="1256">
        <f t="shared" si="140"/>
        <v>0</v>
      </c>
      <c r="I650" s="1256">
        <f t="shared" si="140"/>
        <v>0</v>
      </c>
    </row>
    <row r="651" spans="1:9" customFormat="1" x14ac:dyDescent="0.2">
      <c r="A651" s="809"/>
      <c r="B651" s="1258" t="s">
        <v>1804</v>
      </c>
      <c r="C651" s="1262">
        <f t="shared" ref="C651:I651" si="141">SUM(C652:C654)</f>
        <v>10921000</v>
      </c>
      <c r="D651" s="1262">
        <f t="shared" si="141"/>
        <v>11132596</v>
      </c>
      <c r="E651" s="1262">
        <f t="shared" si="141"/>
        <v>6968075.4000000004</v>
      </c>
      <c r="F651" s="1262">
        <f t="shared" si="141"/>
        <v>11083696</v>
      </c>
      <c r="G651" s="1262">
        <f t="shared" si="141"/>
        <v>11483000</v>
      </c>
      <c r="H651" s="1262">
        <f t="shared" si="141"/>
        <v>0</v>
      </c>
      <c r="I651" s="1262">
        <f t="shared" si="141"/>
        <v>0</v>
      </c>
    </row>
    <row r="652" spans="1:9" customFormat="1" x14ac:dyDescent="0.2">
      <c r="A652" s="809"/>
      <c r="B652" s="1258" t="s">
        <v>2463</v>
      </c>
      <c r="C652" s="1260">
        <v>9498000</v>
      </c>
      <c r="D652" s="1260">
        <f>9498000+90488+(4890+44010)</f>
        <v>9637388</v>
      </c>
      <c r="E652" s="1077">
        <v>6498696</v>
      </c>
      <c r="F652" s="1864">
        <v>9660696</v>
      </c>
      <c r="G652" s="1864">
        <f>10280000-612000</f>
        <v>9668000</v>
      </c>
      <c r="H652" s="1864"/>
      <c r="I652" s="1864"/>
    </row>
    <row r="653" spans="1:9" customFormat="1" ht="59.25" customHeight="1" x14ac:dyDescent="0.2">
      <c r="A653" s="809"/>
      <c r="B653" s="1258" t="s">
        <v>2464</v>
      </c>
      <c r="C653" s="1260">
        <v>1131000</v>
      </c>
      <c r="D653" s="1260">
        <f>1131000+72208</f>
        <v>1203208</v>
      </c>
      <c r="E653" s="1077">
        <v>469379.4</v>
      </c>
      <c r="F653" s="1077">
        <v>1131000</v>
      </c>
      <c r="G653" s="1077">
        <v>1815000</v>
      </c>
      <c r="H653" s="1900"/>
      <c r="I653" s="1900"/>
    </row>
    <row r="654" spans="1:9" customFormat="1" x14ac:dyDescent="0.2">
      <c r="A654" s="809"/>
      <c r="B654" s="1258" t="s">
        <v>2465</v>
      </c>
      <c r="C654" s="1260">
        <v>292000</v>
      </c>
      <c r="D654" s="1260">
        <v>292000</v>
      </c>
      <c r="E654" s="1256">
        <v>0</v>
      </c>
      <c r="F654" s="1271">
        <v>292000</v>
      </c>
      <c r="G654" s="1234">
        <v>0</v>
      </c>
      <c r="H654" s="88"/>
      <c r="I654" s="1234"/>
    </row>
    <row r="655" spans="1:9" customFormat="1" x14ac:dyDescent="0.2">
      <c r="A655" s="809"/>
      <c r="B655" s="1258" t="s">
        <v>1808</v>
      </c>
      <c r="C655" s="1262">
        <f t="shared" ref="C655:I655" si="142">SUM(C656:C657)</f>
        <v>5733000</v>
      </c>
      <c r="D655" s="1262">
        <f t="shared" si="142"/>
        <v>5808190</v>
      </c>
      <c r="E655" s="1262">
        <f t="shared" si="142"/>
        <v>3833000</v>
      </c>
      <c r="F655" s="1262">
        <f t="shared" si="142"/>
        <v>5733000</v>
      </c>
      <c r="G655" s="1262">
        <f t="shared" si="142"/>
        <v>6861000</v>
      </c>
      <c r="H655" s="1262">
        <f t="shared" si="142"/>
        <v>0</v>
      </c>
      <c r="I655" s="1262">
        <f t="shared" si="142"/>
        <v>0</v>
      </c>
    </row>
    <row r="656" spans="1:9" customFormat="1" x14ac:dyDescent="0.2">
      <c r="A656" s="809"/>
      <c r="B656" s="1258" t="s">
        <v>2466</v>
      </c>
      <c r="C656" s="1260">
        <v>5433000</v>
      </c>
      <c r="D656" s="1260">
        <f>5433000+(7519+67671)</f>
        <v>5508190</v>
      </c>
      <c r="E656" s="1077">
        <v>3633000</v>
      </c>
      <c r="F656" s="1864">
        <v>5433000</v>
      </c>
      <c r="G656" s="1864">
        <v>6033000</v>
      </c>
      <c r="H656" s="1864"/>
      <c r="I656" s="1864"/>
    </row>
    <row r="657" spans="1:9" customFormat="1" ht="24.75" x14ac:dyDescent="0.2">
      <c r="A657" s="809"/>
      <c r="B657" s="1258" t="s">
        <v>2467</v>
      </c>
      <c r="C657" s="1260">
        <v>300000</v>
      </c>
      <c r="D657" s="1260">
        <v>300000</v>
      </c>
      <c r="E657" s="1809">
        <v>200000</v>
      </c>
      <c r="F657" s="1077">
        <v>300000</v>
      </c>
      <c r="G657" s="1077">
        <v>828000</v>
      </c>
      <c r="H657" s="1864"/>
      <c r="I657" s="1864"/>
    </row>
    <row r="658" spans="1:9" customFormat="1" ht="25.5" x14ac:dyDescent="0.2">
      <c r="A658" s="809"/>
      <c r="B658" s="1258" t="s">
        <v>2468</v>
      </c>
      <c r="C658" s="1260"/>
      <c r="D658" s="1260"/>
      <c r="E658" s="1809"/>
      <c r="F658" s="88"/>
      <c r="G658" s="1234">
        <v>149000</v>
      </c>
      <c r="H658" s="88"/>
      <c r="I658" s="1234"/>
    </row>
    <row r="659" spans="1:9" customFormat="1" x14ac:dyDescent="0.2">
      <c r="A659" s="809"/>
      <c r="B659" s="1258" t="s">
        <v>1811</v>
      </c>
      <c r="C659" s="1262">
        <f t="shared" ref="C659:I663" si="143">SUM(C660:C662)</f>
        <v>5192000</v>
      </c>
      <c r="D659" s="1262">
        <f t="shared" si="143"/>
        <v>16315822.100000001</v>
      </c>
      <c r="E659" s="1262">
        <f t="shared" si="143"/>
        <v>14767948</v>
      </c>
      <c r="F659" s="1262">
        <f t="shared" si="143"/>
        <v>16274504.969999999</v>
      </c>
      <c r="G659" s="1262">
        <f t="shared" si="143"/>
        <v>6230000</v>
      </c>
      <c r="H659" s="1262">
        <f t="shared" si="143"/>
        <v>0</v>
      </c>
      <c r="I659" s="1262">
        <f t="shared" si="143"/>
        <v>0</v>
      </c>
    </row>
    <row r="660" spans="1:9" customFormat="1" x14ac:dyDescent="0.2">
      <c r="A660" s="809"/>
      <c r="B660" s="1258" t="s">
        <v>2469</v>
      </c>
      <c r="C660" s="1260">
        <v>4927000</v>
      </c>
      <c r="D660" s="1260">
        <f>4927000+(6180+55620)+313948+(261245.45+4441172.63)-13443.03</f>
        <v>9991723.0500000007</v>
      </c>
      <c r="E660" s="1809">
        <f>3720948+10782000</f>
        <v>14502948</v>
      </c>
      <c r="F660" s="1864">
        <f>5227504.97+10782000</f>
        <v>16009504.969999999</v>
      </c>
      <c r="G660" s="1864">
        <v>5090000</v>
      </c>
      <c r="H660" s="1864"/>
      <c r="I660" s="1864"/>
    </row>
    <row r="661" spans="1:9" customFormat="1" ht="24.75" x14ac:dyDescent="0.2">
      <c r="A661" s="809"/>
      <c r="B661" s="1258" t="s">
        <v>2470</v>
      </c>
      <c r="C661" s="1260">
        <v>265000</v>
      </c>
      <c r="D661" s="1260">
        <v>265000</v>
      </c>
      <c r="E661" s="1077">
        <v>265000</v>
      </c>
      <c r="F661" s="1809">
        <v>265000</v>
      </c>
      <c r="G661" s="1809">
        <v>690000</v>
      </c>
      <c r="H661" s="1900"/>
      <c r="I661" s="1864"/>
    </row>
    <row r="662" spans="1:9" customFormat="1" ht="24.75" x14ac:dyDescent="0.2">
      <c r="A662" s="809"/>
      <c r="B662" s="1258" t="s">
        <v>2471</v>
      </c>
      <c r="C662" s="1260">
        <v>0</v>
      </c>
      <c r="D662" s="1260">
        <f>(336616.61+5722482.44)</f>
        <v>6059099.0500000007</v>
      </c>
      <c r="E662" s="1077">
        <v>0</v>
      </c>
      <c r="F662" s="32">
        <v>0</v>
      </c>
      <c r="G662" s="1040">
        <v>450000</v>
      </c>
      <c r="H662" s="88"/>
      <c r="I662" s="1234"/>
    </row>
    <row r="663" spans="1:9" customFormat="1" x14ac:dyDescent="0.2">
      <c r="A663" s="809"/>
      <c r="B663" s="1258" t="s">
        <v>1815</v>
      </c>
      <c r="C663" s="1262">
        <f t="shared" si="143"/>
        <v>9138000</v>
      </c>
      <c r="D663" s="1262">
        <f t="shared" si="143"/>
        <v>9988000</v>
      </c>
      <c r="E663" s="1262">
        <f t="shared" si="143"/>
        <v>6780500</v>
      </c>
      <c r="F663" s="1262">
        <f t="shared" si="143"/>
        <v>9988000</v>
      </c>
      <c r="G663" s="1262">
        <f t="shared" si="143"/>
        <v>7600700</v>
      </c>
      <c r="H663" s="1262">
        <f t="shared" si="143"/>
        <v>0</v>
      </c>
      <c r="I663" s="1262">
        <f t="shared" si="143"/>
        <v>0</v>
      </c>
    </row>
    <row r="664" spans="1:9" customFormat="1" x14ac:dyDescent="0.2">
      <c r="A664" s="809"/>
      <c r="B664" s="1258" t="s">
        <v>2472</v>
      </c>
      <c r="C664" s="1260">
        <v>7041000</v>
      </c>
      <c r="D664" s="1260">
        <v>7041000</v>
      </c>
      <c r="E664" s="1809">
        <v>4996500</v>
      </c>
      <c r="F664" s="1864">
        <v>7041000</v>
      </c>
      <c r="G664" s="1864">
        <f>7404000+76700</f>
        <v>7480700</v>
      </c>
      <c r="H664" s="1864"/>
      <c r="I664" s="1864"/>
    </row>
    <row r="665" spans="1:9" customFormat="1" ht="48" customHeight="1" x14ac:dyDescent="0.2">
      <c r="A665" s="809"/>
      <c r="B665" s="1258" t="s">
        <v>2473</v>
      </c>
      <c r="C665" s="1260">
        <v>427000</v>
      </c>
      <c r="D665" s="1260">
        <f>427000+850000</f>
        <v>1277000</v>
      </c>
      <c r="E665" s="1809">
        <v>114000</v>
      </c>
      <c r="F665" s="1077">
        <v>1277000</v>
      </c>
      <c r="G665" s="1077">
        <v>120000</v>
      </c>
      <c r="H665" s="1864"/>
      <c r="I665" s="1864"/>
    </row>
    <row r="666" spans="1:9" customFormat="1" x14ac:dyDescent="0.2">
      <c r="A666" s="809"/>
      <c r="B666" s="1258" t="s">
        <v>2474</v>
      </c>
      <c r="C666" s="1260">
        <v>1670000</v>
      </c>
      <c r="D666" s="1260">
        <v>1670000</v>
      </c>
      <c r="E666" s="1077">
        <v>1670000</v>
      </c>
      <c r="F666" s="88">
        <v>1670000</v>
      </c>
      <c r="G666" s="1234">
        <v>0</v>
      </c>
      <c r="H666" s="88"/>
      <c r="I666" s="1234"/>
    </row>
    <row r="667" spans="1:9" customFormat="1" x14ac:dyDescent="0.2">
      <c r="A667" s="1240">
        <v>3233</v>
      </c>
      <c r="B667" s="1266" t="s">
        <v>671</v>
      </c>
      <c r="C667" s="1262">
        <f t="shared" ref="C667:I667" si="144">C668</f>
        <v>2458000</v>
      </c>
      <c r="D667" s="1262">
        <f t="shared" si="144"/>
        <v>2668200</v>
      </c>
      <c r="E667" s="1262">
        <f t="shared" si="144"/>
        <v>1695000</v>
      </c>
      <c r="F667" s="1262">
        <f t="shared" si="144"/>
        <v>2458000</v>
      </c>
      <c r="G667" s="1262">
        <f t="shared" si="144"/>
        <v>3023000</v>
      </c>
      <c r="H667" s="1262">
        <f t="shared" si="144"/>
        <v>0</v>
      </c>
      <c r="I667" s="1262">
        <f t="shared" si="144"/>
        <v>0</v>
      </c>
    </row>
    <row r="668" spans="1:9" customFormat="1" x14ac:dyDescent="0.2">
      <c r="A668" s="1240"/>
      <c r="B668" s="1258" t="s">
        <v>1819</v>
      </c>
      <c r="C668" s="1256">
        <f t="shared" ref="C668:I668" si="145">SUM(C669:C671)</f>
        <v>2458000</v>
      </c>
      <c r="D668" s="1256">
        <f t="shared" si="145"/>
        <v>2668200</v>
      </c>
      <c r="E668" s="1256">
        <f t="shared" si="145"/>
        <v>1695000</v>
      </c>
      <c r="F668" s="1256">
        <f t="shared" si="145"/>
        <v>2458000</v>
      </c>
      <c r="G668" s="1256">
        <f t="shared" si="145"/>
        <v>3023000</v>
      </c>
      <c r="H668" s="1256">
        <f t="shared" si="145"/>
        <v>0</v>
      </c>
      <c r="I668" s="1256">
        <f t="shared" si="145"/>
        <v>0</v>
      </c>
    </row>
    <row r="669" spans="1:9" customFormat="1" x14ac:dyDescent="0.2">
      <c r="A669" s="1240"/>
      <c r="B669" s="1258" t="s">
        <v>1820</v>
      </c>
      <c r="C669" s="1260">
        <v>2458000</v>
      </c>
      <c r="D669" s="1260">
        <f>2458000+210200</f>
        <v>2668200</v>
      </c>
      <c r="E669" s="1809">
        <v>1695000</v>
      </c>
      <c r="F669" s="1864">
        <v>2458000</v>
      </c>
      <c r="G669" s="1864">
        <v>2554000</v>
      </c>
      <c r="H669" s="1864"/>
      <c r="I669" s="1864"/>
    </row>
    <row r="670" spans="1:9" customFormat="1" ht="25.5" x14ac:dyDescent="0.2">
      <c r="A670" s="1240"/>
      <c r="B670" s="1258" t="s">
        <v>2475</v>
      </c>
      <c r="C670" s="1260">
        <v>0</v>
      </c>
      <c r="D670" s="1260">
        <v>0</v>
      </c>
      <c r="E670" s="1809">
        <v>0</v>
      </c>
      <c r="F670" s="1077">
        <v>0</v>
      </c>
      <c r="G670" s="1077">
        <v>219000</v>
      </c>
      <c r="H670" s="1864"/>
      <c r="I670" s="1864"/>
    </row>
    <row r="671" spans="1:9" customFormat="1" x14ac:dyDescent="0.2">
      <c r="A671" s="1240"/>
      <c r="B671" s="1258" t="s">
        <v>2476</v>
      </c>
      <c r="C671" s="1260">
        <v>0</v>
      </c>
      <c r="D671" s="1260">
        <v>0</v>
      </c>
      <c r="E671" s="1809">
        <v>0</v>
      </c>
      <c r="F671" s="1864">
        <v>0</v>
      </c>
      <c r="G671" s="1864">
        <v>250000</v>
      </c>
      <c r="H671" s="1864"/>
      <c r="I671" s="1864"/>
    </row>
    <row r="672" spans="1:9" customFormat="1" x14ac:dyDescent="0.2">
      <c r="A672" s="1240">
        <v>3419</v>
      </c>
      <c r="B672" s="1266" t="s">
        <v>2477</v>
      </c>
      <c r="C672" s="1273">
        <v>80000</v>
      </c>
      <c r="D672" s="1273">
        <f>80000+134310</f>
        <v>214310</v>
      </c>
      <c r="E672" s="2029">
        <v>200858</v>
      </c>
      <c r="F672" s="722">
        <v>236310</v>
      </c>
      <c r="G672" s="722">
        <f>40000+100000</f>
        <v>140000</v>
      </c>
      <c r="H672" s="722"/>
      <c r="I672" s="722"/>
    </row>
    <row r="673" spans="1:9" customFormat="1" x14ac:dyDescent="0.2">
      <c r="A673" s="1147"/>
      <c r="B673" s="1275"/>
      <c r="C673" s="1276"/>
      <c r="D673" s="1276"/>
      <c r="E673" s="2029"/>
      <c r="F673" s="88"/>
      <c r="G673" s="1234"/>
      <c r="H673" s="88"/>
      <c r="I673" s="1234"/>
    </row>
    <row r="674" spans="1:9" customFormat="1" ht="15.75" x14ac:dyDescent="0.25">
      <c r="A674" s="690"/>
      <c r="B674" s="1249" t="s">
        <v>677</v>
      </c>
      <c r="C674" s="1280">
        <f t="shared" ref="C674:I674" si="146">SUM(C675,C679,C682,C688,C691,C698)</f>
        <v>43723000</v>
      </c>
      <c r="D674" s="1280">
        <f t="shared" si="146"/>
        <v>48632652</v>
      </c>
      <c r="E674" s="1280">
        <f t="shared" si="146"/>
        <v>29314771.57</v>
      </c>
      <c r="F674" s="1280">
        <f t="shared" si="146"/>
        <v>48632652</v>
      </c>
      <c r="G674" s="1280">
        <f t="shared" si="146"/>
        <v>49380647</v>
      </c>
      <c r="H674" s="1280">
        <f t="shared" si="146"/>
        <v>0</v>
      </c>
      <c r="I674" s="1280">
        <f t="shared" si="146"/>
        <v>0</v>
      </c>
    </row>
    <row r="675" spans="1:9" customFormat="1" x14ac:dyDescent="0.2">
      <c r="A675" s="1283">
        <v>3311</v>
      </c>
      <c r="B675" s="1284" t="s">
        <v>1824</v>
      </c>
      <c r="C675" s="1273">
        <f t="shared" ref="C675:I675" si="147">SUM(C676:C678)</f>
        <v>14219000</v>
      </c>
      <c r="D675" s="1273">
        <f t="shared" si="147"/>
        <v>14217452</v>
      </c>
      <c r="E675" s="1273">
        <f t="shared" si="147"/>
        <v>9200000</v>
      </c>
      <c r="F675" s="1273">
        <f t="shared" si="147"/>
        <v>14217452</v>
      </c>
      <c r="G675" s="1273">
        <f t="shared" si="147"/>
        <v>15881220</v>
      </c>
      <c r="H675" s="1273">
        <f t="shared" si="147"/>
        <v>0</v>
      </c>
      <c r="I675" s="1273">
        <f t="shared" si="147"/>
        <v>0</v>
      </c>
    </row>
    <row r="676" spans="1:9" customFormat="1" x14ac:dyDescent="0.2">
      <c r="A676" s="1286"/>
      <c r="B676" s="1287" t="s">
        <v>2478</v>
      </c>
      <c r="C676" s="1260">
        <v>14219000</v>
      </c>
      <c r="D676" s="1260">
        <f>14219000-1548</f>
        <v>14217452</v>
      </c>
      <c r="E676" s="1809">
        <v>9200000</v>
      </c>
      <c r="F676" s="1864">
        <v>14217452</v>
      </c>
      <c r="G676" s="1864">
        <f>14369000+35000+292220</f>
        <v>14696220</v>
      </c>
      <c r="H676" s="1864"/>
      <c r="I676" s="1864"/>
    </row>
    <row r="677" spans="1:9" customFormat="1" x14ac:dyDescent="0.2">
      <c r="A677" s="1286"/>
      <c r="B677" s="1287" t="s">
        <v>2479</v>
      </c>
      <c r="C677" s="1260">
        <v>0</v>
      </c>
      <c r="D677" s="1260">
        <v>0</v>
      </c>
      <c r="E677" s="1809">
        <v>0</v>
      </c>
      <c r="F677" s="1864">
        <v>0</v>
      </c>
      <c r="G677" s="1900">
        <v>847000</v>
      </c>
      <c r="H677" s="1864"/>
      <c r="I677" s="1900"/>
    </row>
    <row r="678" spans="1:9" customFormat="1" ht="25.5" x14ac:dyDescent="0.2">
      <c r="A678" s="1286"/>
      <c r="B678" s="1258" t="s">
        <v>2480</v>
      </c>
      <c r="C678" s="1260">
        <v>0</v>
      </c>
      <c r="D678" s="1260">
        <v>0</v>
      </c>
      <c r="E678" s="1077">
        <v>0</v>
      </c>
      <c r="F678" s="32">
        <v>0</v>
      </c>
      <c r="G678" s="1040">
        <v>338000</v>
      </c>
      <c r="H678" s="32"/>
      <c r="I678" s="1040"/>
    </row>
    <row r="679" spans="1:9" customFormat="1" x14ac:dyDescent="0.2">
      <c r="A679" s="1289">
        <v>3319</v>
      </c>
      <c r="B679" s="1290" t="s">
        <v>682</v>
      </c>
      <c r="C679" s="1262">
        <f t="shared" ref="C679:I679" si="148">SUM(C680:C681)</f>
        <v>1120000</v>
      </c>
      <c r="D679" s="1262">
        <f>SUM(D680:D681)</f>
        <v>1120000</v>
      </c>
      <c r="E679" s="1262">
        <f t="shared" si="148"/>
        <v>668039.86</v>
      </c>
      <c r="F679" s="1262">
        <f t="shared" si="148"/>
        <v>1120000</v>
      </c>
      <c r="G679" s="1262">
        <f t="shared" si="148"/>
        <v>1520000</v>
      </c>
      <c r="H679" s="1262">
        <f t="shared" si="148"/>
        <v>0</v>
      </c>
      <c r="I679" s="1262">
        <f t="shared" si="148"/>
        <v>0</v>
      </c>
    </row>
    <row r="680" spans="1:9" customFormat="1" x14ac:dyDescent="0.2">
      <c r="A680" s="1289"/>
      <c r="B680" s="1287" t="s">
        <v>2481</v>
      </c>
      <c r="C680" s="1260">
        <v>470000</v>
      </c>
      <c r="D680" s="1260">
        <v>470000</v>
      </c>
      <c r="E680" s="1809">
        <v>302497.2</v>
      </c>
      <c r="F680" s="88">
        <v>470000</v>
      </c>
      <c r="G680" s="1864">
        <f>920000+(565000+35000)</f>
        <v>1520000</v>
      </c>
      <c r="H680" s="1864"/>
      <c r="I680" s="1864"/>
    </row>
    <row r="681" spans="1:9" customFormat="1" x14ac:dyDescent="0.2">
      <c r="A681" s="1289"/>
      <c r="B681" s="1287" t="s">
        <v>2482</v>
      </c>
      <c r="C681" s="1260">
        <v>650000</v>
      </c>
      <c r="D681" s="1260">
        <v>650000</v>
      </c>
      <c r="E681" s="1077">
        <v>365542.66</v>
      </c>
      <c r="F681" s="88">
        <v>650000</v>
      </c>
      <c r="G681" s="1234">
        <v>0</v>
      </c>
      <c r="H681" s="88"/>
      <c r="I681" s="1234"/>
    </row>
    <row r="682" spans="1:9" customFormat="1" x14ac:dyDescent="0.2">
      <c r="A682" s="1289" t="s">
        <v>1829</v>
      </c>
      <c r="B682" s="1290" t="s">
        <v>685</v>
      </c>
      <c r="C682" s="1262">
        <f t="shared" ref="C682:I682" si="149">C683+C685+C686+C687+C684</f>
        <v>593000</v>
      </c>
      <c r="D682" s="1262">
        <f t="shared" si="149"/>
        <v>398000</v>
      </c>
      <c r="E682" s="1262">
        <f t="shared" si="149"/>
        <v>31184</v>
      </c>
      <c r="F682" s="1262">
        <f t="shared" si="149"/>
        <v>398000</v>
      </c>
      <c r="G682" s="1262">
        <f t="shared" si="149"/>
        <v>360000</v>
      </c>
      <c r="H682" s="1262">
        <f t="shared" si="149"/>
        <v>0</v>
      </c>
      <c r="I682" s="1262">
        <f t="shared" si="149"/>
        <v>0</v>
      </c>
    </row>
    <row r="683" spans="1:9" customFormat="1" x14ac:dyDescent="0.2">
      <c r="A683" s="1286"/>
      <c r="B683" s="1287" t="s">
        <v>2483</v>
      </c>
      <c r="C683" s="1260">
        <v>120000</v>
      </c>
      <c r="D683" s="1260">
        <v>120000</v>
      </c>
      <c r="E683" s="1809">
        <v>0</v>
      </c>
      <c r="F683" s="88">
        <v>120000</v>
      </c>
      <c r="G683" s="1864">
        <v>120000</v>
      </c>
      <c r="H683" s="1864"/>
      <c r="I683" s="1234"/>
    </row>
    <row r="684" spans="1:9" customFormat="1" x14ac:dyDescent="0.2">
      <c r="A684" s="1286"/>
      <c r="B684" s="1287" t="s">
        <v>2484</v>
      </c>
      <c r="C684" s="1260">
        <v>5000</v>
      </c>
      <c r="D684" s="1260">
        <v>5000</v>
      </c>
      <c r="E684" s="1809">
        <v>0</v>
      </c>
      <c r="F684" s="88">
        <v>5000</v>
      </c>
      <c r="G684" s="1864">
        <v>10000</v>
      </c>
      <c r="H684" s="1864"/>
      <c r="I684" s="1900"/>
    </row>
    <row r="685" spans="1:9" customFormat="1" x14ac:dyDescent="0.2">
      <c r="A685" s="1286"/>
      <c r="B685" s="1287" t="s">
        <v>1832</v>
      </c>
      <c r="C685" s="1260">
        <v>100000</v>
      </c>
      <c r="D685" s="1260">
        <v>100000</v>
      </c>
      <c r="E685" s="1809">
        <v>17424</v>
      </c>
      <c r="F685" s="88">
        <v>79000</v>
      </c>
      <c r="G685" s="1864">
        <v>70000</v>
      </c>
      <c r="H685" s="1900"/>
      <c r="I685" s="1864"/>
    </row>
    <row r="686" spans="1:9" customFormat="1" ht="25.5" x14ac:dyDescent="0.2">
      <c r="A686" s="1286"/>
      <c r="B686" s="1287" t="s">
        <v>2485</v>
      </c>
      <c r="C686" s="1260">
        <v>168000</v>
      </c>
      <c r="D686" s="1260">
        <f>168000-25000</f>
        <v>143000</v>
      </c>
      <c r="E686" s="1077">
        <v>450</v>
      </c>
      <c r="F686" s="32">
        <v>164000</v>
      </c>
      <c r="G686" s="1077">
        <v>110000</v>
      </c>
      <c r="H686" s="1809"/>
      <c r="I686" s="1809"/>
    </row>
    <row r="687" spans="1:9" customFormat="1" x14ac:dyDescent="0.2">
      <c r="A687" s="1286"/>
      <c r="B687" s="1287" t="s">
        <v>2486</v>
      </c>
      <c r="C687" s="1260">
        <v>200000</v>
      </c>
      <c r="D687" s="1260">
        <f>200000-170000</f>
        <v>30000</v>
      </c>
      <c r="E687" s="1809">
        <v>13310</v>
      </c>
      <c r="F687" s="88">
        <v>30000</v>
      </c>
      <c r="G687" s="1234">
        <v>50000</v>
      </c>
      <c r="H687" s="88"/>
      <c r="I687" s="1234"/>
    </row>
    <row r="688" spans="1:9" customFormat="1" x14ac:dyDescent="0.2">
      <c r="A688" s="1289" t="s">
        <v>1835</v>
      </c>
      <c r="B688" s="1290" t="s">
        <v>2487</v>
      </c>
      <c r="C688" s="1262">
        <f t="shared" ref="C688:I688" si="150">C689+C690</f>
        <v>555000</v>
      </c>
      <c r="D688" s="1262">
        <f t="shared" si="150"/>
        <v>750000</v>
      </c>
      <c r="E688" s="1262">
        <f t="shared" si="150"/>
        <v>7155.71</v>
      </c>
      <c r="F688" s="1262">
        <f t="shared" si="150"/>
        <v>750000</v>
      </c>
      <c r="G688" s="1262">
        <f t="shared" si="150"/>
        <v>375000</v>
      </c>
      <c r="H688" s="1262">
        <f t="shared" si="150"/>
        <v>0</v>
      </c>
      <c r="I688" s="1262">
        <f t="shared" si="150"/>
        <v>0</v>
      </c>
    </row>
    <row r="689" spans="1:9" customFormat="1" ht="25.5" x14ac:dyDescent="0.2">
      <c r="A689" s="1286"/>
      <c r="B689" s="1287" t="s">
        <v>2488</v>
      </c>
      <c r="C689" s="1260">
        <v>540000</v>
      </c>
      <c r="D689" s="1260">
        <f>540000+195000</f>
        <v>735000</v>
      </c>
      <c r="E689" s="1809">
        <v>0</v>
      </c>
      <c r="F689" s="32">
        <v>735000</v>
      </c>
      <c r="G689" s="1077">
        <f>1170000-550000-260000</f>
        <v>360000</v>
      </c>
      <c r="H689" s="1077"/>
      <c r="I689" s="1077"/>
    </row>
    <row r="690" spans="1:9" customFormat="1" x14ac:dyDescent="0.2">
      <c r="A690" s="1286"/>
      <c r="B690" s="1287" t="s">
        <v>1837</v>
      </c>
      <c r="C690" s="1260">
        <v>15000</v>
      </c>
      <c r="D690" s="1260">
        <v>15000</v>
      </c>
      <c r="E690" s="1077">
        <v>7155.71</v>
      </c>
      <c r="F690" s="88">
        <v>15000</v>
      </c>
      <c r="G690" s="1234">
        <v>15000</v>
      </c>
      <c r="H690" s="88"/>
      <c r="I690" s="1234"/>
    </row>
    <row r="691" spans="1:9" customFormat="1" x14ac:dyDescent="0.2">
      <c r="A691" s="1289">
        <v>3392</v>
      </c>
      <c r="B691" s="1290" t="s">
        <v>693</v>
      </c>
      <c r="C691" s="1262">
        <f t="shared" ref="C691:I691" si="151">C693+C692</f>
        <v>26946000</v>
      </c>
      <c r="D691" s="1262">
        <f t="shared" si="151"/>
        <v>31857200</v>
      </c>
      <c r="E691" s="1262">
        <f t="shared" si="151"/>
        <v>19300679</v>
      </c>
      <c r="F691" s="1262">
        <f t="shared" si="151"/>
        <v>31857200</v>
      </c>
      <c r="G691" s="1262">
        <f t="shared" si="151"/>
        <v>30954427</v>
      </c>
      <c r="H691" s="1262">
        <f t="shared" si="151"/>
        <v>0</v>
      </c>
      <c r="I691" s="1262">
        <f t="shared" si="151"/>
        <v>0</v>
      </c>
    </row>
    <row r="692" spans="1:9" customFormat="1" x14ac:dyDescent="0.2">
      <c r="A692" s="1289"/>
      <c r="B692" s="1287" t="s">
        <v>2489</v>
      </c>
      <c r="C692" s="1260">
        <v>26000</v>
      </c>
      <c r="D692" s="1260">
        <v>26000</v>
      </c>
      <c r="E692" s="1077">
        <v>9179</v>
      </c>
      <c r="F692" s="88">
        <v>26000</v>
      </c>
      <c r="G692" s="1234">
        <v>26000</v>
      </c>
      <c r="H692" s="88"/>
      <c r="I692" s="1234"/>
    </row>
    <row r="693" spans="1:9" customFormat="1" x14ac:dyDescent="0.2">
      <c r="A693" s="1286"/>
      <c r="B693" s="1287" t="s">
        <v>1838</v>
      </c>
      <c r="C693" s="1262">
        <f t="shared" ref="C693:I693" si="152">SUM(C694+C697+C696)</f>
        <v>26920000</v>
      </c>
      <c r="D693" s="1262">
        <f t="shared" si="152"/>
        <v>31831200</v>
      </c>
      <c r="E693" s="1262">
        <f t="shared" si="152"/>
        <v>19291500</v>
      </c>
      <c r="F693" s="1262">
        <f t="shared" si="152"/>
        <v>31831200</v>
      </c>
      <c r="G693" s="1262">
        <f t="shared" si="152"/>
        <v>30928427</v>
      </c>
      <c r="H693" s="1262">
        <f t="shared" si="152"/>
        <v>0</v>
      </c>
      <c r="I693" s="1262">
        <f t="shared" si="152"/>
        <v>0</v>
      </c>
    </row>
    <row r="694" spans="1:9" customFormat="1" x14ac:dyDescent="0.2">
      <c r="A694" s="1286"/>
      <c r="B694" s="1287" t="s">
        <v>2490</v>
      </c>
      <c r="C694" s="1260">
        <v>26920000</v>
      </c>
      <c r="D694" s="1260">
        <f>26920000+4743000+18200+150000</f>
        <v>31831200</v>
      </c>
      <c r="E694" s="1809">
        <v>19291500</v>
      </c>
      <c r="F694" s="1809">
        <v>31831200</v>
      </c>
      <c r="G694" s="1864">
        <f>27770000+12000+622427</f>
        <v>28404427</v>
      </c>
      <c r="H694" s="1864"/>
      <c r="I694" s="1864"/>
    </row>
    <row r="695" spans="1:9" customFormat="1" x14ac:dyDescent="0.2">
      <c r="A695" s="1286"/>
      <c r="B695" s="1287" t="s">
        <v>697</v>
      </c>
      <c r="C695" s="1260"/>
      <c r="D695" s="1260"/>
      <c r="E695" s="1809"/>
      <c r="F695" s="815"/>
      <c r="G695" s="1864">
        <v>4360000</v>
      </c>
      <c r="H695" s="1900"/>
      <c r="I695" s="1900"/>
    </row>
    <row r="696" spans="1:9" customFormat="1" ht="38.25" x14ac:dyDescent="0.2">
      <c r="A696" s="1286"/>
      <c r="B696" s="1287" t="s">
        <v>2491</v>
      </c>
      <c r="C696" s="1260">
        <v>0</v>
      </c>
      <c r="D696" s="1260">
        <v>0</v>
      </c>
      <c r="E696" s="1809">
        <v>0</v>
      </c>
      <c r="F696" s="1809">
        <v>0</v>
      </c>
      <c r="G696" s="1040">
        <f>3800000-1600000</f>
        <v>2200000</v>
      </c>
      <c r="H696" s="1077"/>
      <c r="I696" s="1809"/>
    </row>
    <row r="697" spans="1:9" customFormat="1" x14ac:dyDescent="0.2">
      <c r="A697" s="1286"/>
      <c r="B697" s="1287" t="s">
        <v>2492</v>
      </c>
      <c r="C697" s="1260">
        <v>0</v>
      </c>
      <c r="D697" s="1260">
        <v>0</v>
      </c>
      <c r="E697" s="1809">
        <v>0</v>
      </c>
      <c r="F697" s="1809">
        <v>0</v>
      </c>
      <c r="G697" s="1234">
        <v>324000</v>
      </c>
      <c r="H697" s="88"/>
      <c r="I697" s="1234"/>
    </row>
    <row r="698" spans="1:9" customFormat="1" x14ac:dyDescent="0.2">
      <c r="A698" s="1289">
        <v>3399</v>
      </c>
      <c r="B698" s="1290" t="s">
        <v>700</v>
      </c>
      <c r="C698" s="1262">
        <f t="shared" ref="C698:I701" si="153">C699</f>
        <v>290000</v>
      </c>
      <c r="D698" s="1262">
        <f t="shared" si="153"/>
        <v>290000</v>
      </c>
      <c r="E698" s="1262">
        <f t="shared" si="153"/>
        <v>107713</v>
      </c>
      <c r="F698" s="1262">
        <f t="shared" si="153"/>
        <v>290000</v>
      </c>
      <c r="G698" s="1262">
        <f t="shared" si="153"/>
        <v>290000</v>
      </c>
      <c r="H698" s="1262">
        <f t="shared" si="153"/>
        <v>0</v>
      </c>
      <c r="I698" s="1262">
        <f t="shared" si="153"/>
        <v>0</v>
      </c>
    </row>
    <row r="699" spans="1:9" customFormat="1" x14ac:dyDescent="0.2">
      <c r="A699" s="1286"/>
      <c r="B699" s="1287" t="s">
        <v>701</v>
      </c>
      <c r="C699" s="1260">
        <v>290000</v>
      </c>
      <c r="D699" s="1260">
        <v>290000</v>
      </c>
      <c r="E699" s="1077">
        <v>107713</v>
      </c>
      <c r="F699" s="1040">
        <v>290000</v>
      </c>
      <c r="G699" s="1234">
        <v>290000</v>
      </c>
      <c r="H699" s="1864"/>
      <c r="I699" s="1864"/>
    </row>
    <row r="700" spans="1:9" customFormat="1" x14ac:dyDescent="0.2">
      <c r="A700" s="1295"/>
      <c r="B700" s="1296"/>
      <c r="C700" s="1271"/>
      <c r="D700" s="1271"/>
      <c r="E700" s="1809"/>
      <c r="G700" s="1234"/>
      <c r="H700" s="88"/>
      <c r="I700" s="1234"/>
    </row>
    <row r="701" spans="1:9" customFormat="1" ht="15.75" x14ac:dyDescent="0.25">
      <c r="A701" s="690"/>
      <c r="B701" s="1062" t="s">
        <v>702</v>
      </c>
      <c r="C701" s="1299">
        <f t="shared" si="153"/>
        <v>24990300</v>
      </c>
      <c r="D701" s="1299">
        <f t="shared" si="153"/>
        <v>25834200</v>
      </c>
      <c r="E701" s="1299">
        <f t="shared" si="153"/>
        <v>22458298.440000001</v>
      </c>
      <c r="F701" s="1299">
        <f t="shared" si="153"/>
        <v>25834200</v>
      </c>
      <c r="G701" s="1299">
        <f t="shared" si="153"/>
        <v>28598000</v>
      </c>
      <c r="H701" s="1300">
        <f t="shared" si="153"/>
        <v>0</v>
      </c>
      <c r="I701" s="1299">
        <f t="shared" si="153"/>
        <v>0</v>
      </c>
    </row>
    <row r="702" spans="1:9" customFormat="1" x14ac:dyDescent="0.2">
      <c r="A702" s="1240"/>
      <c r="B702" s="1251" t="s">
        <v>703</v>
      </c>
      <c r="C702" s="1301">
        <f t="shared" ref="C702:I702" si="154">SUM(C703:C712)</f>
        <v>24990300</v>
      </c>
      <c r="D702" s="1301">
        <f t="shared" si="154"/>
        <v>25834200</v>
      </c>
      <c r="E702" s="1301">
        <f t="shared" si="154"/>
        <v>22458298.440000001</v>
      </c>
      <c r="F702" s="1301">
        <f t="shared" si="154"/>
        <v>25834200</v>
      </c>
      <c r="G702" s="1301">
        <f t="shared" si="154"/>
        <v>28598000</v>
      </c>
      <c r="H702" s="1302">
        <f t="shared" si="154"/>
        <v>0</v>
      </c>
      <c r="I702" s="1301">
        <f t="shared" si="154"/>
        <v>0</v>
      </c>
    </row>
    <row r="703" spans="1:9" customFormat="1" x14ac:dyDescent="0.2">
      <c r="A703" s="809"/>
      <c r="B703" s="1258" t="s">
        <v>704</v>
      </c>
      <c r="C703" s="1260">
        <v>1070000</v>
      </c>
      <c r="D703" s="1260">
        <v>1070000</v>
      </c>
      <c r="E703" s="1809">
        <v>1040000</v>
      </c>
      <c r="F703" s="1864">
        <v>1070000</v>
      </c>
      <c r="G703" s="1864">
        <v>1500000</v>
      </c>
      <c r="H703" s="733"/>
      <c r="I703" s="1864"/>
    </row>
    <row r="704" spans="1:9" customFormat="1" x14ac:dyDescent="0.2">
      <c r="A704" s="809"/>
      <c r="B704" s="1258" t="s">
        <v>705</v>
      </c>
      <c r="C704" s="1260">
        <v>193100</v>
      </c>
      <c r="D704" s="1260">
        <v>193100</v>
      </c>
      <c r="E704" s="1809">
        <v>192675</v>
      </c>
      <c r="F704" s="1864">
        <v>193100</v>
      </c>
      <c r="G704" s="1900">
        <v>300000</v>
      </c>
      <c r="H704" s="733"/>
      <c r="I704" s="1900"/>
    </row>
    <row r="705" spans="1:9" customFormat="1" x14ac:dyDescent="0.2">
      <c r="A705" s="809"/>
      <c r="B705" s="1258" t="s">
        <v>706</v>
      </c>
      <c r="C705" s="1260">
        <f>5000000-10000</f>
        <v>4990000</v>
      </c>
      <c r="D705" s="1260">
        <f>5000000-10000</f>
        <v>4990000</v>
      </c>
      <c r="E705" s="1809">
        <v>41000</v>
      </c>
      <c r="F705" s="1864">
        <v>50000</v>
      </c>
      <c r="G705" s="1900">
        <v>4800000</v>
      </c>
      <c r="H705" s="733"/>
      <c r="I705" s="1900"/>
    </row>
    <row r="706" spans="1:9" customFormat="1" x14ac:dyDescent="0.2">
      <c r="A706" s="809"/>
      <c r="B706" s="1258" t="s">
        <v>707</v>
      </c>
      <c r="C706" s="1260">
        <v>7250000</v>
      </c>
      <c r="D706" s="1260">
        <v>7250000</v>
      </c>
      <c r="E706" s="1809">
        <v>7250000</v>
      </c>
      <c r="F706" s="1864">
        <v>7250000</v>
      </c>
      <c r="G706" s="1900">
        <v>7250000</v>
      </c>
      <c r="H706" s="733"/>
      <c r="I706" s="1900"/>
    </row>
    <row r="707" spans="1:9" customFormat="1" x14ac:dyDescent="0.2">
      <c r="A707" s="809"/>
      <c r="B707" s="1258" t="s">
        <v>708</v>
      </c>
      <c r="C707" s="1260">
        <v>50000</v>
      </c>
      <c r="D707" s="1260">
        <v>50000</v>
      </c>
      <c r="E707" s="1809">
        <v>4990000</v>
      </c>
      <c r="F707" s="1864">
        <v>4990000</v>
      </c>
      <c r="G707" s="1900">
        <v>250000</v>
      </c>
      <c r="H707" s="733"/>
      <c r="I707" s="1900"/>
    </row>
    <row r="708" spans="1:9" customFormat="1" x14ac:dyDescent="0.2">
      <c r="A708" s="809"/>
      <c r="B708" s="1258" t="s">
        <v>709</v>
      </c>
      <c r="C708" s="1260">
        <f>8500000-15000</f>
        <v>8485000</v>
      </c>
      <c r="D708" s="1260">
        <f>8500000-15000</f>
        <v>8485000</v>
      </c>
      <c r="E708" s="1809">
        <v>5263523.4400000004</v>
      </c>
      <c r="F708" s="1864">
        <v>8485000</v>
      </c>
      <c r="G708" s="1900">
        <v>1000000</v>
      </c>
      <c r="H708" s="733"/>
      <c r="I708" s="1900"/>
    </row>
    <row r="709" spans="1:9" customFormat="1" x14ac:dyDescent="0.2">
      <c r="A709" s="809"/>
      <c r="B709" s="1258" t="s">
        <v>712</v>
      </c>
      <c r="C709" s="1260">
        <v>963000</v>
      </c>
      <c r="D709" s="1260">
        <f>963000-30000+30000</f>
        <v>963000</v>
      </c>
      <c r="E709" s="1809">
        <v>963000</v>
      </c>
      <c r="F709" s="1864">
        <v>963000</v>
      </c>
      <c r="G709" s="1900">
        <v>1342000</v>
      </c>
      <c r="H709" s="733"/>
      <c r="I709" s="1900"/>
    </row>
    <row r="710" spans="1:9" customFormat="1" x14ac:dyDescent="0.2">
      <c r="A710" s="809"/>
      <c r="B710" s="1258" t="s">
        <v>713</v>
      </c>
      <c r="C710" s="1260">
        <v>143000</v>
      </c>
      <c r="D710" s="1260">
        <v>143000</v>
      </c>
      <c r="E710" s="1809">
        <v>143000</v>
      </c>
      <c r="F710" s="1864">
        <v>143000</v>
      </c>
      <c r="G710" s="1900">
        <v>158000</v>
      </c>
      <c r="H710" s="733"/>
      <c r="I710" s="1900"/>
    </row>
    <row r="711" spans="1:9" customFormat="1" x14ac:dyDescent="0.2">
      <c r="A711" s="809"/>
      <c r="B711" s="1258" t="s">
        <v>714</v>
      </c>
      <c r="C711" s="1260">
        <v>966500</v>
      </c>
      <c r="D711" s="1260">
        <v>966500</v>
      </c>
      <c r="E711" s="1809">
        <v>966500</v>
      </c>
      <c r="F711" s="1864">
        <v>966500</v>
      </c>
      <c r="G711" s="1900">
        <v>1300000</v>
      </c>
      <c r="H711" s="733"/>
      <c r="I711" s="1900"/>
    </row>
    <row r="712" spans="1:9" customFormat="1" ht="55.5" customHeight="1" x14ac:dyDescent="0.2">
      <c r="A712" s="1240"/>
      <c r="B712" s="1258" t="s">
        <v>2493</v>
      </c>
      <c r="C712" s="1260">
        <f>909700-30000</f>
        <v>879700</v>
      </c>
      <c r="D712" s="1260">
        <f>(909700-30000)+30000+10000+15000+70000+80000+10000+150000+36900+5000+40000+250000+147000</f>
        <v>1723600</v>
      </c>
      <c r="E712" s="1809">
        <v>1608600</v>
      </c>
      <c r="F712" s="1077">
        <v>1723600</v>
      </c>
      <c r="G712" s="1809">
        <f>296000+644000+63000+90000+15000+200000+7600000-210000+2000000</f>
        <v>10698000</v>
      </c>
      <c r="H712" s="733"/>
      <c r="I712" s="1864"/>
    </row>
    <row r="713" spans="1:9" x14ac:dyDescent="0.2">
      <c r="A713" s="771"/>
      <c r="B713" s="1303"/>
      <c r="C713" s="1271"/>
      <c r="D713" s="1271"/>
      <c r="E713" s="1040"/>
      <c r="F713" s="29"/>
      <c r="G713" s="742"/>
      <c r="H713" s="29"/>
      <c r="I713" s="2037"/>
    </row>
    <row r="714" spans="1:9" ht="21" customHeight="1" x14ac:dyDescent="0.3">
      <c r="A714" s="649"/>
      <c r="B714" s="701" t="s">
        <v>716</v>
      </c>
      <c r="C714" s="1307">
        <f>C715</f>
        <v>27924400</v>
      </c>
      <c r="D714" s="1307">
        <f>D715</f>
        <v>27924400</v>
      </c>
      <c r="E714" s="1307">
        <f>E715</f>
        <v>16865768.510000002</v>
      </c>
      <c r="F714" s="1307">
        <f>F715</f>
        <v>26206117.050000001</v>
      </c>
      <c r="G714" s="2038">
        <f>G715</f>
        <v>30378980</v>
      </c>
      <c r="H714" s="2039"/>
      <c r="I714" s="582"/>
    </row>
    <row r="715" spans="1:9" x14ac:dyDescent="0.2">
      <c r="A715" s="771">
        <v>5311</v>
      </c>
      <c r="B715" s="717" t="s">
        <v>717</v>
      </c>
      <c r="C715" s="1311">
        <f>SUM(C716)</f>
        <v>27924400</v>
      </c>
      <c r="D715" s="1311">
        <f>SUM(D716)</f>
        <v>27924400</v>
      </c>
      <c r="E715" s="1311">
        <f>SUM(E716)</f>
        <v>16865768.510000002</v>
      </c>
      <c r="F715" s="1311">
        <f>SUM(F716)</f>
        <v>26206117.050000001</v>
      </c>
      <c r="G715" s="2040">
        <f>SUM(G716)</f>
        <v>30378980</v>
      </c>
      <c r="H715" s="966"/>
      <c r="I715" s="966"/>
    </row>
    <row r="716" spans="1:9" ht="76.5" x14ac:dyDescent="0.2">
      <c r="A716" s="771"/>
      <c r="B716" s="749" t="s">
        <v>2494</v>
      </c>
      <c r="C716" s="1313">
        <f>(18400+4538.4+1647+0+5+350+2+163+143+35+264+1+245+30+3+77+3+1490-750+275+200+17+50+10+150+6+170+150+250)*1000</f>
        <v>27924400</v>
      </c>
      <c r="D716" s="1313">
        <v>27924400</v>
      </c>
      <c r="E716" s="2041">
        <v>16865768.510000002</v>
      </c>
      <c r="F716" s="2042">
        <f>26206117.05</f>
        <v>26206117.050000001</v>
      </c>
      <c r="G716" s="2042">
        <f>(19370+840+4803.76+208.32+1743.3+75.6+5+350+2+348+143+35+264+1+245+30+3+149+3+747+275+200+45+17+50+10+6+170+150+90)*1000</f>
        <v>30378980</v>
      </c>
      <c r="H716" s="775"/>
      <c r="I716" s="775"/>
    </row>
    <row r="717" spans="1:9" x14ac:dyDescent="0.2">
      <c r="A717" s="682"/>
      <c r="B717" s="1318"/>
      <c r="C717" s="1319"/>
      <c r="D717" s="1319"/>
      <c r="E717" s="1158"/>
      <c r="G717" s="945"/>
      <c r="I717" s="2043"/>
    </row>
    <row r="718" spans="1:9" ht="20.25" x14ac:dyDescent="0.3">
      <c r="A718" s="649"/>
      <c r="B718" s="701" t="s">
        <v>41</v>
      </c>
      <c r="C718" s="1323">
        <f t="shared" ref="C718:I718" si="155">SUM(C719:C725)+C737</f>
        <v>35630624</v>
      </c>
      <c r="D718" s="1323">
        <f t="shared" si="155"/>
        <v>38653119.75</v>
      </c>
      <c r="E718" s="1323">
        <f t="shared" si="155"/>
        <v>19597421.539999999</v>
      </c>
      <c r="F718" s="1323">
        <f t="shared" si="155"/>
        <v>38653119.75</v>
      </c>
      <c r="G718" s="1323">
        <f>SUM(G719:G725)+G737</f>
        <v>37939410</v>
      </c>
      <c r="H718" s="1323">
        <f t="shared" si="155"/>
        <v>42859410</v>
      </c>
      <c r="I718" s="1323">
        <f t="shared" si="155"/>
        <v>43659410</v>
      </c>
    </row>
    <row r="719" spans="1:9" ht="40.5" customHeight="1" x14ac:dyDescent="0.2">
      <c r="A719" s="2044">
        <v>3429</v>
      </c>
      <c r="B719" s="1525" t="s">
        <v>2495</v>
      </c>
      <c r="C719" s="1327">
        <v>982000</v>
      </c>
      <c r="D719" s="1327">
        <v>982000</v>
      </c>
      <c r="E719" s="765">
        <v>637433.22</v>
      </c>
      <c r="F719" s="2040">
        <v>982000</v>
      </c>
      <c r="G719" s="1138">
        <f>SUM(80+20+11+200+12.3+1+30+120+20+500)*1000-500000</f>
        <v>494300</v>
      </c>
      <c r="H719" s="1138">
        <f>SUM(80+20+11+200+12.3+1+30+120+20+500)*1000</f>
        <v>994300</v>
      </c>
      <c r="I719" s="1138">
        <f>SUM(80+20+11+200+12.3+1+30+120+20+500)*1000</f>
        <v>994300</v>
      </c>
    </row>
    <row r="720" spans="1:9" s="98" customFormat="1" ht="36.75" x14ac:dyDescent="0.2">
      <c r="A720" s="1148">
        <v>5212</v>
      </c>
      <c r="B720" s="1208" t="s">
        <v>2496</v>
      </c>
      <c r="C720" s="1311">
        <v>110000</v>
      </c>
      <c r="D720" s="1311">
        <v>110000</v>
      </c>
      <c r="E720" s="731">
        <v>69853.3</v>
      </c>
      <c r="F720" s="1328">
        <v>110000</v>
      </c>
      <c r="G720" s="727">
        <f>SUM(1+20+35+40+30)*1000</f>
        <v>126000</v>
      </c>
      <c r="H720" s="727">
        <f>SUM(1+20+35+40+30)*1000</f>
        <v>126000</v>
      </c>
      <c r="I720" s="727">
        <f>SUM(1+20+35+40+30)*1000</f>
        <v>126000</v>
      </c>
    </row>
    <row r="721" spans="1:13" s="244" customFormat="1" ht="24.75" x14ac:dyDescent="0.25">
      <c r="A721" s="771">
        <v>5213</v>
      </c>
      <c r="B721" s="725" t="s">
        <v>2497</v>
      </c>
      <c r="C721" s="1311">
        <v>200000</v>
      </c>
      <c r="D721" s="1311">
        <v>200000</v>
      </c>
      <c r="E721" s="731">
        <v>0</v>
      </c>
      <c r="F721" s="1328">
        <v>200000</v>
      </c>
      <c r="G721" s="1262">
        <v>200000</v>
      </c>
      <c r="H721" s="1262">
        <v>200000</v>
      </c>
      <c r="I721" s="1262">
        <v>200000</v>
      </c>
    </row>
    <row r="722" spans="1:13" s="98" customFormat="1" ht="24.75" x14ac:dyDescent="0.2">
      <c r="A722" s="771">
        <v>5273</v>
      </c>
      <c r="B722" s="725" t="s">
        <v>1847</v>
      </c>
      <c r="C722" s="1311">
        <v>5000</v>
      </c>
      <c r="D722" s="1311">
        <v>5000</v>
      </c>
      <c r="E722" s="731">
        <v>0</v>
      </c>
      <c r="F722" s="1328">
        <v>5000</v>
      </c>
      <c r="G722" s="1262">
        <v>5000</v>
      </c>
      <c r="H722" s="1262">
        <v>5000</v>
      </c>
      <c r="I722" s="1262">
        <v>5000</v>
      </c>
    </row>
    <row r="723" spans="1:13" s="244" customFormat="1" ht="22.5" customHeight="1" x14ac:dyDescent="0.25">
      <c r="A723" s="771">
        <v>5511</v>
      </c>
      <c r="B723" s="725" t="s">
        <v>2498</v>
      </c>
      <c r="C723" s="1311">
        <v>2300000</v>
      </c>
      <c r="D723" s="1311">
        <v>2300000</v>
      </c>
      <c r="E723" s="731">
        <v>2246586</v>
      </c>
      <c r="F723" s="1328">
        <v>2300000</v>
      </c>
      <c r="G723" s="1262">
        <v>2500000</v>
      </c>
      <c r="H723" s="1262">
        <v>2500000</v>
      </c>
      <c r="I723" s="1262">
        <v>2500000</v>
      </c>
    </row>
    <row r="724" spans="1:13" s="244" customFormat="1" ht="48.75" x14ac:dyDescent="0.25">
      <c r="A724" s="771">
        <v>5512</v>
      </c>
      <c r="B724" s="725" t="s">
        <v>2499</v>
      </c>
      <c r="C724" s="1311">
        <v>125000</v>
      </c>
      <c r="D724" s="1311">
        <v>125000</v>
      </c>
      <c r="E724" s="731">
        <v>22063.8</v>
      </c>
      <c r="F724" s="1328">
        <v>125000</v>
      </c>
      <c r="G724" s="1262">
        <f>SUM(12+44+10+15+5+14+10+30)*1000</f>
        <v>140000</v>
      </c>
      <c r="H724" s="1262">
        <f>SUM(12+44+10+15+5+14+10+30)*1000</f>
        <v>140000</v>
      </c>
      <c r="I724" s="1262">
        <f>SUM(12+44+10+15+5+14+10+30)*1000</f>
        <v>140000</v>
      </c>
    </row>
    <row r="725" spans="1:13" s="244" customFormat="1" ht="12.75" customHeight="1" x14ac:dyDescent="0.25">
      <c r="A725" s="771">
        <v>6171</v>
      </c>
      <c r="B725" s="717" t="s">
        <v>725</v>
      </c>
      <c r="C725" s="1334">
        <f t="shared" ref="C725:I725" si="156">SUM(C726+C727+C731+C732+C734+C735+C736)</f>
        <v>30358624</v>
      </c>
      <c r="D725" s="1334">
        <f t="shared" si="156"/>
        <v>33381119.75</v>
      </c>
      <c r="E725" s="1334">
        <f t="shared" si="156"/>
        <v>15739573.68</v>
      </c>
      <c r="F725" s="1332">
        <f t="shared" si="156"/>
        <v>33381119.75</v>
      </c>
      <c r="G725" s="1262">
        <f t="shared" si="156"/>
        <v>32624110</v>
      </c>
      <c r="H725" s="1262">
        <f t="shared" si="156"/>
        <v>37044110</v>
      </c>
      <c r="I725" s="1262">
        <f t="shared" si="156"/>
        <v>37844110</v>
      </c>
    </row>
    <row r="726" spans="1:13" s="244" customFormat="1" ht="144.75" customHeight="1" x14ac:dyDescent="0.25">
      <c r="A726" s="771"/>
      <c r="B726" s="1335" t="s">
        <v>2500</v>
      </c>
      <c r="C726" s="1336">
        <v>21262500</v>
      </c>
      <c r="D726" s="1336">
        <v>23582500</v>
      </c>
      <c r="E726" s="1316">
        <v>9947846.8000000007</v>
      </c>
      <c r="F726" s="2045">
        <v>23582500</v>
      </c>
      <c r="G726" s="1077">
        <f>SUM(40+40+5+100+500+825+50+40+90+200+50+500+1075+600+3500+2550+1+170+4100+150+120+129.4+72.6+50+48+330+3900+300+20+100+450+30+1000+950+400+950+700+200+4.5+30+2)*1000</f>
        <v>24372500</v>
      </c>
      <c r="H726" s="2046">
        <f t="shared" ref="H726:H727" si="157">SUM(H728)</f>
        <v>26192500</v>
      </c>
      <c r="I726" s="1077">
        <f>SUM(I730)</f>
        <v>26992500</v>
      </c>
    </row>
    <row r="727" spans="1:13" s="244" customFormat="1" ht="24" x14ac:dyDescent="0.25">
      <c r="A727" s="771"/>
      <c r="B727" s="1335" t="s">
        <v>2501</v>
      </c>
      <c r="C727" s="1336">
        <v>1600000</v>
      </c>
      <c r="D727" s="1336">
        <v>1600000</v>
      </c>
      <c r="E727" s="1809">
        <v>1427001</v>
      </c>
      <c r="F727" s="2045">
        <v>1600000</v>
      </c>
      <c r="G727" s="1077">
        <f>SUM(50+100+1000)*1000</f>
        <v>1150000</v>
      </c>
      <c r="H727" s="2046">
        <f t="shared" si="157"/>
        <v>3650000</v>
      </c>
      <c r="I727" s="1077">
        <v>3650000</v>
      </c>
    </row>
    <row r="728" spans="1:13" s="244" customFormat="1" ht="144" hidden="1" x14ac:dyDescent="0.25">
      <c r="A728" s="771" t="s">
        <v>2502</v>
      </c>
      <c r="B728" s="1335" t="s">
        <v>2503</v>
      </c>
      <c r="C728" s="1256">
        <v>0</v>
      </c>
      <c r="D728" s="1256">
        <v>0</v>
      </c>
      <c r="E728" s="1256">
        <v>0</v>
      </c>
      <c r="F728" s="1256">
        <v>0</v>
      </c>
      <c r="G728" s="1256">
        <v>0</v>
      </c>
      <c r="H728" s="1077">
        <f>SUM(40+40+5+100+500+825+500+50+60+90+300+50+700+1075+600+3500+2550+1+170+4100+150+120+129.4+72.6+50+48+330+3900+300+20+100+450+1000+30+1000+950+400+950+700+200+4.5+30+2)*1000</f>
        <v>26192500</v>
      </c>
      <c r="I728" s="1256">
        <v>0</v>
      </c>
    </row>
    <row r="729" spans="1:13" s="244" customFormat="1" ht="24" hidden="1" x14ac:dyDescent="0.25">
      <c r="A729" s="771"/>
      <c r="B729" s="1335" t="s">
        <v>2504</v>
      </c>
      <c r="C729" s="1256">
        <v>0</v>
      </c>
      <c r="D729" s="1256">
        <v>0</v>
      </c>
      <c r="E729" s="1256">
        <v>0</v>
      </c>
      <c r="F729" s="1256">
        <v>0</v>
      </c>
      <c r="G729" s="1256">
        <v>0</v>
      </c>
      <c r="H729" s="1077">
        <f>SUM(50+1000+100+1000+1500)*1000</f>
        <v>3650000</v>
      </c>
      <c r="I729" s="1256">
        <v>0</v>
      </c>
    </row>
    <row r="730" spans="1:13" s="244" customFormat="1" ht="144" hidden="1" x14ac:dyDescent="0.25">
      <c r="A730" s="771" t="s">
        <v>2505</v>
      </c>
      <c r="B730" s="1335" t="s">
        <v>2506</v>
      </c>
      <c r="C730" s="1256">
        <v>0</v>
      </c>
      <c r="D730" s="1256">
        <v>0</v>
      </c>
      <c r="E730" s="1256">
        <v>0</v>
      </c>
      <c r="F730" s="1256">
        <v>0</v>
      </c>
      <c r="G730" s="1256">
        <v>0</v>
      </c>
      <c r="H730" s="1256">
        <v>0</v>
      </c>
      <c r="I730" s="1077">
        <f>SUM(40+40+5+100+500+825+1000+50+60+90+300+50+1000+1075+600+3500+2550+1+170+4100+150+120+129.4+72.6+50+48+330+3900+300+20+100+450+1000+30+1000+950+400+950+700+200+4.5+30+2)*1000</f>
        <v>26992500</v>
      </c>
    </row>
    <row r="731" spans="1:13" s="98" customFormat="1" ht="50.25" customHeight="1" x14ac:dyDescent="0.2">
      <c r="A731" s="771"/>
      <c r="B731" s="1337" t="s">
        <v>2507</v>
      </c>
      <c r="C731" s="1336">
        <v>4682300</v>
      </c>
      <c r="D731" s="1336">
        <v>4682300</v>
      </c>
      <c r="E731" s="738">
        <v>1924597.75</v>
      </c>
      <c r="F731" s="2045">
        <v>4682300</v>
      </c>
      <c r="G731" s="1077">
        <f>SUM(200+590+225+40+20+3012.8+200+240+70)*1000</f>
        <v>4597800</v>
      </c>
      <c r="H731" s="2046">
        <f>SUM(H733)</f>
        <v>4697800</v>
      </c>
      <c r="I731" s="1256">
        <v>4697800</v>
      </c>
    </row>
    <row r="732" spans="1:13" ht="24" x14ac:dyDescent="0.2">
      <c r="A732" s="776"/>
      <c r="B732" s="1337" t="s">
        <v>2508</v>
      </c>
      <c r="C732" s="1338">
        <v>2192810</v>
      </c>
      <c r="D732" s="1338">
        <v>2895305.75</v>
      </c>
      <c r="E732" s="738">
        <v>2077950.52</v>
      </c>
      <c r="F732" s="738">
        <v>2895305.75</v>
      </c>
      <c r="G732" s="1077">
        <f>SUM(200+1162.81+100+300+100)*1000</f>
        <v>1862810</v>
      </c>
      <c r="H732" s="1256">
        <v>1862810</v>
      </c>
      <c r="I732" s="1256">
        <v>1862810</v>
      </c>
    </row>
    <row r="733" spans="1:13" ht="48" hidden="1" x14ac:dyDescent="0.2">
      <c r="A733" s="771" t="s">
        <v>2502</v>
      </c>
      <c r="B733" s="1337" t="s">
        <v>2509</v>
      </c>
      <c r="C733" s="1256">
        <v>0</v>
      </c>
      <c r="D733" s="1256">
        <v>0</v>
      </c>
      <c r="E733" s="1256">
        <v>0</v>
      </c>
      <c r="F733" s="1256">
        <v>0</v>
      </c>
      <c r="G733" s="1256">
        <v>0</v>
      </c>
      <c r="H733" s="1077">
        <f>SUM(300+590+225+40+20+3012.8+200+240+70)*1000</f>
        <v>4697800</v>
      </c>
      <c r="I733" s="1256">
        <v>0</v>
      </c>
      <c r="J733" s="1298"/>
      <c r="K733" s="2047"/>
      <c r="L733" s="2047"/>
      <c r="M733" s="2047"/>
    </row>
    <row r="734" spans="1:13" x14ac:dyDescent="0.2">
      <c r="A734" s="776"/>
      <c r="B734" s="737" t="s">
        <v>1855</v>
      </c>
      <c r="C734" s="1338">
        <v>210000</v>
      </c>
      <c r="D734" s="1338">
        <v>210000</v>
      </c>
      <c r="E734" s="738">
        <v>114343.01</v>
      </c>
      <c r="F734" s="738">
        <v>210000</v>
      </c>
      <c r="G734" s="1077">
        <v>210000</v>
      </c>
      <c r="H734" s="1077">
        <v>210000</v>
      </c>
      <c r="I734" s="1077">
        <v>210000</v>
      </c>
      <c r="J734" s="1298"/>
      <c r="K734" s="2047"/>
      <c r="L734" s="2047"/>
    </row>
    <row r="735" spans="1:13" x14ac:dyDescent="0.2">
      <c r="A735" s="776"/>
      <c r="B735" s="737" t="s">
        <v>1856</v>
      </c>
      <c r="C735" s="1338">
        <v>50000</v>
      </c>
      <c r="D735" s="1338">
        <v>50000</v>
      </c>
      <c r="E735" s="738">
        <v>20402.5</v>
      </c>
      <c r="F735" s="738">
        <v>50000</v>
      </c>
      <c r="G735" s="1077">
        <v>50000</v>
      </c>
      <c r="H735" s="1077">
        <v>50000</v>
      </c>
      <c r="I735" s="1077">
        <v>50000</v>
      </c>
    </row>
    <row r="736" spans="1:13" ht="24.75" x14ac:dyDescent="0.2">
      <c r="A736" s="776"/>
      <c r="B736" s="749" t="s">
        <v>2510</v>
      </c>
      <c r="C736" s="1338">
        <v>361014</v>
      </c>
      <c r="D736" s="1338">
        <v>361014</v>
      </c>
      <c r="E736" s="738">
        <v>227432.1</v>
      </c>
      <c r="F736" s="738">
        <v>361014</v>
      </c>
      <c r="G736" s="1077">
        <f>SUM(5+30+30+60+18+72.6+10+140.307+15.093)*1000</f>
        <v>381000</v>
      </c>
      <c r="H736" s="1077">
        <f>SUM(5+30+30+60+18+72.6+10+140.307+15.093)*1000</f>
        <v>381000</v>
      </c>
      <c r="I736" s="1077">
        <f>SUM(5+30+30+60+18+72.6+10+140.307+15.093)*1000</f>
        <v>381000</v>
      </c>
    </row>
    <row r="737" spans="1:9" ht="12.75" customHeight="1" x14ac:dyDescent="0.2">
      <c r="A737" s="771">
        <v>6320</v>
      </c>
      <c r="B737" s="717" t="s">
        <v>2511</v>
      </c>
      <c r="C737" s="1116">
        <v>1550000</v>
      </c>
      <c r="D737" s="1116">
        <v>1550000</v>
      </c>
      <c r="E737" s="731">
        <v>881911.54</v>
      </c>
      <c r="F737" s="731">
        <v>1550000</v>
      </c>
      <c r="G737" s="727">
        <f>SUM(1800+50)*1000</f>
        <v>1850000</v>
      </c>
      <c r="H737" s="727">
        <f>SUM(1800+50)*1000</f>
        <v>1850000</v>
      </c>
      <c r="I737" s="727">
        <f>SUM(1800+50)*1000</f>
        <v>1850000</v>
      </c>
    </row>
    <row r="738" spans="1:9" ht="12.75" customHeight="1" x14ac:dyDescent="0.2">
      <c r="A738" s="1220"/>
      <c r="B738" s="2048"/>
      <c r="C738" s="1341"/>
      <c r="D738" s="1341"/>
      <c r="E738" s="1158"/>
      <c r="F738" s="1970"/>
      <c r="G738" s="1535"/>
      <c r="H738" s="158"/>
      <c r="I738" s="2043"/>
    </row>
    <row r="739" spans="1:9" ht="20.25" x14ac:dyDescent="0.3">
      <c r="A739" s="649"/>
      <c r="B739" s="701" t="s">
        <v>735</v>
      </c>
      <c r="C739" s="1345">
        <f>C740+C741+C742+C746</f>
        <v>171743160</v>
      </c>
      <c r="D739" s="1345">
        <f>D740+D741+D742+D746</f>
        <v>172842003.99000001</v>
      </c>
      <c r="E739" s="1345">
        <f>E740+E741+E742+E746</f>
        <v>117162209.58</v>
      </c>
      <c r="F739" s="1346">
        <f>F740+F741+F742+F746</f>
        <v>172842004</v>
      </c>
      <c r="G739" s="707">
        <f>G740+G741+G742+G746</f>
        <v>190047550</v>
      </c>
      <c r="H739" s="2049"/>
      <c r="I739" s="582"/>
    </row>
    <row r="740" spans="1:9" s="98" customFormat="1" x14ac:dyDescent="0.2">
      <c r="A740" s="899">
        <v>3341</v>
      </c>
      <c r="B740" s="2050" t="s">
        <v>1860</v>
      </c>
      <c r="C740" s="746">
        <v>3109200</v>
      </c>
      <c r="D740" s="746">
        <v>3109200</v>
      </c>
      <c r="E740" s="731">
        <v>2058452</v>
      </c>
      <c r="F740" s="1138">
        <v>3109200</v>
      </c>
      <c r="G740" s="1138">
        <v>3109200</v>
      </c>
      <c r="H740" s="1137"/>
      <c r="I740" s="987"/>
    </row>
    <row r="741" spans="1:9" s="1693" customFormat="1" ht="36.75" x14ac:dyDescent="0.2">
      <c r="A741" s="791">
        <v>6112</v>
      </c>
      <c r="B741" s="782" t="s">
        <v>2512</v>
      </c>
      <c r="C741" s="746">
        <f>30000+8520000+1046560+766800+12000+10000+500+20000+200000+7000+90000+30000</f>
        <v>10732860</v>
      </c>
      <c r="D741" s="746">
        <f>30000+8520000+1046560+766800+12000+10000+500+20000+200000+7000+90000+30000+(320000+28800)</f>
        <v>11081660</v>
      </c>
      <c r="E741" s="746">
        <f>11296.98+6120314+652200+582480+3822+6945.4+11652.2+52247+81500+13585</f>
        <v>7536042.580000001</v>
      </c>
      <c r="F741" s="1671">
        <v>11081660</v>
      </c>
      <c r="G741" s="1671">
        <f>30000+9270000+1071360+834300+12000+10000+500+20000+200000+7000+90000+30000</f>
        <v>11575160</v>
      </c>
      <c r="H741" s="865"/>
      <c r="I741" s="2051"/>
    </row>
    <row r="742" spans="1:9" x14ac:dyDescent="0.2">
      <c r="A742" s="771">
        <v>6171</v>
      </c>
      <c r="B742" s="717" t="s">
        <v>725</v>
      </c>
      <c r="C742" s="746">
        <f>SUM(C743:C745)</f>
        <v>151901100</v>
      </c>
      <c r="D742" s="746">
        <f>SUM(D743:D745)</f>
        <v>152651143.99000001</v>
      </c>
      <c r="E742" s="731">
        <f>+E743+E744+E745</f>
        <v>103067547</v>
      </c>
      <c r="F742" s="727">
        <f>+F743+F744+F745</f>
        <v>152651144</v>
      </c>
      <c r="G742" s="727">
        <f>+G743+G744+G745</f>
        <v>167563190</v>
      </c>
      <c r="H742" s="1141"/>
      <c r="I742" s="775"/>
    </row>
    <row r="743" spans="1:9" s="1708" customFormat="1" ht="48" x14ac:dyDescent="0.2">
      <c r="A743" s="842"/>
      <c r="B743" s="2052" t="s">
        <v>2513</v>
      </c>
      <c r="C743" s="767">
        <f>93200000+10000+1400000+10000+23460800+8514000+520000+1000+900000+50000+20000+50000+2600000+350000+15000+204000+40000+2000000</f>
        <v>133344800</v>
      </c>
      <c r="D743" s="767">
        <f>(93200000+10000+1400000+10000+23460800+8514000+520000+1000+900000+50000+20000+50000+2600000+350000+15000+204000+40000+2000000)+(563940.99+135346+50757)</f>
        <v>134094843.98999999</v>
      </c>
      <c r="E743" s="767">
        <f>65835617+736276+16359370+5943298+425734+462244+86242+9117+1272234+105608+13527+141600+18905</f>
        <v>91409772</v>
      </c>
      <c r="F743" s="831">
        <v>134094844</v>
      </c>
      <c r="G743" s="831">
        <f>(101960000+3850000)+10000+1500000+10000+(25658080+954800)+(9311400+346500)+600000+1000+900000+150000+25000+50000+2550000+300000+15000+204000+40000</f>
        <v>148435780</v>
      </c>
      <c r="H743" s="2053"/>
      <c r="I743" s="2054"/>
    </row>
    <row r="744" spans="1:9" s="1708" customFormat="1" ht="23.25" customHeight="1" x14ac:dyDescent="0.25">
      <c r="A744" s="2055"/>
      <c r="B744" s="788" t="s">
        <v>2514</v>
      </c>
      <c r="C744" s="767">
        <f>6900000+30000+1718600+623700+180000+10000</f>
        <v>9462300</v>
      </c>
      <c r="D744" s="767">
        <f>6900000+30000+1718600+623700+180000+10000</f>
        <v>9462300</v>
      </c>
      <c r="E744" s="767">
        <f>4772879+12000+1186164+430456+84860+3452</f>
        <v>6489811</v>
      </c>
      <c r="F744" s="831">
        <v>9462300</v>
      </c>
      <c r="G744" s="831">
        <f>(7060000+275000)+30000+(1758320+68200)+(638100+24750)+180000+10000</f>
        <v>10044370</v>
      </c>
      <c r="H744" s="2053"/>
      <c r="I744" s="2054"/>
    </row>
    <row r="745" spans="1:9" s="1708" customFormat="1" ht="36.75" x14ac:dyDescent="0.25">
      <c r="A745" s="2055"/>
      <c r="B745" s="782" t="s">
        <v>2515</v>
      </c>
      <c r="C745" s="767">
        <f>4067000+60000+21000+3140000+206000+100000+285000+1150000+30000+26000+9000</f>
        <v>9094000</v>
      </c>
      <c r="D745" s="767">
        <f>4067000+60000+21000+3140000+206000+100000+285000+1150000+30000+26000+9000</f>
        <v>9094000</v>
      </c>
      <c r="E745" s="767">
        <f>2601154+1629380+97235+240000+587000+2050+11145</f>
        <v>5167964</v>
      </c>
      <c r="F745" s="831">
        <v>9094000</v>
      </c>
      <c r="G745" s="831">
        <f>4067040+60000+21000+3140000+160000+100000+320000+1150000+30000+26000+9000</f>
        <v>9083040</v>
      </c>
      <c r="H745" s="2053"/>
      <c r="I745" s="2054"/>
    </row>
    <row r="746" spans="1:9" x14ac:dyDescent="0.2">
      <c r="A746" s="771">
        <v>6330</v>
      </c>
      <c r="B746" s="717" t="s">
        <v>740</v>
      </c>
      <c r="C746" s="974">
        <v>6000000</v>
      </c>
      <c r="D746" s="974">
        <v>6000000</v>
      </c>
      <c r="E746" s="731">
        <v>4500168</v>
      </c>
      <c r="F746" s="727">
        <v>6000000</v>
      </c>
      <c r="G746" s="727">
        <v>7800000</v>
      </c>
      <c r="H746" s="809"/>
      <c r="I746" s="1064"/>
    </row>
    <row r="747" spans="1:9" x14ac:dyDescent="0.2">
      <c r="A747" s="1147"/>
      <c r="B747" s="1156"/>
      <c r="C747" s="1359"/>
      <c r="D747" s="1359"/>
      <c r="E747" s="1145"/>
      <c r="F747" s="29"/>
      <c r="G747" s="945"/>
      <c r="I747" s="2043"/>
    </row>
    <row r="748" spans="1:9" ht="20.25" x14ac:dyDescent="0.3">
      <c r="A748" s="649"/>
      <c r="B748" s="701" t="s">
        <v>43</v>
      </c>
      <c r="C748" s="1362">
        <f t="shared" ref="C748:I748" si="158">C749+C764</f>
        <v>17006123</v>
      </c>
      <c r="D748" s="1362">
        <f t="shared" si="158"/>
        <v>16844868</v>
      </c>
      <c r="E748" s="1362">
        <f t="shared" si="158"/>
        <v>13837215.68</v>
      </c>
      <c r="F748" s="1362">
        <f t="shared" si="158"/>
        <v>14751490</v>
      </c>
      <c r="G748" s="1362">
        <f>G749+G764</f>
        <v>16959056</v>
      </c>
      <c r="H748" s="1362">
        <f t="shared" si="158"/>
        <v>16959056</v>
      </c>
      <c r="I748" s="1362">
        <f t="shared" si="158"/>
        <v>16959056</v>
      </c>
    </row>
    <row r="749" spans="1:9" ht="15.75" x14ac:dyDescent="0.25">
      <c r="A749" s="649"/>
      <c r="B749" s="763" t="s">
        <v>741</v>
      </c>
      <c r="C749" s="1363">
        <f t="shared" ref="C749:I749" si="159">C750+C751+C752+C755+C757+C762+C763</f>
        <v>1297000</v>
      </c>
      <c r="D749" s="1363">
        <f t="shared" si="159"/>
        <v>1242255</v>
      </c>
      <c r="E749" s="1363">
        <f t="shared" si="159"/>
        <v>598470.68000000005</v>
      </c>
      <c r="F749" s="1363">
        <f t="shared" si="159"/>
        <v>878000</v>
      </c>
      <c r="G749" s="1363">
        <f t="shared" si="159"/>
        <v>1192000</v>
      </c>
      <c r="H749" s="1363">
        <f t="shared" si="159"/>
        <v>1192000</v>
      </c>
      <c r="I749" s="1363">
        <f t="shared" si="159"/>
        <v>1192000</v>
      </c>
    </row>
    <row r="750" spans="1:9" x14ac:dyDescent="0.2">
      <c r="A750" s="771">
        <v>3613</v>
      </c>
      <c r="B750" s="717" t="s">
        <v>1865</v>
      </c>
      <c r="C750" s="731">
        <v>7000</v>
      </c>
      <c r="D750" s="731">
        <v>7000</v>
      </c>
      <c r="E750" s="731">
        <v>109.7</v>
      </c>
      <c r="F750" s="731">
        <v>5000</v>
      </c>
      <c r="G750" s="731">
        <v>7000</v>
      </c>
      <c r="H750" s="731">
        <v>7000</v>
      </c>
      <c r="I750" s="731">
        <v>7000</v>
      </c>
    </row>
    <row r="751" spans="1:9" s="244" customFormat="1" ht="15.75" x14ac:dyDescent="0.25">
      <c r="A751" s="771">
        <v>3632</v>
      </c>
      <c r="B751" s="717" t="s">
        <v>1866</v>
      </c>
      <c r="C751" s="731">
        <v>270000</v>
      </c>
      <c r="D751" s="731">
        <v>270000</v>
      </c>
      <c r="E751" s="731">
        <v>150598.88</v>
      </c>
      <c r="F751" s="731">
        <v>200000</v>
      </c>
      <c r="G751" s="731">
        <v>270000</v>
      </c>
      <c r="H751" s="731">
        <v>270000</v>
      </c>
      <c r="I751" s="731">
        <v>270000</v>
      </c>
    </row>
    <row r="752" spans="1:9" s="244" customFormat="1" ht="12.75" customHeight="1" x14ac:dyDescent="0.25">
      <c r="A752" s="771">
        <v>4329</v>
      </c>
      <c r="B752" s="717" t="s">
        <v>745</v>
      </c>
      <c r="C752" s="726">
        <f t="shared" ref="C752:I752" si="160">SUM(C753:C754)</f>
        <v>258000</v>
      </c>
      <c r="D752" s="726">
        <f t="shared" si="160"/>
        <v>258000</v>
      </c>
      <c r="E752" s="726">
        <f t="shared" si="160"/>
        <v>249832.14</v>
      </c>
      <c r="F752" s="726">
        <f t="shared" si="160"/>
        <v>253000</v>
      </c>
      <c r="G752" s="726">
        <f t="shared" si="160"/>
        <v>258000</v>
      </c>
      <c r="H752" s="726">
        <f t="shared" si="160"/>
        <v>258000</v>
      </c>
      <c r="I752" s="726">
        <f t="shared" si="160"/>
        <v>258000</v>
      </c>
    </row>
    <row r="753" spans="1:9" s="98" customFormat="1" x14ac:dyDescent="0.2">
      <c r="A753" s="771"/>
      <c r="B753" s="1035" t="s">
        <v>1867</v>
      </c>
      <c r="C753" s="738">
        <v>8000</v>
      </c>
      <c r="D753" s="738">
        <v>8000</v>
      </c>
      <c r="E753" s="738">
        <v>4832.1400000000003</v>
      </c>
      <c r="F753" s="738">
        <v>8000</v>
      </c>
      <c r="G753" s="738">
        <v>8000</v>
      </c>
      <c r="H753" s="738">
        <v>8000</v>
      </c>
      <c r="I753" s="738">
        <v>8000</v>
      </c>
    </row>
    <row r="754" spans="1:9" s="98" customFormat="1" x14ac:dyDescent="0.2">
      <c r="A754" s="771"/>
      <c r="B754" s="1035" t="s">
        <v>1868</v>
      </c>
      <c r="C754" s="738">
        <v>250000</v>
      </c>
      <c r="D754" s="738">
        <v>250000</v>
      </c>
      <c r="E754" s="738">
        <v>245000</v>
      </c>
      <c r="F754" s="738">
        <v>245000</v>
      </c>
      <c r="G754" s="738">
        <v>250000</v>
      </c>
      <c r="H754" s="738">
        <v>250000</v>
      </c>
      <c r="I754" s="738">
        <v>250000</v>
      </c>
    </row>
    <row r="755" spans="1:9" x14ac:dyDescent="0.2">
      <c r="A755" s="771">
        <v>4349</v>
      </c>
      <c r="B755" s="717" t="s">
        <v>753</v>
      </c>
      <c r="C755" s="726">
        <f t="shared" ref="C755:I755" si="161">SUM(C756:C756)</f>
        <v>300000</v>
      </c>
      <c r="D755" s="726">
        <f t="shared" si="161"/>
        <v>300000</v>
      </c>
      <c r="E755" s="726">
        <f t="shared" si="161"/>
        <v>10040</v>
      </c>
      <c r="F755" s="726">
        <f t="shared" si="161"/>
        <v>90000</v>
      </c>
      <c r="G755" s="726">
        <f t="shared" si="161"/>
        <v>300000</v>
      </c>
      <c r="H755" s="726">
        <f t="shared" si="161"/>
        <v>300000</v>
      </c>
      <c r="I755" s="726">
        <f t="shared" si="161"/>
        <v>300000</v>
      </c>
    </row>
    <row r="756" spans="1:9" x14ac:dyDescent="0.2">
      <c r="A756" s="776"/>
      <c r="B756" s="737" t="s">
        <v>1869</v>
      </c>
      <c r="C756" s="738">
        <v>300000</v>
      </c>
      <c r="D756" s="738">
        <v>300000</v>
      </c>
      <c r="E756" s="738">
        <v>10040</v>
      </c>
      <c r="F756" s="738">
        <v>90000</v>
      </c>
      <c r="G756" s="738">
        <v>300000</v>
      </c>
      <c r="H756" s="738">
        <v>300000</v>
      </c>
      <c r="I756" s="738">
        <v>300000</v>
      </c>
    </row>
    <row r="757" spans="1:9" s="98" customFormat="1" x14ac:dyDescent="0.2">
      <c r="A757" s="771">
        <v>4379</v>
      </c>
      <c r="B757" s="717" t="s">
        <v>760</v>
      </c>
      <c r="C757" s="726">
        <f t="shared" ref="C757:I757" si="162">SUM(C758:C761)</f>
        <v>359000</v>
      </c>
      <c r="D757" s="726">
        <f t="shared" si="162"/>
        <v>359000</v>
      </c>
      <c r="E757" s="726">
        <f t="shared" si="162"/>
        <v>187889.96000000002</v>
      </c>
      <c r="F757" s="726">
        <f t="shared" si="162"/>
        <v>329000</v>
      </c>
      <c r="G757" s="726">
        <f t="shared" si="162"/>
        <v>355000</v>
      </c>
      <c r="H757" s="726">
        <f t="shared" si="162"/>
        <v>355000</v>
      </c>
      <c r="I757" s="726">
        <f t="shared" si="162"/>
        <v>355000</v>
      </c>
    </row>
    <row r="758" spans="1:9" x14ac:dyDescent="0.2">
      <c r="A758" s="776"/>
      <c r="B758" s="737" t="s">
        <v>1870</v>
      </c>
      <c r="C758" s="738">
        <v>229000</v>
      </c>
      <c r="D758" s="738">
        <v>229000</v>
      </c>
      <c r="E758" s="738">
        <v>137368.19</v>
      </c>
      <c r="F758" s="738">
        <v>229000</v>
      </c>
      <c r="G758" s="738">
        <v>230000</v>
      </c>
      <c r="H758" s="738">
        <v>230000</v>
      </c>
      <c r="I758" s="738">
        <v>230000</v>
      </c>
    </row>
    <row r="759" spans="1:9" s="419" customFormat="1" x14ac:dyDescent="0.2">
      <c r="A759" s="776"/>
      <c r="B759" s="737" t="s">
        <v>1871</v>
      </c>
      <c r="C759" s="738">
        <v>65000</v>
      </c>
      <c r="D759" s="738">
        <v>65000</v>
      </c>
      <c r="E759" s="738">
        <v>30624.04</v>
      </c>
      <c r="F759" s="738">
        <v>55000</v>
      </c>
      <c r="G759" s="738">
        <v>65000</v>
      </c>
      <c r="H759" s="738">
        <v>65000</v>
      </c>
      <c r="I759" s="738">
        <v>65000</v>
      </c>
    </row>
    <row r="760" spans="1:9" x14ac:dyDescent="0.2">
      <c r="A760" s="776"/>
      <c r="B760" s="737" t="s">
        <v>1872</v>
      </c>
      <c r="C760" s="738">
        <v>55000</v>
      </c>
      <c r="D760" s="738">
        <v>55000</v>
      </c>
      <c r="E760" s="738">
        <v>19897.73</v>
      </c>
      <c r="F760" s="738">
        <v>35000</v>
      </c>
      <c r="G760" s="738">
        <v>50000</v>
      </c>
      <c r="H760" s="738">
        <v>50000</v>
      </c>
      <c r="I760" s="738">
        <v>50000</v>
      </c>
    </row>
    <row r="761" spans="1:9" s="98" customFormat="1" x14ac:dyDescent="0.2">
      <c r="A761" s="776"/>
      <c r="B761" s="737" t="s">
        <v>1873</v>
      </c>
      <c r="C761" s="738">
        <v>10000</v>
      </c>
      <c r="D761" s="738">
        <v>10000</v>
      </c>
      <c r="E761" s="738">
        <v>0</v>
      </c>
      <c r="F761" s="738">
        <v>10000</v>
      </c>
      <c r="G761" s="738">
        <v>10000</v>
      </c>
      <c r="H761" s="738">
        <v>10000</v>
      </c>
      <c r="I761" s="738">
        <v>10000</v>
      </c>
    </row>
    <row r="762" spans="1:9" x14ac:dyDescent="0.2">
      <c r="A762" s="771">
        <v>4399</v>
      </c>
      <c r="B762" s="717" t="s">
        <v>2516</v>
      </c>
      <c r="C762" s="731">
        <v>3000</v>
      </c>
      <c r="D762" s="731">
        <v>3000</v>
      </c>
      <c r="E762" s="731">
        <v>0</v>
      </c>
      <c r="F762" s="731">
        <v>1000</v>
      </c>
      <c r="G762" s="731">
        <v>2000</v>
      </c>
      <c r="H762" s="731">
        <v>2000</v>
      </c>
      <c r="I762" s="731">
        <v>2000</v>
      </c>
    </row>
    <row r="763" spans="1:9" x14ac:dyDescent="0.2">
      <c r="A763" s="1147">
        <v>6409</v>
      </c>
      <c r="B763" s="1156" t="s">
        <v>1876</v>
      </c>
      <c r="C763" s="1145">
        <v>100000</v>
      </c>
      <c r="D763" s="1145">
        <f>100000-50000-4745</f>
        <v>45255</v>
      </c>
      <c r="E763" s="1145">
        <v>0</v>
      </c>
      <c r="F763" s="731">
        <v>0</v>
      </c>
      <c r="G763" s="731">
        <v>0</v>
      </c>
      <c r="H763" s="731">
        <v>0</v>
      </c>
      <c r="I763" s="731">
        <v>0</v>
      </c>
    </row>
    <row r="764" spans="1:9" ht="15.75" x14ac:dyDescent="0.25">
      <c r="A764" s="649"/>
      <c r="B764" s="763" t="s">
        <v>767</v>
      </c>
      <c r="C764" s="1372">
        <f t="shared" ref="C764:I764" si="163">C765</f>
        <v>15709123</v>
      </c>
      <c r="D764" s="1372">
        <f t="shared" si="163"/>
        <v>15602613</v>
      </c>
      <c r="E764" s="1372">
        <f t="shared" si="163"/>
        <v>13238745</v>
      </c>
      <c r="F764" s="1372">
        <f t="shared" si="163"/>
        <v>13873490</v>
      </c>
      <c r="G764" s="1372">
        <f t="shared" si="163"/>
        <v>15767056</v>
      </c>
      <c r="H764" s="1372">
        <f t="shared" si="163"/>
        <v>15767056</v>
      </c>
      <c r="I764" s="1372">
        <f t="shared" si="163"/>
        <v>15767056</v>
      </c>
    </row>
    <row r="765" spans="1:9" x14ac:dyDescent="0.2">
      <c r="A765" s="1373"/>
      <c r="B765" s="709" t="s">
        <v>768</v>
      </c>
      <c r="C765" s="1366">
        <f t="shared" ref="C765:I765" si="164">SUM(C766:C776)</f>
        <v>15709123</v>
      </c>
      <c r="D765" s="1366">
        <f t="shared" si="164"/>
        <v>15602613</v>
      </c>
      <c r="E765" s="1366">
        <f t="shared" si="164"/>
        <v>13238745</v>
      </c>
      <c r="F765" s="1366">
        <f t="shared" si="164"/>
        <v>13873490</v>
      </c>
      <c r="G765" s="1366">
        <f t="shared" si="164"/>
        <v>15767056</v>
      </c>
      <c r="H765" s="1366">
        <f t="shared" si="164"/>
        <v>15767056</v>
      </c>
      <c r="I765" s="1366">
        <f t="shared" si="164"/>
        <v>15767056</v>
      </c>
    </row>
    <row r="766" spans="1:9" s="98" customFormat="1" x14ac:dyDescent="0.2">
      <c r="A766" s="1373"/>
      <c r="B766" s="737" t="s">
        <v>769</v>
      </c>
      <c r="C766" s="738">
        <v>129000</v>
      </c>
      <c r="D766" s="738">
        <v>129000</v>
      </c>
      <c r="E766" s="738">
        <v>129000</v>
      </c>
      <c r="F766" s="1045">
        <v>129000</v>
      </c>
      <c r="G766" s="1045">
        <v>190500</v>
      </c>
      <c r="H766" s="1045">
        <v>190500</v>
      </c>
      <c r="I766" s="1045">
        <v>190500</v>
      </c>
    </row>
    <row r="767" spans="1:9" x14ac:dyDescent="0.2">
      <c r="A767" s="1373"/>
      <c r="B767" s="737" t="s">
        <v>770</v>
      </c>
      <c r="C767" s="738">
        <v>200000</v>
      </c>
      <c r="D767" s="738">
        <v>200000</v>
      </c>
      <c r="E767" s="738">
        <v>97800</v>
      </c>
      <c r="F767" s="1809">
        <v>97800</v>
      </c>
      <c r="G767" s="1077">
        <v>200000</v>
      </c>
      <c r="H767" s="1077">
        <v>200000</v>
      </c>
      <c r="I767" s="1077">
        <v>200000</v>
      </c>
    </row>
    <row r="768" spans="1:9" x14ac:dyDescent="0.2">
      <c r="A768" s="1373"/>
      <c r="B768" s="737" t="s">
        <v>2517</v>
      </c>
      <c r="C768" s="738">
        <v>9749028</v>
      </c>
      <c r="D768" s="738">
        <v>9389028</v>
      </c>
      <c r="E768" s="738">
        <v>8771200</v>
      </c>
      <c r="F768" s="1809">
        <v>8771200</v>
      </c>
      <c r="G768" s="1077">
        <v>12122400</v>
      </c>
      <c r="H768" s="1809">
        <v>12122400</v>
      </c>
      <c r="I768" s="1077">
        <v>12122400</v>
      </c>
    </row>
    <row r="769" spans="1:9" x14ac:dyDescent="0.2">
      <c r="A769" s="1373"/>
      <c r="B769" s="737" t="s">
        <v>2518</v>
      </c>
      <c r="C769" s="738">
        <v>1853095</v>
      </c>
      <c r="D769" s="738">
        <v>1853095</v>
      </c>
      <c r="E769" s="738">
        <v>1314000</v>
      </c>
      <c r="F769" s="1809">
        <v>1314000</v>
      </c>
      <c r="G769" s="1077">
        <v>1736156</v>
      </c>
      <c r="H769" s="1809">
        <v>1736156</v>
      </c>
      <c r="I769" s="1077">
        <v>1736156</v>
      </c>
    </row>
    <row r="770" spans="1:9" x14ac:dyDescent="0.2">
      <c r="A770" s="1373"/>
      <c r="B770" s="737" t="s">
        <v>773</v>
      </c>
      <c r="C770" s="738">
        <v>135000</v>
      </c>
      <c r="D770" s="738">
        <v>135000</v>
      </c>
      <c r="E770" s="738">
        <v>135000</v>
      </c>
      <c r="F770" s="1809">
        <v>135000</v>
      </c>
      <c r="G770" s="1077">
        <v>135000</v>
      </c>
      <c r="H770" s="1077">
        <v>135000</v>
      </c>
      <c r="I770" s="1077">
        <v>135000</v>
      </c>
    </row>
    <row r="771" spans="1:9" x14ac:dyDescent="0.2">
      <c r="A771" s="1373"/>
      <c r="B771" s="737" t="s">
        <v>774</v>
      </c>
      <c r="C771" s="738">
        <v>235000</v>
      </c>
      <c r="D771" s="738">
        <v>235000</v>
      </c>
      <c r="E771" s="738">
        <v>235000</v>
      </c>
      <c r="F771" s="1809">
        <v>235000</v>
      </c>
      <c r="G771" s="1077">
        <v>235000</v>
      </c>
      <c r="H771" s="1077">
        <v>235000</v>
      </c>
      <c r="I771" s="1809">
        <v>235000</v>
      </c>
    </row>
    <row r="772" spans="1:9" x14ac:dyDescent="0.2">
      <c r="A772" s="1373"/>
      <c r="B772" s="737" t="s">
        <v>1879</v>
      </c>
      <c r="C772" s="738">
        <v>1000000</v>
      </c>
      <c r="D772" s="738">
        <v>1000000</v>
      </c>
      <c r="E772" s="738">
        <v>0</v>
      </c>
      <c r="F772" s="1809">
        <v>0</v>
      </c>
      <c r="G772" s="1077">
        <v>1000000</v>
      </c>
      <c r="H772" s="1077">
        <v>1000000</v>
      </c>
      <c r="I772" s="1809">
        <v>1000000</v>
      </c>
    </row>
    <row r="773" spans="1:9" x14ac:dyDescent="0.2">
      <c r="A773" s="771"/>
      <c r="B773" s="737" t="s">
        <v>775</v>
      </c>
      <c r="C773" s="738">
        <v>50000</v>
      </c>
      <c r="D773" s="738">
        <v>50000</v>
      </c>
      <c r="E773" s="738">
        <v>0</v>
      </c>
      <c r="F773" s="1809">
        <v>50000</v>
      </c>
      <c r="G773" s="1077">
        <v>100000</v>
      </c>
      <c r="H773" s="1077">
        <v>100000</v>
      </c>
      <c r="I773" s="1809">
        <v>100000</v>
      </c>
    </row>
    <row r="774" spans="1:9" ht="24.75" customHeight="1" x14ac:dyDescent="0.2">
      <c r="A774" s="771"/>
      <c r="B774" s="1374" t="s">
        <v>1881</v>
      </c>
      <c r="C774" s="738">
        <v>2310000</v>
      </c>
      <c r="D774" s="738">
        <v>2310000</v>
      </c>
      <c r="E774" s="738">
        <v>2310000</v>
      </c>
      <c r="F774" s="1040">
        <v>2310000</v>
      </c>
      <c r="G774" s="1077">
        <v>0</v>
      </c>
      <c r="H774" s="1077">
        <v>0</v>
      </c>
      <c r="I774" s="1040">
        <v>0</v>
      </c>
    </row>
    <row r="775" spans="1:9" x14ac:dyDescent="0.2">
      <c r="A775" s="771"/>
      <c r="B775" s="737" t="s">
        <v>776</v>
      </c>
      <c r="C775" s="738">
        <v>0</v>
      </c>
      <c r="D775" s="738">
        <v>253490</v>
      </c>
      <c r="E775" s="738">
        <v>198745</v>
      </c>
      <c r="F775" s="1809">
        <v>783490</v>
      </c>
      <c r="G775" s="1077">
        <v>0</v>
      </c>
      <c r="H775" s="1077">
        <v>0</v>
      </c>
      <c r="I775" s="1809">
        <v>0</v>
      </c>
    </row>
    <row r="776" spans="1:9" x14ac:dyDescent="0.2">
      <c r="A776" s="771"/>
      <c r="B776" s="737" t="s">
        <v>1882</v>
      </c>
      <c r="C776" s="738">
        <v>48000</v>
      </c>
      <c r="D776" s="738">
        <v>48000</v>
      </c>
      <c r="E776" s="1077">
        <v>48000</v>
      </c>
      <c r="F776" s="1809">
        <v>48000</v>
      </c>
      <c r="G776" s="1077">
        <v>48000</v>
      </c>
      <c r="H776" s="1077">
        <v>48000</v>
      </c>
      <c r="I776" s="1077">
        <v>48000</v>
      </c>
    </row>
    <row r="777" spans="1:9" x14ac:dyDescent="0.2">
      <c r="A777" s="1242"/>
      <c r="B777" s="1872"/>
      <c r="C777" s="1158"/>
      <c r="D777" s="1158"/>
      <c r="E777" s="1158"/>
      <c r="G777" s="2043"/>
      <c r="I777" s="2043"/>
    </row>
    <row r="778" spans="1:9" ht="20.25" x14ac:dyDescent="0.2">
      <c r="A778" s="1242"/>
      <c r="B778" s="2056" t="s">
        <v>777</v>
      </c>
      <c r="C778" s="2057">
        <f t="shared" ref="C778:I778" si="165">C779</f>
        <v>19471500</v>
      </c>
      <c r="D778" s="2057">
        <f>D779</f>
        <v>24044500</v>
      </c>
      <c r="E778" s="2057">
        <f t="shared" si="165"/>
        <v>6442331.1100000003</v>
      </c>
      <c r="F778" s="1205">
        <f t="shared" si="165"/>
        <v>24044500</v>
      </c>
      <c r="G778" s="1205">
        <f>G779</f>
        <v>18612000</v>
      </c>
      <c r="H778" s="1205">
        <f t="shared" si="165"/>
        <v>0</v>
      </c>
      <c r="I778" s="1205">
        <f t="shared" si="165"/>
        <v>0</v>
      </c>
    </row>
    <row r="779" spans="1:9" x14ac:dyDescent="0.2">
      <c r="A779" s="1147">
        <v>4351</v>
      </c>
      <c r="B779" s="709" t="s">
        <v>778</v>
      </c>
      <c r="C779" s="1376">
        <f>SUM(C780:C783)</f>
        <v>19471500</v>
      </c>
      <c r="D779" s="1376">
        <f>SUM(D780:D783)</f>
        <v>24044500</v>
      </c>
      <c r="E779" s="1376">
        <f>SUM(E780:E783)</f>
        <v>6442331.1100000003</v>
      </c>
      <c r="F779" s="1376">
        <f>SUM(F780:F783)</f>
        <v>24044500</v>
      </c>
      <c r="G779" s="1376">
        <f>SUM(G780:G783)</f>
        <v>18612000</v>
      </c>
      <c r="H779" s="966"/>
      <c r="I779" s="966"/>
    </row>
    <row r="780" spans="1:9" ht="60.75" x14ac:dyDescent="0.2">
      <c r="A780" s="776"/>
      <c r="B780" s="1353" t="s">
        <v>2519</v>
      </c>
      <c r="C780" s="1368">
        <v>8205000</v>
      </c>
      <c r="D780" s="1368">
        <f>8205000+2980000+(419000+181000+2000+161000+2217000-2980000)</f>
        <v>11185000</v>
      </c>
      <c r="E780" s="750">
        <v>3085953.65</v>
      </c>
      <c r="F780" s="750">
        <f t="shared" ref="F780:F783" si="166">D780</f>
        <v>11185000</v>
      </c>
      <c r="G780" s="1368">
        <f>8493500+32200+282000</f>
        <v>8807700</v>
      </c>
      <c r="H780" s="2058"/>
      <c r="I780" s="775"/>
    </row>
    <row r="781" spans="1:9" ht="48.75" x14ac:dyDescent="0.2">
      <c r="A781" s="776"/>
      <c r="B781" s="1353" t="s">
        <v>2520</v>
      </c>
      <c r="C781" s="1368">
        <v>2224000</v>
      </c>
      <c r="D781" s="1368">
        <f>2224000+559000+(492000+36000+31000-559000)</f>
        <v>2783000</v>
      </c>
      <c r="E781" s="1045">
        <v>785212.05</v>
      </c>
      <c r="F781" s="1045">
        <f t="shared" si="166"/>
        <v>2783000</v>
      </c>
      <c r="G781" s="1368">
        <f>2332000+16100+66900</f>
        <v>2415000</v>
      </c>
      <c r="H781" s="2058"/>
      <c r="I781" s="775"/>
    </row>
    <row r="782" spans="1:9" ht="36.75" x14ac:dyDescent="0.2">
      <c r="A782" s="771"/>
      <c r="B782" s="1353" t="s">
        <v>2521</v>
      </c>
      <c r="C782" s="1368">
        <v>6642500</v>
      </c>
      <c r="D782" s="1368">
        <f>6642500+1034000+(978000+56000-1034000)</f>
        <v>7676500</v>
      </c>
      <c r="E782" s="738">
        <v>2571165.41</v>
      </c>
      <c r="F782" s="738">
        <f t="shared" si="166"/>
        <v>7676500</v>
      </c>
      <c r="G782" s="1368">
        <f>7117500+33400+238400</f>
        <v>7389300</v>
      </c>
      <c r="H782" s="2058"/>
      <c r="I782" s="775"/>
    </row>
    <row r="783" spans="1:9" x14ac:dyDescent="0.2">
      <c r="A783" s="1147"/>
      <c r="B783" s="1380" t="s">
        <v>2522</v>
      </c>
      <c r="C783" s="1381">
        <v>2400000</v>
      </c>
      <c r="D783" s="1381">
        <v>2400000</v>
      </c>
      <c r="E783" s="738">
        <v>0</v>
      </c>
      <c r="F783" s="738">
        <f t="shared" si="166"/>
        <v>2400000</v>
      </c>
      <c r="G783" s="1381">
        <v>0</v>
      </c>
      <c r="H783" s="2058"/>
      <c r="I783" s="775"/>
    </row>
    <row r="784" spans="1:9" x14ac:dyDescent="0.2">
      <c r="A784" s="682"/>
      <c r="B784" s="1383"/>
      <c r="C784" s="1384"/>
      <c r="D784" s="1384"/>
      <c r="E784" s="682"/>
      <c r="F784" s="682"/>
      <c r="G784" s="1384"/>
      <c r="I784" s="2043"/>
    </row>
    <row r="785" spans="1:9" ht="20.25" x14ac:dyDescent="0.3">
      <c r="A785" s="649"/>
      <c r="B785" s="701" t="s">
        <v>50</v>
      </c>
      <c r="C785" s="1217">
        <f>SUM(C786,C787,C788,C789,C790,C791,C792,C793,C798,C799,C800,C801,C806,C807)</f>
        <v>67229000</v>
      </c>
      <c r="D785" s="1217">
        <f t="shared" ref="D785:I785" si="167">SUM(D786,D787,D788,D789,D790,D791,D792,D793,D798,D799,D800,D801,D806)</f>
        <v>70520616.560000002</v>
      </c>
      <c r="E785" s="1217">
        <f t="shared" si="167"/>
        <v>41952834</v>
      </c>
      <c r="F785" s="1217">
        <f>SUM(F786,F787,F788,F789,F790,F791,F792,F793,F798,F799,F800,F801,F806,F807)</f>
        <v>70504116.560000002</v>
      </c>
      <c r="G785" s="1217">
        <f>SUM(G786,G787,G788,G789,G790,G791,G792,G793,G798,G799,G800,G801,G806,G807)</f>
        <v>72242000</v>
      </c>
      <c r="H785" s="1217">
        <f t="shared" si="167"/>
        <v>73842000</v>
      </c>
      <c r="I785" s="1217">
        <f t="shared" si="167"/>
        <v>73842000</v>
      </c>
    </row>
    <row r="786" spans="1:9" x14ac:dyDescent="0.2">
      <c r="A786" s="764">
        <v>1014</v>
      </c>
      <c r="B786" s="709" t="s">
        <v>2523</v>
      </c>
      <c r="C786" s="731">
        <v>500000</v>
      </c>
      <c r="D786" s="172">
        <v>500000</v>
      </c>
      <c r="E786" s="172">
        <v>174212</v>
      </c>
      <c r="F786" s="731">
        <v>500000</v>
      </c>
      <c r="G786" s="731">
        <v>490000</v>
      </c>
      <c r="H786" s="731">
        <v>490000</v>
      </c>
      <c r="I786" s="731">
        <v>490000</v>
      </c>
    </row>
    <row r="787" spans="1:9" x14ac:dyDescent="0.2">
      <c r="A787" s="771">
        <v>1031</v>
      </c>
      <c r="B787" s="717" t="s">
        <v>2524</v>
      </c>
      <c r="C787" s="731">
        <v>650000</v>
      </c>
      <c r="D787" s="181">
        <v>700000</v>
      </c>
      <c r="E787" s="181">
        <v>8893.5</v>
      </c>
      <c r="F787" s="726">
        <v>700000</v>
      </c>
      <c r="G787" s="731">
        <v>750000</v>
      </c>
      <c r="H787" s="731">
        <v>750000</v>
      </c>
      <c r="I787" s="731">
        <v>750000</v>
      </c>
    </row>
    <row r="788" spans="1:9" x14ac:dyDescent="0.2">
      <c r="A788" s="771">
        <v>1036</v>
      </c>
      <c r="B788" s="717" t="s">
        <v>2525</v>
      </c>
      <c r="C788" s="731">
        <v>155000</v>
      </c>
      <c r="D788" s="181">
        <v>155000</v>
      </c>
      <c r="E788" s="181">
        <v>106813.28</v>
      </c>
      <c r="F788" s="726">
        <v>155000</v>
      </c>
      <c r="G788" s="731">
        <v>120000</v>
      </c>
      <c r="H788" s="731">
        <v>120000</v>
      </c>
      <c r="I788" s="731">
        <v>120000</v>
      </c>
    </row>
    <row r="789" spans="1:9" s="244" customFormat="1" ht="12.75" customHeight="1" x14ac:dyDescent="0.25">
      <c r="A789" s="771">
        <v>1037</v>
      </c>
      <c r="B789" s="717" t="s">
        <v>2526</v>
      </c>
      <c r="C789" s="731">
        <v>25000</v>
      </c>
      <c r="D789" s="181">
        <v>25000</v>
      </c>
      <c r="E789" s="181">
        <v>24668</v>
      </c>
      <c r="F789" s="1241">
        <v>25000</v>
      </c>
      <c r="G789" s="731">
        <v>28000</v>
      </c>
      <c r="H789" s="731">
        <v>28000</v>
      </c>
      <c r="I789" s="731">
        <v>28000</v>
      </c>
    </row>
    <row r="790" spans="1:9" s="98" customFormat="1" x14ac:dyDescent="0.2">
      <c r="A790" s="771">
        <v>1039</v>
      </c>
      <c r="B790" s="717" t="s">
        <v>2527</v>
      </c>
      <c r="C790" s="731">
        <v>260000</v>
      </c>
      <c r="D790" s="181">
        <v>210000</v>
      </c>
      <c r="E790" s="181">
        <v>43681.97</v>
      </c>
      <c r="F790" s="726">
        <v>210000</v>
      </c>
      <c r="G790" s="731">
        <v>260000</v>
      </c>
      <c r="H790" s="731">
        <v>260000</v>
      </c>
      <c r="I790" s="731">
        <v>260000</v>
      </c>
    </row>
    <row r="791" spans="1:9" s="98" customFormat="1" x14ac:dyDescent="0.2">
      <c r="A791" s="771">
        <v>2369</v>
      </c>
      <c r="B791" s="717" t="s">
        <v>2528</v>
      </c>
      <c r="C791" s="731">
        <v>370000</v>
      </c>
      <c r="D791" s="181">
        <v>370000</v>
      </c>
      <c r="E791" s="181">
        <v>6146.8</v>
      </c>
      <c r="F791" s="731">
        <v>370000</v>
      </c>
      <c r="G791" s="731">
        <v>370000</v>
      </c>
      <c r="H791" s="731">
        <v>370000</v>
      </c>
      <c r="I791" s="731">
        <v>370000</v>
      </c>
    </row>
    <row r="792" spans="1:9" s="98" customFormat="1" x14ac:dyDescent="0.2">
      <c r="A792" s="771">
        <v>3721</v>
      </c>
      <c r="B792" s="717" t="s">
        <v>2529</v>
      </c>
      <c r="C792" s="731">
        <v>50000</v>
      </c>
      <c r="D792" s="181">
        <v>50000</v>
      </c>
      <c r="E792" s="181">
        <v>33600</v>
      </c>
      <c r="F792" s="726">
        <v>50000</v>
      </c>
      <c r="G792" s="731">
        <v>50000</v>
      </c>
      <c r="H792" s="731">
        <v>50000</v>
      </c>
      <c r="I792" s="731">
        <v>50000</v>
      </c>
    </row>
    <row r="793" spans="1:9" s="98" customFormat="1" x14ac:dyDescent="0.2">
      <c r="A793" s="771">
        <v>3722</v>
      </c>
      <c r="B793" s="717" t="s">
        <v>789</v>
      </c>
      <c r="C793" s="726">
        <f t="shared" ref="C793:I801" si="168">SUM(C794:C797)</f>
        <v>37945000</v>
      </c>
      <c r="D793" s="181">
        <f t="shared" si="168"/>
        <v>41446635</v>
      </c>
      <c r="E793" s="181">
        <f t="shared" si="168"/>
        <v>25464615.449999999</v>
      </c>
      <c r="F793" s="726">
        <f t="shared" si="168"/>
        <v>41446635</v>
      </c>
      <c r="G793" s="726">
        <f>SUM(G794:G797)</f>
        <v>46605000</v>
      </c>
      <c r="H793" s="726">
        <f t="shared" si="168"/>
        <v>48955000</v>
      </c>
      <c r="I793" s="726">
        <f t="shared" si="168"/>
        <v>48955000</v>
      </c>
    </row>
    <row r="794" spans="1:9" s="98" customFormat="1" x14ac:dyDescent="0.2">
      <c r="A794" s="771"/>
      <c r="B794" s="1035" t="s">
        <v>2530</v>
      </c>
      <c r="C794" s="738">
        <v>31150000</v>
      </c>
      <c r="D794" s="178">
        <v>31150000</v>
      </c>
      <c r="E794" s="178">
        <v>20768000</v>
      </c>
      <c r="F794" s="750">
        <v>31150000</v>
      </c>
      <c r="G794" s="738">
        <v>32350000</v>
      </c>
      <c r="H794" s="738">
        <v>32350000</v>
      </c>
      <c r="I794" s="738">
        <v>32350000</v>
      </c>
    </row>
    <row r="795" spans="1:9" s="98" customFormat="1" x14ac:dyDescent="0.2">
      <c r="A795" s="771"/>
      <c r="B795" s="1035" t="s">
        <v>2531</v>
      </c>
      <c r="C795" s="738">
        <v>0</v>
      </c>
      <c r="D795" s="178">
        <v>0</v>
      </c>
      <c r="E795" s="178">
        <v>0</v>
      </c>
      <c r="F795" s="750">
        <v>0</v>
      </c>
      <c r="G795" s="738">
        <v>1910000</v>
      </c>
      <c r="H795" s="738">
        <v>1910000</v>
      </c>
      <c r="I795" s="738">
        <v>1910000</v>
      </c>
    </row>
    <row r="796" spans="1:9" s="98" customFormat="1" x14ac:dyDescent="0.2">
      <c r="A796" s="771"/>
      <c r="B796" s="1035" t="s">
        <v>2532</v>
      </c>
      <c r="C796" s="738">
        <v>2545000</v>
      </c>
      <c r="D796" s="178">
        <v>2545000</v>
      </c>
      <c r="E796" s="178">
        <v>1359181.45</v>
      </c>
      <c r="F796" s="750">
        <v>2545000</v>
      </c>
      <c r="G796" s="738">
        <v>2695000</v>
      </c>
      <c r="H796" s="738">
        <v>2695000</v>
      </c>
      <c r="I796" s="738">
        <v>2695000</v>
      </c>
    </row>
    <row r="797" spans="1:9" s="98" customFormat="1" ht="25.5" x14ac:dyDescent="0.2">
      <c r="A797" s="771"/>
      <c r="B797" s="749" t="s">
        <v>2533</v>
      </c>
      <c r="C797" s="738">
        <v>4250000</v>
      </c>
      <c r="D797" s="178">
        <v>7751635</v>
      </c>
      <c r="E797" s="178">
        <v>3337434</v>
      </c>
      <c r="F797" s="750">
        <v>7751635</v>
      </c>
      <c r="G797" s="738">
        <v>9650000</v>
      </c>
      <c r="H797" s="738">
        <v>12000000</v>
      </c>
      <c r="I797" s="738">
        <v>12000000</v>
      </c>
    </row>
    <row r="798" spans="1:9" s="98" customFormat="1" x14ac:dyDescent="0.2">
      <c r="A798" s="771">
        <v>3726</v>
      </c>
      <c r="B798" s="782" t="s">
        <v>1892</v>
      </c>
      <c r="C798" s="746">
        <v>1650000</v>
      </c>
      <c r="D798" s="732">
        <v>1650000</v>
      </c>
      <c r="E798" s="732">
        <v>1633500</v>
      </c>
      <c r="F798" s="734">
        <v>1633500</v>
      </c>
      <c r="G798" s="746">
        <v>0</v>
      </c>
      <c r="H798" s="721">
        <v>0</v>
      </c>
      <c r="I798" s="722">
        <v>0</v>
      </c>
    </row>
    <row r="799" spans="1:9" s="98" customFormat="1" x14ac:dyDescent="0.2">
      <c r="A799" s="771">
        <v>3733</v>
      </c>
      <c r="B799" s="717" t="s">
        <v>2534</v>
      </c>
      <c r="C799" s="731">
        <v>65000</v>
      </c>
      <c r="D799" s="181">
        <v>65000</v>
      </c>
      <c r="E799" s="181">
        <v>0</v>
      </c>
      <c r="F799" s="726">
        <v>65000</v>
      </c>
      <c r="G799" s="731">
        <v>65000</v>
      </c>
      <c r="H799" s="731">
        <v>65000</v>
      </c>
      <c r="I799" s="731">
        <v>65000</v>
      </c>
    </row>
    <row r="800" spans="1:9" s="98" customFormat="1" x14ac:dyDescent="0.2">
      <c r="A800" s="771">
        <v>3742</v>
      </c>
      <c r="B800" s="725" t="s">
        <v>2535</v>
      </c>
      <c r="C800" s="731">
        <v>100000</v>
      </c>
      <c r="D800" s="1387">
        <v>100000</v>
      </c>
      <c r="E800" s="1387">
        <v>0</v>
      </c>
      <c r="F800" s="1241">
        <v>0</v>
      </c>
      <c r="G800" s="731">
        <v>100000</v>
      </c>
      <c r="H800" s="731">
        <v>100000</v>
      </c>
      <c r="I800" s="731">
        <v>100000</v>
      </c>
    </row>
    <row r="801" spans="1:246" s="98" customFormat="1" x14ac:dyDescent="0.2">
      <c r="A801" s="771">
        <v>3745</v>
      </c>
      <c r="B801" s="717" t="s">
        <v>796</v>
      </c>
      <c r="C801" s="726">
        <f t="shared" si="168"/>
        <v>25144000</v>
      </c>
      <c r="D801" s="181">
        <f t="shared" si="168"/>
        <v>25033981.559999999</v>
      </c>
      <c r="E801" s="181">
        <f t="shared" si="168"/>
        <v>14399091.529999999</v>
      </c>
      <c r="F801" s="726">
        <f t="shared" si="168"/>
        <v>25033981.559999999</v>
      </c>
      <c r="G801" s="726">
        <f>SUM(G802:G805)</f>
        <v>23089000</v>
      </c>
      <c r="H801" s="726">
        <f t="shared" si="168"/>
        <v>22439000</v>
      </c>
      <c r="I801" s="726">
        <f t="shared" si="168"/>
        <v>22439000</v>
      </c>
    </row>
    <row r="802" spans="1:246" s="98" customFormat="1" x14ac:dyDescent="0.2">
      <c r="A802" s="771"/>
      <c r="B802" s="1035" t="s">
        <v>1895</v>
      </c>
      <c r="C802" s="738">
        <v>260000</v>
      </c>
      <c r="D802" s="384">
        <v>260000</v>
      </c>
      <c r="E802" s="384">
        <v>104017</v>
      </c>
      <c r="F802" s="738">
        <v>260000</v>
      </c>
      <c r="G802" s="738">
        <v>260000</v>
      </c>
      <c r="H802" s="738">
        <v>260000</v>
      </c>
      <c r="I802" s="738">
        <v>260000</v>
      </c>
    </row>
    <row r="803" spans="1:246" s="98" customFormat="1" x14ac:dyDescent="0.2">
      <c r="A803" s="776"/>
      <c r="B803" s="1035" t="s">
        <v>2536</v>
      </c>
      <c r="C803" s="738">
        <v>19300000</v>
      </c>
      <c r="D803" s="384">
        <v>19300000</v>
      </c>
      <c r="E803" s="384">
        <v>12866664</v>
      </c>
      <c r="F803" s="738">
        <v>19300000</v>
      </c>
      <c r="G803" s="738">
        <v>20700000</v>
      </c>
      <c r="H803" s="738">
        <v>20200000</v>
      </c>
      <c r="I803" s="738">
        <v>20200000</v>
      </c>
    </row>
    <row r="804" spans="1:246" s="98" customFormat="1" x14ac:dyDescent="0.2">
      <c r="A804" s="776"/>
      <c r="B804" s="1035" t="s">
        <v>2537</v>
      </c>
      <c r="C804" s="738">
        <v>2834000</v>
      </c>
      <c r="D804" s="178">
        <v>2834000</v>
      </c>
      <c r="E804" s="178">
        <v>1428410.53</v>
      </c>
      <c r="F804" s="750">
        <v>2834000</v>
      </c>
      <c r="G804" s="738">
        <v>1979000</v>
      </c>
      <c r="H804" s="738">
        <v>1979000</v>
      </c>
      <c r="I804" s="738">
        <v>1979000</v>
      </c>
    </row>
    <row r="805" spans="1:246" s="98" customFormat="1" x14ac:dyDescent="0.2">
      <c r="A805" s="771"/>
      <c r="B805" s="749" t="s">
        <v>2538</v>
      </c>
      <c r="C805" s="738">
        <v>2750000</v>
      </c>
      <c r="D805" s="384">
        <v>2639981.56</v>
      </c>
      <c r="E805" s="384">
        <v>0</v>
      </c>
      <c r="F805" s="738">
        <v>2639981.56</v>
      </c>
      <c r="G805" s="738">
        <v>150000</v>
      </c>
      <c r="H805" s="738">
        <v>0</v>
      </c>
      <c r="I805" s="738">
        <v>0</v>
      </c>
    </row>
    <row r="806" spans="1:246" x14ac:dyDescent="0.2">
      <c r="A806" s="771">
        <v>3792</v>
      </c>
      <c r="B806" s="1236" t="s">
        <v>2539</v>
      </c>
      <c r="C806" s="1145">
        <v>215000</v>
      </c>
      <c r="D806" s="181">
        <v>215000</v>
      </c>
      <c r="E806" s="181">
        <v>57611.47</v>
      </c>
      <c r="F806" s="1241">
        <v>215000</v>
      </c>
      <c r="G806" s="731">
        <v>215000</v>
      </c>
      <c r="H806" s="731">
        <v>215000</v>
      </c>
      <c r="I806" s="731">
        <v>215000</v>
      </c>
    </row>
    <row r="807" spans="1:246" ht="15.75" x14ac:dyDescent="0.25">
      <c r="A807" s="2059"/>
      <c r="B807" s="690" t="s">
        <v>1897</v>
      </c>
      <c r="C807" s="1392">
        <f t="shared" ref="C807:I807" si="169">SUM(C808:C808)</f>
        <v>100000</v>
      </c>
      <c r="D807" s="1390">
        <f t="shared" si="169"/>
        <v>100000</v>
      </c>
      <c r="E807" s="1390">
        <f t="shared" si="169"/>
        <v>0</v>
      </c>
      <c r="F807" s="1390">
        <f t="shared" si="169"/>
        <v>100000</v>
      </c>
      <c r="G807" s="1390">
        <f t="shared" si="169"/>
        <v>100000</v>
      </c>
      <c r="H807" s="1390">
        <f t="shared" si="169"/>
        <v>100000</v>
      </c>
      <c r="I807" s="1390">
        <f t="shared" si="169"/>
        <v>100000</v>
      </c>
    </row>
    <row r="808" spans="1:246" x14ac:dyDescent="0.2">
      <c r="A808" s="2060" t="s">
        <v>1898</v>
      </c>
      <c r="B808" s="2061" t="s">
        <v>1899</v>
      </c>
      <c r="C808" s="765">
        <v>100000</v>
      </c>
      <c r="D808" s="1138">
        <v>100000</v>
      </c>
      <c r="E808" s="1139">
        <v>0</v>
      </c>
      <c r="F808" s="1138">
        <v>100000</v>
      </c>
      <c r="G808" s="765">
        <v>100000</v>
      </c>
      <c r="H808" s="765">
        <v>100000</v>
      </c>
      <c r="I808" s="765">
        <v>100000</v>
      </c>
    </row>
    <row r="809" spans="1:246" x14ac:dyDescent="0.2">
      <c r="A809" s="2062"/>
      <c r="B809" s="2063"/>
      <c r="C809" s="758"/>
      <c r="D809" s="758"/>
      <c r="E809" s="1399"/>
      <c r="F809" s="758"/>
      <c r="G809" s="758"/>
      <c r="H809" s="758"/>
      <c r="I809" s="758"/>
    </row>
    <row r="810" spans="1:246" ht="20.25" x14ac:dyDescent="0.2">
      <c r="A810" s="2064"/>
      <c r="B810" s="2056" t="s">
        <v>803</v>
      </c>
      <c r="C810" s="1403">
        <f t="shared" ref="C810:I810" si="170">SUM(C811,C812,C833,C862,C908,C917,C918,C922)</f>
        <v>136758000</v>
      </c>
      <c r="D810" s="1403" t="e">
        <f t="shared" si="170"/>
        <v>#REF!</v>
      </c>
      <c r="E810" s="1403" t="e">
        <f t="shared" si="170"/>
        <v>#REF!</v>
      </c>
      <c r="F810" s="1403">
        <f t="shared" si="170"/>
        <v>110439175.45999999</v>
      </c>
      <c r="G810" s="1403">
        <f t="shared" si="170"/>
        <v>130147000</v>
      </c>
      <c r="H810" s="1403">
        <f t="shared" si="170"/>
        <v>0</v>
      </c>
      <c r="I810" s="1403">
        <f t="shared" si="170"/>
        <v>0</v>
      </c>
      <c r="J810"/>
      <c r="K810"/>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c r="EX810"/>
      <c r="EY810"/>
      <c r="EZ810"/>
      <c r="FA810"/>
      <c r="FB810"/>
      <c r="FC810"/>
      <c r="FD810"/>
      <c r="FE810"/>
      <c r="FF810"/>
      <c r="FG810"/>
      <c r="FH810"/>
      <c r="FI810"/>
      <c r="FJ810"/>
      <c r="FK810"/>
      <c r="FL810"/>
      <c r="FM810"/>
      <c r="FN810"/>
      <c r="FO810"/>
      <c r="FP810"/>
      <c r="FQ810"/>
      <c r="FR810"/>
      <c r="FS810"/>
      <c r="FT810"/>
      <c r="FU810"/>
      <c r="FV810"/>
      <c r="FW810"/>
      <c r="FX810"/>
      <c r="FY810"/>
      <c r="FZ810"/>
      <c r="GA810"/>
      <c r="GB810"/>
      <c r="GC810"/>
      <c r="GD810"/>
      <c r="GE810"/>
      <c r="GF810"/>
      <c r="GG810"/>
      <c r="GH810"/>
      <c r="GI810"/>
      <c r="GJ810"/>
      <c r="GK810"/>
      <c r="GL810"/>
      <c r="GM810"/>
      <c r="GN810"/>
      <c r="GO810"/>
      <c r="GP810"/>
      <c r="GQ810"/>
      <c r="GR810"/>
      <c r="GS810"/>
      <c r="GT810"/>
      <c r="GU810"/>
      <c r="GV810"/>
      <c r="GW810"/>
      <c r="GX810"/>
      <c r="GY810"/>
      <c r="GZ810"/>
      <c r="HA810"/>
      <c r="HB810"/>
      <c r="HC810"/>
      <c r="HD810"/>
      <c r="HE810"/>
      <c r="HF810"/>
      <c r="HG810"/>
      <c r="HH810"/>
      <c r="HI810"/>
      <c r="HJ810"/>
      <c r="HK810"/>
      <c r="HL810"/>
      <c r="HM810"/>
      <c r="HN810"/>
      <c r="HO810"/>
      <c r="HP810"/>
      <c r="HQ810"/>
      <c r="HR810"/>
      <c r="HS810"/>
      <c r="HT810"/>
      <c r="HU810"/>
      <c r="HV810"/>
      <c r="HW810"/>
      <c r="HX810"/>
      <c r="HY810"/>
      <c r="HZ810"/>
      <c r="IA810"/>
      <c r="IB810"/>
      <c r="IC810"/>
      <c r="ID810"/>
      <c r="IE810"/>
      <c r="IF810"/>
      <c r="IG810"/>
      <c r="IH810"/>
      <c r="II810"/>
      <c r="IJ810"/>
      <c r="IK810"/>
      <c r="IL810"/>
    </row>
    <row r="811" spans="1:246" ht="12.75" customHeight="1" x14ac:dyDescent="0.2">
      <c r="A811" s="1406">
        <v>3122</v>
      </c>
      <c r="B811" s="2065" t="s">
        <v>1902</v>
      </c>
      <c r="C811" s="2066">
        <v>403000</v>
      </c>
      <c r="D811" s="2066">
        <v>403000</v>
      </c>
      <c r="E811" s="2066">
        <v>345109.16</v>
      </c>
      <c r="F811" s="2066">
        <v>345109.16</v>
      </c>
      <c r="G811" s="2067">
        <v>450000</v>
      </c>
      <c r="H811"/>
      <c r="I811" s="2068"/>
      <c r="J811"/>
      <c r="K811"/>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c r="EX811"/>
      <c r="EY811"/>
      <c r="EZ811"/>
      <c r="FA811"/>
      <c r="FB811"/>
      <c r="FC811"/>
      <c r="FD811"/>
      <c r="FE811"/>
      <c r="FF811"/>
      <c r="FG811"/>
      <c r="FH811"/>
      <c r="FI811"/>
      <c r="FJ811"/>
      <c r="FK811"/>
      <c r="FL811"/>
      <c r="FM811"/>
      <c r="FN811"/>
      <c r="FO811"/>
      <c r="FP811"/>
      <c r="FQ811"/>
      <c r="FR811"/>
      <c r="FS811"/>
      <c r="FT811"/>
      <c r="FU811"/>
      <c r="FV811"/>
      <c r="FW811"/>
      <c r="FX811"/>
      <c r="FY811"/>
      <c r="FZ811"/>
      <c r="GA811"/>
      <c r="GB811"/>
      <c r="GC811"/>
      <c r="GD811"/>
      <c r="GE811"/>
      <c r="GF811"/>
      <c r="GG811"/>
      <c r="GH811"/>
      <c r="GI811"/>
      <c r="GJ811"/>
      <c r="GK811"/>
      <c r="GL811"/>
      <c r="GM811"/>
      <c r="GN811"/>
      <c r="GO811"/>
      <c r="GP811"/>
      <c r="GQ811"/>
      <c r="GR811"/>
      <c r="GS811"/>
      <c r="GT811"/>
      <c r="GU811"/>
      <c r="GV811"/>
      <c r="GW811"/>
      <c r="GX811"/>
      <c r="GY811"/>
      <c r="GZ811"/>
      <c r="HA811"/>
      <c r="HB811"/>
      <c r="HC811"/>
      <c r="HD811"/>
      <c r="HE811"/>
      <c r="HF811"/>
      <c r="HG811"/>
      <c r="HH811"/>
      <c r="HI811"/>
      <c r="HJ811"/>
      <c r="HK811"/>
      <c r="HL811"/>
      <c r="HM811"/>
      <c r="HN811"/>
      <c r="HO811"/>
      <c r="HP811"/>
      <c r="HQ811"/>
      <c r="HR811"/>
      <c r="HS811"/>
      <c r="HT811"/>
      <c r="HU811"/>
      <c r="HV811"/>
      <c r="HW811"/>
      <c r="HX811"/>
      <c r="HY811"/>
      <c r="HZ811"/>
      <c r="IA811"/>
      <c r="IB811"/>
      <c r="IC811"/>
      <c r="ID811"/>
      <c r="IE811"/>
      <c r="IF811"/>
      <c r="IG811"/>
      <c r="IH811"/>
      <c r="II811"/>
      <c r="IJ811"/>
      <c r="IK811"/>
      <c r="IL811"/>
    </row>
    <row r="812" spans="1:246" ht="12.75" customHeight="1" x14ac:dyDescent="0.2">
      <c r="A812" s="1155">
        <v>3412</v>
      </c>
      <c r="B812" s="2069" t="s">
        <v>805</v>
      </c>
      <c r="C812" s="2070">
        <f>C813+C822</f>
        <v>50505000</v>
      </c>
      <c r="D812" s="2070">
        <f>D813+D822</f>
        <v>50505000</v>
      </c>
      <c r="E812" s="2070">
        <f>E813+E822</f>
        <v>32323364.59</v>
      </c>
      <c r="F812" s="2070">
        <f>F813+F822</f>
        <v>49416436</v>
      </c>
      <c r="G812" s="2070">
        <f>G813+G822</f>
        <v>52960000</v>
      </c>
      <c r="H812"/>
      <c r="I812" s="2068"/>
      <c r="J812"/>
      <c r="K81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c r="EX812"/>
      <c r="EY812"/>
      <c r="EZ812"/>
      <c r="FA812"/>
      <c r="FB812"/>
      <c r="FC812"/>
      <c r="FD812"/>
      <c r="FE812"/>
      <c r="FF812"/>
      <c r="FG812"/>
      <c r="FH812"/>
      <c r="FI812"/>
      <c r="FJ812"/>
      <c r="FK812"/>
      <c r="FL812"/>
      <c r="FM812"/>
      <c r="FN812"/>
      <c r="FO812"/>
      <c r="FP812"/>
      <c r="FQ812"/>
      <c r="FR812"/>
      <c r="FS812"/>
      <c r="FT812"/>
      <c r="FU812"/>
      <c r="FV812"/>
      <c r="FW812"/>
      <c r="FX812"/>
      <c r="FY812"/>
      <c r="FZ812"/>
      <c r="GA812"/>
      <c r="GB812"/>
      <c r="GC812"/>
      <c r="GD812"/>
      <c r="GE812"/>
      <c r="GF812"/>
      <c r="GG812"/>
      <c r="GH812"/>
      <c r="GI812"/>
      <c r="GJ812"/>
      <c r="GK812"/>
      <c r="GL812"/>
      <c r="GM812"/>
      <c r="GN812"/>
      <c r="GO812"/>
      <c r="GP812"/>
      <c r="GQ812"/>
      <c r="GR812"/>
      <c r="GS812"/>
      <c r="GT812"/>
      <c r="GU812"/>
      <c r="GV812"/>
      <c r="GW812"/>
      <c r="GX812"/>
      <c r="GY812"/>
      <c r="GZ812"/>
      <c r="HA812"/>
      <c r="HB812"/>
      <c r="HC812"/>
      <c r="HD812"/>
      <c r="HE812"/>
      <c r="HF812"/>
      <c r="HG812"/>
      <c r="HH812"/>
      <c r="HI812"/>
      <c r="HJ812"/>
      <c r="HK812"/>
      <c r="HL812"/>
      <c r="HM812"/>
      <c r="HN812"/>
      <c r="HO812"/>
      <c r="HP812"/>
      <c r="HQ812"/>
      <c r="HR812"/>
      <c r="HS812"/>
      <c r="HT812"/>
      <c r="HU812"/>
      <c r="HV812"/>
      <c r="HW812"/>
      <c r="HX812"/>
      <c r="HY812"/>
      <c r="HZ812"/>
      <c r="IA812"/>
      <c r="IB812"/>
      <c r="IC812"/>
      <c r="ID812"/>
      <c r="IE812"/>
      <c r="IF812"/>
      <c r="IG812"/>
      <c r="IH812"/>
      <c r="II812"/>
      <c r="IJ812"/>
      <c r="IK812"/>
      <c r="IL812"/>
    </row>
    <row r="813" spans="1:246" ht="12.75" customHeight="1" x14ac:dyDescent="0.2">
      <c r="A813" s="1155"/>
      <c r="B813" s="2071" t="s">
        <v>1903</v>
      </c>
      <c r="C813" s="2070">
        <f>C814+C816+C819</f>
        <v>35690000</v>
      </c>
      <c r="D813" s="2070">
        <f>D814+D816+D819</f>
        <v>35690000</v>
      </c>
      <c r="E813" s="2070">
        <f>E814+E816+E819</f>
        <v>22887000</v>
      </c>
      <c r="F813" s="2070">
        <f>F814+F816+F819</f>
        <v>34981436</v>
      </c>
      <c r="G813" s="2070">
        <f>G814+G816+G819</f>
        <v>37650000</v>
      </c>
      <c r="H813"/>
      <c r="I813" s="2068"/>
      <c r="J813"/>
      <c r="K813"/>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c r="EX813"/>
      <c r="EY813"/>
      <c r="EZ813"/>
      <c r="FA813"/>
      <c r="FB813"/>
      <c r="FC813"/>
      <c r="FD813"/>
      <c r="FE813"/>
      <c r="FF813"/>
      <c r="FG813"/>
      <c r="FH813"/>
      <c r="FI813"/>
      <c r="FJ813"/>
      <c r="FK813"/>
      <c r="FL813"/>
      <c r="FM813"/>
      <c r="FN813"/>
      <c r="FO813"/>
      <c r="FP813"/>
      <c r="FQ813"/>
      <c r="FR813"/>
      <c r="FS813"/>
      <c r="FT813"/>
      <c r="FU813"/>
      <c r="FV813"/>
      <c r="FW813"/>
      <c r="FX813"/>
      <c r="FY813"/>
      <c r="FZ813"/>
      <c r="GA813"/>
      <c r="GB813"/>
      <c r="GC813"/>
      <c r="GD813"/>
      <c r="GE813"/>
      <c r="GF813"/>
      <c r="GG813"/>
      <c r="GH813"/>
      <c r="GI813"/>
      <c r="GJ813"/>
      <c r="GK813"/>
      <c r="GL813"/>
      <c r="GM813"/>
      <c r="GN813"/>
      <c r="GO813"/>
      <c r="GP813"/>
      <c r="GQ813"/>
      <c r="GR813"/>
      <c r="GS813"/>
      <c r="GT813"/>
      <c r="GU813"/>
      <c r="GV813"/>
      <c r="GW813"/>
      <c r="GX813"/>
      <c r="GY813"/>
      <c r="GZ813"/>
      <c r="HA813"/>
      <c r="HB813"/>
      <c r="HC813"/>
      <c r="HD813"/>
      <c r="HE813"/>
      <c r="HF813"/>
      <c r="HG813"/>
      <c r="HH813"/>
      <c r="HI813"/>
      <c r="HJ813"/>
      <c r="HK813"/>
      <c r="HL813"/>
      <c r="HM813"/>
      <c r="HN813"/>
      <c r="HO813"/>
      <c r="HP813"/>
      <c r="HQ813"/>
      <c r="HR813"/>
      <c r="HS813"/>
      <c r="HT813"/>
      <c r="HU813"/>
      <c r="HV813"/>
      <c r="HW813"/>
      <c r="HX813"/>
      <c r="HY813"/>
      <c r="HZ813"/>
      <c r="IA813"/>
      <c r="IB813"/>
      <c r="IC813"/>
      <c r="ID813"/>
      <c r="IE813"/>
      <c r="IF813"/>
      <c r="IG813"/>
      <c r="IH813"/>
      <c r="II813"/>
      <c r="IJ813"/>
      <c r="IK813"/>
      <c r="IL813"/>
    </row>
    <row r="814" spans="1:246" ht="12.75" customHeight="1" x14ac:dyDescent="0.2">
      <c r="A814" s="1155"/>
      <c r="B814" s="2072" t="s">
        <v>807</v>
      </c>
      <c r="C814" s="2073">
        <f>SUM(C815:C815)</f>
        <v>790000</v>
      </c>
      <c r="D814" s="2073">
        <f>SUM(D815:D815)</f>
        <v>878036</v>
      </c>
      <c r="E814" s="2073">
        <f>SUM(E815:E815)</f>
        <v>88036</v>
      </c>
      <c r="F814" s="2073">
        <f>SUM(F815:F815)</f>
        <v>741436</v>
      </c>
      <c r="G814" s="2073">
        <f>G815</f>
        <v>0</v>
      </c>
      <c r="H814"/>
      <c r="I814" s="2068"/>
      <c r="J814"/>
      <c r="K814"/>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c r="EX814"/>
      <c r="EY814"/>
      <c r="EZ814"/>
      <c r="FA814"/>
      <c r="FB814"/>
      <c r="FC814"/>
      <c r="FD814"/>
      <c r="FE814"/>
      <c r="FF814"/>
      <c r="FG814"/>
      <c r="FH814"/>
      <c r="FI814"/>
      <c r="FJ814"/>
      <c r="FK814"/>
      <c r="FL814"/>
      <c r="FM814"/>
      <c r="FN814"/>
      <c r="FO814"/>
      <c r="FP814"/>
      <c r="FQ814"/>
      <c r="FR814"/>
      <c r="FS814"/>
      <c r="FT814"/>
      <c r="FU814"/>
      <c r="FV814"/>
      <c r="FW814"/>
      <c r="FX814"/>
      <c r="FY814"/>
      <c r="FZ814"/>
      <c r="GA814"/>
      <c r="GB814"/>
      <c r="GC814"/>
      <c r="GD814"/>
      <c r="GE814"/>
      <c r="GF814"/>
      <c r="GG814"/>
      <c r="GH814"/>
      <c r="GI814"/>
      <c r="GJ814"/>
      <c r="GK814"/>
      <c r="GL814"/>
      <c r="GM814"/>
      <c r="GN814"/>
      <c r="GO814"/>
      <c r="GP814"/>
      <c r="GQ814"/>
      <c r="GR814"/>
      <c r="GS814"/>
      <c r="GT814"/>
      <c r="GU814"/>
      <c r="GV814"/>
      <c r="GW814"/>
      <c r="GX814"/>
      <c r="GY814"/>
      <c r="GZ814"/>
      <c r="HA814"/>
      <c r="HB814"/>
      <c r="HC814"/>
      <c r="HD814"/>
      <c r="HE814"/>
      <c r="HF814"/>
      <c r="HG814"/>
      <c r="HH814"/>
      <c r="HI814"/>
      <c r="HJ814"/>
      <c r="HK814"/>
      <c r="HL814"/>
      <c r="HM814"/>
      <c r="HN814"/>
      <c r="HO814"/>
      <c r="HP814"/>
      <c r="HQ814"/>
      <c r="HR814"/>
      <c r="HS814"/>
      <c r="HT814"/>
      <c r="HU814"/>
      <c r="HV814"/>
      <c r="HW814"/>
      <c r="HX814"/>
      <c r="HY814"/>
      <c r="HZ814"/>
      <c r="IA814"/>
      <c r="IB814"/>
      <c r="IC814"/>
      <c r="ID814"/>
      <c r="IE814"/>
      <c r="IF814"/>
      <c r="IG814"/>
      <c r="IH814"/>
      <c r="II814"/>
      <c r="IJ814"/>
      <c r="IK814"/>
      <c r="IL814"/>
    </row>
    <row r="815" spans="1:246" ht="12.75" customHeight="1" x14ac:dyDescent="0.2">
      <c r="A815" s="1155"/>
      <c r="B815" s="2074" t="s">
        <v>2540</v>
      </c>
      <c r="C815" s="2075">
        <v>790000</v>
      </c>
      <c r="D815" s="2075">
        <v>878036</v>
      </c>
      <c r="E815" s="2075">
        <v>88036</v>
      </c>
      <c r="F815" s="2075">
        <v>741436</v>
      </c>
      <c r="G815" s="2075">
        <v>0</v>
      </c>
      <c r="H815"/>
      <c r="I815" s="2068"/>
      <c r="J815"/>
      <c r="K815"/>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c r="EX815"/>
      <c r="EY815"/>
      <c r="EZ815"/>
      <c r="FA815"/>
      <c r="FB815"/>
      <c r="FC815"/>
      <c r="FD815"/>
      <c r="FE815"/>
      <c r="FF815"/>
      <c r="FG815"/>
      <c r="FH815"/>
      <c r="FI815"/>
      <c r="FJ815"/>
      <c r="FK815"/>
      <c r="FL815"/>
      <c r="FM815"/>
      <c r="FN815"/>
      <c r="FO815"/>
      <c r="FP815"/>
      <c r="FQ815"/>
      <c r="FR815"/>
      <c r="FS815"/>
      <c r="FT815"/>
      <c r="FU815"/>
      <c r="FV815"/>
      <c r="FW815"/>
      <c r="FX815"/>
      <c r="FY815"/>
      <c r="FZ815"/>
      <c r="GA815"/>
      <c r="GB815"/>
      <c r="GC815"/>
      <c r="GD815"/>
      <c r="GE815"/>
      <c r="GF815"/>
      <c r="GG815"/>
      <c r="GH815"/>
      <c r="GI815"/>
      <c r="GJ815"/>
      <c r="GK815"/>
      <c r="GL815"/>
      <c r="GM815"/>
      <c r="GN815"/>
      <c r="GO815"/>
      <c r="GP815"/>
      <c r="GQ815"/>
      <c r="GR815"/>
      <c r="GS815"/>
      <c r="GT815"/>
      <c r="GU815"/>
      <c r="GV815"/>
      <c r="GW815"/>
      <c r="GX815"/>
      <c r="GY815"/>
      <c r="GZ815"/>
      <c r="HA815"/>
      <c r="HB815"/>
      <c r="HC815"/>
      <c r="HD815"/>
      <c r="HE815"/>
      <c r="HF815"/>
      <c r="HG815"/>
      <c r="HH815"/>
      <c r="HI815"/>
      <c r="HJ815"/>
      <c r="HK815"/>
      <c r="HL815"/>
      <c r="HM815"/>
      <c r="HN815"/>
      <c r="HO815"/>
      <c r="HP815"/>
      <c r="HQ815"/>
      <c r="HR815"/>
      <c r="HS815"/>
      <c r="HT815"/>
      <c r="HU815"/>
      <c r="HV815"/>
      <c r="HW815"/>
      <c r="HX815"/>
      <c r="HY815"/>
      <c r="HZ815"/>
      <c r="IA815"/>
      <c r="IB815"/>
      <c r="IC815"/>
      <c r="ID815"/>
      <c r="IE815"/>
      <c r="IF815"/>
      <c r="IG815"/>
      <c r="IH815"/>
      <c r="II815"/>
      <c r="IJ815"/>
      <c r="IK815"/>
      <c r="IL815"/>
    </row>
    <row r="816" spans="1:246" x14ac:dyDescent="0.2">
      <c r="A816" s="1155"/>
      <c r="B816" s="2076" t="s">
        <v>829</v>
      </c>
      <c r="C816" s="2077">
        <f>SUM(C818:C818)</f>
        <v>150000</v>
      </c>
      <c r="D816" s="2077">
        <f>SUM(D818:D818)</f>
        <v>150000</v>
      </c>
      <c r="E816" s="2077">
        <v>0</v>
      </c>
      <c r="F816" s="2077">
        <v>0</v>
      </c>
      <c r="G816" s="2077">
        <f>SUM(G817:G818)</f>
        <v>750000</v>
      </c>
      <c r="H816"/>
      <c r="I816" s="2068"/>
      <c r="J816"/>
      <c r="K816"/>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c r="EX816"/>
      <c r="EY816"/>
      <c r="EZ816"/>
      <c r="FA816"/>
      <c r="FB816"/>
      <c r="FC816"/>
      <c r="FD816"/>
      <c r="FE816"/>
      <c r="FF816"/>
      <c r="FG816"/>
      <c r="FH816"/>
      <c r="FI816"/>
      <c r="FJ816"/>
      <c r="FK816"/>
      <c r="FL816"/>
      <c r="FM816"/>
      <c r="FN816"/>
      <c r="FO816"/>
      <c r="FP816"/>
      <c r="FQ816"/>
      <c r="FR816"/>
      <c r="FS816"/>
      <c r="FT816"/>
      <c r="FU816"/>
      <c r="FV816"/>
      <c r="FW816"/>
      <c r="FX816"/>
      <c r="FY816"/>
      <c r="FZ816"/>
      <c r="GA816"/>
      <c r="GB816"/>
      <c r="GC816"/>
      <c r="GD816"/>
      <c r="GE816"/>
      <c r="GF816"/>
      <c r="GG816"/>
      <c r="GH816"/>
      <c r="GI816"/>
      <c r="GJ816"/>
      <c r="GK816"/>
      <c r="GL816"/>
      <c r="GM816"/>
      <c r="GN816"/>
      <c r="GO816"/>
      <c r="GP816"/>
      <c r="GQ816"/>
      <c r="GR816"/>
      <c r="GS816"/>
      <c r="GT816"/>
      <c r="GU816"/>
      <c r="GV816"/>
      <c r="GW816"/>
      <c r="GX816"/>
      <c r="GY816"/>
      <c r="GZ816"/>
      <c r="HA816"/>
      <c r="HB816"/>
      <c r="HC816"/>
      <c r="HD816"/>
      <c r="HE816"/>
      <c r="HF816"/>
      <c r="HG816"/>
      <c r="HH816"/>
      <c r="HI816"/>
      <c r="HJ816"/>
      <c r="HK816"/>
      <c r="HL816"/>
      <c r="HM816"/>
      <c r="HN816"/>
      <c r="HO816"/>
      <c r="HP816"/>
      <c r="HQ816"/>
      <c r="HR816"/>
      <c r="HS816"/>
      <c r="HT816"/>
      <c r="HU816"/>
      <c r="HV816"/>
      <c r="HW816"/>
      <c r="HX816"/>
      <c r="HY816"/>
      <c r="HZ816"/>
      <c r="IA816"/>
      <c r="IB816"/>
      <c r="IC816"/>
      <c r="ID816"/>
      <c r="IE816"/>
      <c r="IF816"/>
      <c r="IG816"/>
      <c r="IH816"/>
      <c r="II816"/>
      <c r="IJ816"/>
      <c r="IK816"/>
      <c r="IL816"/>
    </row>
    <row r="817" spans="1:246" s="1417" customFormat="1" ht="12.75" customHeight="1" x14ac:dyDescent="0.2">
      <c r="A817" s="1155"/>
      <c r="B817" s="2078" t="s">
        <v>2541</v>
      </c>
      <c r="C817" s="2075">
        <v>0</v>
      </c>
      <c r="D817" s="2075">
        <v>0</v>
      </c>
      <c r="E817" s="2075">
        <v>0</v>
      </c>
      <c r="F817" s="2075">
        <v>0</v>
      </c>
      <c r="G817" s="2075">
        <v>600000</v>
      </c>
      <c r="I817" s="2079"/>
    </row>
    <row r="818" spans="1:246" ht="12.75" customHeight="1" x14ac:dyDescent="0.2">
      <c r="A818" s="1155"/>
      <c r="B818" s="2080" t="s">
        <v>2542</v>
      </c>
      <c r="C818" s="2075">
        <v>150000</v>
      </c>
      <c r="D818" s="2075">
        <v>150000</v>
      </c>
      <c r="E818" s="2075">
        <v>0</v>
      </c>
      <c r="F818" s="2075">
        <v>0</v>
      </c>
      <c r="G818" s="2075">
        <v>150000</v>
      </c>
      <c r="H818"/>
      <c r="I818" s="2068"/>
      <c r="J818"/>
      <c r="K818"/>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c r="EX818"/>
      <c r="EY818"/>
      <c r="EZ818"/>
      <c r="FA818"/>
      <c r="FB818"/>
      <c r="FC818"/>
      <c r="FD818"/>
      <c r="FE818"/>
      <c r="FF818"/>
      <c r="FG818"/>
      <c r="FH818"/>
      <c r="FI818"/>
      <c r="FJ818"/>
      <c r="FK818"/>
      <c r="FL818"/>
      <c r="FM818"/>
      <c r="FN818"/>
      <c r="FO818"/>
      <c r="FP818"/>
      <c r="FQ818"/>
      <c r="FR818"/>
      <c r="FS818"/>
      <c r="FT818"/>
      <c r="FU818"/>
      <c r="FV818"/>
      <c r="FW818"/>
      <c r="FX818"/>
      <c r="FY818"/>
      <c r="FZ818"/>
      <c r="GA818"/>
      <c r="GB818"/>
      <c r="GC818"/>
      <c r="GD818"/>
      <c r="GE818"/>
      <c r="GF818"/>
      <c r="GG818"/>
      <c r="GH818"/>
      <c r="GI818"/>
      <c r="GJ818"/>
      <c r="GK818"/>
      <c r="GL818"/>
      <c r="GM818"/>
      <c r="GN818"/>
      <c r="GO818"/>
      <c r="GP818"/>
      <c r="GQ818"/>
      <c r="GR818"/>
      <c r="GS818"/>
      <c r="GT818"/>
      <c r="GU818"/>
      <c r="GV818"/>
      <c r="GW818"/>
      <c r="GX818"/>
      <c r="GY818"/>
      <c r="GZ818"/>
      <c r="HA818"/>
      <c r="HB818"/>
      <c r="HC818"/>
      <c r="HD818"/>
      <c r="HE818"/>
      <c r="HF818"/>
      <c r="HG818"/>
      <c r="HH818"/>
      <c r="HI818"/>
      <c r="HJ818"/>
      <c r="HK818"/>
      <c r="HL818"/>
      <c r="HM818"/>
      <c r="HN818"/>
      <c r="HO818"/>
      <c r="HP818"/>
      <c r="HQ818"/>
      <c r="HR818"/>
      <c r="HS818"/>
      <c r="HT818"/>
      <c r="HU818"/>
      <c r="HV818"/>
      <c r="HW818"/>
      <c r="HX818"/>
      <c r="HY818"/>
      <c r="HZ818"/>
      <c r="IA818"/>
      <c r="IB818"/>
      <c r="IC818"/>
      <c r="ID818"/>
      <c r="IE818"/>
      <c r="IF818"/>
      <c r="IG818"/>
      <c r="IH818"/>
      <c r="II818"/>
      <c r="IJ818"/>
      <c r="IK818"/>
      <c r="IL818"/>
    </row>
    <row r="819" spans="1:246" ht="12.75" customHeight="1" x14ac:dyDescent="0.2">
      <c r="A819" s="1155"/>
      <c r="B819" s="2081" t="s">
        <v>819</v>
      </c>
      <c r="C819" s="2082">
        <f>SUM(C820:C821)</f>
        <v>34750000</v>
      </c>
      <c r="D819" s="2082">
        <f>SUM(D820:D821)</f>
        <v>34661964</v>
      </c>
      <c r="E819" s="2082">
        <f>SUM(E820:E821)</f>
        <v>22798964</v>
      </c>
      <c r="F819" s="2082">
        <f>SUM(F820:F821)</f>
        <v>34240000</v>
      </c>
      <c r="G819" s="2082">
        <f>SUM(G820:G821)</f>
        <v>36900000</v>
      </c>
      <c r="H819"/>
      <c r="I819" s="2068"/>
      <c r="J819"/>
      <c r="K819"/>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c r="EX819"/>
      <c r="EY819"/>
      <c r="EZ819"/>
      <c r="FA819"/>
      <c r="FB819"/>
      <c r="FC819"/>
      <c r="FD819"/>
      <c r="FE819"/>
      <c r="FF819"/>
      <c r="FG819"/>
      <c r="FH819"/>
      <c r="FI819"/>
      <c r="FJ819"/>
      <c r="FK819"/>
      <c r="FL819"/>
      <c r="FM819"/>
      <c r="FN819"/>
      <c r="FO819"/>
      <c r="FP819"/>
      <c r="FQ819"/>
      <c r="FR819"/>
      <c r="FS819"/>
      <c r="FT819"/>
      <c r="FU819"/>
      <c r="FV819"/>
      <c r="FW819"/>
      <c r="FX819"/>
      <c r="FY819"/>
      <c r="FZ819"/>
      <c r="GA819"/>
      <c r="GB819"/>
      <c r="GC819"/>
      <c r="GD819"/>
      <c r="GE819"/>
      <c r="GF819"/>
      <c r="GG819"/>
      <c r="GH819"/>
      <c r="GI819"/>
      <c r="GJ819"/>
      <c r="GK819"/>
      <c r="GL819"/>
      <c r="GM819"/>
      <c r="GN819"/>
      <c r="GO819"/>
      <c r="GP819"/>
      <c r="GQ819"/>
      <c r="GR819"/>
      <c r="GS819"/>
      <c r="GT819"/>
      <c r="GU819"/>
      <c r="GV819"/>
      <c r="GW819"/>
      <c r="GX819"/>
      <c r="GY819"/>
      <c r="GZ819"/>
      <c r="HA819"/>
      <c r="HB819"/>
      <c r="HC819"/>
      <c r="HD819"/>
      <c r="HE819"/>
      <c r="HF819"/>
      <c r="HG819"/>
      <c r="HH819"/>
      <c r="HI819"/>
      <c r="HJ819"/>
      <c r="HK819"/>
      <c r="HL819"/>
      <c r="HM819"/>
      <c r="HN819"/>
      <c r="HO819"/>
      <c r="HP819"/>
      <c r="HQ819"/>
      <c r="HR819"/>
      <c r="HS819"/>
      <c r="HT819"/>
      <c r="HU819"/>
      <c r="HV819"/>
      <c r="HW819"/>
      <c r="HX819"/>
      <c r="HY819"/>
      <c r="HZ819"/>
      <c r="IA819"/>
      <c r="IB819"/>
      <c r="IC819"/>
      <c r="ID819"/>
      <c r="IE819"/>
      <c r="IF819"/>
      <c r="IG819"/>
      <c r="IH819"/>
      <c r="II819"/>
      <c r="IJ819"/>
      <c r="IK819"/>
      <c r="IL819"/>
    </row>
    <row r="820" spans="1:246" ht="12.75" customHeight="1" x14ac:dyDescent="0.2">
      <c r="A820" s="1155"/>
      <c r="B820" s="2080" t="s">
        <v>2543</v>
      </c>
      <c r="C820" s="2075">
        <v>34500000</v>
      </c>
      <c r="D820" s="2075">
        <v>34378688.850000001</v>
      </c>
      <c r="E820" s="2075">
        <v>22765688.850000001</v>
      </c>
      <c r="F820" s="2075">
        <v>34000000</v>
      </c>
      <c r="G820" s="2075">
        <v>36900000</v>
      </c>
      <c r="H820"/>
      <c r="I820" s="2068"/>
      <c r="J820"/>
      <c r="K820"/>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c r="EX820"/>
      <c r="EY820"/>
      <c r="EZ820"/>
      <c r="FA820"/>
      <c r="FB820"/>
      <c r="FC820"/>
      <c r="FD820"/>
      <c r="FE820"/>
      <c r="FF820"/>
      <c r="FG820"/>
      <c r="FH820"/>
      <c r="FI820"/>
      <c r="FJ820"/>
      <c r="FK820"/>
      <c r="FL820"/>
      <c r="FM820"/>
      <c r="FN820"/>
      <c r="FO820"/>
      <c r="FP820"/>
      <c r="FQ820"/>
      <c r="FR820"/>
      <c r="FS820"/>
      <c r="FT820"/>
      <c r="FU820"/>
      <c r="FV820"/>
      <c r="FW820"/>
      <c r="FX820"/>
      <c r="FY820"/>
      <c r="FZ820"/>
      <c r="GA820"/>
      <c r="GB820"/>
      <c r="GC820"/>
      <c r="GD820"/>
      <c r="GE820"/>
      <c r="GF820"/>
      <c r="GG820"/>
      <c r="GH820"/>
      <c r="GI820"/>
      <c r="GJ820"/>
      <c r="GK820"/>
      <c r="GL820"/>
      <c r="GM820"/>
      <c r="GN820"/>
      <c r="GO820"/>
      <c r="GP820"/>
      <c r="GQ820"/>
      <c r="GR820"/>
      <c r="GS820"/>
      <c r="GT820"/>
      <c r="GU820"/>
      <c r="GV820"/>
      <c r="GW820"/>
      <c r="GX820"/>
      <c r="GY820"/>
      <c r="GZ820"/>
      <c r="HA820"/>
      <c r="HB820"/>
      <c r="HC820"/>
      <c r="HD820"/>
      <c r="HE820"/>
      <c r="HF820"/>
      <c r="HG820"/>
      <c r="HH820"/>
      <c r="HI820"/>
      <c r="HJ820"/>
      <c r="HK820"/>
      <c r="HL820"/>
      <c r="HM820"/>
      <c r="HN820"/>
      <c r="HO820"/>
      <c r="HP820"/>
      <c r="HQ820"/>
      <c r="HR820"/>
      <c r="HS820"/>
      <c r="HT820"/>
      <c r="HU820"/>
      <c r="HV820"/>
      <c r="HW820"/>
      <c r="HX820"/>
      <c r="HY820"/>
      <c r="HZ820"/>
      <c r="IA820"/>
      <c r="IB820"/>
      <c r="IC820"/>
      <c r="ID820"/>
      <c r="IE820"/>
      <c r="IF820"/>
      <c r="IG820"/>
      <c r="IH820"/>
      <c r="II820"/>
      <c r="IJ820"/>
      <c r="IK820"/>
      <c r="IL820"/>
    </row>
    <row r="821" spans="1:246" s="98" customFormat="1" ht="12.75" customHeight="1" x14ac:dyDescent="0.2">
      <c r="A821" s="1155"/>
      <c r="B821" s="2083" t="s">
        <v>1915</v>
      </c>
      <c r="C821" s="2075">
        <v>250000</v>
      </c>
      <c r="D821" s="2075">
        <v>283275.15000000002</v>
      </c>
      <c r="E821" s="2075">
        <v>33275.15</v>
      </c>
      <c r="F821" s="2075">
        <v>240000</v>
      </c>
      <c r="G821" s="2075">
        <v>0</v>
      </c>
      <c r="I821" s="899"/>
    </row>
    <row r="822" spans="1:246" ht="12.75" customHeight="1" x14ac:dyDescent="0.2">
      <c r="A822" s="1155"/>
      <c r="B822" s="2084" t="s">
        <v>1917</v>
      </c>
      <c r="C822" s="2085">
        <f>C823+C825+C829</f>
        <v>14815000</v>
      </c>
      <c r="D822" s="2085">
        <f>D823+D825+D829</f>
        <v>14815000</v>
      </c>
      <c r="E822" s="2085">
        <f>E823+E825+E829</f>
        <v>9436364.5899999999</v>
      </c>
      <c r="F822" s="2085">
        <f>F823+F825+F829</f>
        <v>14435000</v>
      </c>
      <c r="G822" s="2085">
        <f>G823+G825+G829</f>
        <v>15310000</v>
      </c>
      <c r="H822"/>
      <c r="I822" s="2068"/>
      <c r="J822"/>
      <c r="K822"/>
      <c r="L822"/>
      <c r="M822"/>
      <c r="N822"/>
      <c r="O822"/>
      <c r="P822"/>
      <c r="Q822"/>
      <c r="R822"/>
      <c r="S822"/>
      <c r="T822"/>
      <c r="U822"/>
      <c r="V822"/>
      <c r="W822"/>
      <c r="X822"/>
      <c r="Y822"/>
      <c r="Z822"/>
      <c r="AA822"/>
      <c r="AB822"/>
      <c r="AC822"/>
      <c r="AD822"/>
      <c r="AE822"/>
      <c r="AF822"/>
      <c r="AG822"/>
      <c r="AH822"/>
      <c r="AI822"/>
      <c r="AJ822"/>
      <c r="AK822"/>
      <c r="AL822"/>
      <c r="AM822"/>
      <c r="AN822"/>
      <c r="AO822"/>
      <c r="AP822"/>
      <c r="AQ822"/>
      <c r="AR822"/>
      <c r="AS822"/>
      <c r="AT822"/>
      <c r="AU822"/>
      <c r="AV822"/>
      <c r="AW822"/>
      <c r="AX822"/>
      <c r="AY822"/>
      <c r="AZ822"/>
      <c r="BA822"/>
      <c r="BB822"/>
      <c r="BC822"/>
      <c r="BD822"/>
      <c r="BE822"/>
      <c r="BF822"/>
      <c r="BG822"/>
      <c r="BH822"/>
      <c r="BI822"/>
      <c r="BJ822"/>
      <c r="BK822"/>
      <c r="BL822"/>
      <c r="BM822"/>
      <c r="BN822"/>
      <c r="BO822"/>
      <c r="BP822"/>
      <c r="BQ822"/>
      <c r="BR822"/>
      <c r="BS822"/>
      <c r="BT822"/>
      <c r="BU822"/>
      <c r="BV822"/>
      <c r="BW822"/>
      <c r="BX822"/>
      <c r="BY822"/>
      <c r="BZ822"/>
      <c r="CA822"/>
      <c r="CB822"/>
      <c r="CC822"/>
      <c r="CD822"/>
      <c r="CE822"/>
      <c r="CF822"/>
      <c r="CG822"/>
      <c r="CH822"/>
      <c r="CI822"/>
      <c r="CJ822"/>
      <c r="CK822"/>
      <c r="CL822"/>
      <c r="CM822"/>
      <c r="CN822"/>
      <c r="CO822"/>
      <c r="CP822"/>
      <c r="CQ822"/>
      <c r="CR822"/>
      <c r="CS822"/>
      <c r="CT822"/>
      <c r="CU822"/>
      <c r="CV822"/>
      <c r="CW822"/>
      <c r="CX822"/>
      <c r="CY822"/>
      <c r="CZ822"/>
      <c r="DA822"/>
      <c r="DB822"/>
      <c r="DC822"/>
      <c r="DD822"/>
      <c r="DE822"/>
      <c r="DF822"/>
      <c r="DG822"/>
      <c r="DH822"/>
      <c r="DI822"/>
      <c r="DJ822"/>
      <c r="DK822"/>
      <c r="DL822"/>
      <c r="DM822"/>
      <c r="DN822"/>
      <c r="DO822"/>
      <c r="DP822"/>
      <c r="DQ822"/>
      <c r="DR822"/>
      <c r="DS822"/>
      <c r="DT822"/>
      <c r="DU822"/>
      <c r="DV822"/>
      <c r="DW822"/>
      <c r="DX822"/>
      <c r="DY822"/>
      <c r="DZ822"/>
      <c r="EA822"/>
      <c r="EB822"/>
      <c r="EC822"/>
      <c r="ED822"/>
      <c r="EE822"/>
      <c r="EF822"/>
      <c r="EG822"/>
      <c r="EH822"/>
      <c r="EI822"/>
      <c r="EJ822"/>
      <c r="EK822"/>
      <c r="EL822"/>
      <c r="EM822"/>
      <c r="EN822"/>
      <c r="EO822"/>
      <c r="EP822"/>
      <c r="EQ822"/>
      <c r="ER822"/>
      <c r="ES822"/>
      <c r="ET822"/>
      <c r="EU822"/>
      <c r="EV822"/>
      <c r="EW822"/>
      <c r="EX822"/>
      <c r="EY822"/>
      <c r="EZ822"/>
      <c r="FA822"/>
      <c r="FB822"/>
      <c r="FC822"/>
      <c r="FD822"/>
      <c r="FE822"/>
      <c r="FF822"/>
      <c r="FG822"/>
      <c r="FH822"/>
      <c r="FI822"/>
      <c r="FJ822"/>
      <c r="FK822"/>
      <c r="FL822"/>
      <c r="FM822"/>
      <c r="FN822"/>
      <c r="FO822"/>
      <c r="FP822"/>
      <c r="FQ822"/>
      <c r="FR822"/>
      <c r="FS822"/>
      <c r="FT822"/>
      <c r="FU822"/>
      <c r="FV822"/>
      <c r="FW822"/>
      <c r="FX822"/>
      <c r="FY822"/>
      <c r="FZ822"/>
      <c r="GA822"/>
      <c r="GB822"/>
      <c r="GC822"/>
      <c r="GD822"/>
      <c r="GE822"/>
      <c r="GF822"/>
      <c r="GG822"/>
      <c r="GH822"/>
      <c r="GI822"/>
      <c r="GJ822"/>
      <c r="GK822"/>
      <c r="GL822"/>
      <c r="GM822"/>
      <c r="GN822"/>
      <c r="GO822"/>
      <c r="GP822"/>
      <c r="GQ822"/>
      <c r="GR822"/>
      <c r="GS822"/>
      <c r="GT822"/>
      <c r="GU822"/>
      <c r="GV822"/>
      <c r="GW822"/>
      <c r="GX822"/>
      <c r="GY822"/>
      <c r="GZ822"/>
      <c r="HA822"/>
      <c r="HB822"/>
      <c r="HC822"/>
      <c r="HD822"/>
      <c r="HE822"/>
      <c r="HF822"/>
      <c r="HG822"/>
      <c r="HH822"/>
      <c r="HI822"/>
      <c r="HJ822"/>
      <c r="HK822"/>
      <c r="HL822"/>
      <c r="HM822"/>
      <c r="HN822"/>
      <c r="HO822"/>
      <c r="HP822"/>
      <c r="HQ822"/>
      <c r="HR822"/>
      <c r="HS822"/>
      <c r="HT822"/>
      <c r="HU822"/>
      <c r="HV822"/>
      <c r="HW822"/>
      <c r="HX822"/>
      <c r="HY822"/>
      <c r="HZ822"/>
      <c r="IA822"/>
      <c r="IB822"/>
      <c r="IC822"/>
      <c r="ID822"/>
      <c r="IE822"/>
      <c r="IF822"/>
      <c r="IG822"/>
      <c r="IH822"/>
      <c r="II822"/>
      <c r="IJ822"/>
      <c r="IK822"/>
      <c r="IL822"/>
    </row>
    <row r="823" spans="1:246" ht="12.75" customHeight="1" x14ac:dyDescent="0.2">
      <c r="A823" s="2086"/>
      <c r="B823" s="2087" t="s">
        <v>807</v>
      </c>
      <c r="C823" s="2082">
        <f>C824</f>
        <v>0</v>
      </c>
      <c r="D823" s="2082">
        <f>D824</f>
        <v>0</v>
      </c>
      <c r="E823" s="2082">
        <f>E824</f>
        <v>0</v>
      </c>
      <c r="F823" s="2082">
        <f>F824</f>
        <v>0</v>
      </c>
      <c r="G823" s="2082">
        <f>G824</f>
        <v>170000</v>
      </c>
      <c r="H823"/>
      <c r="I823" s="2068"/>
      <c r="J823"/>
      <c r="K823"/>
      <c r="L823"/>
      <c r="M823"/>
      <c r="N82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c r="EX823"/>
      <c r="EY823"/>
      <c r="EZ823"/>
      <c r="FA823"/>
      <c r="FB823"/>
      <c r="FC823"/>
      <c r="FD823"/>
      <c r="FE823"/>
      <c r="FF823"/>
      <c r="FG823"/>
      <c r="FH823"/>
      <c r="FI823"/>
      <c r="FJ823"/>
      <c r="FK823"/>
      <c r="FL823"/>
      <c r="FM823"/>
      <c r="FN823"/>
      <c r="FO823"/>
      <c r="FP823"/>
      <c r="FQ823"/>
      <c r="FR823"/>
      <c r="FS823"/>
      <c r="FT823"/>
      <c r="FU823"/>
      <c r="FV823"/>
      <c r="FW823"/>
      <c r="FX823"/>
      <c r="FY823"/>
      <c r="FZ823"/>
      <c r="GA823"/>
      <c r="GB823"/>
      <c r="GC823"/>
      <c r="GD823"/>
      <c r="GE823"/>
      <c r="GF823"/>
      <c r="GG823"/>
      <c r="GH823"/>
      <c r="GI823"/>
      <c r="GJ823"/>
      <c r="GK823"/>
      <c r="GL823"/>
      <c r="GM823"/>
      <c r="GN823"/>
      <c r="GO823"/>
      <c r="GP823"/>
      <c r="GQ823"/>
      <c r="GR823"/>
      <c r="GS823"/>
      <c r="GT823"/>
      <c r="GU823"/>
      <c r="GV823"/>
      <c r="GW823"/>
      <c r="GX823"/>
      <c r="GY823"/>
      <c r="GZ823"/>
      <c r="HA823"/>
      <c r="HB823"/>
      <c r="HC823"/>
      <c r="HD823"/>
      <c r="HE823"/>
      <c r="HF823"/>
      <c r="HG823"/>
      <c r="HH823"/>
      <c r="HI823"/>
      <c r="HJ823"/>
      <c r="HK823"/>
      <c r="HL823"/>
      <c r="HM823"/>
      <c r="HN823"/>
      <c r="HO823"/>
      <c r="HP823"/>
      <c r="HQ823"/>
      <c r="HR823"/>
      <c r="HS823"/>
      <c r="HT823"/>
      <c r="HU823"/>
      <c r="HV823"/>
      <c r="HW823"/>
      <c r="HX823"/>
      <c r="HY823"/>
      <c r="HZ823"/>
      <c r="IA823"/>
      <c r="IB823"/>
      <c r="IC823"/>
      <c r="ID823"/>
      <c r="IE823"/>
      <c r="IF823"/>
      <c r="IG823"/>
      <c r="IH823"/>
      <c r="II823"/>
      <c r="IJ823"/>
      <c r="IK823"/>
      <c r="IL823"/>
    </row>
    <row r="824" spans="1:246" ht="12.75" customHeight="1" x14ac:dyDescent="0.2">
      <c r="A824" s="2086"/>
      <c r="B824" s="2088" t="s">
        <v>2544</v>
      </c>
      <c r="C824" s="1809">
        <v>0</v>
      </c>
      <c r="D824" s="1809">
        <v>0</v>
      </c>
      <c r="E824" s="1809">
        <v>0</v>
      </c>
      <c r="F824" s="1809">
        <v>0</v>
      </c>
      <c r="G824" s="1781">
        <v>170000</v>
      </c>
      <c r="H824"/>
      <c r="I824" s="2068"/>
      <c r="J824"/>
      <c r="K824"/>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c r="EX824"/>
      <c r="EY824"/>
      <c r="EZ824"/>
      <c r="FA824"/>
      <c r="FB824"/>
      <c r="FC824"/>
      <c r="FD824"/>
      <c r="FE824"/>
      <c r="FF824"/>
      <c r="FG824"/>
      <c r="FH824"/>
      <c r="FI824"/>
      <c r="FJ824"/>
      <c r="FK824"/>
      <c r="FL824"/>
      <c r="FM824"/>
      <c r="FN824"/>
      <c r="FO824"/>
      <c r="FP824"/>
      <c r="FQ824"/>
      <c r="FR824"/>
      <c r="FS824"/>
      <c r="FT824"/>
      <c r="FU824"/>
      <c r="FV824"/>
      <c r="FW824"/>
      <c r="FX824"/>
      <c r="FY824"/>
      <c r="FZ824"/>
      <c r="GA824"/>
      <c r="GB824"/>
      <c r="GC824"/>
      <c r="GD824"/>
      <c r="GE824"/>
      <c r="GF824"/>
      <c r="GG824"/>
      <c r="GH824"/>
      <c r="GI824"/>
      <c r="GJ824"/>
      <c r="GK824"/>
      <c r="GL824"/>
      <c r="GM824"/>
      <c r="GN824"/>
      <c r="GO824"/>
      <c r="GP824"/>
      <c r="GQ824"/>
      <c r="GR824"/>
      <c r="GS824"/>
      <c r="GT824"/>
      <c r="GU824"/>
      <c r="GV824"/>
      <c r="GW824"/>
      <c r="GX824"/>
      <c r="GY824"/>
      <c r="GZ824"/>
      <c r="HA824"/>
      <c r="HB824"/>
      <c r="HC824"/>
      <c r="HD824"/>
      <c r="HE824"/>
      <c r="HF824"/>
      <c r="HG824"/>
      <c r="HH824"/>
      <c r="HI824"/>
      <c r="HJ824"/>
      <c r="HK824"/>
      <c r="HL824"/>
      <c r="HM824"/>
      <c r="HN824"/>
      <c r="HO824"/>
      <c r="HP824"/>
      <c r="HQ824"/>
      <c r="HR824"/>
      <c r="HS824"/>
      <c r="HT824"/>
      <c r="HU824"/>
      <c r="HV824"/>
      <c r="HW824"/>
      <c r="HX824"/>
      <c r="HY824"/>
      <c r="HZ824"/>
      <c r="IA824"/>
      <c r="IB824"/>
      <c r="IC824"/>
      <c r="ID824"/>
      <c r="IE824"/>
      <c r="IF824"/>
      <c r="IG824"/>
      <c r="IH824"/>
      <c r="II824"/>
      <c r="IJ824"/>
      <c r="IK824"/>
      <c r="IL824"/>
    </row>
    <row r="825" spans="1:246" s="98" customFormat="1" ht="12.75" customHeight="1" x14ac:dyDescent="0.2">
      <c r="A825" s="2086"/>
      <c r="B825" s="2087" t="s">
        <v>819</v>
      </c>
      <c r="C825" s="2089">
        <f>SUM(C826:C828)</f>
        <v>14050000</v>
      </c>
      <c r="D825" s="2089">
        <f>SUM(D826:D828)</f>
        <v>14050000</v>
      </c>
      <c r="E825" s="2089">
        <f>SUM(E826:E828)</f>
        <v>9436364.5899999999</v>
      </c>
      <c r="F825" s="2089">
        <f>SUM(F826:F828)</f>
        <v>13820000</v>
      </c>
      <c r="G825" s="2089">
        <f>SUM(G826:G828)</f>
        <v>14550000</v>
      </c>
      <c r="I825" s="899"/>
    </row>
    <row r="826" spans="1:246" ht="12.75" customHeight="1" x14ac:dyDescent="0.2">
      <c r="A826" s="2086"/>
      <c r="B826" s="2080" t="s">
        <v>1920</v>
      </c>
      <c r="C826" s="2075">
        <v>14000000</v>
      </c>
      <c r="D826" s="2075">
        <v>13989567</v>
      </c>
      <c r="E826" s="2075">
        <v>9425931.5899999999</v>
      </c>
      <c r="F826" s="2075">
        <v>13800000</v>
      </c>
      <c r="G826" s="2075">
        <v>14500000</v>
      </c>
      <c r="H826"/>
      <c r="I826" s="2068"/>
      <c r="J826"/>
      <c r="K826"/>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c r="EX826"/>
      <c r="EY826"/>
      <c r="EZ826"/>
      <c r="FA826"/>
      <c r="FB826"/>
      <c r="FC826"/>
      <c r="FD826"/>
      <c r="FE826"/>
      <c r="FF826"/>
      <c r="FG826"/>
      <c r="FH826"/>
      <c r="FI826"/>
      <c r="FJ826"/>
      <c r="FK826"/>
      <c r="FL826"/>
      <c r="FM826"/>
      <c r="FN826"/>
      <c r="FO826"/>
      <c r="FP826"/>
      <c r="FQ826"/>
      <c r="FR826"/>
      <c r="FS826"/>
      <c r="FT826"/>
      <c r="FU826"/>
      <c r="FV826"/>
      <c r="FW826"/>
      <c r="FX826"/>
      <c r="FY826"/>
      <c r="FZ826"/>
      <c r="GA826"/>
      <c r="GB826"/>
      <c r="GC826"/>
      <c r="GD826"/>
      <c r="GE826"/>
      <c r="GF826"/>
      <c r="GG826"/>
      <c r="GH826"/>
      <c r="GI826"/>
      <c r="GJ826"/>
      <c r="GK826"/>
      <c r="GL826"/>
      <c r="GM826"/>
      <c r="GN826"/>
      <c r="GO826"/>
      <c r="GP826"/>
      <c r="GQ826"/>
      <c r="GR826"/>
      <c r="GS826"/>
      <c r="GT826"/>
      <c r="GU826"/>
      <c r="GV826"/>
      <c r="GW826"/>
      <c r="GX826"/>
      <c r="GY826"/>
      <c r="GZ826"/>
      <c r="HA826"/>
      <c r="HB826"/>
      <c r="HC826"/>
      <c r="HD826"/>
      <c r="HE826"/>
      <c r="HF826"/>
      <c r="HG826"/>
      <c r="HH826"/>
      <c r="HI826"/>
      <c r="HJ826"/>
      <c r="HK826"/>
      <c r="HL826"/>
      <c r="HM826"/>
      <c r="HN826"/>
      <c r="HO826"/>
      <c r="HP826"/>
      <c r="HQ826"/>
      <c r="HR826"/>
      <c r="HS826"/>
      <c r="HT826"/>
      <c r="HU826"/>
      <c r="HV826"/>
      <c r="HW826"/>
      <c r="HX826"/>
      <c r="HY826"/>
      <c r="HZ826"/>
      <c r="IA826"/>
      <c r="IB826"/>
      <c r="IC826"/>
      <c r="ID826"/>
      <c r="IE826"/>
      <c r="IF826"/>
      <c r="IG826"/>
      <c r="IH826"/>
      <c r="II826"/>
      <c r="IJ826"/>
      <c r="IK826"/>
      <c r="IL826"/>
    </row>
    <row r="827" spans="1:246" ht="12.75" customHeight="1" x14ac:dyDescent="0.2">
      <c r="A827" s="2086"/>
      <c r="B827" s="2078" t="s">
        <v>2545</v>
      </c>
      <c r="C827" s="2075">
        <v>0</v>
      </c>
      <c r="D827" s="2075">
        <v>10433</v>
      </c>
      <c r="E827" s="2075">
        <v>10433</v>
      </c>
      <c r="F827" s="2075">
        <v>20000</v>
      </c>
      <c r="G827" s="2075">
        <v>0</v>
      </c>
      <c r="H827"/>
      <c r="I827" s="2068"/>
      <c r="J827"/>
      <c r="K827"/>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c r="EX827"/>
      <c r="EY827"/>
      <c r="EZ827"/>
      <c r="FA827"/>
      <c r="FB827"/>
      <c r="FC827"/>
      <c r="FD827"/>
      <c r="FE827"/>
      <c r="FF827"/>
      <c r="FG827"/>
      <c r="FH827"/>
      <c r="FI827"/>
      <c r="FJ827"/>
      <c r="FK827"/>
      <c r="FL827"/>
      <c r="FM827"/>
      <c r="FN827"/>
      <c r="FO827"/>
      <c r="FP827"/>
      <c r="FQ827"/>
      <c r="FR827"/>
      <c r="FS827"/>
      <c r="FT827"/>
      <c r="FU827"/>
      <c r="FV827"/>
      <c r="FW827"/>
      <c r="FX827"/>
      <c r="FY827"/>
      <c r="FZ827"/>
      <c r="GA827"/>
      <c r="GB827"/>
      <c r="GC827"/>
      <c r="GD827"/>
      <c r="GE827"/>
      <c r="GF827"/>
      <c r="GG827"/>
      <c r="GH827"/>
      <c r="GI827"/>
      <c r="GJ827"/>
      <c r="GK827"/>
      <c r="GL827"/>
      <c r="GM827"/>
      <c r="GN827"/>
      <c r="GO827"/>
      <c r="GP827"/>
      <c r="GQ827"/>
      <c r="GR827"/>
      <c r="GS827"/>
      <c r="GT827"/>
      <c r="GU827"/>
      <c r="GV827"/>
      <c r="GW827"/>
      <c r="GX827"/>
      <c r="GY827"/>
      <c r="GZ827"/>
      <c r="HA827"/>
      <c r="HB827"/>
      <c r="HC827"/>
      <c r="HD827"/>
      <c r="HE827"/>
      <c r="HF827"/>
      <c r="HG827"/>
      <c r="HH827"/>
      <c r="HI827"/>
      <c r="HJ827"/>
      <c r="HK827"/>
      <c r="HL827"/>
      <c r="HM827"/>
      <c r="HN827"/>
      <c r="HO827"/>
      <c r="HP827"/>
      <c r="HQ827"/>
      <c r="HR827"/>
      <c r="HS827"/>
      <c r="HT827"/>
      <c r="HU827"/>
      <c r="HV827"/>
      <c r="HW827"/>
      <c r="HX827"/>
      <c r="HY827"/>
      <c r="HZ827"/>
      <c r="IA827"/>
      <c r="IB827"/>
      <c r="IC827"/>
      <c r="ID827"/>
      <c r="IE827"/>
      <c r="IF827"/>
      <c r="IG827"/>
      <c r="IH827"/>
      <c r="II827"/>
      <c r="IJ827"/>
      <c r="IK827"/>
      <c r="IL827"/>
    </row>
    <row r="828" spans="1:246" ht="12.75" customHeight="1" x14ac:dyDescent="0.2">
      <c r="A828" s="2086"/>
      <c r="B828" s="2090" t="s">
        <v>1921</v>
      </c>
      <c r="C828" s="2075">
        <v>50000</v>
      </c>
      <c r="D828" s="2075">
        <v>50000</v>
      </c>
      <c r="E828" s="2075">
        <v>0</v>
      </c>
      <c r="F828" s="2075">
        <v>0</v>
      </c>
      <c r="G828" s="2075">
        <v>50000</v>
      </c>
      <c r="H828"/>
      <c r="I828" s="2068"/>
      <c r="J828"/>
      <c r="K828"/>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c r="EX828"/>
      <c r="EY828"/>
      <c r="EZ828"/>
      <c r="FA828"/>
      <c r="FB828"/>
      <c r="FC828"/>
      <c r="FD828"/>
      <c r="FE828"/>
      <c r="FF828"/>
      <c r="FG828"/>
      <c r="FH828"/>
      <c r="FI828"/>
      <c r="FJ828"/>
      <c r="FK828"/>
      <c r="FL828"/>
      <c r="FM828"/>
      <c r="FN828"/>
      <c r="FO828"/>
      <c r="FP828"/>
      <c r="FQ828"/>
      <c r="FR828"/>
      <c r="FS828"/>
      <c r="FT828"/>
      <c r="FU828"/>
      <c r="FV828"/>
      <c r="FW828"/>
      <c r="FX828"/>
      <c r="FY828"/>
      <c r="FZ828"/>
      <c r="GA828"/>
      <c r="GB828"/>
      <c r="GC828"/>
      <c r="GD828"/>
      <c r="GE828"/>
      <c r="GF828"/>
      <c r="GG828"/>
      <c r="GH828"/>
      <c r="GI828"/>
      <c r="GJ828"/>
      <c r="GK828"/>
      <c r="GL828"/>
      <c r="GM828"/>
      <c r="GN828"/>
      <c r="GO828"/>
      <c r="GP828"/>
      <c r="GQ828"/>
      <c r="GR828"/>
      <c r="GS828"/>
      <c r="GT828"/>
      <c r="GU828"/>
      <c r="GV828"/>
      <c r="GW828"/>
      <c r="GX828"/>
      <c r="GY828"/>
      <c r="GZ828"/>
      <c r="HA828"/>
      <c r="HB828"/>
      <c r="HC828"/>
      <c r="HD828"/>
      <c r="HE828"/>
      <c r="HF828"/>
      <c r="HG828"/>
      <c r="HH828"/>
      <c r="HI828"/>
      <c r="HJ828"/>
      <c r="HK828"/>
      <c r="HL828"/>
      <c r="HM828"/>
      <c r="HN828"/>
      <c r="HO828"/>
      <c r="HP828"/>
      <c r="HQ828"/>
      <c r="HR828"/>
      <c r="HS828"/>
      <c r="HT828"/>
      <c r="HU828"/>
      <c r="HV828"/>
      <c r="HW828"/>
      <c r="HX828"/>
      <c r="HY828"/>
      <c r="HZ828"/>
      <c r="IA828"/>
      <c r="IB828"/>
      <c r="IC828"/>
      <c r="ID828"/>
      <c r="IE828"/>
      <c r="IF828"/>
      <c r="IG828"/>
      <c r="IH828"/>
      <c r="II828"/>
      <c r="IJ828"/>
      <c r="IK828"/>
      <c r="IL828"/>
    </row>
    <row r="829" spans="1:246" x14ac:dyDescent="0.2">
      <c r="A829" s="2091"/>
      <c r="B829" s="2092" t="s">
        <v>829</v>
      </c>
      <c r="C829" s="2093">
        <f>SUM(C830:C831)</f>
        <v>765000</v>
      </c>
      <c r="D829" s="2093">
        <f>SUM(D830:D831)</f>
        <v>765000</v>
      </c>
      <c r="E829" s="2093">
        <f>SUM(E830:E831)</f>
        <v>0</v>
      </c>
      <c r="F829" s="2093">
        <f>SUM(F830:F831)</f>
        <v>615000</v>
      </c>
      <c r="G829" s="2093">
        <f>SUM(G830:G832)</f>
        <v>590000</v>
      </c>
      <c r="H829"/>
      <c r="I829" s="2068"/>
      <c r="J829"/>
      <c r="K829"/>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c r="EX829"/>
      <c r="EY829"/>
      <c r="EZ829"/>
      <c r="FA829"/>
      <c r="FB829"/>
      <c r="FC829"/>
      <c r="FD829"/>
      <c r="FE829"/>
      <c r="FF829"/>
      <c r="FG829"/>
      <c r="FH829"/>
      <c r="FI829"/>
      <c r="FJ829"/>
      <c r="FK829"/>
      <c r="FL829"/>
      <c r="FM829"/>
      <c r="FN829"/>
      <c r="FO829"/>
      <c r="FP829"/>
      <c r="FQ829"/>
      <c r="FR829"/>
      <c r="FS829"/>
      <c r="FT829"/>
      <c r="FU829"/>
      <c r="FV829"/>
      <c r="FW829"/>
      <c r="FX829"/>
      <c r="FY829"/>
      <c r="FZ829"/>
      <c r="GA829"/>
      <c r="GB829"/>
      <c r="GC829"/>
      <c r="GD829"/>
      <c r="GE829"/>
      <c r="GF829"/>
      <c r="GG829"/>
      <c r="GH829"/>
      <c r="GI829"/>
      <c r="GJ829"/>
      <c r="GK829"/>
      <c r="GL829"/>
      <c r="GM829"/>
      <c r="GN829"/>
      <c r="GO829"/>
      <c r="GP829"/>
      <c r="GQ829"/>
      <c r="GR829"/>
      <c r="GS829"/>
      <c r="GT829"/>
      <c r="GU829"/>
      <c r="GV829"/>
      <c r="GW829"/>
      <c r="GX829"/>
      <c r="GY829"/>
      <c r="GZ829"/>
      <c r="HA829"/>
      <c r="HB829"/>
      <c r="HC829"/>
      <c r="HD829"/>
      <c r="HE829"/>
      <c r="HF829"/>
      <c r="HG829"/>
      <c r="HH829"/>
      <c r="HI829"/>
      <c r="HJ829"/>
      <c r="HK829"/>
      <c r="HL829"/>
      <c r="HM829"/>
      <c r="HN829"/>
      <c r="HO829"/>
      <c r="HP829"/>
      <c r="HQ829"/>
      <c r="HR829"/>
      <c r="HS829"/>
      <c r="HT829"/>
      <c r="HU829"/>
      <c r="HV829"/>
      <c r="HW829"/>
      <c r="HX829"/>
      <c r="HY829"/>
      <c r="HZ829"/>
      <c r="IA829"/>
      <c r="IB829"/>
      <c r="IC829"/>
      <c r="ID829"/>
      <c r="IE829"/>
      <c r="IF829"/>
      <c r="IG829"/>
      <c r="IH829"/>
      <c r="II829"/>
      <c r="IJ829"/>
      <c r="IK829"/>
      <c r="IL829"/>
    </row>
    <row r="830" spans="1:246" ht="12.75" customHeight="1" x14ac:dyDescent="0.2">
      <c r="A830" s="2086"/>
      <c r="B830" s="2088" t="s">
        <v>2546</v>
      </c>
      <c r="C830" s="2094">
        <v>150000</v>
      </c>
      <c r="D830" s="2094">
        <v>150000</v>
      </c>
      <c r="E830" s="2094">
        <v>0</v>
      </c>
      <c r="F830" s="2094">
        <v>0</v>
      </c>
      <c r="G830" s="2075">
        <v>150000</v>
      </c>
      <c r="H830"/>
      <c r="I830" s="2068"/>
      <c r="J830"/>
      <c r="K830"/>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c r="EX830"/>
      <c r="EY830"/>
      <c r="EZ830"/>
      <c r="FA830"/>
      <c r="FB830"/>
      <c r="FC830"/>
      <c r="FD830"/>
      <c r="FE830"/>
      <c r="FF830"/>
      <c r="FG830"/>
      <c r="FH830"/>
      <c r="FI830"/>
      <c r="FJ830"/>
      <c r="FK830"/>
      <c r="FL830"/>
      <c r="FM830"/>
      <c r="FN830"/>
      <c r="FO830"/>
      <c r="FP830"/>
      <c r="FQ830"/>
      <c r="FR830"/>
      <c r="FS830"/>
      <c r="FT830"/>
      <c r="FU830"/>
      <c r="FV830"/>
      <c r="FW830"/>
      <c r="FX830"/>
      <c r="FY830"/>
      <c r="FZ830"/>
      <c r="GA830"/>
      <c r="GB830"/>
      <c r="GC830"/>
      <c r="GD830"/>
      <c r="GE830"/>
      <c r="GF830"/>
      <c r="GG830"/>
      <c r="GH830"/>
      <c r="GI830"/>
      <c r="GJ830"/>
      <c r="GK830"/>
      <c r="GL830"/>
      <c r="GM830"/>
      <c r="GN830"/>
      <c r="GO830"/>
      <c r="GP830"/>
      <c r="GQ830"/>
      <c r="GR830"/>
      <c r="GS830"/>
      <c r="GT830"/>
      <c r="GU830"/>
      <c r="GV830"/>
      <c r="GW830"/>
      <c r="GX830"/>
      <c r="GY830"/>
      <c r="GZ830"/>
      <c r="HA830"/>
      <c r="HB830"/>
      <c r="HC830"/>
      <c r="HD830"/>
      <c r="HE830"/>
      <c r="HF830"/>
      <c r="HG830"/>
      <c r="HH830"/>
      <c r="HI830"/>
      <c r="HJ830"/>
      <c r="HK830"/>
      <c r="HL830"/>
      <c r="HM830"/>
      <c r="HN830"/>
      <c r="HO830"/>
      <c r="HP830"/>
      <c r="HQ830"/>
      <c r="HR830"/>
      <c r="HS830"/>
      <c r="HT830"/>
      <c r="HU830"/>
      <c r="HV830"/>
      <c r="HW830"/>
      <c r="HX830"/>
      <c r="HY830"/>
      <c r="HZ830"/>
      <c r="IA830"/>
      <c r="IB830"/>
      <c r="IC830"/>
      <c r="ID830"/>
      <c r="IE830"/>
      <c r="IF830"/>
      <c r="IG830"/>
      <c r="IH830"/>
      <c r="II830"/>
      <c r="IJ830"/>
      <c r="IK830"/>
      <c r="IL830"/>
    </row>
    <row r="831" spans="1:246" ht="12.75" customHeight="1" x14ac:dyDescent="0.2">
      <c r="A831" s="2086"/>
      <c r="B831" s="2080" t="s">
        <v>1923</v>
      </c>
      <c r="C831" s="2075">
        <v>615000</v>
      </c>
      <c r="D831" s="2075">
        <v>615000</v>
      </c>
      <c r="E831" s="2075">
        <v>0</v>
      </c>
      <c r="F831" s="2075">
        <v>615000</v>
      </c>
      <c r="G831" s="2075">
        <v>0</v>
      </c>
      <c r="H831"/>
      <c r="I831" s="2068"/>
      <c r="J831"/>
      <c r="K831"/>
      <c r="L831"/>
      <c r="M831"/>
      <c r="N831"/>
      <c r="O831"/>
      <c r="P831"/>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c r="EB831"/>
      <c r="EC831"/>
      <c r="ED831"/>
      <c r="EE831"/>
      <c r="EF831"/>
      <c r="EG831"/>
      <c r="EH831"/>
      <c r="EI831"/>
      <c r="EJ831"/>
      <c r="EK831"/>
      <c r="EL831"/>
      <c r="EM831"/>
      <c r="EN831"/>
      <c r="EO831"/>
      <c r="EP831"/>
      <c r="EQ831"/>
      <c r="ER831"/>
      <c r="ES831"/>
      <c r="ET831"/>
      <c r="EU831"/>
      <c r="EV831"/>
      <c r="EW831"/>
      <c r="EX831"/>
      <c r="EY831"/>
      <c r="EZ831"/>
      <c r="FA831"/>
      <c r="FB831"/>
      <c r="FC831"/>
      <c r="FD831"/>
      <c r="FE831"/>
      <c r="FF831"/>
      <c r="FG831"/>
      <c r="FH831"/>
      <c r="FI831"/>
      <c r="FJ831"/>
      <c r="FK831"/>
      <c r="FL831"/>
      <c r="FM831"/>
      <c r="FN831"/>
      <c r="FO831"/>
      <c r="FP831"/>
      <c r="FQ831"/>
      <c r="FR831"/>
      <c r="FS831"/>
      <c r="FT831"/>
      <c r="FU831"/>
      <c r="FV831"/>
      <c r="FW831"/>
      <c r="FX831"/>
      <c r="FY831"/>
      <c r="FZ831"/>
      <c r="GA831"/>
      <c r="GB831"/>
      <c r="GC831"/>
      <c r="GD831"/>
      <c r="GE831"/>
      <c r="GF831"/>
      <c r="GG831"/>
      <c r="GH831"/>
      <c r="GI831"/>
      <c r="GJ831"/>
      <c r="GK831"/>
      <c r="GL831"/>
      <c r="GM831"/>
      <c r="GN831"/>
      <c r="GO831"/>
      <c r="GP831"/>
      <c r="GQ831"/>
      <c r="GR831"/>
      <c r="GS831"/>
      <c r="GT831"/>
      <c r="GU831"/>
      <c r="GV831"/>
      <c r="GW831"/>
      <c r="GX831"/>
      <c r="GY831"/>
      <c r="GZ831"/>
      <c r="HA831"/>
      <c r="HB831"/>
      <c r="HC831"/>
      <c r="HD831"/>
      <c r="HE831"/>
      <c r="HF831"/>
      <c r="HG831"/>
      <c r="HH831"/>
      <c r="HI831"/>
      <c r="HJ831"/>
      <c r="HK831"/>
      <c r="HL831"/>
      <c r="HM831"/>
      <c r="HN831"/>
      <c r="HO831"/>
      <c r="HP831"/>
      <c r="HQ831"/>
      <c r="HR831"/>
      <c r="HS831"/>
      <c r="HT831"/>
      <c r="HU831"/>
      <c r="HV831"/>
      <c r="HW831"/>
      <c r="HX831"/>
      <c r="HY831"/>
      <c r="HZ831"/>
      <c r="IA831"/>
      <c r="IB831"/>
      <c r="IC831"/>
      <c r="ID831"/>
      <c r="IE831"/>
      <c r="IF831"/>
      <c r="IG831"/>
      <c r="IH831"/>
      <c r="II831"/>
      <c r="IJ831"/>
      <c r="IK831"/>
      <c r="IL831"/>
    </row>
    <row r="832" spans="1:246" ht="12.75" customHeight="1" x14ac:dyDescent="0.2">
      <c r="A832" s="2086"/>
      <c r="B832" s="2080" t="s">
        <v>2547</v>
      </c>
      <c r="C832" s="2075">
        <v>0</v>
      </c>
      <c r="D832" s="2075">
        <v>0</v>
      </c>
      <c r="E832" s="2075">
        <v>0</v>
      </c>
      <c r="F832" s="2075">
        <v>0</v>
      </c>
      <c r="G832" s="854">
        <v>440000</v>
      </c>
      <c r="H832"/>
      <c r="I832" s="2068"/>
      <c r="J832"/>
      <c r="K832"/>
      <c r="L832"/>
      <c r="M832"/>
      <c r="N832"/>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c r="EX832"/>
      <c r="EY832"/>
      <c r="EZ832"/>
      <c r="FA832"/>
      <c r="FB832"/>
      <c r="FC832"/>
      <c r="FD832"/>
      <c r="FE832"/>
      <c r="FF832"/>
      <c r="FG832"/>
      <c r="FH832"/>
      <c r="FI832"/>
      <c r="FJ832"/>
      <c r="FK832"/>
      <c r="FL832"/>
      <c r="FM832"/>
      <c r="FN832"/>
      <c r="FO832"/>
      <c r="FP832"/>
      <c r="FQ832"/>
      <c r="FR832"/>
      <c r="FS832"/>
      <c r="FT832"/>
      <c r="FU832"/>
      <c r="FV832"/>
      <c r="FW832"/>
      <c r="FX832"/>
      <c r="FY832"/>
      <c r="FZ832"/>
      <c r="GA832"/>
      <c r="GB832"/>
      <c r="GC832"/>
      <c r="GD832"/>
      <c r="GE832"/>
      <c r="GF832"/>
      <c r="GG832"/>
      <c r="GH832"/>
      <c r="GI832"/>
      <c r="GJ832"/>
      <c r="GK832"/>
      <c r="GL832"/>
      <c r="GM832"/>
      <c r="GN832"/>
      <c r="GO832"/>
      <c r="GP832"/>
      <c r="GQ832"/>
      <c r="GR832"/>
      <c r="GS832"/>
      <c r="GT832"/>
      <c r="GU832"/>
      <c r="GV832"/>
      <c r="GW832"/>
      <c r="GX832"/>
      <c r="GY832"/>
      <c r="GZ832"/>
      <c r="HA832"/>
      <c r="HB832"/>
      <c r="HC832"/>
      <c r="HD832"/>
      <c r="HE832"/>
      <c r="HF832"/>
      <c r="HG832"/>
      <c r="HH832"/>
      <c r="HI832"/>
      <c r="HJ832"/>
      <c r="HK832"/>
      <c r="HL832"/>
      <c r="HM832"/>
      <c r="HN832"/>
      <c r="HO832"/>
      <c r="HP832"/>
      <c r="HQ832"/>
      <c r="HR832"/>
      <c r="HS832"/>
      <c r="HT832"/>
      <c r="HU832"/>
      <c r="HV832"/>
      <c r="HW832"/>
      <c r="HX832"/>
      <c r="HY832"/>
      <c r="HZ832"/>
      <c r="IA832"/>
      <c r="IB832"/>
      <c r="IC832"/>
      <c r="ID832"/>
      <c r="IE832"/>
      <c r="IF832"/>
      <c r="IG832"/>
      <c r="IH832"/>
      <c r="II832"/>
      <c r="IJ832"/>
      <c r="IK832"/>
      <c r="IL832"/>
    </row>
    <row r="833" spans="1:246" ht="12.75" customHeight="1" x14ac:dyDescent="0.2">
      <c r="A833" s="1155">
        <v>3612</v>
      </c>
      <c r="B833" s="2095" t="s">
        <v>833</v>
      </c>
      <c r="C833" s="2085">
        <f>C834+C836</f>
        <v>55570000</v>
      </c>
      <c r="D833" s="2085">
        <f>D834+D836</f>
        <v>55550000</v>
      </c>
      <c r="E833" s="2085">
        <f>E834+E836</f>
        <v>25925344.430000003</v>
      </c>
      <c r="F833" s="2085">
        <f>F834+F836</f>
        <v>41696460.600000001</v>
      </c>
      <c r="G833" s="2085">
        <f>G834+G836</f>
        <v>52220000</v>
      </c>
      <c r="H833"/>
      <c r="I833" s="2068"/>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c r="EX833"/>
      <c r="EY833"/>
      <c r="EZ833"/>
      <c r="FA833"/>
      <c r="FB833"/>
      <c r="FC833"/>
      <c r="FD833"/>
      <c r="FE833"/>
      <c r="FF833"/>
      <c r="FG833"/>
      <c r="FH833"/>
      <c r="FI833"/>
      <c r="FJ833"/>
      <c r="FK833"/>
      <c r="FL833"/>
      <c r="FM833"/>
      <c r="FN833"/>
      <c r="FO833"/>
      <c r="FP833"/>
      <c r="FQ833"/>
      <c r="FR833"/>
      <c r="FS833"/>
      <c r="FT833"/>
      <c r="FU833"/>
      <c r="FV833"/>
      <c r="FW833"/>
      <c r="FX833"/>
      <c r="FY833"/>
      <c r="FZ833"/>
      <c r="GA833"/>
      <c r="GB833"/>
      <c r="GC833"/>
      <c r="GD833"/>
      <c r="GE833"/>
      <c r="GF833"/>
      <c r="GG833"/>
      <c r="GH833"/>
      <c r="GI833"/>
      <c r="GJ833"/>
      <c r="GK833"/>
      <c r="GL833"/>
      <c r="GM833"/>
      <c r="GN833"/>
      <c r="GO833"/>
      <c r="GP833"/>
      <c r="GQ833"/>
      <c r="GR833"/>
      <c r="GS833"/>
      <c r="GT833"/>
      <c r="GU833"/>
      <c r="GV833"/>
      <c r="GW833"/>
      <c r="GX833"/>
      <c r="GY833"/>
      <c r="GZ833"/>
      <c r="HA833"/>
      <c r="HB833"/>
      <c r="HC833"/>
      <c r="HD833"/>
      <c r="HE833"/>
      <c r="HF833"/>
      <c r="HG833"/>
      <c r="HH833"/>
      <c r="HI833"/>
      <c r="HJ833"/>
      <c r="HK833"/>
      <c r="HL833"/>
      <c r="HM833"/>
      <c r="HN833"/>
      <c r="HO833"/>
      <c r="HP833"/>
      <c r="HQ833"/>
      <c r="HR833"/>
      <c r="HS833"/>
      <c r="HT833"/>
      <c r="HU833"/>
      <c r="HV833"/>
      <c r="HW833"/>
      <c r="HX833"/>
      <c r="HY833"/>
      <c r="HZ833"/>
      <c r="IA833"/>
      <c r="IB833"/>
      <c r="IC833"/>
      <c r="ID833"/>
      <c r="IE833"/>
      <c r="IF833"/>
      <c r="IG833"/>
      <c r="IH833"/>
      <c r="II833"/>
      <c r="IJ833"/>
      <c r="IK833"/>
      <c r="IL833"/>
    </row>
    <row r="834" spans="1:246" ht="12.75" customHeight="1" x14ac:dyDescent="0.2">
      <c r="A834" s="2086"/>
      <c r="B834" s="2087" t="s">
        <v>807</v>
      </c>
      <c r="C834" s="2082">
        <f>SUM(C835)</f>
        <v>300000</v>
      </c>
      <c r="D834" s="2082">
        <f>SUM(D835)</f>
        <v>300000</v>
      </c>
      <c r="E834" s="2082">
        <v>0</v>
      </c>
      <c r="F834" s="2082">
        <v>0</v>
      </c>
      <c r="G834" s="2082">
        <f>SUM(G835)</f>
        <v>150000</v>
      </c>
      <c r="H834"/>
      <c r="I834" s="2068"/>
      <c r="J834"/>
      <c r="K834"/>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c r="EX834"/>
      <c r="EY834"/>
      <c r="EZ834"/>
      <c r="FA834"/>
      <c r="FB834"/>
      <c r="FC834"/>
      <c r="FD834"/>
      <c r="FE834"/>
      <c r="FF834"/>
      <c r="FG834"/>
      <c r="FH834"/>
      <c r="FI834"/>
      <c r="FJ834"/>
      <c r="FK834"/>
      <c r="FL834"/>
      <c r="FM834"/>
      <c r="FN834"/>
      <c r="FO834"/>
      <c r="FP834"/>
      <c r="FQ834"/>
      <c r="FR834"/>
      <c r="FS834"/>
      <c r="FT834"/>
      <c r="FU834"/>
      <c r="FV834"/>
      <c r="FW834"/>
      <c r="FX834"/>
      <c r="FY834"/>
      <c r="FZ834"/>
      <c r="GA834"/>
      <c r="GB834"/>
      <c r="GC834"/>
      <c r="GD834"/>
      <c r="GE834"/>
      <c r="GF834"/>
      <c r="GG834"/>
      <c r="GH834"/>
      <c r="GI834"/>
      <c r="GJ834"/>
      <c r="GK834"/>
      <c r="GL834"/>
      <c r="GM834"/>
      <c r="GN834"/>
      <c r="GO834"/>
      <c r="GP834"/>
      <c r="GQ834"/>
      <c r="GR834"/>
      <c r="GS834"/>
      <c r="GT834"/>
      <c r="GU834"/>
      <c r="GV834"/>
      <c r="GW834"/>
      <c r="GX834"/>
      <c r="GY834"/>
      <c r="GZ834"/>
      <c r="HA834"/>
      <c r="HB834"/>
      <c r="HC834"/>
      <c r="HD834"/>
      <c r="HE834"/>
      <c r="HF834"/>
      <c r="HG834"/>
      <c r="HH834"/>
      <c r="HI834"/>
      <c r="HJ834"/>
      <c r="HK834"/>
      <c r="HL834"/>
      <c r="HM834"/>
      <c r="HN834"/>
      <c r="HO834"/>
      <c r="HP834"/>
      <c r="HQ834"/>
      <c r="HR834"/>
      <c r="HS834"/>
      <c r="HT834"/>
      <c r="HU834"/>
      <c r="HV834"/>
      <c r="HW834"/>
      <c r="HX834"/>
      <c r="HY834"/>
      <c r="HZ834"/>
      <c r="IA834"/>
      <c r="IB834"/>
      <c r="IC834"/>
      <c r="ID834"/>
      <c r="IE834"/>
      <c r="IF834"/>
      <c r="IG834"/>
      <c r="IH834"/>
      <c r="II834"/>
      <c r="IJ834"/>
      <c r="IK834"/>
      <c r="IL834"/>
    </row>
    <row r="835" spans="1:246" ht="12.75" customHeight="1" x14ac:dyDescent="0.2">
      <c r="A835" s="2086"/>
      <c r="B835" s="2088" t="s">
        <v>1924</v>
      </c>
      <c r="C835" s="2075">
        <v>300000</v>
      </c>
      <c r="D835" s="2075">
        <v>300000</v>
      </c>
      <c r="E835" s="2075">
        <v>0</v>
      </c>
      <c r="F835" s="2075">
        <v>0</v>
      </c>
      <c r="G835" s="2075">
        <v>150000</v>
      </c>
      <c r="H835"/>
      <c r="I835" s="2068"/>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c r="EX835"/>
      <c r="EY835"/>
      <c r="EZ835"/>
      <c r="FA835"/>
      <c r="FB835"/>
      <c r="FC835"/>
      <c r="FD835"/>
      <c r="FE835"/>
      <c r="FF835"/>
      <c r="FG835"/>
      <c r="FH835"/>
      <c r="FI835"/>
      <c r="FJ835"/>
      <c r="FK835"/>
      <c r="FL835"/>
      <c r="FM835"/>
      <c r="FN835"/>
      <c r="FO835"/>
      <c r="FP835"/>
      <c r="FQ835"/>
      <c r="FR835"/>
      <c r="FS835"/>
      <c r="FT835"/>
      <c r="FU835"/>
      <c r="FV835"/>
      <c r="FW835"/>
      <c r="FX835"/>
      <c r="FY835"/>
      <c r="FZ835"/>
      <c r="GA835"/>
      <c r="GB835"/>
      <c r="GC835"/>
      <c r="GD835"/>
      <c r="GE835"/>
      <c r="GF835"/>
      <c r="GG835"/>
      <c r="GH835"/>
      <c r="GI835"/>
      <c r="GJ835"/>
      <c r="GK835"/>
      <c r="GL835"/>
      <c r="GM835"/>
      <c r="GN835"/>
      <c r="GO835"/>
      <c r="GP835"/>
      <c r="GQ835"/>
      <c r="GR835"/>
      <c r="GS835"/>
      <c r="GT835"/>
      <c r="GU835"/>
      <c r="GV835"/>
      <c r="GW835"/>
      <c r="GX835"/>
      <c r="GY835"/>
      <c r="GZ835"/>
      <c r="HA835"/>
      <c r="HB835"/>
      <c r="HC835"/>
      <c r="HD835"/>
      <c r="HE835"/>
      <c r="HF835"/>
      <c r="HG835"/>
      <c r="HH835"/>
      <c r="HI835"/>
      <c r="HJ835"/>
      <c r="HK835"/>
      <c r="HL835"/>
      <c r="HM835"/>
      <c r="HN835"/>
      <c r="HO835"/>
      <c r="HP835"/>
      <c r="HQ835"/>
      <c r="HR835"/>
      <c r="HS835"/>
      <c r="HT835"/>
      <c r="HU835"/>
      <c r="HV835"/>
      <c r="HW835"/>
      <c r="HX835"/>
      <c r="HY835"/>
      <c r="HZ835"/>
      <c r="IA835"/>
      <c r="IB835"/>
      <c r="IC835"/>
      <c r="ID835"/>
      <c r="IE835"/>
      <c r="IF835"/>
      <c r="IG835"/>
      <c r="IH835"/>
      <c r="II835"/>
      <c r="IJ835"/>
      <c r="IK835"/>
      <c r="IL835"/>
    </row>
    <row r="836" spans="1:246" ht="12.75" customHeight="1" x14ac:dyDescent="0.2">
      <c r="A836" s="1155"/>
      <c r="B836" s="2096" t="s">
        <v>844</v>
      </c>
      <c r="C836" s="2097">
        <f>C837+C842+C848+C852+C853+C854+C855+C856+C861</f>
        <v>55270000</v>
      </c>
      <c r="D836" s="2097">
        <f>D837+D842+D848+D852+D853+D854+D855+D856+D861</f>
        <v>55250000</v>
      </c>
      <c r="E836" s="2097">
        <f>E837+E842+E848+E852+E853+E854+E855+E856+E861</f>
        <v>25925344.430000003</v>
      </c>
      <c r="F836" s="2097">
        <f>F837+F842+F848+F852+F853+F854+F855+F856+F861</f>
        <v>41696460.600000001</v>
      </c>
      <c r="G836" s="2097">
        <f>G837+G842+G848+G852+G853+G854+G855+G856+G861</f>
        <v>52070000</v>
      </c>
      <c r="H836"/>
      <c r="I836" s="2068"/>
      <c r="J836"/>
      <c r="K836"/>
      <c r="L836"/>
      <c r="M836"/>
      <c r="N836"/>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c r="EX836"/>
      <c r="EY836"/>
      <c r="EZ836"/>
      <c r="FA836"/>
      <c r="FB836"/>
      <c r="FC836"/>
      <c r="FD836"/>
      <c r="FE836"/>
      <c r="FF836"/>
      <c r="FG836"/>
      <c r="FH836"/>
      <c r="FI836"/>
      <c r="FJ836"/>
      <c r="FK836"/>
      <c r="FL836"/>
      <c r="FM836"/>
      <c r="FN836"/>
      <c r="FO836"/>
      <c r="FP836"/>
      <c r="FQ836"/>
      <c r="FR836"/>
      <c r="FS836"/>
      <c r="FT836"/>
      <c r="FU836"/>
      <c r="FV836"/>
      <c r="FW836"/>
      <c r="FX836"/>
      <c r="FY836"/>
      <c r="FZ836"/>
      <c r="GA836"/>
      <c r="GB836"/>
      <c r="GC836"/>
      <c r="GD836"/>
      <c r="GE836"/>
      <c r="GF836"/>
      <c r="GG836"/>
      <c r="GH836"/>
      <c r="GI836"/>
      <c r="GJ836"/>
      <c r="GK836"/>
      <c r="GL836"/>
      <c r="GM836"/>
      <c r="GN836"/>
      <c r="GO836"/>
      <c r="GP836"/>
      <c r="GQ836"/>
      <c r="GR836"/>
      <c r="GS836"/>
      <c r="GT836"/>
      <c r="GU836"/>
      <c r="GV836"/>
      <c r="GW836"/>
      <c r="GX836"/>
      <c r="GY836"/>
      <c r="GZ836"/>
      <c r="HA836"/>
      <c r="HB836"/>
      <c r="HC836"/>
      <c r="HD836"/>
      <c r="HE836"/>
      <c r="HF836"/>
      <c r="HG836"/>
      <c r="HH836"/>
      <c r="HI836"/>
      <c r="HJ836"/>
      <c r="HK836"/>
      <c r="HL836"/>
      <c r="HM836"/>
      <c r="HN836"/>
      <c r="HO836"/>
      <c r="HP836"/>
      <c r="HQ836"/>
      <c r="HR836"/>
      <c r="HS836"/>
      <c r="HT836"/>
      <c r="HU836"/>
      <c r="HV836"/>
      <c r="HW836"/>
      <c r="HX836"/>
      <c r="HY836"/>
      <c r="HZ836"/>
      <c r="IA836"/>
      <c r="IB836"/>
      <c r="IC836"/>
      <c r="ID836"/>
      <c r="IE836"/>
      <c r="IF836"/>
      <c r="IG836"/>
      <c r="IH836"/>
      <c r="II836"/>
      <c r="IJ836"/>
      <c r="IK836"/>
      <c r="IL836"/>
    </row>
    <row r="837" spans="1:246" ht="12.75" customHeight="1" x14ac:dyDescent="0.2">
      <c r="A837" s="2098"/>
      <c r="B837" s="2099" t="s">
        <v>845</v>
      </c>
      <c r="C837" s="2100">
        <f>SUM(C838:C841)</f>
        <v>10050000</v>
      </c>
      <c r="D837" s="2100">
        <f>SUM(D838:D841)</f>
        <v>10050000</v>
      </c>
      <c r="E837" s="2100">
        <f>SUM(E838:E841)</f>
        <v>1901002.81</v>
      </c>
      <c r="F837" s="2100">
        <f>SUM(F838:F841)</f>
        <v>5228435</v>
      </c>
      <c r="G837" s="2100">
        <f>SUM(G838:G841)</f>
        <v>7700000</v>
      </c>
      <c r="H837"/>
      <c r="I837" s="2068"/>
      <c r="J837"/>
      <c r="K837"/>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c r="EX837"/>
      <c r="EY837"/>
      <c r="EZ837"/>
      <c r="FA837"/>
      <c r="FB837"/>
      <c r="FC837"/>
      <c r="FD837"/>
      <c r="FE837"/>
      <c r="FF837"/>
      <c r="FG837"/>
      <c r="FH837"/>
      <c r="FI837"/>
      <c r="FJ837"/>
      <c r="FK837"/>
      <c r="FL837"/>
      <c r="FM837"/>
      <c r="FN837"/>
      <c r="FO837"/>
      <c r="FP837"/>
      <c r="FQ837"/>
      <c r="FR837"/>
      <c r="FS837"/>
      <c r="FT837"/>
      <c r="FU837"/>
      <c r="FV837"/>
      <c r="FW837"/>
      <c r="FX837"/>
      <c r="FY837"/>
      <c r="FZ837"/>
      <c r="GA837"/>
      <c r="GB837"/>
      <c r="GC837"/>
      <c r="GD837"/>
      <c r="GE837"/>
      <c r="GF837"/>
      <c r="GG837"/>
      <c r="GH837"/>
      <c r="GI837"/>
      <c r="GJ837"/>
      <c r="GK837"/>
      <c r="GL837"/>
      <c r="GM837"/>
      <c r="GN837"/>
      <c r="GO837"/>
      <c r="GP837"/>
      <c r="GQ837"/>
      <c r="GR837"/>
      <c r="GS837"/>
      <c r="GT837"/>
      <c r="GU837"/>
      <c r="GV837"/>
      <c r="GW837"/>
      <c r="GX837"/>
      <c r="GY837"/>
      <c r="GZ837"/>
      <c r="HA837"/>
      <c r="HB837"/>
      <c r="HC837"/>
      <c r="HD837"/>
      <c r="HE837"/>
      <c r="HF837"/>
      <c r="HG837"/>
      <c r="HH837"/>
      <c r="HI837"/>
      <c r="HJ837"/>
      <c r="HK837"/>
      <c r="HL837"/>
      <c r="HM837"/>
      <c r="HN837"/>
      <c r="HO837"/>
      <c r="HP837"/>
      <c r="HQ837"/>
      <c r="HR837"/>
      <c r="HS837"/>
      <c r="HT837"/>
      <c r="HU837"/>
      <c r="HV837"/>
      <c r="HW837"/>
      <c r="HX837"/>
      <c r="HY837"/>
      <c r="HZ837"/>
      <c r="IA837"/>
      <c r="IB837"/>
      <c r="IC837"/>
      <c r="ID837"/>
      <c r="IE837"/>
      <c r="IF837"/>
      <c r="IG837"/>
      <c r="IH837"/>
      <c r="II837"/>
      <c r="IJ837"/>
      <c r="IK837"/>
      <c r="IL837"/>
    </row>
    <row r="838" spans="1:246" ht="12.75" customHeight="1" x14ac:dyDescent="0.2">
      <c r="A838" s="1155"/>
      <c r="B838" s="2080" t="s">
        <v>2548</v>
      </c>
      <c r="C838" s="2101">
        <v>5750000</v>
      </c>
      <c r="D838" s="2101">
        <v>5750000</v>
      </c>
      <c r="E838" s="2101">
        <v>1455572.77</v>
      </c>
      <c r="F838" s="2101">
        <v>3500000</v>
      </c>
      <c r="G838" s="2101">
        <v>6000000</v>
      </c>
      <c r="H838"/>
      <c r="I838" s="2068"/>
      <c r="J838"/>
      <c r="K838"/>
      <c r="L838"/>
      <c r="M838"/>
      <c r="N838"/>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c r="EX838"/>
      <c r="EY838"/>
      <c r="EZ838"/>
      <c r="FA838"/>
      <c r="FB838"/>
      <c r="FC838"/>
      <c r="FD838"/>
      <c r="FE838"/>
      <c r="FF838"/>
      <c r="FG838"/>
      <c r="FH838"/>
      <c r="FI838"/>
      <c r="FJ838"/>
      <c r="FK838"/>
      <c r="FL838"/>
      <c r="FM838"/>
      <c r="FN838"/>
      <c r="FO838"/>
      <c r="FP838"/>
      <c r="FQ838"/>
      <c r="FR838"/>
      <c r="FS838"/>
      <c r="FT838"/>
      <c r="FU838"/>
      <c r="FV838"/>
      <c r="FW838"/>
      <c r="FX838"/>
      <c r="FY838"/>
      <c r="FZ838"/>
      <c r="GA838"/>
      <c r="GB838"/>
      <c r="GC838"/>
      <c r="GD838"/>
      <c r="GE838"/>
      <c r="GF838"/>
      <c r="GG838"/>
      <c r="GH838"/>
      <c r="GI838"/>
      <c r="GJ838"/>
      <c r="GK838"/>
      <c r="GL838"/>
      <c r="GM838"/>
      <c r="GN838"/>
      <c r="GO838"/>
      <c r="GP838"/>
      <c r="GQ838"/>
      <c r="GR838"/>
      <c r="GS838"/>
      <c r="GT838"/>
      <c r="GU838"/>
      <c r="GV838"/>
      <c r="GW838"/>
      <c r="GX838"/>
      <c r="GY838"/>
      <c r="GZ838"/>
      <c r="HA838"/>
      <c r="HB838"/>
      <c r="HC838"/>
      <c r="HD838"/>
      <c r="HE838"/>
      <c r="HF838"/>
      <c r="HG838"/>
      <c r="HH838"/>
      <c r="HI838"/>
      <c r="HJ838"/>
      <c r="HK838"/>
      <c r="HL838"/>
      <c r="HM838"/>
      <c r="HN838"/>
      <c r="HO838"/>
      <c r="HP838"/>
      <c r="HQ838"/>
      <c r="HR838"/>
      <c r="HS838"/>
      <c r="HT838"/>
      <c r="HU838"/>
      <c r="HV838"/>
      <c r="HW838"/>
      <c r="HX838"/>
      <c r="HY838"/>
      <c r="HZ838"/>
      <c r="IA838"/>
      <c r="IB838"/>
      <c r="IC838"/>
      <c r="ID838"/>
      <c r="IE838"/>
      <c r="IF838"/>
      <c r="IG838"/>
      <c r="IH838"/>
      <c r="II838"/>
      <c r="IJ838"/>
      <c r="IK838"/>
      <c r="IL838"/>
    </row>
    <row r="839" spans="1:246" ht="12.75" customHeight="1" x14ac:dyDescent="0.2">
      <c r="A839" s="1155"/>
      <c r="B839" s="2080" t="s">
        <v>1926</v>
      </c>
      <c r="C839" s="2102">
        <v>500000</v>
      </c>
      <c r="D839" s="2102">
        <v>500000</v>
      </c>
      <c r="E839" s="2102">
        <v>28435</v>
      </c>
      <c r="F839" s="2102">
        <v>28435</v>
      </c>
      <c r="G839" s="2102">
        <v>200000</v>
      </c>
      <c r="H839"/>
      <c r="I839" s="2068"/>
      <c r="J839"/>
      <c r="K839"/>
      <c r="L839"/>
      <c r="M839"/>
      <c r="N839"/>
      <c r="O839"/>
      <c r="P839"/>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c r="EB839"/>
      <c r="EC839"/>
      <c r="ED839"/>
      <c r="EE839"/>
      <c r="EF839"/>
      <c r="EG839"/>
      <c r="EH839"/>
      <c r="EI839"/>
      <c r="EJ839"/>
      <c r="EK839"/>
      <c r="EL839"/>
      <c r="EM839"/>
      <c r="EN839"/>
      <c r="EO839"/>
      <c r="EP839"/>
      <c r="EQ839"/>
      <c r="ER839"/>
      <c r="ES839"/>
      <c r="ET839"/>
      <c r="EU839"/>
      <c r="EV839"/>
      <c r="EW839"/>
      <c r="EX839"/>
      <c r="EY839"/>
      <c r="EZ839"/>
      <c r="FA839"/>
      <c r="FB839"/>
      <c r="FC839"/>
      <c r="FD839"/>
      <c r="FE839"/>
      <c r="FF839"/>
      <c r="FG839"/>
      <c r="FH839"/>
      <c r="FI839"/>
      <c r="FJ839"/>
      <c r="FK839"/>
      <c r="FL839"/>
      <c r="FM839"/>
      <c r="FN839"/>
      <c r="FO839"/>
      <c r="FP839"/>
      <c r="FQ839"/>
      <c r="FR839"/>
      <c r="FS839"/>
      <c r="FT839"/>
      <c r="FU839"/>
      <c r="FV839"/>
      <c r="FW839"/>
      <c r="FX839"/>
      <c r="FY839"/>
      <c r="FZ839"/>
      <c r="GA839"/>
      <c r="GB839"/>
      <c r="GC839"/>
      <c r="GD839"/>
      <c r="GE839"/>
      <c r="GF839"/>
      <c r="GG839"/>
      <c r="GH839"/>
      <c r="GI839"/>
      <c r="GJ839"/>
      <c r="GK839"/>
      <c r="GL839"/>
      <c r="GM839"/>
      <c r="GN839"/>
      <c r="GO839"/>
      <c r="GP839"/>
      <c r="GQ839"/>
      <c r="GR839"/>
      <c r="GS839"/>
      <c r="GT839"/>
      <c r="GU839"/>
      <c r="GV839"/>
      <c r="GW839"/>
      <c r="GX839"/>
      <c r="GY839"/>
      <c r="GZ839"/>
      <c r="HA839"/>
      <c r="HB839"/>
      <c r="HC839"/>
      <c r="HD839"/>
      <c r="HE839"/>
      <c r="HF839"/>
      <c r="HG839"/>
      <c r="HH839"/>
      <c r="HI839"/>
      <c r="HJ839"/>
      <c r="HK839"/>
      <c r="HL839"/>
      <c r="HM839"/>
      <c r="HN839"/>
      <c r="HO839"/>
      <c r="HP839"/>
      <c r="HQ839"/>
      <c r="HR839"/>
      <c r="HS839"/>
      <c r="HT839"/>
      <c r="HU839"/>
      <c r="HV839"/>
      <c r="HW839"/>
      <c r="HX839"/>
      <c r="HY839"/>
      <c r="HZ839"/>
      <c r="IA839"/>
      <c r="IB839"/>
      <c r="IC839"/>
      <c r="ID839"/>
      <c r="IE839"/>
      <c r="IF839"/>
      <c r="IG839"/>
      <c r="IH839"/>
      <c r="II839"/>
      <c r="IJ839"/>
      <c r="IK839"/>
      <c r="IL839"/>
    </row>
    <row r="840" spans="1:246" ht="12.75" customHeight="1" x14ac:dyDescent="0.2">
      <c r="A840" s="1155"/>
      <c r="B840" s="2080" t="s">
        <v>1927</v>
      </c>
      <c r="C840" s="2102">
        <v>1800000</v>
      </c>
      <c r="D840" s="2102">
        <v>1800000</v>
      </c>
      <c r="E840" s="2102">
        <v>416995.04</v>
      </c>
      <c r="F840" s="2102">
        <v>1700000</v>
      </c>
      <c r="G840" s="2102">
        <v>1500000</v>
      </c>
      <c r="H840"/>
      <c r="I840" s="2068"/>
      <c r="J840"/>
      <c r="K840"/>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c r="EX840"/>
      <c r="EY840"/>
      <c r="EZ840"/>
      <c r="FA840"/>
      <c r="FB840"/>
      <c r="FC840"/>
      <c r="FD840"/>
      <c r="FE840"/>
      <c r="FF840"/>
      <c r="FG840"/>
      <c r="FH840"/>
      <c r="FI840"/>
      <c r="FJ840"/>
      <c r="FK840"/>
      <c r="FL840"/>
      <c r="FM840"/>
      <c r="FN840"/>
      <c r="FO840"/>
      <c r="FP840"/>
      <c r="FQ840"/>
      <c r="FR840"/>
      <c r="FS840"/>
      <c r="FT840"/>
      <c r="FU840"/>
      <c r="FV840"/>
      <c r="FW840"/>
      <c r="FX840"/>
      <c r="FY840"/>
      <c r="FZ840"/>
      <c r="GA840"/>
      <c r="GB840"/>
      <c r="GC840"/>
      <c r="GD840"/>
      <c r="GE840"/>
      <c r="GF840"/>
      <c r="GG840"/>
      <c r="GH840"/>
      <c r="GI840"/>
      <c r="GJ840"/>
      <c r="GK840"/>
      <c r="GL840"/>
      <c r="GM840"/>
      <c r="GN840"/>
      <c r="GO840"/>
      <c r="GP840"/>
      <c r="GQ840"/>
      <c r="GR840"/>
      <c r="GS840"/>
      <c r="GT840"/>
      <c r="GU840"/>
      <c r="GV840"/>
      <c r="GW840"/>
      <c r="GX840"/>
      <c r="GY840"/>
      <c r="GZ840"/>
      <c r="HA840"/>
      <c r="HB840"/>
      <c r="HC840"/>
      <c r="HD840"/>
      <c r="HE840"/>
      <c r="HF840"/>
      <c r="HG840"/>
      <c r="HH840"/>
      <c r="HI840"/>
      <c r="HJ840"/>
      <c r="HK840"/>
      <c r="HL840"/>
      <c r="HM840"/>
      <c r="HN840"/>
      <c r="HO840"/>
      <c r="HP840"/>
      <c r="HQ840"/>
      <c r="HR840"/>
      <c r="HS840"/>
      <c r="HT840"/>
      <c r="HU840"/>
      <c r="HV840"/>
      <c r="HW840"/>
      <c r="HX840"/>
      <c r="HY840"/>
      <c r="HZ840"/>
      <c r="IA840"/>
      <c r="IB840"/>
      <c r="IC840"/>
      <c r="ID840"/>
      <c r="IE840"/>
      <c r="IF840"/>
      <c r="IG840"/>
      <c r="IH840"/>
      <c r="II840"/>
      <c r="IJ840"/>
      <c r="IK840"/>
      <c r="IL840"/>
    </row>
    <row r="841" spans="1:246" ht="12.75" customHeight="1" x14ac:dyDescent="0.2">
      <c r="A841" s="1155"/>
      <c r="B841" s="2080" t="s">
        <v>1928</v>
      </c>
      <c r="C841" s="2102">
        <v>2000000</v>
      </c>
      <c r="D841" s="2102">
        <v>2000000</v>
      </c>
      <c r="E841" s="2102">
        <v>0</v>
      </c>
      <c r="F841" s="2102">
        <v>0</v>
      </c>
      <c r="G841" s="2102">
        <v>0</v>
      </c>
      <c r="H841"/>
      <c r="I841" s="2068"/>
      <c r="J841"/>
      <c r="K841"/>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c r="EX841"/>
      <c r="EY841"/>
      <c r="EZ841"/>
      <c r="FA841"/>
      <c r="FB841"/>
      <c r="FC841"/>
      <c r="FD841"/>
      <c r="FE841"/>
      <c r="FF841"/>
      <c r="FG841"/>
      <c r="FH841"/>
      <c r="FI841"/>
      <c r="FJ841"/>
      <c r="FK841"/>
      <c r="FL841"/>
      <c r="FM841"/>
      <c r="FN841"/>
      <c r="FO841"/>
      <c r="FP841"/>
      <c r="FQ841"/>
      <c r="FR841"/>
      <c r="FS841"/>
      <c r="FT841"/>
      <c r="FU841"/>
      <c r="FV841"/>
      <c r="FW841"/>
      <c r="FX841"/>
      <c r="FY841"/>
      <c r="FZ841"/>
      <c r="GA841"/>
      <c r="GB841"/>
      <c r="GC841"/>
      <c r="GD841"/>
      <c r="GE841"/>
      <c r="GF841"/>
      <c r="GG841"/>
      <c r="GH841"/>
      <c r="GI841"/>
      <c r="GJ841"/>
      <c r="GK841"/>
      <c r="GL841"/>
      <c r="GM841"/>
      <c r="GN841"/>
      <c r="GO841"/>
      <c r="GP841"/>
      <c r="GQ841"/>
      <c r="GR841"/>
      <c r="GS841"/>
      <c r="GT841"/>
      <c r="GU841"/>
      <c r="GV841"/>
      <c r="GW841"/>
      <c r="GX841"/>
      <c r="GY841"/>
      <c r="GZ841"/>
      <c r="HA841"/>
      <c r="HB841"/>
      <c r="HC841"/>
      <c r="HD841"/>
      <c r="HE841"/>
      <c r="HF841"/>
      <c r="HG841"/>
      <c r="HH841"/>
      <c r="HI841"/>
      <c r="HJ841"/>
      <c r="HK841"/>
      <c r="HL841"/>
      <c r="HM841"/>
      <c r="HN841"/>
      <c r="HO841"/>
      <c r="HP841"/>
      <c r="HQ841"/>
      <c r="HR841"/>
      <c r="HS841"/>
      <c r="HT841"/>
      <c r="HU841"/>
      <c r="HV841"/>
      <c r="HW841"/>
      <c r="HX841"/>
      <c r="HY841"/>
      <c r="HZ841"/>
      <c r="IA841"/>
      <c r="IB841"/>
      <c r="IC841"/>
      <c r="ID841"/>
      <c r="IE841"/>
      <c r="IF841"/>
      <c r="IG841"/>
      <c r="IH841"/>
      <c r="II841"/>
      <c r="IJ841"/>
      <c r="IK841"/>
      <c r="IL841"/>
    </row>
    <row r="842" spans="1:246" ht="12.75" customHeight="1" x14ac:dyDescent="0.2">
      <c r="A842" s="1155"/>
      <c r="B842" s="2103" t="s">
        <v>1929</v>
      </c>
      <c r="C842" s="2104">
        <f>C843+C844</f>
        <v>4250000</v>
      </c>
      <c r="D842" s="2104">
        <f>D843+D844</f>
        <v>4250000</v>
      </c>
      <c r="E842" s="2104">
        <f>E843+E844</f>
        <v>1953449.78</v>
      </c>
      <c r="F842" s="2104">
        <f>F843+F844</f>
        <v>3030905.6</v>
      </c>
      <c r="G842" s="2104">
        <f>G843+G844</f>
        <v>3000000</v>
      </c>
      <c r="H842"/>
      <c r="I842" s="2068"/>
      <c r="J842"/>
      <c r="K842"/>
      <c r="L842"/>
      <c r="M842"/>
      <c r="N842"/>
      <c r="O842"/>
      <c r="P842"/>
      <c r="Q842"/>
      <c r="R842"/>
      <c r="S842"/>
      <c r="T842"/>
      <c r="U842"/>
      <c r="V842"/>
      <c r="W842"/>
      <c r="X842"/>
      <c r="Y842"/>
      <c r="Z842"/>
      <c r="AA842"/>
      <c r="AB842"/>
      <c r="AC842"/>
      <c r="AD842"/>
      <c r="AE842"/>
      <c r="AF842"/>
      <c r="AG842"/>
      <c r="AH842"/>
      <c r="AI842"/>
      <c r="AJ842"/>
      <c r="AK842"/>
      <c r="AL842"/>
      <c r="AM842"/>
      <c r="AN842"/>
      <c r="AO842"/>
      <c r="AP842"/>
      <c r="AQ842"/>
      <c r="AR842"/>
      <c r="AS842"/>
      <c r="AT842"/>
      <c r="AU842"/>
      <c r="AV842"/>
      <c r="AW842"/>
      <c r="AX842"/>
      <c r="AY842"/>
      <c r="AZ842"/>
      <c r="BA842"/>
      <c r="BB842"/>
      <c r="BC842"/>
      <c r="BD84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c r="EB842"/>
      <c r="EC842"/>
      <c r="ED842"/>
      <c r="EE842"/>
      <c r="EF842"/>
      <c r="EG842"/>
      <c r="EH842"/>
      <c r="EI842"/>
      <c r="EJ842"/>
      <c r="EK842"/>
      <c r="EL842"/>
      <c r="EM842"/>
      <c r="EN842"/>
      <c r="EO842"/>
      <c r="EP842"/>
      <c r="EQ842"/>
      <c r="ER842"/>
      <c r="ES842"/>
      <c r="ET842"/>
      <c r="EU842"/>
      <c r="EV842"/>
      <c r="EW842"/>
      <c r="EX842"/>
      <c r="EY842"/>
      <c r="EZ842"/>
      <c r="FA842"/>
      <c r="FB842"/>
      <c r="FC842"/>
      <c r="FD842"/>
      <c r="FE842"/>
      <c r="FF842"/>
      <c r="FG842"/>
      <c r="FH842"/>
      <c r="FI842"/>
      <c r="FJ842"/>
      <c r="FK842"/>
      <c r="FL842"/>
      <c r="FM842"/>
      <c r="FN842"/>
      <c r="FO842"/>
      <c r="FP842"/>
      <c r="FQ842"/>
      <c r="FR842"/>
      <c r="FS842"/>
      <c r="FT842"/>
      <c r="FU842"/>
      <c r="FV842"/>
      <c r="FW842"/>
      <c r="FX842"/>
      <c r="FY842"/>
      <c r="FZ842"/>
      <c r="GA842"/>
      <c r="GB842"/>
      <c r="GC842"/>
      <c r="GD842"/>
      <c r="GE842"/>
      <c r="GF842"/>
      <c r="GG842"/>
      <c r="GH842"/>
      <c r="GI842"/>
      <c r="GJ842"/>
      <c r="GK842"/>
      <c r="GL842"/>
      <c r="GM842"/>
      <c r="GN842"/>
      <c r="GO842"/>
      <c r="GP842"/>
      <c r="GQ842"/>
      <c r="GR842"/>
      <c r="GS842"/>
      <c r="GT842"/>
      <c r="GU842"/>
      <c r="GV842"/>
      <c r="GW842"/>
      <c r="GX842"/>
      <c r="GY842"/>
      <c r="GZ842"/>
      <c r="HA842"/>
      <c r="HB842"/>
      <c r="HC842"/>
      <c r="HD842"/>
      <c r="HE842"/>
      <c r="HF842"/>
      <c r="HG842"/>
      <c r="HH842"/>
      <c r="HI842"/>
      <c r="HJ842"/>
      <c r="HK842"/>
      <c r="HL842"/>
      <c r="HM842"/>
      <c r="HN842"/>
      <c r="HO842"/>
      <c r="HP842"/>
      <c r="HQ842"/>
      <c r="HR842"/>
      <c r="HS842"/>
      <c r="HT842"/>
      <c r="HU842"/>
      <c r="HV842"/>
      <c r="HW842"/>
      <c r="HX842"/>
      <c r="HY842"/>
      <c r="HZ842"/>
      <c r="IA842"/>
      <c r="IB842"/>
      <c r="IC842"/>
      <c r="ID842"/>
      <c r="IE842"/>
      <c r="IF842"/>
      <c r="IG842"/>
      <c r="IH842"/>
      <c r="II842"/>
      <c r="IJ842"/>
      <c r="IK842"/>
      <c r="IL842"/>
    </row>
    <row r="843" spans="1:246" s="488" customFormat="1" ht="12.75" customHeight="1" x14ac:dyDescent="0.2">
      <c r="A843" s="2086"/>
      <c r="B843" s="2080" t="s">
        <v>1930</v>
      </c>
      <c r="C843" s="2075">
        <v>3000000</v>
      </c>
      <c r="D843" s="2075">
        <v>3000000</v>
      </c>
      <c r="E843" s="2075">
        <v>1822544.18</v>
      </c>
      <c r="F843" s="2075">
        <v>2500000</v>
      </c>
      <c r="G843" s="2075">
        <v>3000000</v>
      </c>
      <c r="I843" s="2105"/>
    </row>
    <row r="844" spans="1:246" ht="12.75" customHeight="1" x14ac:dyDescent="0.2">
      <c r="A844" s="2086"/>
      <c r="B844" s="2106" t="s">
        <v>851</v>
      </c>
      <c r="C844" s="2075">
        <f>SUM(C845:C847)</f>
        <v>1250000</v>
      </c>
      <c r="D844" s="2075">
        <f>SUM(D845:D847)</f>
        <v>1250000</v>
      </c>
      <c r="E844" s="2075">
        <f>SUM(E845:E847)</f>
        <v>130905.60000000001</v>
      </c>
      <c r="F844" s="2075">
        <f>SUM(F845:F847)</f>
        <v>530905.59999999998</v>
      </c>
      <c r="G844" s="2075">
        <f>SUM(G845:G847)</f>
        <v>0</v>
      </c>
      <c r="H844"/>
      <c r="I844" s="2068"/>
      <c r="J844"/>
      <c r="K844"/>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c r="EX844"/>
      <c r="EY844"/>
      <c r="EZ844"/>
      <c r="FA844"/>
      <c r="FB844"/>
      <c r="FC844"/>
      <c r="FD844"/>
      <c r="FE844"/>
      <c r="FF844"/>
      <c r="FG844"/>
      <c r="FH844"/>
      <c r="FI844"/>
      <c r="FJ844"/>
      <c r="FK844"/>
      <c r="FL844"/>
      <c r="FM844"/>
      <c r="FN844"/>
      <c r="FO844"/>
      <c r="FP844"/>
      <c r="FQ844"/>
      <c r="FR844"/>
      <c r="FS844"/>
      <c r="FT844"/>
      <c r="FU844"/>
      <c r="FV844"/>
      <c r="FW844"/>
      <c r="FX844"/>
      <c r="FY844"/>
      <c r="FZ844"/>
      <c r="GA844"/>
      <c r="GB844"/>
      <c r="GC844"/>
      <c r="GD844"/>
      <c r="GE844"/>
      <c r="GF844"/>
      <c r="GG844"/>
      <c r="GH844"/>
      <c r="GI844"/>
      <c r="GJ844"/>
      <c r="GK844"/>
      <c r="GL844"/>
      <c r="GM844"/>
      <c r="GN844"/>
      <c r="GO844"/>
      <c r="GP844"/>
      <c r="GQ844"/>
      <c r="GR844"/>
      <c r="GS844"/>
      <c r="GT844"/>
      <c r="GU844"/>
      <c r="GV844"/>
      <c r="GW844"/>
      <c r="GX844"/>
      <c r="GY844"/>
      <c r="GZ844"/>
      <c r="HA844"/>
      <c r="HB844"/>
      <c r="HC844"/>
      <c r="HD844"/>
      <c r="HE844"/>
      <c r="HF844"/>
      <c r="HG844"/>
      <c r="HH844"/>
      <c r="HI844"/>
      <c r="HJ844"/>
      <c r="HK844"/>
      <c r="HL844"/>
      <c r="HM844"/>
      <c r="HN844"/>
      <c r="HO844"/>
      <c r="HP844"/>
      <c r="HQ844"/>
      <c r="HR844"/>
      <c r="HS844"/>
      <c r="HT844"/>
      <c r="HU844"/>
      <c r="HV844"/>
      <c r="HW844"/>
      <c r="HX844"/>
      <c r="HY844"/>
      <c r="HZ844"/>
      <c r="IA844"/>
      <c r="IB844"/>
      <c r="IC844"/>
      <c r="ID844"/>
      <c r="IE844"/>
      <c r="IF844"/>
      <c r="IG844"/>
      <c r="IH844"/>
      <c r="II844"/>
      <c r="IJ844"/>
      <c r="IK844"/>
      <c r="IL844"/>
    </row>
    <row r="845" spans="1:246" ht="12.75" customHeight="1" x14ac:dyDescent="0.2">
      <c r="A845" s="2086"/>
      <c r="B845" s="2088" t="s">
        <v>1931</v>
      </c>
      <c r="C845" s="2075">
        <v>350000</v>
      </c>
      <c r="D845" s="2075">
        <v>350000</v>
      </c>
      <c r="E845" s="2075">
        <v>130905.60000000001</v>
      </c>
      <c r="F845" s="2075">
        <v>130905.60000000001</v>
      </c>
      <c r="G845" s="2075">
        <v>0</v>
      </c>
      <c r="H845"/>
      <c r="I845" s="2068"/>
      <c r="J845"/>
      <c r="K845"/>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c r="EX845"/>
      <c r="EY845"/>
      <c r="EZ845"/>
      <c r="FA845"/>
      <c r="FB845"/>
      <c r="FC845"/>
      <c r="FD845"/>
      <c r="FE845"/>
      <c r="FF845"/>
      <c r="FG845"/>
      <c r="FH845"/>
      <c r="FI845"/>
      <c r="FJ845"/>
      <c r="FK845"/>
      <c r="FL845"/>
      <c r="FM845"/>
      <c r="FN845"/>
      <c r="FO845"/>
      <c r="FP845"/>
      <c r="FQ845"/>
      <c r="FR845"/>
      <c r="FS845"/>
      <c r="FT845"/>
      <c r="FU845"/>
      <c r="FV845"/>
      <c r="FW845"/>
      <c r="FX845"/>
      <c r="FY845"/>
      <c r="FZ845"/>
      <c r="GA845"/>
      <c r="GB845"/>
      <c r="GC845"/>
      <c r="GD845"/>
      <c r="GE845"/>
      <c r="GF845"/>
      <c r="GG845"/>
      <c r="GH845"/>
      <c r="GI845"/>
      <c r="GJ845"/>
      <c r="GK845"/>
      <c r="GL845"/>
      <c r="GM845"/>
      <c r="GN845"/>
      <c r="GO845"/>
      <c r="GP845"/>
      <c r="GQ845"/>
      <c r="GR845"/>
      <c r="GS845"/>
      <c r="GT845"/>
      <c r="GU845"/>
      <c r="GV845"/>
      <c r="GW845"/>
      <c r="GX845"/>
      <c r="GY845"/>
      <c r="GZ845"/>
      <c r="HA845"/>
      <c r="HB845"/>
      <c r="HC845"/>
      <c r="HD845"/>
      <c r="HE845"/>
      <c r="HF845"/>
      <c r="HG845"/>
      <c r="HH845"/>
      <c r="HI845"/>
      <c r="HJ845"/>
      <c r="HK845"/>
      <c r="HL845"/>
      <c r="HM845"/>
      <c r="HN845"/>
      <c r="HO845"/>
      <c r="HP845"/>
      <c r="HQ845"/>
      <c r="HR845"/>
      <c r="HS845"/>
      <c r="HT845"/>
      <c r="HU845"/>
      <c r="HV845"/>
      <c r="HW845"/>
      <c r="HX845"/>
      <c r="HY845"/>
      <c r="HZ845"/>
      <c r="IA845"/>
      <c r="IB845"/>
      <c r="IC845"/>
      <c r="ID845"/>
      <c r="IE845"/>
      <c r="IF845"/>
      <c r="IG845"/>
      <c r="IH845"/>
      <c r="II845"/>
      <c r="IJ845"/>
      <c r="IK845"/>
      <c r="IL845"/>
    </row>
    <row r="846" spans="1:246" ht="12.75" customHeight="1" x14ac:dyDescent="0.2">
      <c r="A846" s="2086"/>
      <c r="B846" s="2083" t="s">
        <v>1932</v>
      </c>
      <c r="C846" s="2107">
        <v>500000</v>
      </c>
      <c r="D846" s="2107">
        <v>500000</v>
      </c>
      <c r="E846" s="2107">
        <v>0</v>
      </c>
      <c r="F846" s="2107">
        <v>200000</v>
      </c>
      <c r="G846" s="2107">
        <v>0</v>
      </c>
      <c r="H846"/>
      <c r="I846" s="2068"/>
      <c r="J846"/>
      <c r="K846"/>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c r="EX846"/>
      <c r="EY846"/>
      <c r="EZ846"/>
      <c r="FA846"/>
      <c r="FB846"/>
      <c r="FC846"/>
      <c r="FD846"/>
      <c r="FE846"/>
      <c r="FF846"/>
      <c r="FG846"/>
      <c r="FH846"/>
      <c r="FI846"/>
      <c r="FJ846"/>
      <c r="FK846"/>
      <c r="FL846"/>
      <c r="FM846"/>
      <c r="FN846"/>
      <c r="FO846"/>
      <c r="FP846"/>
      <c r="FQ846"/>
      <c r="FR846"/>
      <c r="FS846"/>
      <c r="FT846"/>
      <c r="FU846"/>
      <c r="FV846"/>
      <c r="FW846"/>
      <c r="FX846"/>
      <c r="FY846"/>
      <c r="FZ846"/>
      <c r="GA846"/>
      <c r="GB846"/>
      <c r="GC846"/>
      <c r="GD846"/>
      <c r="GE846"/>
      <c r="GF846"/>
      <c r="GG846"/>
      <c r="GH846"/>
      <c r="GI846"/>
      <c r="GJ846"/>
      <c r="GK846"/>
      <c r="GL846"/>
      <c r="GM846"/>
      <c r="GN846"/>
      <c r="GO846"/>
      <c r="GP846"/>
      <c r="GQ846"/>
      <c r="GR846"/>
      <c r="GS846"/>
      <c r="GT846"/>
      <c r="GU846"/>
      <c r="GV846"/>
      <c r="GW846"/>
      <c r="GX846"/>
      <c r="GY846"/>
      <c r="GZ846"/>
      <c r="HA846"/>
      <c r="HB846"/>
      <c r="HC846"/>
      <c r="HD846"/>
      <c r="HE846"/>
      <c r="HF846"/>
      <c r="HG846"/>
      <c r="HH846"/>
      <c r="HI846"/>
      <c r="HJ846"/>
      <c r="HK846"/>
      <c r="HL846"/>
      <c r="HM846"/>
      <c r="HN846"/>
      <c r="HO846"/>
      <c r="HP846"/>
      <c r="HQ846"/>
      <c r="HR846"/>
      <c r="HS846"/>
      <c r="HT846"/>
      <c r="HU846"/>
      <c r="HV846"/>
      <c r="HW846"/>
      <c r="HX846"/>
      <c r="HY846"/>
      <c r="HZ846"/>
      <c r="IA846"/>
      <c r="IB846"/>
      <c r="IC846"/>
      <c r="ID846"/>
      <c r="IE846"/>
      <c r="IF846"/>
      <c r="IG846"/>
      <c r="IH846"/>
      <c r="II846"/>
      <c r="IJ846"/>
      <c r="IK846"/>
      <c r="IL846"/>
    </row>
    <row r="847" spans="1:246" s="488" customFormat="1" ht="15" customHeight="1" x14ac:dyDescent="0.2">
      <c r="A847" s="2086"/>
      <c r="B847" s="2083" t="s">
        <v>1933</v>
      </c>
      <c r="C847" s="2075">
        <v>400000</v>
      </c>
      <c r="D847" s="2075">
        <v>400000</v>
      </c>
      <c r="E847" s="2075">
        <v>0</v>
      </c>
      <c r="F847" s="2075">
        <v>200000</v>
      </c>
      <c r="G847" s="2075">
        <v>0</v>
      </c>
      <c r="I847" s="2105"/>
    </row>
    <row r="848" spans="1:246" ht="12.75" customHeight="1" x14ac:dyDescent="0.2">
      <c r="A848" s="2108"/>
      <c r="B848" s="2109" t="s">
        <v>1934</v>
      </c>
      <c r="C848" s="2104">
        <f>C849+C850</f>
        <v>5000000</v>
      </c>
      <c r="D848" s="2104">
        <f>D849+D850</f>
        <v>5000000</v>
      </c>
      <c r="E848" s="2104">
        <f>E849+E850</f>
        <v>1684952.07</v>
      </c>
      <c r="F848" s="2104">
        <f>F849+F850</f>
        <v>3910120</v>
      </c>
      <c r="G848" s="2104">
        <f>G849+G850</f>
        <v>4000000</v>
      </c>
      <c r="H848"/>
      <c r="I848" s="2068"/>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c r="EX848"/>
      <c r="EY848"/>
      <c r="EZ848"/>
      <c r="FA848"/>
      <c r="FB848"/>
      <c r="FC848"/>
      <c r="FD848"/>
      <c r="FE848"/>
      <c r="FF848"/>
      <c r="FG848"/>
      <c r="FH848"/>
      <c r="FI848"/>
      <c r="FJ848"/>
      <c r="FK848"/>
      <c r="FL848"/>
      <c r="FM848"/>
      <c r="FN848"/>
      <c r="FO848"/>
      <c r="FP848"/>
      <c r="FQ848"/>
      <c r="FR848"/>
      <c r="FS848"/>
      <c r="FT848"/>
      <c r="FU848"/>
      <c r="FV848"/>
      <c r="FW848"/>
      <c r="FX848"/>
      <c r="FY848"/>
      <c r="FZ848"/>
      <c r="GA848"/>
      <c r="GB848"/>
      <c r="GC848"/>
      <c r="GD848"/>
      <c r="GE848"/>
      <c r="GF848"/>
      <c r="GG848"/>
      <c r="GH848"/>
      <c r="GI848"/>
      <c r="GJ848"/>
      <c r="GK848"/>
      <c r="GL848"/>
      <c r="GM848"/>
      <c r="GN848"/>
      <c r="GO848"/>
      <c r="GP848"/>
      <c r="GQ848"/>
      <c r="GR848"/>
      <c r="GS848"/>
      <c r="GT848"/>
      <c r="GU848"/>
      <c r="GV848"/>
      <c r="GW848"/>
      <c r="GX848"/>
      <c r="GY848"/>
      <c r="GZ848"/>
      <c r="HA848"/>
      <c r="HB848"/>
      <c r="HC848"/>
      <c r="HD848"/>
      <c r="HE848"/>
      <c r="HF848"/>
      <c r="HG848"/>
      <c r="HH848"/>
      <c r="HI848"/>
      <c r="HJ848"/>
      <c r="HK848"/>
      <c r="HL848"/>
      <c r="HM848"/>
      <c r="HN848"/>
      <c r="HO848"/>
      <c r="HP848"/>
      <c r="HQ848"/>
      <c r="HR848"/>
      <c r="HS848"/>
      <c r="HT848"/>
      <c r="HU848"/>
      <c r="HV848"/>
      <c r="HW848"/>
      <c r="HX848"/>
      <c r="HY848"/>
      <c r="HZ848"/>
      <c r="IA848"/>
      <c r="IB848"/>
      <c r="IC848"/>
      <c r="ID848"/>
      <c r="IE848"/>
      <c r="IF848"/>
      <c r="IG848"/>
      <c r="IH848"/>
      <c r="II848"/>
      <c r="IJ848"/>
      <c r="IK848"/>
      <c r="IL848"/>
    </row>
    <row r="849" spans="1:246" ht="12.75" customHeight="1" x14ac:dyDescent="0.2">
      <c r="A849" s="2108"/>
      <c r="B849" s="2110" t="s">
        <v>850</v>
      </c>
      <c r="C849" s="2111">
        <v>4000000</v>
      </c>
      <c r="D849" s="2111">
        <v>4000000</v>
      </c>
      <c r="E849" s="2111">
        <v>1462992.07</v>
      </c>
      <c r="F849" s="2111">
        <v>3500000</v>
      </c>
      <c r="G849" s="2111">
        <v>4000000</v>
      </c>
      <c r="H849"/>
      <c r="I849" s="2068"/>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c r="EX849"/>
      <c r="EY849"/>
      <c r="EZ849"/>
      <c r="FA849"/>
      <c r="FB849"/>
      <c r="FC849"/>
      <c r="FD849"/>
      <c r="FE849"/>
      <c r="FF849"/>
      <c r="FG849"/>
      <c r="FH849"/>
      <c r="FI849"/>
      <c r="FJ849"/>
      <c r="FK849"/>
      <c r="FL849"/>
      <c r="FM849"/>
      <c r="FN849"/>
      <c r="FO849"/>
      <c r="FP849"/>
      <c r="FQ849"/>
      <c r="FR849"/>
      <c r="FS849"/>
      <c r="FT849"/>
      <c r="FU849"/>
      <c r="FV849"/>
      <c r="FW849"/>
      <c r="FX849"/>
      <c r="FY849"/>
      <c r="FZ849"/>
      <c r="GA849"/>
      <c r="GB849"/>
      <c r="GC849"/>
      <c r="GD849"/>
      <c r="GE849"/>
      <c r="GF849"/>
      <c r="GG849"/>
      <c r="GH849"/>
      <c r="GI849"/>
      <c r="GJ849"/>
      <c r="GK849"/>
      <c r="GL849"/>
      <c r="GM849"/>
      <c r="GN849"/>
      <c r="GO849"/>
      <c r="GP849"/>
      <c r="GQ849"/>
      <c r="GR849"/>
      <c r="GS849"/>
      <c r="GT849"/>
      <c r="GU849"/>
      <c r="GV849"/>
      <c r="GW849"/>
      <c r="GX849"/>
      <c r="GY849"/>
      <c r="GZ849"/>
      <c r="HA849"/>
      <c r="HB849"/>
      <c r="HC849"/>
      <c r="HD849"/>
      <c r="HE849"/>
      <c r="HF849"/>
      <c r="HG849"/>
      <c r="HH849"/>
      <c r="HI849"/>
      <c r="HJ849"/>
      <c r="HK849"/>
      <c r="HL849"/>
      <c r="HM849"/>
      <c r="HN849"/>
      <c r="HO849"/>
      <c r="HP849"/>
      <c r="HQ849"/>
      <c r="HR849"/>
      <c r="HS849"/>
      <c r="HT849"/>
      <c r="HU849"/>
      <c r="HV849"/>
      <c r="HW849"/>
      <c r="HX849"/>
      <c r="HY849"/>
      <c r="HZ849"/>
      <c r="IA849"/>
      <c r="IB849"/>
      <c r="IC849"/>
      <c r="ID849"/>
      <c r="IE849"/>
      <c r="IF849"/>
      <c r="IG849"/>
      <c r="IH849"/>
      <c r="II849"/>
      <c r="IJ849"/>
      <c r="IK849"/>
      <c r="IL849"/>
    </row>
    <row r="850" spans="1:246" s="488" customFormat="1" ht="12.75" customHeight="1" x14ac:dyDescent="0.2">
      <c r="A850" s="2086"/>
      <c r="B850" s="2106" t="s">
        <v>855</v>
      </c>
      <c r="C850" s="2075">
        <f>SUM(C851:C851)</f>
        <v>1000000</v>
      </c>
      <c r="D850" s="2075">
        <f>SUM(D851:D851)</f>
        <v>1000000</v>
      </c>
      <c r="E850" s="2075">
        <f>SUM(E851:E851)</f>
        <v>221960</v>
      </c>
      <c r="F850" s="2075">
        <f>SUM(F851:F851)</f>
        <v>410120</v>
      </c>
      <c r="G850" s="2075">
        <f>SUM(G851:G851)</f>
        <v>0</v>
      </c>
      <c r="I850" s="2105"/>
    </row>
    <row r="851" spans="1:246" s="488" customFormat="1" ht="12.75" customHeight="1" x14ac:dyDescent="0.2">
      <c r="A851" s="2108"/>
      <c r="B851" s="2080" t="s">
        <v>1937</v>
      </c>
      <c r="C851" s="2075">
        <v>1000000</v>
      </c>
      <c r="D851" s="2075">
        <v>1000000</v>
      </c>
      <c r="E851" s="2075">
        <v>221960</v>
      </c>
      <c r="F851" s="2075">
        <v>410120</v>
      </c>
      <c r="G851" s="2075">
        <v>0</v>
      </c>
      <c r="I851" s="2105"/>
    </row>
    <row r="852" spans="1:246" s="488" customFormat="1" ht="12.75" customHeight="1" x14ac:dyDescent="0.2">
      <c r="A852" s="2108"/>
      <c r="B852" s="2112" t="s">
        <v>2549</v>
      </c>
      <c r="C852" s="2107">
        <v>300000</v>
      </c>
      <c r="D852" s="2107">
        <v>300000</v>
      </c>
      <c r="E852" s="2107">
        <v>76746</v>
      </c>
      <c r="F852" s="2107">
        <v>140000</v>
      </c>
      <c r="G852" s="2107">
        <v>200000</v>
      </c>
      <c r="I852" s="2105"/>
    </row>
    <row r="853" spans="1:246" ht="12.75" customHeight="1" x14ac:dyDescent="0.2">
      <c r="A853" s="2108"/>
      <c r="B853" s="2112" t="s">
        <v>2550</v>
      </c>
      <c r="C853" s="2107">
        <v>3000000</v>
      </c>
      <c r="D853" s="2107">
        <v>3000000</v>
      </c>
      <c r="E853" s="2107">
        <v>1934008.2</v>
      </c>
      <c r="F853" s="2107">
        <v>2940000</v>
      </c>
      <c r="G853" s="2107">
        <v>3000000</v>
      </c>
      <c r="H853"/>
      <c r="I853" s="2068"/>
      <c r="J853"/>
      <c r="K853"/>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c r="EX853"/>
      <c r="EY853"/>
      <c r="EZ853"/>
      <c r="FA853"/>
      <c r="FB853"/>
      <c r="FC853"/>
      <c r="FD853"/>
      <c r="FE853"/>
      <c r="FF853"/>
      <c r="FG853"/>
      <c r="FH853"/>
      <c r="FI853"/>
      <c r="FJ853"/>
      <c r="FK853"/>
      <c r="FL853"/>
      <c r="FM853"/>
      <c r="FN853"/>
      <c r="FO853"/>
      <c r="FP853"/>
      <c r="FQ853"/>
      <c r="FR853"/>
      <c r="FS853"/>
      <c r="FT853"/>
      <c r="FU853"/>
      <c r="FV853"/>
      <c r="FW853"/>
      <c r="FX853"/>
      <c r="FY853"/>
      <c r="FZ853"/>
      <c r="GA853"/>
      <c r="GB853"/>
      <c r="GC853"/>
      <c r="GD853"/>
      <c r="GE853"/>
      <c r="GF853"/>
      <c r="GG853"/>
      <c r="GH853"/>
      <c r="GI853"/>
      <c r="GJ853"/>
      <c r="GK853"/>
      <c r="GL853"/>
      <c r="GM853"/>
      <c r="GN853"/>
      <c r="GO853"/>
      <c r="GP853"/>
      <c r="GQ853"/>
      <c r="GR853"/>
      <c r="GS853"/>
      <c r="GT853"/>
      <c r="GU853"/>
      <c r="GV853"/>
      <c r="GW853"/>
      <c r="GX853"/>
      <c r="GY853"/>
      <c r="GZ853"/>
      <c r="HA853"/>
      <c r="HB853"/>
      <c r="HC853"/>
      <c r="HD853"/>
      <c r="HE853"/>
      <c r="HF853"/>
      <c r="HG853"/>
      <c r="HH853"/>
      <c r="HI853"/>
      <c r="HJ853"/>
      <c r="HK853"/>
      <c r="HL853"/>
      <c r="HM853"/>
      <c r="HN853"/>
      <c r="HO853"/>
      <c r="HP853"/>
      <c r="HQ853"/>
      <c r="HR853"/>
      <c r="HS853"/>
      <c r="HT853"/>
      <c r="HU853"/>
      <c r="HV853"/>
      <c r="HW853"/>
      <c r="HX853"/>
      <c r="HY853"/>
      <c r="HZ853"/>
      <c r="IA853"/>
      <c r="IB853"/>
      <c r="IC853"/>
      <c r="ID853"/>
      <c r="IE853"/>
      <c r="IF853"/>
      <c r="IG853"/>
      <c r="IH853"/>
      <c r="II853"/>
      <c r="IJ853"/>
      <c r="IK853"/>
      <c r="IL853"/>
    </row>
    <row r="854" spans="1:246" ht="12.75" customHeight="1" x14ac:dyDescent="0.2">
      <c r="A854" s="2108"/>
      <c r="B854" s="2113" t="s">
        <v>1942</v>
      </c>
      <c r="C854" s="2107">
        <v>100000</v>
      </c>
      <c r="D854" s="2107">
        <v>100000</v>
      </c>
      <c r="E854" s="2107">
        <v>71317</v>
      </c>
      <c r="F854" s="2107">
        <v>103000</v>
      </c>
      <c r="G854" s="2107">
        <v>120000</v>
      </c>
      <c r="H854"/>
      <c r="I854" s="2068"/>
      <c r="J854"/>
      <c r="K854"/>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c r="EX854"/>
      <c r="EY854"/>
      <c r="EZ854"/>
      <c r="FA854"/>
      <c r="FB854"/>
      <c r="FC854"/>
      <c r="FD854"/>
      <c r="FE854"/>
      <c r="FF854"/>
      <c r="FG854"/>
      <c r="FH854"/>
      <c r="FI854"/>
      <c r="FJ854"/>
      <c r="FK854"/>
      <c r="FL854"/>
      <c r="FM854"/>
      <c r="FN854"/>
      <c r="FO854"/>
      <c r="FP854"/>
      <c r="FQ854"/>
      <c r="FR854"/>
      <c r="FS854"/>
      <c r="FT854"/>
      <c r="FU854"/>
      <c r="FV854"/>
      <c r="FW854"/>
      <c r="FX854"/>
      <c r="FY854"/>
      <c r="FZ854"/>
      <c r="GA854"/>
      <c r="GB854"/>
      <c r="GC854"/>
      <c r="GD854"/>
      <c r="GE854"/>
      <c r="GF854"/>
      <c r="GG854"/>
      <c r="GH854"/>
      <c r="GI854"/>
      <c r="GJ854"/>
      <c r="GK854"/>
      <c r="GL854"/>
      <c r="GM854"/>
      <c r="GN854"/>
      <c r="GO854"/>
      <c r="GP854"/>
      <c r="GQ854"/>
      <c r="GR854"/>
      <c r="GS854"/>
      <c r="GT854"/>
      <c r="GU854"/>
      <c r="GV854"/>
      <c r="GW854"/>
      <c r="GX854"/>
      <c r="GY854"/>
      <c r="GZ854"/>
      <c r="HA854"/>
      <c r="HB854"/>
      <c r="HC854"/>
      <c r="HD854"/>
      <c r="HE854"/>
      <c r="HF854"/>
      <c r="HG854"/>
      <c r="HH854"/>
      <c r="HI854"/>
      <c r="HJ854"/>
      <c r="HK854"/>
      <c r="HL854"/>
      <c r="HM854"/>
      <c r="HN854"/>
      <c r="HO854"/>
      <c r="HP854"/>
      <c r="HQ854"/>
      <c r="HR854"/>
      <c r="HS854"/>
      <c r="HT854"/>
      <c r="HU854"/>
      <c r="HV854"/>
      <c r="HW854"/>
      <c r="HX854"/>
      <c r="HY854"/>
      <c r="HZ854"/>
      <c r="IA854"/>
      <c r="IB854"/>
      <c r="IC854"/>
      <c r="ID854"/>
      <c r="IE854"/>
      <c r="IF854"/>
      <c r="IG854"/>
      <c r="IH854"/>
      <c r="II854"/>
      <c r="IJ854"/>
      <c r="IK854"/>
      <c r="IL854"/>
    </row>
    <row r="855" spans="1:246" ht="12.75" customHeight="1" x14ac:dyDescent="0.2">
      <c r="A855" s="2108"/>
      <c r="B855" s="2114" t="s">
        <v>1943</v>
      </c>
      <c r="C855" s="2075">
        <v>100000</v>
      </c>
      <c r="D855" s="2075">
        <v>100000</v>
      </c>
      <c r="E855" s="2075">
        <v>20443.599999999999</v>
      </c>
      <c r="F855" s="2075">
        <v>24000</v>
      </c>
      <c r="G855" s="2075">
        <v>50000</v>
      </c>
      <c r="H855"/>
      <c r="I855" s="2068"/>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c r="EX855"/>
      <c r="EY855"/>
      <c r="EZ855"/>
      <c r="FA855"/>
      <c r="FB855"/>
      <c r="FC855"/>
      <c r="FD855"/>
      <c r="FE855"/>
      <c r="FF855"/>
      <c r="FG855"/>
      <c r="FH855"/>
      <c r="FI855"/>
      <c r="FJ855"/>
      <c r="FK855"/>
      <c r="FL855"/>
      <c r="FM855"/>
      <c r="FN855"/>
      <c r="FO855"/>
      <c r="FP855"/>
      <c r="FQ855"/>
      <c r="FR855"/>
      <c r="FS855"/>
      <c r="FT855"/>
      <c r="FU855"/>
      <c r="FV855"/>
      <c r="FW855"/>
      <c r="FX855"/>
      <c r="FY855"/>
      <c r="FZ855"/>
      <c r="GA855"/>
      <c r="GB855"/>
      <c r="GC855"/>
      <c r="GD855"/>
      <c r="GE855"/>
      <c r="GF855"/>
      <c r="GG855"/>
      <c r="GH855"/>
      <c r="GI855"/>
      <c r="GJ855"/>
      <c r="GK855"/>
      <c r="GL855"/>
      <c r="GM855"/>
      <c r="GN855"/>
      <c r="GO855"/>
      <c r="GP855"/>
      <c r="GQ855"/>
      <c r="GR855"/>
      <c r="GS855"/>
      <c r="GT855"/>
      <c r="GU855"/>
      <c r="GV855"/>
      <c r="GW855"/>
      <c r="GX855"/>
      <c r="GY855"/>
      <c r="GZ855"/>
      <c r="HA855"/>
      <c r="HB855"/>
      <c r="HC855"/>
      <c r="HD855"/>
      <c r="HE855"/>
      <c r="HF855"/>
      <c r="HG855"/>
      <c r="HH855"/>
      <c r="HI855"/>
      <c r="HJ855"/>
      <c r="HK855"/>
      <c r="HL855"/>
      <c r="HM855"/>
      <c r="HN855"/>
      <c r="HO855"/>
      <c r="HP855"/>
      <c r="HQ855"/>
      <c r="HR855"/>
      <c r="HS855"/>
      <c r="HT855"/>
      <c r="HU855"/>
      <c r="HV855"/>
      <c r="HW855"/>
      <c r="HX855"/>
      <c r="HY855"/>
      <c r="HZ855"/>
      <c r="IA855"/>
      <c r="IB855"/>
      <c r="IC855"/>
      <c r="ID855"/>
      <c r="IE855"/>
      <c r="IF855"/>
      <c r="IG855"/>
      <c r="IH855"/>
      <c r="II855"/>
      <c r="IJ855"/>
      <c r="IK855"/>
      <c r="IL855"/>
    </row>
    <row r="856" spans="1:246" ht="12.75" customHeight="1" x14ac:dyDescent="0.2">
      <c r="A856" s="2108"/>
      <c r="B856" s="2114" t="s">
        <v>1944</v>
      </c>
      <c r="C856" s="2107">
        <f>C857+C858+C859+C860</f>
        <v>32450000</v>
      </c>
      <c r="D856" s="2107">
        <f>D857+D858+D859+D860</f>
        <v>32450000</v>
      </c>
      <c r="E856" s="2107">
        <f>E857+E858+E859+E860</f>
        <v>18283424.970000003</v>
      </c>
      <c r="F856" s="2107">
        <f>F857+F858+F859+F860</f>
        <v>26320000</v>
      </c>
      <c r="G856" s="2107">
        <f>G857+G858+G859+G860</f>
        <v>34000000</v>
      </c>
      <c r="H856"/>
      <c r="I856" s="2068"/>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c r="EX856"/>
      <c r="EY856"/>
      <c r="EZ856"/>
      <c r="FA856"/>
      <c r="FB856"/>
      <c r="FC856"/>
      <c r="FD856"/>
      <c r="FE856"/>
      <c r="FF856"/>
      <c r="FG856"/>
      <c r="FH856"/>
      <c r="FI856"/>
      <c r="FJ856"/>
      <c r="FK856"/>
      <c r="FL856"/>
      <c r="FM856"/>
      <c r="FN856"/>
      <c r="FO856"/>
      <c r="FP856"/>
      <c r="FQ856"/>
      <c r="FR856"/>
      <c r="FS856"/>
      <c r="FT856"/>
      <c r="FU856"/>
      <c r="FV856"/>
      <c r="FW856"/>
      <c r="FX856"/>
      <c r="FY856"/>
      <c r="FZ856"/>
      <c r="GA856"/>
      <c r="GB856"/>
      <c r="GC856"/>
      <c r="GD856"/>
      <c r="GE856"/>
      <c r="GF856"/>
      <c r="GG856"/>
      <c r="GH856"/>
      <c r="GI856"/>
      <c r="GJ856"/>
      <c r="GK856"/>
      <c r="GL856"/>
      <c r="GM856"/>
      <c r="GN856"/>
      <c r="GO856"/>
      <c r="GP856"/>
      <c r="GQ856"/>
      <c r="GR856"/>
      <c r="GS856"/>
      <c r="GT856"/>
      <c r="GU856"/>
      <c r="GV856"/>
      <c r="GW856"/>
      <c r="GX856"/>
      <c r="GY856"/>
      <c r="GZ856"/>
      <c r="HA856"/>
      <c r="HB856"/>
      <c r="HC856"/>
      <c r="HD856"/>
      <c r="HE856"/>
      <c r="HF856"/>
      <c r="HG856"/>
      <c r="HH856"/>
      <c r="HI856"/>
      <c r="HJ856"/>
      <c r="HK856"/>
      <c r="HL856"/>
      <c r="HM856"/>
      <c r="HN856"/>
      <c r="HO856"/>
      <c r="HP856"/>
      <c r="HQ856"/>
      <c r="HR856"/>
      <c r="HS856"/>
      <c r="HT856"/>
      <c r="HU856"/>
      <c r="HV856"/>
      <c r="HW856"/>
      <c r="HX856"/>
      <c r="HY856"/>
      <c r="HZ856"/>
      <c r="IA856"/>
      <c r="IB856"/>
      <c r="IC856"/>
      <c r="ID856"/>
      <c r="IE856"/>
      <c r="IF856"/>
      <c r="IG856"/>
      <c r="IH856"/>
      <c r="II856"/>
      <c r="IJ856"/>
      <c r="IK856"/>
      <c r="IL856"/>
    </row>
    <row r="857" spans="1:246" s="488" customFormat="1" ht="12.75" customHeight="1" x14ac:dyDescent="0.2">
      <c r="A857" s="2108"/>
      <c r="B857" s="2115" t="s">
        <v>1945</v>
      </c>
      <c r="C857" s="2075">
        <v>7000000</v>
      </c>
      <c r="D857" s="2075">
        <v>7000000</v>
      </c>
      <c r="E857" s="2075">
        <v>5389805.4699999997</v>
      </c>
      <c r="F857" s="2075">
        <v>7200000</v>
      </c>
      <c r="G857" s="2075">
        <v>9000000</v>
      </c>
      <c r="I857" s="2105"/>
    </row>
    <row r="858" spans="1:246" s="488" customFormat="1" ht="12.75" customHeight="1" x14ac:dyDescent="0.2">
      <c r="A858" s="2086"/>
      <c r="B858" s="2116" t="s">
        <v>1946</v>
      </c>
      <c r="C858" s="2107">
        <v>22000000</v>
      </c>
      <c r="D858" s="2107">
        <v>22000000</v>
      </c>
      <c r="E858" s="2107">
        <v>11220088.970000001</v>
      </c>
      <c r="F858" s="2107">
        <v>16800000</v>
      </c>
      <c r="G858" s="2107">
        <v>22000000</v>
      </c>
      <c r="I858" s="2105"/>
    </row>
    <row r="859" spans="1:246" s="488" customFormat="1" ht="12.75" customHeight="1" x14ac:dyDescent="0.2">
      <c r="A859" s="2086"/>
      <c r="B859" s="2088" t="s">
        <v>1947</v>
      </c>
      <c r="C859" s="2107">
        <v>900000</v>
      </c>
      <c r="D859" s="2107">
        <v>900000</v>
      </c>
      <c r="E859" s="2107">
        <v>6063.27</v>
      </c>
      <c r="F859" s="2107">
        <v>20000</v>
      </c>
      <c r="G859" s="2107">
        <v>500000</v>
      </c>
      <c r="I859" s="2105"/>
    </row>
    <row r="860" spans="1:246" s="488" customFormat="1" ht="12.75" customHeight="1" x14ac:dyDescent="0.2">
      <c r="A860" s="2086"/>
      <c r="B860" s="2080" t="s">
        <v>1948</v>
      </c>
      <c r="C860" s="2107">
        <v>2550000</v>
      </c>
      <c r="D860" s="2107">
        <v>2550000</v>
      </c>
      <c r="E860" s="2107">
        <v>1667467.26</v>
      </c>
      <c r="F860" s="2107">
        <v>2300000</v>
      </c>
      <c r="G860" s="2107">
        <v>2500000</v>
      </c>
      <c r="I860" s="2105"/>
    </row>
    <row r="861" spans="1:246" s="488" customFormat="1" ht="12.75" customHeight="1" x14ac:dyDescent="0.2">
      <c r="A861" s="2086"/>
      <c r="B861" s="2080" t="s">
        <v>1949</v>
      </c>
      <c r="C861" s="1809">
        <v>20000</v>
      </c>
      <c r="D861" s="1809">
        <v>0</v>
      </c>
      <c r="E861" s="1809">
        <v>0</v>
      </c>
      <c r="F861" s="1809">
        <v>0</v>
      </c>
      <c r="G861" s="2107">
        <v>0</v>
      </c>
      <c r="I861" s="2105"/>
    </row>
    <row r="862" spans="1:246" ht="12.75" customHeight="1" x14ac:dyDescent="0.2">
      <c r="A862" s="1155">
        <v>3613</v>
      </c>
      <c r="B862" s="2117" t="s">
        <v>879</v>
      </c>
      <c r="C862" s="2118">
        <f>C863+C870+C871+C872+C877+C889+C891</f>
        <v>23745000</v>
      </c>
      <c r="D862" s="2118" t="e">
        <f>D863+D870+D871+D872+D877+D889+D890+#REF!+D891</f>
        <v>#REF!</v>
      </c>
      <c r="E862" s="2118" t="e">
        <f>E863+E870+E871+E872+E877+E889+E890+#REF!+E891</f>
        <v>#REF!</v>
      </c>
      <c r="F862" s="2118">
        <f>F863+F870+F871+F872+F877+F889+F890+F891</f>
        <v>13670397.48</v>
      </c>
      <c r="G862" s="2118">
        <f>G863+G870+G871+G872+G877+G889</f>
        <v>17952000</v>
      </c>
      <c r="H862"/>
      <c r="I862" s="2068"/>
      <c r="J862"/>
      <c r="K86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c r="EX862"/>
      <c r="EY862"/>
      <c r="EZ862"/>
      <c r="FA862"/>
      <c r="FB862"/>
      <c r="FC862"/>
      <c r="FD862"/>
      <c r="FE862"/>
      <c r="FF862"/>
      <c r="FG862"/>
      <c r="FH862"/>
      <c r="FI862"/>
      <c r="FJ862"/>
      <c r="FK862"/>
      <c r="FL862"/>
      <c r="FM862"/>
      <c r="FN862"/>
      <c r="FO862"/>
      <c r="FP862"/>
      <c r="FQ862"/>
      <c r="FR862"/>
      <c r="FS862"/>
      <c r="FT862"/>
      <c r="FU862"/>
      <c r="FV862"/>
      <c r="FW862"/>
      <c r="FX862"/>
      <c r="FY862"/>
      <c r="FZ862"/>
      <c r="GA862"/>
      <c r="GB862"/>
      <c r="GC862"/>
      <c r="GD862"/>
      <c r="GE862"/>
      <c r="GF862"/>
      <c r="GG862"/>
      <c r="GH862"/>
      <c r="GI862"/>
      <c r="GJ862"/>
      <c r="GK862"/>
      <c r="GL862"/>
      <c r="GM862"/>
      <c r="GN862"/>
      <c r="GO862"/>
      <c r="GP862"/>
      <c r="GQ862"/>
      <c r="GR862"/>
      <c r="GS862"/>
      <c r="GT862"/>
      <c r="GU862"/>
      <c r="GV862"/>
      <c r="GW862"/>
      <c r="GX862"/>
      <c r="GY862"/>
      <c r="GZ862"/>
      <c r="HA862"/>
      <c r="HB862"/>
      <c r="HC862"/>
      <c r="HD862"/>
      <c r="HE862"/>
      <c r="HF862"/>
      <c r="HG862"/>
      <c r="HH862"/>
      <c r="HI862"/>
      <c r="HJ862"/>
      <c r="HK862"/>
      <c r="HL862"/>
      <c r="HM862"/>
      <c r="HN862"/>
      <c r="HO862"/>
      <c r="HP862"/>
      <c r="HQ862"/>
      <c r="HR862"/>
      <c r="HS862"/>
      <c r="HT862"/>
      <c r="HU862"/>
      <c r="HV862"/>
      <c r="HW862"/>
      <c r="HX862"/>
      <c r="HY862"/>
      <c r="HZ862"/>
      <c r="IA862"/>
      <c r="IB862"/>
      <c r="IC862"/>
      <c r="ID862"/>
      <c r="IE862"/>
      <c r="IF862"/>
      <c r="IG862"/>
      <c r="IH862"/>
      <c r="II862"/>
      <c r="IJ862"/>
      <c r="IK862"/>
      <c r="IL862"/>
    </row>
    <row r="863" spans="1:246" s="488" customFormat="1" ht="12.75" customHeight="1" x14ac:dyDescent="0.2">
      <c r="A863" s="2119"/>
      <c r="B863" s="2120" t="s">
        <v>880</v>
      </c>
      <c r="C863" s="2121">
        <f>SUM(C864:C869)</f>
        <v>3990000</v>
      </c>
      <c r="D863" s="2121">
        <f>SUM(D864:D869)</f>
        <v>4200000</v>
      </c>
      <c r="E863" s="2121">
        <f>SUM(E864:E869)</f>
        <v>2190990.44</v>
      </c>
      <c r="F863" s="2121">
        <f>SUM(F864:F869)</f>
        <v>3477761.0300000003</v>
      </c>
      <c r="G863" s="2121">
        <f>SUM(G864:G869)</f>
        <v>1430000</v>
      </c>
      <c r="I863" s="2105"/>
    </row>
    <row r="864" spans="1:246" s="488" customFormat="1" ht="12.75" customHeight="1" x14ac:dyDescent="0.2">
      <c r="A864" s="2122"/>
      <c r="B864" s="2080" t="s">
        <v>2551</v>
      </c>
      <c r="C864" s="2107">
        <v>550000</v>
      </c>
      <c r="D864" s="2107">
        <v>550000</v>
      </c>
      <c r="E864" s="2107">
        <v>0</v>
      </c>
      <c r="F864" s="2107">
        <v>0</v>
      </c>
      <c r="G864" s="2107">
        <v>500000</v>
      </c>
      <c r="I864" s="2105"/>
    </row>
    <row r="865" spans="1:246" s="488" customFormat="1" ht="12.75" customHeight="1" x14ac:dyDescent="0.2">
      <c r="A865" s="2122"/>
      <c r="B865" s="2123" t="s">
        <v>1953</v>
      </c>
      <c r="C865" s="2107">
        <v>600000</v>
      </c>
      <c r="D865" s="2107">
        <v>600000</v>
      </c>
      <c r="E865" s="2107">
        <v>0</v>
      </c>
      <c r="F865" s="2107">
        <v>600000</v>
      </c>
      <c r="G865" s="2107">
        <v>0</v>
      </c>
      <c r="I865" s="2105"/>
    </row>
    <row r="866" spans="1:246" s="488" customFormat="1" ht="12.75" customHeight="1" x14ac:dyDescent="0.2">
      <c r="A866" s="2122"/>
      <c r="B866" s="2123" t="s">
        <v>2552</v>
      </c>
      <c r="C866" s="2107">
        <v>0</v>
      </c>
      <c r="D866" s="2107">
        <v>0</v>
      </c>
      <c r="E866" s="2107">
        <v>0</v>
      </c>
      <c r="F866" s="2107">
        <v>0</v>
      </c>
      <c r="G866" s="1809">
        <v>930000</v>
      </c>
      <c r="I866" s="2105"/>
    </row>
    <row r="867" spans="1:246" s="488" customFormat="1" ht="12.75" customHeight="1" x14ac:dyDescent="0.2">
      <c r="A867" s="2122"/>
      <c r="B867" s="2123" t="s">
        <v>1954</v>
      </c>
      <c r="C867" s="2107">
        <v>1100000</v>
      </c>
      <c r="D867" s="2107">
        <v>1310000</v>
      </c>
      <c r="E867" s="2107">
        <v>1039027.64</v>
      </c>
      <c r="F867" s="2107">
        <v>1039027.64</v>
      </c>
      <c r="G867" s="2107">
        <v>0</v>
      </c>
      <c r="I867" s="2105"/>
    </row>
    <row r="868" spans="1:246" s="488" customFormat="1" ht="12.75" customHeight="1" x14ac:dyDescent="0.2">
      <c r="A868" s="2122"/>
      <c r="B868" s="2088" t="s">
        <v>2553</v>
      </c>
      <c r="C868" s="2107">
        <v>840000</v>
      </c>
      <c r="D868" s="2107">
        <v>840000</v>
      </c>
      <c r="E868" s="2107">
        <v>487843.59</v>
      </c>
      <c r="F868" s="2107">
        <v>1174614.18</v>
      </c>
      <c r="G868" s="2107">
        <v>0</v>
      </c>
      <c r="I868" s="2105"/>
    </row>
    <row r="869" spans="1:246" ht="12.75" customHeight="1" x14ac:dyDescent="0.2">
      <c r="A869" s="2122"/>
      <c r="B869" s="2088" t="s">
        <v>1957</v>
      </c>
      <c r="C869" s="2107">
        <v>900000</v>
      </c>
      <c r="D869" s="2107">
        <v>900000</v>
      </c>
      <c r="E869" s="2107">
        <v>664119.21</v>
      </c>
      <c r="F869" s="2107">
        <v>664119.21</v>
      </c>
      <c r="G869" s="2107">
        <v>0</v>
      </c>
      <c r="H869"/>
      <c r="I869" s="2068"/>
      <c r="J869"/>
      <c r="K869"/>
      <c r="L869"/>
      <c r="M869"/>
      <c r="N869"/>
      <c r="O869"/>
      <c r="P869"/>
      <c r="Q869"/>
      <c r="R869"/>
      <c r="S869"/>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c r="EB869"/>
      <c r="EC869"/>
      <c r="ED869"/>
      <c r="EE869"/>
      <c r="EF869"/>
      <c r="EG869"/>
      <c r="EH869"/>
      <c r="EI869"/>
      <c r="EJ869"/>
      <c r="EK869"/>
      <c r="EL869"/>
      <c r="EM869"/>
      <c r="EN869"/>
      <c r="EO869"/>
      <c r="EP869"/>
      <c r="EQ869"/>
      <c r="ER869"/>
      <c r="ES869"/>
      <c r="ET869"/>
      <c r="EU869"/>
      <c r="EV869"/>
      <c r="EW869"/>
      <c r="EX869"/>
      <c r="EY869"/>
      <c r="EZ869"/>
      <c r="FA869"/>
      <c r="FB869"/>
      <c r="FC869"/>
      <c r="FD869"/>
      <c r="FE869"/>
      <c r="FF869"/>
      <c r="FG869"/>
      <c r="FH869"/>
      <c r="FI869"/>
      <c r="FJ869"/>
      <c r="FK869"/>
      <c r="FL869"/>
      <c r="FM869"/>
      <c r="FN869"/>
      <c r="FO869"/>
      <c r="FP869"/>
      <c r="FQ869"/>
      <c r="FR869"/>
      <c r="FS869"/>
      <c r="FT869"/>
      <c r="FU869"/>
      <c r="FV869"/>
      <c r="FW869"/>
      <c r="FX869"/>
      <c r="FY869"/>
      <c r="FZ869"/>
      <c r="GA869"/>
      <c r="GB869"/>
      <c r="GC869"/>
      <c r="GD869"/>
      <c r="GE869"/>
      <c r="GF869"/>
      <c r="GG869"/>
      <c r="GH869"/>
      <c r="GI869"/>
      <c r="GJ869"/>
      <c r="GK869"/>
      <c r="GL869"/>
      <c r="GM869"/>
      <c r="GN869"/>
      <c r="GO869"/>
      <c r="GP869"/>
      <c r="GQ869"/>
      <c r="GR869"/>
      <c r="GS869"/>
      <c r="GT869"/>
      <c r="GU869"/>
      <c r="GV869"/>
      <c r="GW869"/>
      <c r="GX869"/>
      <c r="GY869"/>
      <c r="GZ869"/>
      <c r="HA869"/>
      <c r="HB869"/>
      <c r="HC869"/>
      <c r="HD869"/>
      <c r="HE869"/>
      <c r="HF869"/>
      <c r="HG869"/>
      <c r="HH869"/>
      <c r="HI869"/>
      <c r="HJ869"/>
      <c r="HK869"/>
      <c r="HL869"/>
      <c r="HM869"/>
      <c r="HN869"/>
      <c r="HO869"/>
      <c r="HP869"/>
      <c r="HQ869"/>
      <c r="HR869"/>
      <c r="HS869"/>
      <c r="HT869"/>
      <c r="HU869"/>
      <c r="HV869"/>
      <c r="HW869"/>
      <c r="HX869"/>
      <c r="HY869"/>
      <c r="HZ869"/>
      <c r="IA869"/>
      <c r="IB869"/>
      <c r="IC869"/>
      <c r="ID869"/>
      <c r="IE869"/>
      <c r="IF869"/>
      <c r="IG869"/>
      <c r="IH869"/>
      <c r="II869"/>
      <c r="IJ869"/>
      <c r="IK869"/>
      <c r="IL869"/>
    </row>
    <row r="870" spans="1:246" ht="12.75" customHeight="1" x14ac:dyDescent="0.2">
      <c r="A870" s="2122"/>
      <c r="B870" s="2087" t="s">
        <v>1959</v>
      </c>
      <c r="C870" s="2075">
        <v>30000</v>
      </c>
      <c r="D870" s="2075">
        <v>30000</v>
      </c>
      <c r="E870" s="2075">
        <v>0</v>
      </c>
      <c r="F870" s="2075">
        <v>0</v>
      </c>
      <c r="G870" s="2075">
        <v>30000</v>
      </c>
      <c r="H870"/>
      <c r="I870" s="2068"/>
      <c r="J870"/>
      <c r="K870"/>
      <c r="L870"/>
      <c r="M870"/>
      <c r="N870"/>
      <c r="O870"/>
      <c r="P870"/>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c r="EB870"/>
      <c r="EC870"/>
      <c r="ED870"/>
      <c r="EE870"/>
      <c r="EF870"/>
      <c r="EG870"/>
      <c r="EH870"/>
      <c r="EI870"/>
      <c r="EJ870"/>
      <c r="EK870"/>
      <c r="EL870"/>
      <c r="EM870"/>
      <c r="EN870"/>
      <c r="EO870"/>
      <c r="EP870"/>
      <c r="EQ870"/>
      <c r="ER870"/>
      <c r="ES870"/>
      <c r="ET870"/>
      <c r="EU870"/>
      <c r="EV870"/>
      <c r="EW870"/>
      <c r="EX870"/>
      <c r="EY870"/>
      <c r="EZ870"/>
      <c r="FA870"/>
      <c r="FB870"/>
      <c r="FC870"/>
      <c r="FD870"/>
      <c r="FE870"/>
      <c r="FF870"/>
      <c r="FG870"/>
      <c r="FH870"/>
      <c r="FI870"/>
      <c r="FJ870"/>
      <c r="FK870"/>
      <c r="FL870"/>
      <c r="FM870"/>
      <c r="FN870"/>
      <c r="FO870"/>
      <c r="FP870"/>
      <c r="FQ870"/>
      <c r="FR870"/>
      <c r="FS870"/>
      <c r="FT870"/>
      <c r="FU870"/>
      <c r="FV870"/>
      <c r="FW870"/>
      <c r="FX870"/>
      <c r="FY870"/>
      <c r="FZ870"/>
      <c r="GA870"/>
      <c r="GB870"/>
      <c r="GC870"/>
      <c r="GD870"/>
      <c r="GE870"/>
      <c r="GF870"/>
      <c r="GG870"/>
      <c r="GH870"/>
      <c r="GI870"/>
      <c r="GJ870"/>
      <c r="GK870"/>
      <c r="GL870"/>
      <c r="GM870"/>
      <c r="GN870"/>
      <c r="GO870"/>
      <c r="GP870"/>
      <c r="GQ870"/>
      <c r="GR870"/>
      <c r="GS870"/>
      <c r="GT870"/>
      <c r="GU870"/>
      <c r="GV870"/>
      <c r="GW870"/>
      <c r="GX870"/>
      <c r="GY870"/>
      <c r="GZ870"/>
      <c r="HA870"/>
      <c r="HB870"/>
      <c r="HC870"/>
      <c r="HD870"/>
      <c r="HE870"/>
      <c r="HF870"/>
      <c r="HG870"/>
      <c r="HH870"/>
      <c r="HI870"/>
      <c r="HJ870"/>
      <c r="HK870"/>
      <c r="HL870"/>
      <c r="HM870"/>
      <c r="HN870"/>
      <c r="HO870"/>
      <c r="HP870"/>
      <c r="HQ870"/>
      <c r="HR870"/>
      <c r="HS870"/>
      <c r="HT870"/>
      <c r="HU870"/>
      <c r="HV870"/>
      <c r="HW870"/>
      <c r="HX870"/>
      <c r="HY870"/>
      <c r="HZ870"/>
      <c r="IA870"/>
      <c r="IB870"/>
      <c r="IC870"/>
      <c r="ID870"/>
      <c r="IE870"/>
      <c r="IF870"/>
      <c r="IG870"/>
      <c r="IH870"/>
      <c r="II870"/>
      <c r="IJ870"/>
      <c r="IK870"/>
      <c r="IL870"/>
    </row>
    <row r="871" spans="1:246" ht="12.75" customHeight="1" x14ac:dyDescent="0.2">
      <c r="A871" s="2122"/>
      <c r="B871" s="2087" t="s">
        <v>1960</v>
      </c>
      <c r="C871" s="2089">
        <v>80000</v>
      </c>
      <c r="D871" s="2089">
        <v>80000</v>
      </c>
      <c r="E871" s="2089">
        <v>5425.13</v>
      </c>
      <c r="F871" s="2089">
        <v>6000</v>
      </c>
      <c r="G871" s="2089">
        <v>80000</v>
      </c>
      <c r="H871"/>
      <c r="I871" s="2068"/>
      <c r="J871"/>
      <c r="K871"/>
      <c r="L871"/>
      <c r="M871"/>
      <c r="N871"/>
      <c r="O871"/>
      <c r="P871"/>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c r="EB871"/>
      <c r="EC871"/>
      <c r="ED871"/>
      <c r="EE871"/>
      <c r="EF871"/>
      <c r="EG871"/>
      <c r="EH871"/>
      <c r="EI871"/>
      <c r="EJ871"/>
      <c r="EK871"/>
      <c r="EL871"/>
      <c r="EM871"/>
      <c r="EN871"/>
      <c r="EO871"/>
      <c r="EP871"/>
      <c r="EQ871"/>
      <c r="ER871"/>
      <c r="ES871"/>
      <c r="ET871"/>
      <c r="EU871"/>
      <c r="EV871"/>
      <c r="EW871"/>
      <c r="EX871"/>
      <c r="EY871"/>
      <c r="EZ871"/>
      <c r="FA871"/>
      <c r="FB871"/>
      <c r="FC871"/>
      <c r="FD871"/>
      <c r="FE871"/>
      <c r="FF871"/>
      <c r="FG871"/>
      <c r="FH871"/>
      <c r="FI871"/>
      <c r="FJ871"/>
      <c r="FK871"/>
      <c r="FL871"/>
      <c r="FM871"/>
      <c r="FN871"/>
      <c r="FO871"/>
      <c r="FP871"/>
      <c r="FQ871"/>
      <c r="FR871"/>
      <c r="FS871"/>
      <c r="FT871"/>
      <c r="FU871"/>
      <c r="FV871"/>
      <c r="FW871"/>
      <c r="FX871"/>
      <c r="FY871"/>
      <c r="FZ871"/>
      <c r="GA871"/>
      <c r="GB871"/>
      <c r="GC871"/>
      <c r="GD871"/>
      <c r="GE871"/>
      <c r="GF871"/>
      <c r="GG871"/>
      <c r="GH871"/>
      <c r="GI871"/>
      <c r="GJ871"/>
      <c r="GK871"/>
      <c r="GL871"/>
      <c r="GM871"/>
      <c r="GN871"/>
      <c r="GO871"/>
      <c r="GP871"/>
      <c r="GQ871"/>
      <c r="GR871"/>
      <c r="GS871"/>
      <c r="GT871"/>
      <c r="GU871"/>
      <c r="GV871"/>
      <c r="GW871"/>
      <c r="GX871"/>
      <c r="GY871"/>
      <c r="GZ871"/>
      <c r="HA871"/>
      <c r="HB871"/>
      <c r="HC871"/>
      <c r="HD871"/>
      <c r="HE871"/>
      <c r="HF871"/>
      <c r="HG871"/>
      <c r="HH871"/>
      <c r="HI871"/>
      <c r="HJ871"/>
      <c r="HK871"/>
      <c r="HL871"/>
      <c r="HM871"/>
      <c r="HN871"/>
      <c r="HO871"/>
      <c r="HP871"/>
      <c r="HQ871"/>
      <c r="HR871"/>
      <c r="HS871"/>
      <c r="HT871"/>
      <c r="HU871"/>
      <c r="HV871"/>
      <c r="HW871"/>
      <c r="HX871"/>
      <c r="HY871"/>
      <c r="HZ871"/>
      <c r="IA871"/>
      <c r="IB871"/>
      <c r="IC871"/>
      <c r="ID871"/>
      <c r="IE871"/>
      <c r="IF871"/>
      <c r="IG871"/>
      <c r="IH871"/>
      <c r="II871"/>
      <c r="IJ871"/>
      <c r="IK871"/>
      <c r="IL871"/>
    </row>
    <row r="872" spans="1:246" s="98" customFormat="1" ht="12.75" customHeight="1" x14ac:dyDescent="0.2">
      <c r="A872" s="2098"/>
      <c r="B872" s="2087" t="s">
        <v>1961</v>
      </c>
      <c r="C872" s="2089">
        <f>C873+C874+C875+C876</f>
        <v>8050000</v>
      </c>
      <c r="D872" s="2089">
        <f>D873+D874+D875+D876</f>
        <v>8050000</v>
      </c>
      <c r="E872" s="2089">
        <f>E873+E874+E875+E876</f>
        <v>2934596.2</v>
      </c>
      <c r="F872" s="2089">
        <f>F873+F874+F875+F876</f>
        <v>3750000</v>
      </c>
      <c r="G872" s="2089">
        <f>G873+G874+G875+G876</f>
        <v>6500000</v>
      </c>
      <c r="I872" s="899"/>
    </row>
    <row r="873" spans="1:246" s="488" customFormat="1" ht="12.75" customHeight="1" x14ac:dyDescent="0.2">
      <c r="A873" s="2098"/>
      <c r="B873" s="2087" t="s">
        <v>1945</v>
      </c>
      <c r="C873" s="2107">
        <v>1200000</v>
      </c>
      <c r="D873" s="2107">
        <v>1200000</v>
      </c>
      <c r="E873" s="2107">
        <v>522572.6</v>
      </c>
      <c r="F873" s="2107">
        <v>630000</v>
      </c>
      <c r="G873" s="2107">
        <v>1000000</v>
      </c>
      <c r="I873" s="2105"/>
    </row>
    <row r="874" spans="1:246" ht="12.75" customHeight="1" x14ac:dyDescent="0.2">
      <c r="A874" s="2098"/>
      <c r="B874" s="2087" t="s">
        <v>897</v>
      </c>
      <c r="C874" s="2107">
        <v>2000000</v>
      </c>
      <c r="D874" s="2107">
        <v>2000000</v>
      </c>
      <c r="E874" s="2107">
        <v>39607.300000000003</v>
      </c>
      <c r="F874" s="2107">
        <v>70000</v>
      </c>
      <c r="G874" s="2107">
        <v>1000000</v>
      </c>
      <c r="H874"/>
      <c r="I874" s="2068"/>
      <c r="J874"/>
      <c r="K874"/>
      <c r="L874"/>
      <c r="M874"/>
      <c r="N874"/>
      <c r="O874"/>
      <c r="P874"/>
      <c r="Q874"/>
      <c r="R874"/>
      <c r="S874"/>
      <c r="T874"/>
      <c r="U874"/>
      <c r="V874"/>
      <c r="W874"/>
      <c r="X874"/>
      <c r="Y874"/>
      <c r="Z874"/>
      <c r="AA874"/>
      <c r="AB874"/>
      <c r="AC874"/>
      <c r="AD874"/>
      <c r="AE874"/>
      <c r="AF874"/>
      <c r="AG874"/>
      <c r="AH874"/>
      <c r="AI874"/>
      <c r="AJ874"/>
      <c r="AK874"/>
      <c r="AL874"/>
      <c r="AM874"/>
      <c r="AN874"/>
      <c r="AO874"/>
      <c r="AP874"/>
      <c r="AQ874"/>
      <c r="AR874"/>
      <c r="AS874"/>
      <c r="AT874"/>
      <c r="AU874"/>
      <c r="AV874"/>
      <c r="AW874"/>
      <c r="AX874"/>
      <c r="AY874"/>
      <c r="AZ874"/>
      <c r="BA874"/>
      <c r="BB874"/>
      <c r="BC874"/>
      <c r="BD874"/>
      <c r="BE874"/>
      <c r="BF874"/>
      <c r="BG874"/>
      <c r="BH874"/>
      <c r="BI874"/>
      <c r="BJ874"/>
      <c r="BK874"/>
      <c r="BL874"/>
      <c r="BM874"/>
      <c r="BN874"/>
      <c r="BO874"/>
      <c r="BP874"/>
      <c r="BQ874"/>
      <c r="BR874"/>
      <c r="BS874"/>
      <c r="BT874"/>
      <c r="BU874"/>
      <c r="BV874"/>
      <c r="BW874"/>
      <c r="BX874"/>
      <c r="BY874"/>
      <c r="BZ874"/>
      <c r="CA874"/>
      <c r="CB874"/>
      <c r="CC874"/>
      <c r="CD874"/>
      <c r="CE874"/>
      <c r="CF874"/>
      <c r="CG874"/>
      <c r="CH874"/>
      <c r="CI874"/>
      <c r="CJ874"/>
      <c r="CK874"/>
      <c r="CL874"/>
      <c r="CM874"/>
      <c r="CN874"/>
      <c r="CO874"/>
      <c r="CP874"/>
      <c r="CQ874"/>
      <c r="CR874"/>
      <c r="CS874"/>
      <c r="CT874"/>
      <c r="CU874"/>
      <c r="CV874"/>
      <c r="CW874"/>
      <c r="CX874"/>
      <c r="CY874"/>
      <c r="CZ874"/>
      <c r="DA874"/>
      <c r="DB874"/>
      <c r="DC874"/>
      <c r="DD874"/>
      <c r="DE874"/>
      <c r="DF874"/>
      <c r="DG874"/>
      <c r="DH874"/>
      <c r="DI874"/>
      <c r="DJ874"/>
      <c r="DK874"/>
      <c r="DL874"/>
      <c r="DM874"/>
      <c r="DN874"/>
      <c r="DO874"/>
      <c r="DP874"/>
      <c r="DQ874"/>
      <c r="DR874"/>
      <c r="DS874"/>
      <c r="DT874"/>
      <c r="DU874"/>
      <c r="DV874"/>
      <c r="DW874"/>
      <c r="DX874"/>
      <c r="DY874"/>
      <c r="DZ874"/>
      <c r="EA874"/>
      <c r="EB874"/>
      <c r="EC874"/>
      <c r="ED874"/>
      <c r="EE874"/>
      <c r="EF874"/>
      <c r="EG874"/>
      <c r="EH874"/>
      <c r="EI874"/>
      <c r="EJ874"/>
      <c r="EK874"/>
      <c r="EL874"/>
      <c r="EM874"/>
      <c r="EN874"/>
      <c r="EO874"/>
      <c r="EP874"/>
      <c r="EQ874"/>
      <c r="ER874"/>
      <c r="ES874"/>
      <c r="ET874"/>
      <c r="EU874"/>
      <c r="EV874"/>
      <c r="EW874"/>
      <c r="EX874"/>
      <c r="EY874"/>
      <c r="EZ874"/>
      <c r="FA874"/>
      <c r="FB874"/>
      <c r="FC874"/>
      <c r="FD874"/>
      <c r="FE874"/>
      <c r="FF874"/>
      <c r="FG874"/>
      <c r="FH874"/>
      <c r="FI874"/>
      <c r="FJ874"/>
      <c r="FK874"/>
      <c r="FL874"/>
      <c r="FM874"/>
      <c r="FN874"/>
      <c r="FO874"/>
      <c r="FP874"/>
      <c r="FQ874"/>
      <c r="FR874"/>
      <c r="FS874"/>
      <c r="FT874"/>
      <c r="FU874"/>
      <c r="FV874"/>
      <c r="FW874"/>
      <c r="FX874"/>
      <c r="FY874"/>
      <c r="FZ874"/>
      <c r="GA874"/>
      <c r="GB874"/>
      <c r="GC874"/>
      <c r="GD874"/>
      <c r="GE874"/>
      <c r="GF874"/>
      <c r="GG874"/>
      <c r="GH874"/>
      <c r="GI874"/>
      <c r="GJ874"/>
      <c r="GK874"/>
      <c r="GL874"/>
      <c r="GM874"/>
      <c r="GN874"/>
      <c r="GO874"/>
      <c r="GP874"/>
      <c r="GQ874"/>
      <c r="GR874"/>
      <c r="GS874"/>
      <c r="GT874"/>
      <c r="GU874"/>
      <c r="GV874"/>
      <c r="GW874"/>
      <c r="GX874"/>
      <c r="GY874"/>
      <c r="GZ874"/>
      <c r="HA874"/>
      <c r="HB874"/>
      <c r="HC874"/>
      <c r="HD874"/>
      <c r="HE874"/>
      <c r="HF874"/>
      <c r="HG874"/>
      <c r="HH874"/>
      <c r="HI874"/>
      <c r="HJ874"/>
      <c r="HK874"/>
      <c r="HL874"/>
      <c r="HM874"/>
      <c r="HN874"/>
      <c r="HO874"/>
      <c r="HP874"/>
      <c r="HQ874"/>
      <c r="HR874"/>
      <c r="HS874"/>
      <c r="HT874"/>
      <c r="HU874"/>
      <c r="HV874"/>
      <c r="HW874"/>
      <c r="HX874"/>
      <c r="HY874"/>
      <c r="HZ874"/>
      <c r="IA874"/>
      <c r="IB874"/>
      <c r="IC874"/>
      <c r="ID874"/>
      <c r="IE874"/>
      <c r="IF874"/>
      <c r="IG874"/>
      <c r="IH874"/>
      <c r="II874"/>
      <c r="IJ874"/>
      <c r="IK874"/>
      <c r="IL874"/>
    </row>
    <row r="875" spans="1:246" ht="12.75" customHeight="1" x14ac:dyDescent="0.2">
      <c r="A875" s="1155"/>
      <c r="B875" s="2116" t="s">
        <v>898</v>
      </c>
      <c r="C875" s="2075">
        <v>2000000</v>
      </c>
      <c r="D875" s="2075">
        <v>2000000</v>
      </c>
      <c r="E875" s="2075">
        <v>1626518.14</v>
      </c>
      <c r="F875" s="2075">
        <v>1950000</v>
      </c>
      <c r="G875" s="2075">
        <v>2500000</v>
      </c>
      <c r="H875"/>
      <c r="I875" s="2068"/>
      <c r="J875"/>
      <c r="K875"/>
      <c r="L875"/>
      <c r="M875"/>
      <c r="N875"/>
      <c r="O875"/>
      <c r="P875"/>
      <c r="Q875"/>
      <c r="R875"/>
      <c r="S875"/>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c r="EB875"/>
      <c r="EC875"/>
      <c r="ED875"/>
      <c r="EE875"/>
      <c r="EF875"/>
      <c r="EG875"/>
      <c r="EH875"/>
      <c r="EI875"/>
      <c r="EJ875"/>
      <c r="EK875"/>
      <c r="EL875"/>
      <c r="EM875"/>
      <c r="EN875"/>
      <c r="EO875"/>
      <c r="EP875"/>
      <c r="EQ875"/>
      <c r="ER875"/>
      <c r="ES875"/>
      <c r="ET875"/>
      <c r="EU875"/>
      <c r="EV875"/>
      <c r="EW875"/>
      <c r="EX875"/>
      <c r="EY875"/>
      <c r="EZ875"/>
      <c r="FA875"/>
      <c r="FB875"/>
      <c r="FC875"/>
      <c r="FD875"/>
      <c r="FE875"/>
      <c r="FF875"/>
      <c r="FG875"/>
      <c r="FH875"/>
      <c r="FI875"/>
      <c r="FJ875"/>
      <c r="FK875"/>
      <c r="FL875"/>
      <c r="FM875"/>
      <c r="FN875"/>
      <c r="FO875"/>
      <c r="FP875"/>
      <c r="FQ875"/>
      <c r="FR875"/>
      <c r="FS875"/>
      <c r="FT875"/>
      <c r="FU875"/>
      <c r="FV875"/>
      <c r="FW875"/>
      <c r="FX875"/>
      <c r="FY875"/>
      <c r="FZ875"/>
      <c r="GA875"/>
      <c r="GB875"/>
      <c r="GC875"/>
      <c r="GD875"/>
      <c r="GE875"/>
      <c r="GF875"/>
      <c r="GG875"/>
      <c r="GH875"/>
      <c r="GI875"/>
      <c r="GJ875"/>
      <c r="GK875"/>
      <c r="GL875"/>
      <c r="GM875"/>
      <c r="GN875"/>
      <c r="GO875"/>
      <c r="GP875"/>
      <c r="GQ875"/>
      <c r="GR875"/>
      <c r="GS875"/>
      <c r="GT875"/>
      <c r="GU875"/>
      <c r="GV875"/>
      <c r="GW875"/>
      <c r="GX875"/>
      <c r="GY875"/>
      <c r="GZ875"/>
      <c r="HA875"/>
      <c r="HB875"/>
      <c r="HC875"/>
      <c r="HD875"/>
      <c r="HE875"/>
      <c r="HF875"/>
      <c r="HG875"/>
      <c r="HH875"/>
      <c r="HI875"/>
      <c r="HJ875"/>
      <c r="HK875"/>
      <c r="HL875"/>
      <c r="HM875"/>
      <c r="HN875"/>
      <c r="HO875"/>
      <c r="HP875"/>
      <c r="HQ875"/>
      <c r="HR875"/>
      <c r="HS875"/>
      <c r="HT875"/>
      <c r="HU875"/>
      <c r="HV875"/>
      <c r="HW875"/>
      <c r="HX875"/>
      <c r="HY875"/>
      <c r="HZ875"/>
      <c r="IA875"/>
      <c r="IB875"/>
      <c r="IC875"/>
      <c r="ID875"/>
      <c r="IE875"/>
      <c r="IF875"/>
      <c r="IG875"/>
      <c r="IH875"/>
      <c r="II875"/>
      <c r="IJ875"/>
      <c r="IK875"/>
      <c r="IL875"/>
    </row>
    <row r="876" spans="1:246" ht="12.75" customHeight="1" x14ac:dyDescent="0.2">
      <c r="A876" s="1155"/>
      <c r="B876" s="2116" t="s">
        <v>1962</v>
      </c>
      <c r="C876" s="2075">
        <v>2850000</v>
      </c>
      <c r="D876" s="2075">
        <v>2850000</v>
      </c>
      <c r="E876" s="2075">
        <v>745898.16</v>
      </c>
      <c r="F876" s="2075">
        <v>1100000</v>
      </c>
      <c r="G876" s="2075">
        <v>2000000</v>
      </c>
      <c r="H876"/>
      <c r="I876" s="2068"/>
      <c r="J876"/>
      <c r="K876"/>
      <c r="L876"/>
      <c r="M876"/>
      <c r="N876"/>
      <c r="O876"/>
      <c r="P876"/>
      <c r="Q876"/>
      <c r="R876"/>
      <c r="S876"/>
      <c r="T876"/>
      <c r="U876"/>
      <c r="V876"/>
      <c r="W876"/>
      <c r="X876"/>
      <c r="Y876"/>
      <c r="Z876"/>
      <c r="AA876"/>
      <c r="AB876"/>
      <c r="AC876"/>
      <c r="AD876"/>
      <c r="AE876"/>
      <c r="AF876"/>
      <c r="AG876"/>
      <c r="AH876"/>
      <c r="AI876"/>
      <c r="AJ876"/>
      <c r="AK876"/>
      <c r="AL876"/>
      <c r="AM876"/>
      <c r="AN876"/>
      <c r="AO876"/>
      <c r="AP876"/>
      <c r="AQ876"/>
      <c r="AR876"/>
      <c r="AS876"/>
      <c r="AT876"/>
      <c r="AU876"/>
      <c r="AV876"/>
      <c r="AW876"/>
      <c r="AX876"/>
      <c r="AY876"/>
      <c r="AZ876"/>
      <c r="BA876"/>
      <c r="BB876"/>
      <c r="BC876"/>
      <c r="BD876"/>
      <c r="BE876"/>
      <c r="BF876"/>
      <c r="BG876"/>
      <c r="BH876"/>
      <c r="BI876"/>
      <c r="BJ876"/>
      <c r="BK876"/>
      <c r="BL876"/>
      <c r="BM876"/>
      <c r="BN876"/>
      <c r="BO876"/>
      <c r="BP876"/>
      <c r="BQ876"/>
      <c r="BR876"/>
      <c r="BS876"/>
      <c r="BT876"/>
      <c r="BU876"/>
      <c r="BV876"/>
      <c r="BW876"/>
      <c r="BX876"/>
      <c r="BY876"/>
      <c r="BZ876"/>
      <c r="CA876"/>
      <c r="CB876"/>
      <c r="CC876"/>
      <c r="CD876"/>
      <c r="CE876"/>
      <c r="CF876"/>
      <c r="CG876"/>
      <c r="CH876"/>
      <c r="CI876"/>
      <c r="CJ876"/>
      <c r="CK876"/>
      <c r="CL876"/>
      <c r="CM876"/>
      <c r="CN876"/>
      <c r="CO876"/>
      <c r="CP876"/>
      <c r="CQ876"/>
      <c r="CR876"/>
      <c r="CS876"/>
      <c r="CT876"/>
      <c r="CU876"/>
      <c r="CV876"/>
      <c r="CW876"/>
      <c r="CX876"/>
      <c r="CY876"/>
      <c r="CZ876"/>
      <c r="DA876"/>
      <c r="DB876"/>
      <c r="DC876"/>
      <c r="DD876"/>
      <c r="DE876"/>
      <c r="DF876"/>
      <c r="DG876"/>
      <c r="DH876"/>
      <c r="DI876"/>
      <c r="DJ876"/>
      <c r="DK876"/>
      <c r="DL876"/>
      <c r="DM876"/>
      <c r="DN876"/>
      <c r="DO876"/>
      <c r="DP876"/>
      <c r="DQ876"/>
      <c r="DR876"/>
      <c r="DS876"/>
      <c r="DT876"/>
      <c r="DU876"/>
      <c r="DV876"/>
      <c r="DW876"/>
      <c r="DX876"/>
      <c r="DY876"/>
      <c r="DZ876"/>
      <c r="EA876"/>
      <c r="EB876"/>
      <c r="EC876"/>
      <c r="ED876"/>
      <c r="EE876"/>
      <c r="EF876"/>
      <c r="EG876"/>
      <c r="EH876"/>
      <c r="EI876"/>
      <c r="EJ876"/>
      <c r="EK876"/>
      <c r="EL876"/>
      <c r="EM876"/>
      <c r="EN876"/>
      <c r="EO876"/>
      <c r="EP876"/>
      <c r="EQ876"/>
      <c r="ER876"/>
      <c r="ES876"/>
      <c r="ET876"/>
      <c r="EU876"/>
      <c r="EV876"/>
      <c r="EW876"/>
      <c r="EX876"/>
      <c r="EY876"/>
      <c r="EZ876"/>
      <c r="FA876"/>
      <c r="FB876"/>
      <c r="FC876"/>
      <c r="FD876"/>
      <c r="FE876"/>
      <c r="FF876"/>
      <c r="FG876"/>
      <c r="FH876"/>
      <c r="FI876"/>
      <c r="FJ876"/>
      <c r="FK876"/>
      <c r="FL876"/>
      <c r="FM876"/>
      <c r="FN876"/>
      <c r="FO876"/>
      <c r="FP876"/>
      <c r="FQ876"/>
      <c r="FR876"/>
      <c r="FS876"/>
      <c r="FT876"/>
      <c r="FU876"/>
      <c r="FV876"/>
      <c r="FW876"/>
      <c r="FX876"/>
      <c r="FY876"/>
      <c r="FZ876"/>
      <c r="GA876"/>
      <c r="GB876"/>
      <c r="GC876"/>
      <c r="GD876"/>
      <c r="GE876"/>
      <c r="GF876"/>
      <c r="GG876"/>
      <c r="GH876"/>
      <c r="GI876"/>
      <c r="GJ876"/>
      <c r="GK876"/>
      <c r="GL876"/>
      <c r="GM876"/>
      <c r="GN876"/>
      <c r="GO876"/>
      <c r="GP876"/>
      <c r="GQ876"/>
      <c r="GR876"/>
      <c r="GS876"/>
      <c r="GT876"/>
      <c r="GU876"/>
      <c r="GV876"/>
      <c r="GW876"/>
      <c r="GX876"/>
      <c r="GY876"/>
      <c r="GZ876"/>
      <c r="HA876"/>
      <c r="HB876"/>
      <c r="HC876"/>
      <c r="HD876"/>
      <c r="HE876"/>
      <c r="HF876"/>
      <c r="HG876"/>
      <c r="HH876"/>
      <c r="HI876"/>
      <c r="HJ876"/>
      <c r="HK876"/>
      <c r="HL876"/>
      <c r="HM876"/>
      <c r="HN876"/>
      <c r="HO876"/>
      <c r="HP876"/>
      <c r="HQ876"/>
      <c r="HR876"/>
      <c r="HS876"/>
      <c r="HT876"/>
      <c r="HU876"/>
      <c r="HV876"/>
      <c r="HW876"/>
      <c r="HX876"/>
      <c r="HY876"/>
      <c r="HZ876"/>
      <c r="IA876"/>
      <c r="IB876"/>
      <c r="IC876"/>
      <c r="ID876"/>
      <c r="IE876"/>
      <c r="IF876"/>
      <c r="IG876"/>
      <c r="IH876"/>
      <c r="II876"/>
      <c r="IJ876"/>
      <c r="IK876"/>
      <c r="IL876"/>
    </row>
    <row r="877" spans="1:246" s="2" customFormat="1" ht="12.75" customHeight="1" x14ac:dyDescent="0.2">
      <c r="A877" s="1155"/>
      <c r="B877" s="2124" t="s">
        <v>900</v>
      </c>
      <c r="C877" s="2082">
        <f>SUM(C878:C888)</f>
        <v>4905000</v>
      </c>
      <c r="D877" s="2082">
        <f>SUM(D878:D888)</f>
        <v>4885000</v>
      </c>
      <c r="E877" s="2082">
        <f>SUM(E878:E888)</f>
        <v>2474500.25</v>
      </c>
      <c r="F877" s="2082">
        <f>SUM(F878:F888)</f>
        <v>3473821.35</v>
      </c>
      <c r="G877" s="2082">
        <f>SUM(G878:G888)</f>
        <v>4370000</v>
      </c>
      <c r="I877" s="2068"/>
    </row>
    <row r="878" spans="1:246" ht="12.75" customHeight="1" x14ac:dyDescent="0.2">
      <c r="A878" s="1155"/>
      <c r="B878" s="2116" t="s">
        <v>1963</v>
      </c>
      <c r="C878" s="2075">
        <v>700000</v>
      </c>
      <c r="D878" s="2075">
        <v>700000</v>
      </c>
      <c r="E878" s="2075">
        <v>70101.350000000006</v>
      </c>
      <c r="F878" s="2075">
        <v>70101.350000000006</v>
      </c>
      <c r="G878" s="2075">
        <v>250000</v>
      </c>
      <c r="H878"/>
      <c r="I878" s="2068"/>
      <c r="J878"/>
      <c r="K878"/>
      <c r="L878"/>
      <c r="M878"/>
      <c r="N878"/>
      <c r="O878"/>
      <c r="P878"/>
      <c r="Q878"/>
      <c r="R878"/>
      <c r="S878"/>
      <c r="T878"/>
      <c r="U878"/>
      <c r="V878"/>
      <c r="W878"/>
      <c r="X878"/>
      <c r="Y878"/>
      <c r="Z878"/>
      <c r="AA878"/>
      <c r="AB878"/>
      <c r="AC878"/>
      <c r="AD878"/>
      <c r="AE878"/>
      <c r="AF878"/>
      <c r="AG878"/>
      <c r="AH878"/>
      <c r="AI878"/>
      <c r="AJ878"/>
      <c r="AK878"/>
      <c r="AL878"/>
      <c r="AM878"/>
      <c r="AN878"/>
      <c r="AO878"/>
      <c r="AP878"/>
      <c r="AQ878"/>
      <c r="AR878"/>
      <c r="AS878"/>
      <c r="AT878"/>
      <c r="AU878"/>
      <c r="AV878"/>
      <c r="AW878"/>
      <c r="AX878"/>
      <c r="AY878"/>
      <c r="AZ878"/>
      <c r="BA878"/>
      <c r="BB878"/>
      <c r="BC878"/>
      <c r="BD878"/>
      <c r="BE878"/>
      <c r="BF878"/>
      <c r="BG878"/>
      <c r="BH878"/>
      <c r="BI878"/>
      <c r="BJ878"/>
      <c r="BK878"/>
      <c r="BL878"/>
      <c r="BM878"/>
      <c r="BN878"/>
      <c r="BO878"/>
      <c r="BP878"/>
      <c r="BQ878"/>
      <c r="BR878"/>
      <c r="BS878"/>
      <c r="BT878"/>
      <c r="BU878"/>
      <c r="BV878"/>
      <c r="BW878"/>
      <c r="BX878"/>
      <c r="BY878"/>
      <c r="BZ878"/>
      <c r="CA878"/>
      <c r="CB878"/>
      <c r="CC878"/>
      <c r="CD878"/>
      <c r="CE878"/>
      <c r="CF878"/>
      <c r="CG878"/>
      <c r="CH878"/>
      <c r="CI878"/>
      <c r="CJ878"/>
      <c r="CK878"/>
      <c r="CL878"/>
      <c r="CM878"/>
      <c r="CN878"/>
      <c r="CO878"/>
      <c r="CP878"/>
      <c r="CQ878"/>
      <c r="CR878"/>
      <c r="CS878"/>
      <c r="CT878"/>
      <c r="CU878"/>
      <c r="CV878"/>
      <c r="CW878"/>
      <c r="CX878"/>
      <c r="CY878"/>
      <c r="CZ878"/>
      <c r="DA878"/>
      <c r="DB878"/>
      <c r="DC878"/>
      <c r="DD878"/>
      <c r="DE878"/>
      <c r="DF878"/>
      <c r="DG878"/>
      <c r="DH878"/>
      <c r="DI878"/>
      <c r="DJ878"/>
      <c r="DK878"/>
      <c r="DL878"/>
      <c r="DM878"/>
      <c r="DN878"/>
      <c r="DO878"/>
      <c r="DP878"/>
      <c r="DQ878"/>
      <c r="DR878"/>
      <c r="DS878"/>
      <c r="DT878"/>
      <c r="DU878"/>
      <c r="DV878"/>
      <c r="DW878"/>
      <c r="DX878"/>
      <c r="DY878"/>
      <c r="DZ878"/>
      <c r="EA878"/>
      <c r="EB878"/>
      <c r="EC878"/>
      <c r="ED878"/>
      <c r="EE878"/>
      <c r="EF878"/>
      <c r="EG878"/>
      <c r="EH878"/>
      <c r="EI878"/>
      <c r="EJ878"/>
      <c r="EK878"/>
      <c r="EL878"/>
      <c r="EM878"/>
      <c r="EN878"/>
      <c r="EO878"/>
      <c r="EP878"/>
      <c r="EQ878"/>
      <c r="ER878"/>
      <c r="ES878"/>
      <c r="ET878"/>
      <c r="EU878"/>
      <c r="EV878"/>
      <c r="EW878"/>
      <c r="EX878"/>
      <c r="EY878"/>
      <c r="EZ878"/>
      <c r="FA878"/>
      <c r="FB878"/>
      <c r="FC878"/>
      <c r="FD878"/>
      <c r="FE878"/>
      <c r="FF878"/>
      <c r="FG878"/>
      <c r="FH878"/>
      <c r="FI878"/>
      <c r="FJ878"/>
      <c r="FK878"/>
      <c r="FL878"/>
      <c r="FM878"/>
      <c r="FN878"/>
      <c r="FO878"/>
      <c r="FP878"/>
      <c r="FQ878"/>
      <c r="FR878"/>
      <c r="FS878"/>
      <c r="FT878"/>
      <c r="FU878"/>
      <c r="FV878"/>
      <c r="FW878"/>
      <c r="FX878"/>
      <c r="FY878"/>
      <c r="FZ878"/>
      <c r="GA878"/>
      <c r="GB878"/>
      <c r="GC878"/>
      <c r="GD878"/>
      <c r="GE878"/>
      <c r="GF878"/>
      <c r="GG878"/>
      <c r="GH878"/>
      <c r="GI878"/>
      <c r="GJ878"/>
      <c r="GK878"/>
      <c r="GL878"/>
      <c r="GM878"/>
      <c r="GN878"/>
      <c r="GO878"/>
      <c r="GP878"/>
      <c r="GQ878"/>
      <c r="GR878"/>
      <c r="GS878"/>
      <c r="GT878"/>
      <c r="GU878"/>
      <c r="GV878"/>
      <c r="GW878"/>
      <c r="GX878"/>
      <c r="GY878"/>
      <c r="GZ878"/>
      <c r="HA878"/>
      <c r="HB878"/>
      <c r="HC878"/>
      <c r="HD878"/>
      <c r="HE878"/>
      <c r="HF878"/>
      <c r="HG878"/>
      <c r="HH878"/>
      <c r="HI878"/>
      <c r="HJ878"/>
      <c r="HK878"/>
      <c r="HL878"/>
      <c r="HM878"/>
      <c r="HN878"/>
      <c r="HO878"/>
      <c r="HP878"/>
      <c r="HQ878"/>
      <c r="HR878"/>
      <c r="HS878"/>
      <c r="HT878"/>
      <c r="HU878"/>
      <c r="HV878"/>
      <c r="HW878"/>
      <c r="HX878"/>
      <c r="HY878"/>
      <c r="HZ878"/>
      <c r="IA878"/>
      <c r="IB878"/>
      <c r="IC878"/>
      <c r="ID878"/>
      <c r="IE878"/>
      <c r="IF878"/>
      <c r="IG878"/>
      <c r="IH878"/>
      <c r="II878"/>
      <c r="IJ878"/>
      <c r="IK878"/>
      <c r="IL878"/>
    </row>
    <row r="879" spans="1:246" ht="12.75" customHeight="1" x14ac:dyDescent="0.2">
      <c r="A879" s="1155"/>
      <c r="B879" s="2083" t="s">
        <v>1964</v>
      </c>
      <c r="C879" s="2075">
        <v>1000000</v>
      </c>
      <c r="D879" s="2075">
        <v>1000000</v>
      </c>
      <c r="E879" s="2075">
        <v>644043.76</v>
      </c>
      <c r="F879" s="2075">
        <v>805000</v>
      </c>
      <c r="G879" s="2075">
        <v>1000000</v>
      </c>
      <c r="H879"/>
      <c r="I879" s="2068"/>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c r="EX879"/>
      <c r="EY879"/>
      <c r="EZ879"/>
      <c r="FA879"/>
      <c r="FB879"/>
      <c r="FC879"/>
      <c r="FD879"/>
      <c r="FE879"/>
      <c r="FF879"/>
      <c r="FG879"/>
      <c r="FH879"/>
      <c r="FI879"/>
      <c r="FJ879"/>
      <c r="FK879"/>
      <c r="FL879"/>
      <c r="FM879"/>
      <c r="FN879"/>
      <c r="FO879"/>
      <c r="FP879"/>
      <c r="FQ879"/>
      <c r="FR879"/>
      <c r="FS879"/>
      <c r="FT879"/>
      <c r="FU879"/>
      <c r="FV879"/>
      <c r="FW879"/>
      <c r="FX879"/>
      <c r="FY879"/>
      <c r="FZ879"/>
      <c r="GA879"/>
      <c r="GB879"/>
      <c r="GC879"/>
      <c r="GD879"/>
      <c r="GE879"/>
      <c r="GF879"/>
      <c r="GG879"/>
      <c r="GH879"/>
      <c r="GI879"/>
      <c r="GJ879"/>
      <c r="GK879"/>
      <c r="GL879"/>
      <c r="GM879"/>
      <c r="GN879"/>
      <c r="GO879"/>
      <c r="GP879"/>
      <c r="GQ879"/>
      <c r="GR879"/>
      <c r="GS879"/>
      <c r="GT879"/>
      <c r="GU879"/>
      <c r="GV879"/>
      <c r="GW879"/>
      <c r="GX879"/>
      <c r="GY879"/>
      <c r="GZ879"/>
      <c r="HA879"/>
      <c r="HB879"/>
      <c r="HC879"/>
      <c r="HD879"/>
      <c r="HE879"/>
      <c r="HF879"/>
      <c r="HG879"/>
      <c r="HH879"/>
      <c r="HI879"/>
      <c r="HJ879"/>
      <c r="HK879"/>
      <c r="HL879"/>
      <c r="HM879"/>
      <c r="HN879"/>
      <c r="HO879"/>
      <c r="HP879"/>
      <c r="HQ879"/>
      <c r="HR879"/>
      <c r="HS879"/>
      <c r="HT879"/>
      <c r="HU879"/>
      <c r="HV879"/>
      <c r="HW879"/>
      <c r="HX879"/>
      <c r="HY879"/>
      <c r="HZ879"/>
      <c r="IA879"/>
      <c r="IB879"/>
      <c r="IC879"/>
      <c r="ID879"/>
      <c r="IE879"/>
      <c r="IF879"/>
      <c r="IG879"/>
      <c r="IH879"/>
      <c r="II879"/>
      <c r="IJ879"/>
      <c r="IK879"/>
      <c r="IL879"/>
    </row>
    <row r="880" spans="1:246" ht="12.75" customHeight="1" x14ac:dyDescent="0.2">
      <c r="A880" s="1155"/>
      <c r="B880" s="2083" t="s">
        <v>1965</v>
      </c>
      <c r="C880" s="2075">
        <v>50000</v>
      </c>
      <c r="D880" s="2075">
        <v>50000</v>
      </c>
      <c r="E880" s="2075">
        <v>0</v>
      </c>
      <c r="F880" s="2075">
        <v>0</v>
      </c>
      <c r="G880" s="2075">
        <v>50000</v>
      </c>
      <c r="H880"/>
      <c r="I880" s="2068"/>
      <c r="J880"/>
      <c r="K880"/>
      <c r="L880"/>
      <c r="M880"/>
      <c r="N880"/>
      <c r="O880"/>
      <c r="P880"/>
      <c r="Q880"/>
      <c r="R880"/>
      <c r="S880"/>
      <c r="T880"/>
      <c r="U880"/>
      <c r="V880"/>
      <c r="W880"/>
      <c r="X880"/>
      <c r="Y880"/>
      <c r="Z880"/>
      <c r="AA880"/>
      <c r="AB880"/>
      <c r="AC880"/>
      <c r="AD880"/>
      <c r="AE880"/>
      <c r="AF880"/>
      <c r="AG880"/>
      <c r="AH880"/>
      <c r="AI880"/>
      <c r="AJ880"/>
      <c r="AK880"/>
      <c r="AL880"/>
      <c r="AM880"/>
      <c r="AN880"/>
      <c r="AO880"/>
      <c r="AP880"/>
      <c r="AQ880"/>
      <c r="AR880"/>
      <c r="AS880"/>
      <c r="AT880"/>
      <c r="AU880"/>
      <c r="AV880"/>
      <c r="AW880"/>
      <c r="AX880"/>
      <c r="AY880"/>
      <c r="AZ880"/>
      <c r="BA880"/>
      <c r="BB880"/>
      <c r="BC880"/>
      <c r="BD880"/>
      <c r="BE880"/>
      <c r="BF880"/>
      <c r="BG880"/>
      <c r="BH880"/>
      <c r="BI880"/>
      <c r="BJ880"/>
      <c r="BK880"/>
      <c r="BL880"/>
      <c r="BM880"/>
      <c r="BN880"/>
      <c r="BO880"/>
      <c r="BP880"/>
      <c r="BQ880"/>
      <c r="BR880"/>
      <c r="BS880"/>
      <c r="BT880"/>
      <c r="BU880"/>
      <c r="BV880"/>
      <c r="BW880"/>
      <c r="BX880"/>
      <c r="BY880"/>
      <c r="BZ880"/>
      <c r="CA880"/>
      <c r="CB880"/>
      <c r="CC880"/>
      <c r="CD880"/>
      <c r="CE880"/>
      <c r="CF880"/>
      <c r="CG880"/>
      <c r="CH880"/>
      <c r="CI880"/>
      <c r="CJ880"/>
      <c r="CK880"/>
      <c r="CL880"/>
      <c r="CM880"/>
      <c r="CN880"/>
      <c r="CO880"/>
      <c r="CP880"/>
      <c r="CQ880"/>
      <c r="CR880"/>
      <c r="CS880"/>
      <c r="CT880"/>
      <c r="CU880"/>
      <c r="CV880"/>
      <c r="CW880"/>
      <c r="CX880"/>
      <c r="CY880"/>
      <c r="CZ880"/>
      <c r="DA880"/>
      <c r="DB880"/>
      <c r="DC880"/>
      <c r="DD880"/>
      <c r="DE880"/>
      <c r="DF880"/>
      <c r="DG880"/>
      <c r="DH880"/>
      <c r="DI880"/>
      <c r="DJ880"/>
      <c r="DK880"/>
      <c r="DL880"/>
      <c r="DM880"/>
      <c r="DN880"/>
      <c r="DO880"/>
      <c r="DP880"/>
      <c r="DQ880"/>
      <c r="DR880"/>
      <c r="DS880"/>
      <c r="DT880"/>
      <c r="DU880"/>
      <c r="DV880"/>
      <c r="DW880"/>
      <c r="DX880"/>
      <c r="DY880"/>
      <c r="DZ880"/>
      <c r="EA880"/>
      <c r="EB880"/>
      <c r="EC880"/>
      <c r="ED880"/>
      <c r="EE880"/>
      <c r="EF880"/>
      <c r="EG880"/>
      <c r="EH880"/>
      <c r="EI880"/>
      <c r="EJ880"/>
      <c r="EK880"/>
      <c r="EL880"/>
      <c r="EM880"/>
      <c r="EN880"/>
      <c r="EO880"/>
      <c r="EP880"/>
      <c r="EQ880"/>
      <c r="ER880"/>
      <c r="ES880"/>
      <c r="ET880"/>
      <c r="EU880"/>
      <c r="EV880"/>
      <c r="EW880"/>
      <c r="EX880"/>
      <c r="EY880"/>
      <c r="EZ880"/>
      <c r="FA880"/>
      <c r="FB880"/>
      <c r="FC880"/>
      <c r="FD880"/>
      <c r="FE880"/>
      <c r="FF880"/>
      <c r="FG880"/>
      <c r="FH880"/>
      <c r="FI880"/>
      <c r="FJ880"/>
      <c r="FK880"/>
      <c r="FL880"/>
      <c r="FM880"/>
      <c r="FN880"/>
      <c r="FO880"/>
      <c r="FP880"/>
      <c r="FQ880"/>
      <c r="FR880"/>
      <c r="FS880"/>
      <c r="FT880"/>
      <c r="FU880"/>
      <c r="FV880"/>
      <c r="FW880"/>
      <c r="FX880"/>
      <c r="FY880"/>
      <c r="FZ880"/>
      <c r="GA880"/>
      <c r="GB880"/>
      <c r="GC880"/>
      <c r="GD880"/>
      <c r="GE880"/>
      <c r="GF880"/>
      <c r="GG880"/>
      <c r="GH880"/>
      <c r="GI880"/>
      <c r="GJ880"/>
      <c r="GK880"/>
      <c r="GL880"/>
      <c r="GM880"/>
      <c r="GN880"/>
      <c r="GO880"/>
      <c r="GP880"/>
      <c r="GQ880"/>
      <c r="GR880"/>
      <c r="GS880"/>
      <c r="GT880"/>
      <c r="GU880"/>
      <c r="GV880"/>
      <c r="GW880"/>
      <c r="GX880"/>
      <c r="GY880"/>
      <c r="GZ880"/>
      <c r="HA880"/>
      <c r="HB880"/>
      <c r="HC880"/>
      <c r="HD880"/>
      <c r="HE880"/>
      <c r="HF880"/>
      <c r="HG880"/>
      <c r="HH880"/>
      <c r="HI880"/>
      <c r="HJ880"/>
      <c r="HK880"/>
      <c r="HL880"/>
      <c r="HM880"/>
      <c r="HN880"/>
      <c r="HO880"/>
      <c r="HP880"/>
      <c r="HQ880"/>
      <c r="HR880"/>
      <c r="HS880"/>
      <c r="HT880"/>
      <c r="HU880"/>
      <c r="HV880"/>
      <c r="HW880"/>
      <c r="HX880"/>
      <c r="HY880"/>
      <c r="HZ880"/>
      <c r="IA880"/>
      <c r="IB880"/>
      <c r="IC880"/>
      <c r="ID880"/>
      <c r="IE880"/>
      <c r="IF880"/>
      <c r="IG880"/>
      <c r="IH880"/>
      <c r="II880"/>
      <c r="IJ880"/>
      <c r="IK880"/>
      <c r="IL880"/>
    </row>
    <row r="881" spans="1:246" ht="12.75" customHeight="1" x14ac:dyDescent="0.2">
      <c r="A881" s="1155"/>
      <c r="B881" s="2125" t="s">
        <v>906</v>
      </c>
      <c r="C881" s="1077">
        <v>100000</v>
      </c>
      <c r="D881" s="1077">
        <v>100000</v>
      </c>
      <c r="E881" s="1077">
        <v>24200</v>
      </c>
      <c r="F881" s="1077">
        <v>24200</v>
      </c>
      <c r="G881" s="1077">
        <v>0</v>
      </c>
      <c r="H881"/>
      <c r="I881" s="2068"/>
      <c r="J881"/>
      <c r="K881"/>
      <c r="L881"/>
      <c r="M881"/>
      <c r="N881"/>
      <c r="O881"/>
      <c r="P881"/>
      <c r="Q881"/>
      <c r="R881"/>
      <c r="S881"/>
      <c r="T881"/>
      <c r="U881"/>
      <c r="V881"/>
      <c r="W881"/>
      <c r="X881"/>
      <c r="Y881"/>
      <c r="Z881"/>
      <c r="AA881"/>
      <c r="AB881"/>
      <c r="AC881"/>
      <c r="AD881"/>
      <c r="AE881"/>
      <c r="AF881"/>
      <c r="AG881"/>
      <c r="AH881"/>
      <c r="AI881"/>
      <c r="AJ881"/>
      <c r="AK881"/>
      <c r="AL881"/>
      <c r="AM881"/>
      <c r="AN881"/>
      <c r="AO881"/>
      <c r="AP881"/>
      <c r="AQ881"/>
      <c r="AR881"/>
      <c r="AS881"/>
      <c r="AT881"/>
      <c r="AU881"/>
      <c r="AV881"/>
      <c r="AW881"/>
      <c r="AX881"/>
      <c r="AY881"/>
      <c r="AZ881"/>
      <c r="BA881"/>
      <c r="BB881"/>
      <c r="BC881"/>
      <c r="BD881"/>
      <c r="BE881"/>
      <c r="BF881"/>
      <c r="BG881"/>
      <c r="BH881"/>
      <c r="BI881"/>
      <c r="BJ881"/>
      <c r="BK881"/>
      <c r="BL881"/>
      <c r="BM881"/>
      <c r="BN881"/>
      <c r="BO881"/>
      <c r="BP881"/>
      <c r="BQ881"/>
      <c r="BR881"/>
      <c r="BS881"/>
      <c r="BT881"/>
      <c r="BU881"/>
      <c r="BV881"/>
      <c r="BW881"/>
      <c r="BX881"/>
      <c r="BY881"/>
      <c r="BZ881"/>
      <c r="CA881"/>
      <c r="CB881"/>
      <c r="CC881"/>
      <c r="CD881"/>
      <c r="CE881"/>
      <c r="CF881"/>
      <c r="CG881"/>
      <c r="CH881"/>
      <c r="CI881"/>
      <c r="CJ881"/>
      <c r="CK881"/>
      <c r="CL881"/>
      <c r="CM881"/>
      <c r="CN881"/>
      <c r="CO881"/>
      <c r="CP881"/>
      <c r="CQ881"/>
      <c r="CR881"/>
      <c r="CS881"/>
      <c r="CT881"/>
      <c r="CU881"/>
      <c r="CV881"/>
      <c r="CW881"/>
      <c r="CX881"/>
      <c r="CY881"/>
      <c r="CZ881"/>
      <c r="DA881"/>
      <c r="DB881"/>
      <c r="DC881"/>
      <c r="DD881"/>
      <c r="DE881"/>
      <c r="DF881"/>
      <c r="DG881"/>
      <c r="DH881"/>
      <c r="DI881"/>
      <c r="DJ881"/>
      <c r="DK881"/>
      <c r="DL881"/>
      <c r="DM881"/>
      <c r="DN881"/>
      <c r="DO881"/>
      <c r="DP881"/>
      <c r="DQ881"/>
      <c r="DR881"/>
      <c r="DS881"/>
      <c r="DT881"/>
      <c r="DU881"/>
      <c r="DV881"/>
      <c r="DW881"/>
      <c r="DX881"/>
      <c r="DY881"/>
      <c r="DZ881"/>
      <c r="EA881"/>
      <c r="EB881"/>
      <c r="EC881"/>
      <c r="ED881"/>
      <c r="EE881"/>
      <c r="EF881"/>
      <c r="EG881"/>
      <c r="EH881"/>
      <c r="EI881"/>
      <c r="EJ881"/>
      <c r="EK881"/>
      <c r="EL881"/>
      <c r="EM881"/>
      <c r="EN881"/>
      <c r="EO881"/>
      <c r="EP881"/>
      <c r="EQ881"/>
      <c r="ER881"/>
      <c r="ES881"/>
      <c r="ET881"/>
      <c r="EU881"/>
      <c r="EV881"/>
      <c r="EW881"/>
      <c r="EX881"/>
      <c r="EY881"/>
      <c r="EZ881"/>
      <c r="FA881"/>
      <c r="FB881"/>
      <c r="FC881"/>
      <c r="FD881"/>
      <c r="FE881"/>
      <c r="FF881"/>
      <c r="FG881"/>
      <c r="FH881"/>
      <c r="FI881"/>
      <c r="FJ881"/>
      <c r="FK881"/>
      <c r="FL881"/>
      <c r="FM881"/>
      <c r="FN881"/>
      <c r="FO881"/>
      <c r="FP881"/>
      <c r="FQ881"/>
      <c r="FR881"/>
      <c r="FS881"/>
      <c r="FT881"/>
      <c r="FU881"/>
      <c r="FV881"/>
      <c r="FW881"/>
      <c r="FX881"/>
      <c r="FY881"/>
      <c r="FZ881"/>
      <c r="GA881"/>
      <c r="GB881"/>
      <c r="GC881"/>
      <c r="GD881"/>
      <c r="GE881"/>
      <c r="GF881"/>
      <c r="GG881"/>
      <c r="GH881"/>
      <c r="GI881"/>
      <c r="GJ881"/>
      <c r="GK881"/>
      <c r="GL881"/>
      <c r="GM881"/>
      <c r="GN881"/>
      <c r="GO881"/>
      <c r="GP881"/>
      <c r="GQ881"/>
      <c r="GR881"/>
      <c r="GS881"/>
      <c r="GT881"/>
      <c r="GU881"/>
      <c r="GV881"/>
      <c r="GW881"/>
      <c r="GX881"/>
      <c r="GY881"/>
      <c r="GZ881"/>
      <c r="HA881"/>
      <c r="HB881"/>
      <c r="HC881"/>
      <c r="HD881"/>
      <c r="HE881"/>
      <c r="HF881"/>
      <c r="HG881"/>
      <c r="HH881"/>
      <c r="HI881"/>
      <c r="HJ881"/>
      <c r="HK881"/>
      <c r="HL881"/>
      <c r="HM881"/>
      <c r="HN881"/>
      <c r="HO881"/>
      <c r="HP881"/>
      <c r="HQ881"/>
      <c r="HR881"/>
      <c r="HS881"/>
      <c r="HT881"/>
      <c r="HU881"/>
      <c r="HV881"/>
      <c r="HW881"/>
      <c r="HX881"/>
      <c r="HY881"/>
      <c r="HZ881"/>
      <c r="IA881"/>
      <c r="IB881"/>
      <c r="IC881"/>
      <c r="ID881"/>
      <c r="IE881"/>
      <c r="IF881"/>
      <c r="IG881"/>
      <c r="IH881"/>
      <c r="II881"/>
      <c r="IJ881"/>
      <c r="IK881"/>
      <c r="IL881"/>
    </row>
    <row r="882" spans="1:246" ht="12.75" customHeight="1" x14ac:dyDescent="0.2">
      <c r="A882" s="1155"/>
      <c r="B882" s="2116" t="s">
        <v>1966</v>
      </c>
      <c r="C882" s="2075">
        <v>200000</v>
      </c>
      <c r="D882" s="2075">
        <v>200000</v>
      </c>
      <c r="E882" s="2075">
        <v>72609.14</v>
      </c>
      <c r="F882" s="2075">
        <v>110000</v>
      </c>
      <c r="G882" s="2075">
        <v>200000</v>
      </c>
      <c r="H882"/>
      <c r="I882" s="2068"/>
      <c r="J882"/>
      <c r="K882"/>
      <c r="L882"/>
      <c r="M882"/>
      <c r="N882"/>
      <c r="O882"/>
      <c r="P882"/>
      <c r="Q882"/>
      <c r="R882"/>
      <c r="S882"/>
      <c r="T882"/>
      <c r="U882"/>
      <c r="V882"/>
      <c r="W882"/>
      <c r="X882"/>
      <c r="Y882"/>
      <c r="Z882"/>
      <c r="AA882"/>
      <c r="AB882"/>
      <c r="AC882"/>
      <c r="AD882"/>
      <c r="AE882"/>
      <c r="AF882"/>
      <c r="AG882"/>
      <c r="AH882"/>
      <c r="AI882"/>
      <c r="AJ882"/>
      <c r="AK882"/>
      <c r="AL882"/>
      <c r="AM882"/>
      <c r="AN882"/>
      <c r="AO882"/>
      <c r="AP882"/>
      <c r="AQ882"/>
      <c r="AR882"/>
      <c r="AS882"/>
      <c r="AT882"/>
      <c r="AU882"/>
      <c r="AV882"/>
      <c r="AW882"/>
      <c r="AX882"/>
      <c r="AY882"/>
      <c r="AZ882"/>
      <c r="BA882"/>
      <c r="BB882"/>
      <c r="BC882"/>
      <c r="BD882"/>
      <c r="BE882"/>
      <c r="BF882"/>
      <c r="BG882"/>
      <c r="BH882"/>
      <c r="BI882"/>
      <c r="BJ882"/>
      <c r="BK882"/>
      <c r="BL882"/>
      <c r="BM882"/>
      <c r="BN882"/>
      <c r="BO882"/>
      <c r="BP882"/>
      <c r="BQ882"/>
      <c r="BR882"/>
      <c r="BS882"/>
      <c r="BT882"/>
      <c r="BU882"/>
      <c r="BV882"/>
      <c r="BW882"/>
      <c r="BX882"/>
      <c r="BY882"/>
      <c r="BZ882"/>
      <c r="CA882"/>
      <c r="CB882"/>
      <c r="CC882"/>
      <c r="CD882"/>
      <c r="CE882"/>
      <c r="CF882"/>
      <c r="CG882"/>
      <c r="CH882"/>
      <c r="CI882"/>
      <c r="CJ882"/>
      <c r="CK882"/>
      <c r="CL882"/>
      <c r="CM882"/>
      <c r="CN882"/>
      <c r="CO882"/>
      <c r="CP882"/>
      <c r="CQ882"/>
      <c r="CR882"/>
      <c r="CS882"/>
      <c r="CT882"/>
      <c r="CU882"/>
      <c r="CV882"/>
      <c r="CW882"/>
      <c r="CX882"/>
      <c r="CY882"/>
      <c r="CZ882"/>
      <c r="DA882"/>
      <c r="DB882"/>
      <c r="DC882"/>
      <c r="DD882"/>
      <c r="DE882"/>
      <c r="DF882"/>
      <c r="DG882"/>
      <c r="DH882"/>
      <c r="DI882"/>
      <c r="DJ882"/>
      <c r="DK882"/>
      <c r="DL882"/>
      <c r="DM882"/>
      <c r="DN882"/>
      <c r="DO882"/>
      <c r="DP882"/>
      <c r="DQ882"/>
      <c r="DR882"/>
      <c r="DS882"/>
      <c r="DT882"/>
      <c r="DU882"/>
      <c r="DV882"/>
      <c r="DW882"/>
      <c r="DX882"/>
      <c r="DY882"/>
      <c r="DZ882"/>
      <c r="EA882"/>
      <c r="EB882"/>
      <c r="EC882"/>
      <c r="ED882"/>
      <c r="EE882"/>
      <c r="EF882"/>
      <c r="EG882"/>
      <c r="EH882"/>
      <c r="EI882"/>
      <c r="EJ882"/>
      <c r="EK882"/>
      <c r="EL882"/>
      <c r="EM882"/>
      <c r="EN882"/>
      <c r="EO882"/>
      <c r="EP882"/>
      <c r="EQ882"/>
      <c r="ER882"/>
      <c r="ES882"/>
      <c r="ET882"/>
      <c r="EU882"/>
      <c r="EV882"/>
      <c r="EW882"/>
      <c r="EX882"/>
      <c r="EY882"/>
      <c r="EZ882"/>
      <c r="FA882"/>
      <c r="FB882"/>
      <c r="FC882"/>
      <c r="FD882"/>
      <c r="FE882"/>
      <c r="FF882"/>
      <c r="FG882"/>
      <c r="FH882"/>
      <c r="FI882"/>
      <c r="FJ882"/>
      <c r="FK882"/>
      <c r="FL882"/>
      <c r="FM882"/>
      <c r="FN882"/>
      <c r="FO882"/>
      <c r="FP882"/>
      <c r="FQ882"/>
      <c r="FR882"/>
      <c r="FS882"/>
      <c r="FT882"/>
      <c r="FU882"/>
      <c r="FV882"/>
      <c r="FW882"/>
      <c r="FX882"/>
      <c r="FY882"/>
      <c r="FZ882"/>
      <c r="GA882"/>
      <c r="GB882"/>
      <c r="GC882"/>
      <c r="GD882"/>
      <c r="GE882"/>
      <c r="GF882"/>
      <c r="GG882"/>
      <c r="GH882"/>
      <c r="GI882"/>
      <c r="GJ882"/>
      <c r="GK882"/>
      <c r="GL882"/>
      <c r="GM882"/>
      <c r="GN882"/>
      <c r="GO882"/>
      <c r="GP882"/>
      <c r="GQ882"/>
      <c r="GR882"/>
      <c r="GS882"/>
      <c r="GT882"/>
      <c r="GU882"/>
      <c r="GV882"/>
      <c r="GW882"/>
      <c r="GX882"/>
      <c r="GY882"/>
      <c r="GZ882"/>
      <c r="HA882"/>
      <c r="HB882"/>
      <c r="HC882"/>
      <c r="HD882"/>
      <c r="HE882"/>
      <c r="HF882"/>
      <c r="HG882"/>
      <c r="HH882"/>
      <c r="HI882"/>
      <c r="HJ882"/>
      <c r="HK882"/>
      <c r="HL882"/>
      <c r="HM882"/>
      <c r="HN882"/>
      <c r="HO882"/>
      <c r="HP882"/>
      <c r="HQ882"/>
      <c r="HR882"/>
      <c r="HS882"/>
      <c r="HT882"/>
      <c r="HU882"/>
      <c r="HV882"/>
      <c r="HW882"/>
      <c r="HX882"/>
      <c r="HY882"/>
      <c r="HZ882"/>
      <c r="IA882"/>
      <c r="IB882"/>
      <c r="IC882"/>
      <c r="ID882"/>
      <c r="IE882"/>
      <c r="IF882"/>
      <c r="IG882"/>
      <c r="IH882"/>
      <c r="II882"/>
      <c r="IJ882"/>
      <c r="IK882"/>
      <c r="IL882"/>
    </row>
    <row r="883" spans="1:246" ht="12.75" customHeight="1" x14ac:dyDescent="0.2">
      <c r="A883" s="1155"/>
      <c r="B883" s="2126" t="s">
        <v>1967</v>
      </c>
      <c r="C883" s="2075">
        <v>350000</v>
      </c>
      <c r="D883" s="2075">
        <v>350000</v>
      </c>
      <c r="E883" s="2075">
        <v>171446</v>
      </c>
      <c r="F883" s="2075">
        <v>250000</v>
      </c>
      <c r="G883" s="2075">
        <v>350000</v>
      </c>
      <c r="H883"/>
      <c r="I883" s="2068"/>
      <c r="J883"/>
      <c r="K883"/>
      <c r="L883"/>
      <c r="M883"/>
      <c r="N883"/>
      <c r="O883"/>
      <c r="P883"/>
      <c r="Q883"/>
      <c r="R883"/>
      <c r="S883"/>
      <c r="T883"/>
      <c r="U883"/>
      <c r="V883"/>
      <c r="W883"/>
      <c r="X883"/>
      <c r="Y883"/>
      <c r="Z883"/>
      <c r="AA883"/>
      <c r="AB883"/>
      <c r="AC883"/>
      <c r="AD883"/>
      <c r="AE883"/>
      <c r="AF883"/>
      <c r="AG883"/>
      <c r="AH883"/>
      <c r="AI883"/>
      <c r="AJ883"/>
      <c r="AK883"/>
      <c r="AL883"/>
      <c r="AM883"/>
      <c r="AN883"/>
      <c r="AO883"/>
      <c r="AP883"/>
      <c r="AQ883"/>
      <c r="AR883"/>
      <c r="AS883"/>
      <c r="AT883"/>
      <c r="AU883"/>
      <c r="AV883"/>
      <c r="AW883"/>
      <c r="AX883"/>
      <c r="AY883"/>
      <c r="AZ883"/>
      <c r="BA883"/>
      <c r="BB883"/>
      <c r="BC883"/>
      <c r="BD883"/>
      <c r="BE883"/>
      <c r="BF883"/>
      <c r="BG883"/>
      <c r="BH883"/>
      <c r="BI883"/>
      <c r="BJ883"/>
      <c r="BK883"/>
      <c r="BL883"/>
      <c r="BM883"/>
      <c r="BN883"/>
      <c r="BO883"/>
      <c r="BP883"/>
      <c r="BQ883"/>
      <c r="BR883"/>
      <c r="BS883"/>
      <c r="BT883"/>
      <c r="BU883"/>
      <c r="BV883"/>
      <c r="BW883"/>
      <c r="BX883"/>
      <c r="BY883"/>
      <c r="BZ883"/>
      <c r="CA883"/>
      <c r="CB883"/>
      <c r="CC883"/>
      <c r="CD883"/>
      <c r="CE883"/>
      <c r="CF883"/>
      <c r="CG883"/>
      <c r="CH883"/>
      <c r="CI883"/>
      <c r="CJ883"/>
      <c r="CK883"/>
      <c r="CL883"/>
      <c r="CM883"/>
      <c r="CN883"/>
      <c r="CO883"/>
      <c r="CP883"/>
      <c r="CQ883"/>
      <c r="CR883"/>
      <c r="CS883"/>
      <c r="CT883"/>
      <c r="CU883"/>
      <c r="CV883"/>
      <c r="CW883"/>
      <c r="CX883"/>
      <c r="CY883"/>
      <c r="CZ883"/>
      <c r="DA883"/>
      <c r="DB883"/>
      <c r="DC883"/>
      <c r="DD883"/>
      <c r="DE883"/>
      <c r="DF883"/>
      <c r="DG883"/>
      <c r="DH883"/>
      <c r="DI883"/>
      <c r="DJ883"/>
      <c r="DK883"/>
      <c r="DL883"/>
      <c r="DM883"/>
      <c r="DN883"/>
      <c r="DO883"/>
      <c r="DP883"/>
      <c r="DQ883"/>
      <c r="DR883"/>
      <c r="DS883"/>
      <c r="DT883"/>
      <c r="DU883"/>
      <c r="DV883"/>
      <c r="DW883"/>
      <c r="DX883"/>
      <c r="DY883"/>
      <c r="DZ883"/>
      <c r="EA883"/>
      <c r="EB883"/>
      <c r="EC883"/>
      <c r="ED883"/>
      <c r="EE883"/>
      <c r="EF883"/>
      <c r="EG883"/>
      <c r="EH883"/>
      <c r="EI883"/>
      <c r="EJ883"/>
      <c r="EK883"/>
      <c r="EL883"/>
      <c r="EM883"/>
      <c r="EN883"/>
      <c r="EO883"/>
      <c r="EP883"/>
      <c r="EQ883"/>
      <c r="ER883"/>
      <c r="ES883"/>
      <c r="ET883"/>
      <c r="EU883"/>
      <c r="EV883"/>
      <c r="EW883"/>
      <c r="EX883"/>
      <c r="EY883"/>
      <c r="EZ883"/>
      <c r="FA883"/>
      <c r="FB883"/>
      <c r="FC883"/>
      <c r="FD883"/>
      <c r="FE883"/>
      <c r="FF883"/>
      <c r="FG883"/>
      <c r="FH883"/>
      <c r="FI883"/>
      <c r="FJ883"/>
      <c r="FK883"/>
      <c r="FL883"/>
      <c r="FM883"/>
      <c r="FN883"/>
      <c r="FO883"/>
      <c r="FP883"/>
      <c r="FQ883"/>
      <c r="FR883"/>
      <c r="FS883"/>
      <c r="FT883"/>
      <c r="FU883"/>
      <c r="FV883"/>
      <c r="FW883"/>
      <c r="FX883"/>
      <c r="FY883"/>
      <c r="FZ883"/>
      <c r="GA883"/>
      <c r="GB883"/>
      <c r="GC883"/>
      <c r="GD883"/>
      <c r="GE883"/>
      <c r="GF883"/>
      <c r="GG883"/>
      <c r="GH883"/>
      <c r="GI883"/>
      <c r="GJ883"/>
      <c r="GK883"/>
      <c r="GL883"/>
      <c r="GM883"/>
      <c r="GN883"/>
      <c r="GO883"/>
      <c r="GP883"/>
      <c r="GQ883"/>
      <c r="GR883"/>
      <c r="GS883"/>
      <c r="GT883"/>
      <c r="GU883"/>
      <c r="GV883"/>
      <c r="GW883"/>
      <c r="GX883"/>
      <c r="GY883"/>
      <c r="GZ883"/>
      <c r="HA883"/>
      <c r="HB883"/>
      <c r="HC883"/>
      <c r="HD883"/>
      <c r="HE883"/>
      <c r="HF883"/>
      <c r="HG883"/>
      <c r="HH883"/>
      <c r="HI883"/>
      <c r="HJ883"/>
      <c r="HK883"/>
      <c r="HL883"/>
      <c r="HM883"/>
      <c r="HN883"/>
      <c r="HO883"/>
      <c r="HP883"/>
      <c r="HQ883"/>
      <c r="HR883"/>
      <c r="HS883"/>
      <c r="HT883"/>
      <c r="HU883"/>
      <c r="HV883"/>
      <c r="HW883"/>
      <c r="HX883"/>
      <c r="HY883"/>
      <c r="HZ883"/>
      <c r="IA883"/>
      <c r="IB883"/>
      <c r="IC883"/>
      <c r="ID883"/>
      <c r="IE883"/>
      <c r="IF883"/>
      <c r="IG883"/>
      <c r="IH883"/>
      <c r="II883"/>
      <c r="IJ883"/>
      <c r="IK883"/>
      <c r="IL883"/>
    </row>
    <row r="884" spans="1:246" ht="12.75" customHeight="1" x14ac:dyDescent="0.2">
      <c r="A884" s="1155"/>
      <c r="B884" s="2083" t="s">
        <v>1969</v>
      </c>
      <c r="C884" s="2075">
        <v>2200000</v>
      </c>
      <c r="D884" s="2075">
        <v>2200000</v>
      </c>
      <c r="E884" s="2075">
        <v>1480000</v>
      </c>
      <c r="F884" s="2075">
        <v>2200000</v>
      </c>
      <c r="G884" s="2075">
        <v>2300000</v>
      </c>
      <c r="H884"/>
      <c r="I884" s="2068"/>
      <c r="J884"/>
      <c r="K884"/>
      <c r="L884"/>
      <c r="M884"/>
      <c r="N884"/>
      <c r="O884"/>
      <c r="P884"/>
      <c r="Q884"/>
      <c r="R884"/>
      <c r="S884"/>
      <c r="T884"/>
      <c r="U884"/>
      <c r="V884"/>
      <c r="W884"/>
      <c r="X884"/>
      <c r="Y884"/>
      <c r="Z884"/>
      <c r="AA884"/>
      <c r="AB884"/>
      <c r="AC884"/>
      <c r="AD884"/>
      <c r="AE884"/>
      <c r="AF884"/>
      <c r="AG884"/>
      <c r="AH884"/>
      <c r="AI884"/>
      <c r="AJ884"/>
      <c r="AK884"/>
      <c r="AL884"/>
      <c r="AM884"/>
      <c r="AN884"/>
      <c r="AO884"/>
      <c r="AP884"/>
      <c r="AQ884"/>
      <c r="AR884"/>
      <c r="AS884"/>
      <c r="AT884"/>
      <c r="AU884"/>
      <c r="AV884"/>
      <c r="AW884"/>
      <c r="AX884"/>
      <c r="AY884"/>
      <c r="AZ884"/>
      <c r="BA884"/>
      <c r="BB884"/>
      <c r="BC884"/>
      <c r="BD884"/>
      <c r="BE884"/>
      <c r="BF884"/>
      <c r="BG884"/>
      <c r="BH884"/>
      <c r="BI884"/>
      <c r="BJ884"/>
      <c r="BK884"/>
      <c r="BL884"/>
      <c r="BM884"/>
      <c r="BN884"/>
      <c r="BO884"/>
      <c r="BP884"/>
      <c r="BQ884"/>
      <c r="BR884"/>
      <c r="BS884"/>
      <c r="BT884"/>
      <c r="BU884"/>
      <c r="BV884"/>
      <c r="BW884"/>
      <c r="BX884"/>
      <c r="BY884"/>
      <c r="BZ884"/>
      <c r="CA884"/>
      <c r="CB884"/>
      <c r="CC884"/>
      <c r="CD884"/>
      <c r="CE884"/>
      <c r="CF884"/>
      <c r="CG884"/>
      <c r="CH884"/>
      <c r="CI884"/>
      <c r="CJ884"/>
      <c r="CK884"/>
      <c r="CL884"/>
      <c r="CM884"/>
      <c r="CN884"/>
      <c r="CO884"/>
      <c r="CP884"/>
      <c r="CQ884"/>
      <c r="CR884"/>
      <c r="CS884"/>
      <c r="CT884"/>
      <c r="CU884"/>
      <c r="CV884"/>
      <c r="CW884"/>
      <c r="CX884"/>
      <c r="CY884"/>
      <c r="CZ884"/>
      <c r="DA884"/>
      <c r="DB884"/>
      <c r="DC884"/>
      <c r="DD884"/>
      <c r="DE884"/>
      <c r="DF884"/>
      <c r="DG884"/>
      <c r="DH884"/>
      <c r="DI884"/>
      <c r="DJ884"/>
      <c r="DK884"/>
      <c r="DL884"/>
      <c r="DM884"/>
      <c r="DN884"/>
      <c r="DO884"/>
      <c r="DP884"/>
      <c r="DQ884"/>
      <c r="DR884"/>
      <c r="DS884"/>
      <c r="DT884"/>
      <c r="DU884"/>
      <c r="DV884"/>
      <c r="DW884"/>
      <c r="DX884"/>
      <c r="DY884"/>
      <c r="DZ884"/>
      <c r="EA884"/>
      <c r="EB884"/>
      <c r="EC884"/>
      <c r="ED884"/>
      <c r="EE884"/>
      <c r="EF884"/>
      <c r="EG884"/>
      <c r="EH884"/>
      <c r="EI884"/>
      <c r="EJ884"/>
      <c r="EK884"/>
      <c r="EL884"/>
      <c r="EM884"/>
      <c r="EN884"/>
      <c r="EO884"/>
      <c r="EP884"/>
      <c r="EQ884"/>
      <c r="ER884"/>
      <c r="ES884"/>
      <c r="ET884"/>
      <c r="EU884"/>
      <c r="EV884"/>
      <c r="EW884"/>
      <c r="EX884"/>
      <c r="EY884"/>
      <c r="EZ884"/>
      <c r="FA884"/>
      <c r="FB884"/>
      <c r="FC884"/>
      <c r="FD884"/>
      <c r="FE884"/>
      <c r="FF884"/>
      <c r="FG884"/>
      <c r="FH884"/>
      <c r="FI884"/>
      <c r="FJ884"/>
      <c r="FK884"/>
      <c r="FL884"/>
      <c r="FM884"/>
      <c r="FN884"/>
      <c r="FO884"/>
      <c r="FP884"/>
      <c r="FQ884"/>
      <c r="FR884"/>
      <c r="FS884"/>
      <c r="FT884"/>
      <c r="FU884"/>
      <c r="FV884"/>
      <c r="FW884"/>
      <c r="FX884"/>
      <c r="FY884"/>
      <c r="FZ884"/>
      <c r="GA884"/>
      <c r="GB884"/>
      <c r="GC884"/>
      <c r="GD884"/>
      <c r="GE884"/>
      <c r="GF884"/>
      <c r="GG884"/>
      <c r="GH884"/>
      <c r="GI884"/>
      <c r="GJ884"/>
      <c r="GK884"/>
      <c r="GL884"/>
      <c r="GM884"/>
      <c r="GN884"/>
      <c r="GO884"/>
      <c r="GP884"/>
      <c r="GQ884"/>
      <c r="GR884"/>
      <c r="GS884"/>
      <c r="GT884"/>
      <c r="GU884"/>
      <c r="GV884"/>
      <c r="GW884"/>
      <c r="GX884"/>
      <c r="GY884"/>
      <c r="GZ884"/>
      <c r="HA884"/>
      <c r="HB884"/>
      <c r="HC884"/>
      <c r="HD884"/>
      <c r="HE884"/>
      <c r="HF884"/>
      <c r="HG884"/>
      <c r="HH884"/>
      <c r="HI884"/>
      <c r="HJ884"/>
      <c r="HK884"/>
      <c r="HL884"/>
      <c r="HM884"/>
      <c r="HN884"/>
      <c r="HO884"/>
      <c r="HP884"/>
      <c r="HQ884"/>
      <c r="HR884"/>
      <c r="HS884"/>
      <c r="HT884"/>
      <c r="HU884"/>
      <c r="HV884"/>
      <c r="HW884"/>
      <c r="HX884"/>
      <c r="HY884"/>
      <c r="HZ884"/>
      <c r="IA884"/>
      <c r="IB884"/>
      <c r="IC884"/>
      <c r="ID884"/>
      <c r="IE884"/>
      <c r="IF884"/>
      <c r="IG884"/>
      <c r="IH884"/>
      <c r="II884"/>
      <c r="IJ884"/>
      <c r="IK884"/>
      <c r="IL884"/>
    </row>
    <row r="885" spans="1:246" x14ac:dyDescent="0.2">
      <c r="A885" s="1155"/>
      <c r="B885" s="2083" t="s">
        <v>2554</v>
      </c>
      <c r="C885" s="2075">
        <v>0</v>
      </c>
      <c r="D885" s="2075">
        <v>0</v>
      </c>
      <c r="E885" s="2075">
        <v>0</v>
      </c>
      <c r="F885" s="2075">
        <v>0</v>
      </c>
      <c r="G885" s="2075">
        <v>200000</v>
      </c>
      <c r="H885"/>
      <c r="I885" s="2068"/>
      <c r="J885"/>
      <c r="K885"/>
      <c r="L885"/>
      <c r="M885"/>
      <c r="N885"/>
      <c r="O885"/>
      <c r="P885"/>
      <c r="Q885"/>
      <c r="R885"/>
      <c r="S885"/>
      <c r="T885"/>
      <c r="U885"/>
      <c r="V885"/>
      <c r="W885"/>
      <c r="X885"/>
      <c r="Y885"/>
      <c r="Z885"/>
      <c r="AA885"/>
      <c r="AB885"/>
      <c r="AC885"/>
      <c r="AD885"/>
      <c r="AE885"/>
      <c r="AF885"/>
      <c r="AG885"/>
      <c r="AH885"/>
      <c r="AI885"/>
      <c r="AJ885"/>
      <c r="AK885"/>
      <c r="AL885"/>
      <c r="AM885"/>
      <c r="AN885"/>
      <c r="AO885"/>
      <c r="AP885"/>
      <c r="AQ885"/>
      <c r="AR885"/>
      <c r="AS885"/>
      <c r="AT885"/>
      <c r="AU885"/>
      <c r="AV885"/>
      <c r="AW885"/>
      <c r="AX885"/>
      <c r="AY885"/>
      <c r="AZ885"/>
      <c r="BA885"/>
      <c r="BB885"/>
      <c r="BC885"/>
      <c r="BD885"/>
      <c r="BE885"/>
      <c r="BF885"/>
      <c r="BG885"/>
      <c r="BH885"/>
      <c r="BI885"/>
      <c r="BJ885"/>
      <c r="BK885"/>
      <c r="BL885"/>
      <c r="BM885"/>
      <c r="BN885"/>
      <c r="BO885"/>
      <c r="BP885"/>
      <c r="BQ885"/>
      <c r="BR885"/>
      <c r="BS885"/>
      <c r="BT885"/>
      <c r="BU885"/>
      <c r="BV885"/>
      <c r="BW885"/>
      <c r="BX885"/>
      <c r="BY885"/>
      <c r="BZ885"/>
      <c r="CA885"/>
      <c r="CB885"/>
      <c r="CC885"/>
      <c r="CD885"/>
      <c r="CE885"/>
      <c r="CF885"/>
      <c r="CG885"/>
      <c r="CH885"/>
      <c r="CI885"/>
      <c r="CJ885"/>
      <c r="CK885"/>
      <c r="CL885"/>
      <c r="CM885"/>
      <c r="CN885"/>
      <c r="CO885"/>
      <c r="CP885"/>
      <c r="CQ885"/>
      <c r="CR885"/>
      <c r="CS885"/>
      <c r="CT885"/>
      <c r="CU885"/>
      <c r="CV885"/>
      <c r="CW885"/>
      <c r="CX885"/>
      <c r="CY885"/>
      <c r="CZ885"/>
      <c r="DA885"/>
      <c r="DB885"/>
      <c r="DC885"/>
      <c r="DD885"/>
      <c r="DE885"/>
      <c r="DF885"/>
      <c r="DG885"/>
      <c r="DH885"/>
      <c r="DI885"/>
      <c r="DJ885"/>
      <c r="DK885"/>
      <c r="DL885"/>
      <c r="DM885"/>
      <c r="DN885"/>
      <c r="DO885"/>
      <c r="DP885"/>
      <c r="DQ885"/>
      <c r="DR885"/>
      <c r="DS885"/>
      <c r="DT885"/>
      <c r="DU885"/>
      <c r="DV885"/>
      <c r="DW885"/>
      <c r="DX885"/>
      <c r="DY885"/>
      <c r="DZ885"/>
      <c r="EA885"/>
      <c r="EB885"/>
      <c r="EC885"/>
      <c r="ED885"/>
      <c r="EE885"/>
      <c r="EF885"/>
      <c r="EG885"/>
      <c r="EH885"/>
      <c r="EI885"/>
      <c r="EJ885"/>
      <c r="EK885"/>
      <c r="EL885"/>
      <c r="EM885"/>
      <c r="EN885"/>
      <c r="EO885"/>
      <c r="EP885"/>
      <c r="EQ885"/>
      <c r="ER885"/>
      <c r="ES885"/>
      <c r="ET885"/>
      <c r="EU885"/>
      <c r="EV885"/>
      <c r="EW885"/>
      <c r="EX885"/>
      <c r="EY885"/>
      <c r="EZ885"/>
      <c r="FA885"/>
      <c r="FB885"/>
      <c r="FC885"/>
      <c r="FD885"/>
      <c r="FE885"/>
      <c r="FF885"/>
      <c r="FG885"/>
      <c r="FH885"/>
      <c r="FI885"/>
      <c r="FJ885"/>
      <c r="FK885"/>
      <c r="FL885"/>
      <c r="FM885"/>
      <c r="FN885"/>
      <c r="FO885"/>
      <c r="FP885"/>
      <c r="FQ885"/>
      <c r="FR885"/>
      <c r="FS885"/>
      <c r="FT885"/>
      <c r="FU885"/>
      <c r="FV885"/>
      <c r="FW885"/>
      <c r="FX885"/>
      <c r="FY885"/>
      <c r="FZ885"/>
      <c r="GA885"/>
      <c r="GB885"/>
      <c r="GC885"/>
      <c r="GD885"/>
      <c r="GE885"/>
      <c r="GF885"/>
      <c r="GG885"/>
      <c r="GH885"/>
      <c r="GI885"/>
      <c r="GJ885"/>
      <c r="GK885"/>
      <c r="GL885"/>
      <c r="GM885"/>
      <c r="GN885"/>
      <c r="GO885"/>
      <c r="GP885"/>
      <c r="GQ885"/>
      <c r="GR885"/>
      <c r="GS885"/>
      <c r="GT885"/>
      <c r="GU885"/>
      <c r="GV885"/>
      <c r="GW885"/>
      <c r="GX885"/>
      <c r="GY885"/>
      <c r="GZ885"/>
      <c r="HA885"/>
      <c r="HB885"/>
      <c r="HC885"/>
      <c r="HD885"/>
      <c r="HE885"/>
      <c r="HF885"/>
      <c r="HG885"/>
      <c r="HH885"/>
      <c r="HI885"/>
      <c r="HJ885"/>
      <c r="HK885"/>
      <c r="HL885"/>
      <c r="HM885"/>
      <c r="HN885"/>
      <c r="HO885"/>
      <c r="HP885"/>
      <c r="HQ885"/>
      <c r="HR885"/>
      <c r="HS885"/>
      <c r="HT885"/>
      <c r="HU885"/>
      <c r="HV885"/>
      <c r="HW885"/>
      <c r="HX885"/>
      <c r="HY885"/>
      <c r="HZ885"/>
      <c r="IA885"/>
      <c r="IB885"/>
      <c r="IC885"/>
      <c r="ID885"/>
      <c r="IE885"/>
      <c r="IF885"/>
      <c r="IG885"/>
      <c r="IH885"/>
      <c r="II885"/>
      <c r="IJ885"/>
      <c r="IK885"/>
      <c r="IL885"/>
    </row>
    <row r="886" spans="1:246" ht="12.75" customHeight="1" x14ac:dyDescent="0.2">
      <c r="A886" s="1155"/>
      <c r="B886" s="2126" t="s">
        <v>1970</v>
      </c>
      <c r="C886" s="2075">
        <v>20000</v>
      </c>
      <c r="D886" s="2075">
        <v>0</v>
      </c>
      <c r="E886" s="2075">
        <v>0</v>
      </c>
      <c r="F886" s="2075">
        <v>0</v>
      </c>
      <c r="G886" s="2075">
        <v>0</v>
      </c>
      <c r="H886"/>
      <c r="I886" s="2068"/>
      <c r="J886"/>
      <c r="K886"/>
      <c r="L886"/>
      <c r="M886"/>
      <c r="N886"/>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c r="EX886"/>
      <c r="EY886"/>
      <c r="EZ886"/>
      <c r="FA886"/>
      <c r="FB886"/>
      <c r="FC886"/>
      <c r="FD886"/>
      <c r="FE886"/>
      <c r="FF886"/>
      <c r="FG886"/>
      <c r="FH886"/>
      <c r="FI886"/>
      <c r="FJ886"/>
      <c r="FK886"/>
      <c r="FL886"/>
      <c r="FM886"/>
      <c r="FN886"/>
      <c r="FO886"/>
      <c r="FP886"/>
      <c r="FQ886"/>
      <c r="FR886"/>
      <c r="FS886"/>
      <c r="FT886"/>
      <c r="FU886"/>
      <c r="FV886"/>
      <c r="FW886"/>
      <c r="FX886"/>
      <c r="FY886"/>
      <c r="FZ886"/>
      <c r="GA886"/>
      <c r="GB886"/>
      <c r="GC886"/>
      <c r="GD886"/>
      <c r="GE886"/>
      <c r="GF886"/>
      <c r="GG886"/>
      <c r="GH886"/>
      <c r="GI886"/>
      <c r="GJ886"/>
      <c r="GK886"/>
      <c r="GL886"/>
      <c r="GM886"/>
      <c r="GN886"/>
      <c r="GO886"/>
      <c r="GP886"/>
      <c r="GQ886"/>
      <c r="GR886"/>
      <c r="GS886"/>
      <c r="GT886"/>
      <c r="GU886"/>
      <c r="GV886"/>
      <c r="GW886"/>
      <c r="GX886"/>
      <c r="GY886"/>
      <c r="GZ886"/>
      <c r="HA886"/>
      <c r="HB886"/>
      <c r="HC886"/>
      <c r="HD886"/>
      <c r="HE886"/>
      <c r="HF886"/>
      <c r="HG886"/>
      <c r="HH886"/>
      <c r="HI886"/>
      <c r="HJ886"/>
      <c r="HK886"/>
      <c r="HL886"/>
      <c r="HM886"/>
      <c r="HN886"/>
      <c r="HO886"/>
      <c r="HP886"/>
      <c r="HQ886"/>
      <c r="HR886"/>
      <c r="HS886"/>
      <c r="HT886"/>
      <c r="HU886"/>
      <c r="HV886"/>
      <c r="HW886"/>
      <c r="HX886"/>
      <c r="HY886"/>
      <c r="HZ886"/>
      <c r="IA886"/>
      <c r="IB886"/>
      <c r="IC886"/>
      <c r="ID886"/>
      <c r="IE886"/>
      <c r="IF886"/>
      <c r="IG886"/>
      <c r="IH886"/>
      <c r="II886"/>
      <c r="IJ886"/>
      <c r="IK886"/>
      <c r="IL886"/>
    </row>
    <row r="887" spans="1:246" ht="12.75" customHeight="1" x14ac:dyDescent="0.2">
      <c r="A887" s="1155"/>
      <c r="B887" s="2088" t="s">
        <v>911</v>
      </c>
      <c r="C887" s="2075">
        <v>15000</v>
      </c>
      <c r="D887" s="2075">
        <v>15000</v>
      </c>
      <c r="E887" s="2075">
        <v>12100</v>
      </c>
      <c r="F887" s="2075">
        <v>14520</v>
      </c>
      <c r="G887" s="2075">
        <v>20000</v>
      </c>
      <c r="H887"/>
      <c r="I887" s="2068"/>
      <c r="J887"/>
      <c r="K887"/>
      <c r="L887"/>
      <c r="M887"/>
      <c r="N887"/>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c r="EX887"/>
      <c r="EY887"/>
      <c r="EZ887"/>
      <c r="FA887"/>
      <c r="FB887"/>
      <c r="FC887"/>
      <c r="FD887"/>
      <c r="FE887"/>
      <c r="FF887"/>
      <c r="FG887"/>
      <c r="FH887"/>
      <c r="FI887"/>
      <c r="FJ887"/>
      <c r="FK887"/>
      <c r="FL887"/>
      <c r="FM887"/>
      <c r="FN887"/>
      <c r="FO887"/>
      <c r="FP887"/>
      <c r="FQ887"/>
      <c r="FR887"/>
      <c r="FS887"/>
      <c r="FT887"/>
      <c r="FU887"/>
      <c r="FV887"/>
      <c r="FW887"/>
      <c r="FX887"/>
      <c r="FY887"/>
      <c r="FZ887"/>
      <c r="GA887"/>
      <c r="GB887"/>
      <c r="GC887"/>
      <c r="GD887"/>
      <c r="GE887"/>
      <c r="GF887"/>
      <c r="GG887"/>
      <c r="GH887"/>
      <c r="GI887"/>
      <c r="GJ887"/>
      <c r="GK887"/>
      <c r="GL887"/>
      <c r="GM887"/>
      <c r="GN887"/>
      <c r="GO887"/>
      <c r="GP887"/>
      <c r="GQ887"/>
      <c r="GR887"/>
      <c r="GS887"/>
      <c r="GT887"/>
      <c r="GU887"/>
      <c r="GV887"/>
      <c r="GW887"/>
      <c r="GX887"/>
      <c r="GY887"/>
      <c r="GZ887"/>
      <c r="HA887"/>
      <c r="HB887"/>
      <c r="HC887"/>
      <c r="HD887"/>
      <c r="HE887"/>
      <c r="HF887"/>
      <c r="HG887"/>
      <c r="HH887"/>
      <c r="HI887"/>
      <c r="HJ887"/>
      <c r="HK887"/>
      <c r="HL887"/>
      <c r="HM887"/>
      <c r="HN887"/>
      <c r="HO887"/>
      <c r="HP887"/>
      <c r="HQ887"/>
      <c r="HR887"/>
      <c r="HS887"/>
      <c r="HT887"/>
      <c r="HU887"/>
      <c r="HV887"/>
      <c r="HW887"/>
      <c r="HX887"/>
      <c r="HY887"/>
      <c r="HZ887"/>
      <c r="IA887"/>
      <c r="IB887"/>
      <c r="IC887"/>
      <c r="ID887"/>
      <c r="IE887"/>
      <c r="IF887"/>
      <c r="IG887"/>
      <c r="IH887"/>
      <c r="II887"/>
      <c r="IJ887"/>
      <c r="IK887"/>
      <c r="IL887"/>
    </row>
    <row r="888" spans="1:246" ht="12.75" customHeight="1" x14ac:dyDescent="0.2">
      <c r="A888" s="1155"/>
      <c r="B888" s="2080" t="s">
        <v>1971</v>
      </c>
      <c r="C888" s="2075">
        <v>270000</v>
      </c>
      <c r="D888" s="2075">
        <v>270000</v>
      </c>
      <c r="E888" s="2075">
        <v>0</v>
      </c>
      <c r="F888" s="2075">
        <v>0</v>
      </c>
      <c r="G888" s="2075">
        <v>0</v>
      </c>
      <c r="H888"/>
      <c r="I888" s="2068"/>
      <c r="J888"/>
      <c r="K888"/>
      <c r="L888"/>
      <c r="M888"/>
      <c r="N888"/>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c r="EX888"/>
      <c r="EY888"/>
      <c r="EZ888"/>
      <c r="FA888"/>
      <c r="FB888"/>
      <c r="FC888"/>
      <c r="FD888"/>
      <c r="FE888"/>
      <c r="FF888"/>
      <c r="FG888"/>
      <c r="FH888"/>
      <c r="FI888"/>
      <c r="FJ888"/>
      <c r="FK888"/>
      <c r="FL888"/>
      <c r="FM888"/>
      <c r="FN888"/>
      <c r="FO888"/>
      <c r="FP888"/>
      <c r="FQ888"/>
      <c r="FR888"/>
      <c r="FS888"/>
      <c r="FT888"/>
      <c r="FU888"/>
      <c r="FV888"/>
      <c r="FW888"/>
      <c r="FX888"/>
      <c r="FY888"/>
      <c r="FZ888"/>
      <c r="GA888"/>
      <c r="GB888"/>
      <c r="GC888"/>
      <c r="GD888"/>
      <c r="GE888"/>
      <c r="GF888"/>
      <c r="GG888"/>
      <c r="GH888"/>
      <c r="GI888"/>
      <c r="GJ888"/>
      <c r="GK888"/>
      <c r="GL888"/>
      <c r="GM888"/>
      <c r="GN888"/>
      <c r="GO888"/>
      <c r="GP888"/>
      <c r="GQ888"/>
      <c r="GR888"/>
      <c r="GS888"/>
      <c r="GT888"/>
      <c r="GU888"/>
      <c r="GV888"/>
      <c r="GW888"/>
      <c r="GX888"/>
      <c r="GY888"/>
      <c r="GZ888"/>
      <c r="HA888"/>
      <c r="HB888"/>
      <c r="HC888"/>
      <c r="HD888"/>
      <c r="HE888"/>
      <c r="HF888"/>
      <c r="HG888"/>
      <c r="HH888"/>
      <c r="HI888"/>
      <c r="HJ888"/>
      <c r="HK888"/>
      <c r="HL888"/>
      <c r="HM888"/>
      <c r="HN888"/>
      <c r="HO888"/>
      <c r="HP888"/>
      <c r="HQ888"/>
      <c r="HR888"/>
      <c r="HS888"/>
      <c r="HT888"/>
      <c r="HU888"/>
      <c r="HV888"/>
      <c r="HW888"/>
      <c r="HX888"/>
      <c r="HY888"/>
      <c r="HZ888"/>
      <c r="IA888"/>
      <c r="IB888"/>
      <c r="IC888"/>
      <c r="ID888"/>
      <c r="IE888"/>
      <c r="IF888"/>
      <c r="IG888"/>
      <c r="IH888"/>
      <c r="II888"/>
      <c r="IJ888"/>
      <c r="IK888"/>
      <c r="IL888"/>
    </row>
    <row r="889" spans="1:246" ht="12.75" customHeight="1" x14ac:dyDescent="0.2">
      <c r="A889" s="2098"/>
      <c r="B889" s="2087" t="s">
        <v>913</v>
      </c>
      <c r="C889" s="2082">
        <f>C892+C894+C901</f>
        <v>6100000</v>
      </c>
      <c r="D889" s="2082">
        <f>D892+D894+D901</f>
        <v>5890000</v>
      </c>
      <c r="E889" s="2082">
        <f>E892+E894+E901</f>
        <v>1689143.91</v>
      </c>
      <c r="F889" s="2082">
        <f>F892+F894+F901</f>
        <v>2707334.17</v>
      </c>
      <c r="G889" s="2082">
        <f>G892+G894+G901+G890+G891</f>
        <v>5542000</v>
      </c>
      <c r="H889"/>
      <c r="I889" s="2068"/>
      <c r="J889"/>
      <c r="K889"/>
      <c r="L889"/>
      <c r="M889"/>
      <c r="N889"/>
      <c r="O889"/>
      <c r="P889"/>
      <c r="Q889"/>
      <c r="R889"/>
      <c r="S889"/>
      <c r="T889"/>
      <c r="U889"/>
      <c r="V889"/>
      <c r="W889"/>
      <c r="X889"/>
      <c r="Y889"/>
      <c r="Z889"/>
      <c r="AA889"/>
      <c r="AB889"/>
      <c r="AC889"/>
      <c r="AD889"/>
      <c r="AE889"/>
      <c r="AF889"/>
      <c r="AG889"/>
      <c r="AH889"/>
      <c r="AI889"/>
      <c r="AJ889"/>
      <c r="AK889"/>
      <c r="AL889"/>
      <c r="AM889"/>
      <c r="AN889"/>
      <c r="AO889"/>
      <c r="AP889"/>
      <c r="AQ889"/>
      <c r="AR889"/>
      <c r="AS889"/>
      <c r="AT889"/>
      <c r="AU889"/>
      <c r="AV889"/>
      <c r="AW889"/>
      <c r="AX889"/>
      <c r="AY889"/>
      <c r="AZ889"/>
      <c r="BA889"/>
      <c r="BB889"/>
      <c r="BC889"/>
      <c r="BD889"/>
      <c r="BE889"/>
      <c r="BF889"/>
      <c r="BG889"/>
      <c r="BH889"/>
      <c r="BI889"/>
      <c r="BJ889"/>
      <c r="BK889"/>
      <c r="BL889"/>
      <c r="BM889"/>
      <c r="BN889"/>
      <c r="BO889"/>
      <c r="BP889"/>
      <c r="BQ889"/>
      <c r="BR889"/>
      <c r="BS889"/>
      <c r="BT889"/>
      <c r="BU889"/>
      <c r="BV889"/>
      <c r="BW889"/>
      <c r="BX889"/>
      <c r="BY889"/>
      <c r="BZ889"/>
      <c r="CA889"/>
      <c r="CB889"/>
      <c r="CC889"/>
      <c r="CD889"/>
      <c r="CE889"/>
      <c r="CF889"/>
      <c r="CG889"/>
      <c r="CH889"/>
      <c r="CI889"/>
      <c r="CJ889"/>
      <c r="CK889"/>
      <c r="CL889"/>
      <c r="CM889"/>
      <c r="CN889"/>
      <c r="CO889"/>
      <c r="CP889"/>
      <c r="CQ889"/>
      <c r="CR889"/>
      <c r="CS889"/>
      <c r="CT889"/>
      <c r="CU889"/>
      <c r="CV889"/>
      <c r="CW889"/>
      <c r="CX889"/>
      <c r="CY889"/>
      <c r="CZ889"/>
      <c r="DA889"/>
      <c r="DB889"/>
      <c r="DC889"/>
      <c r="DD889"/>
      <c r="DE889"/>
      <c r="DF889"/>
      <c r="DG889"/>
      <c r="DH889"/>
      <c r="DI889"/>
      <c r="DJ889"/>
      <c r="DK889"/>
      <c r="DL889"/>
      <c r="DM889"/>
      <c r="DN889"/>
      <c r="DO889"/>
      <c r="DP889"/>
      <c r="DQ889"/>
      <c r="DR889"/>
      <c r="DS889"/>
      <c r="DT889"/>
      <c r="DU889"/>
      <c r="DV889"/>
      <c r="DW889"/>
      <c r="DX889"/>
      <c r="DY889"/>
      <c r="DZ889"/>
      <c r="EA889"/>
      <c r="EB889"/>
      <c r="EC889"/>
      <c r="ED889"/>
      <c r="EE889"/>
      <c r="EF889"/>
      <c r="EG889"/>
      <c r="EH889"/>
      <c r="EI889"/>
      <c r="EJ889"/>
      <c r="EK889"/>
      <c r="EL889"/>
      <c r="EM889"/>
      <c r="EN889"/>
      <c r="EO889"/>
      <c r="EP889"/>
      <c r="EQ889"/>
      <c r="ER889"/>
      <c r="ES889"/>
      <c r="ET889"/>
      <c r="EU889"/>
      <c r="EV889"/>
      <c r="EW889"/>
      <c r="EX889"/>
      <c r="EY889"/>
      <c r="EZ889"/>
      <c r="FA889"/>
      <c r="FB889"/>
      <c r="FC889"/>
      <c r="FD889"/>
      <c r="FE889"/>
      <c r="FF889"/>
      <c r="FG889"/>
      <c r="FH889"/>
      <c r="FI889"/>
      <c r="FJ889"/>
      <c r="FK889"/>
      <c r="FL889"/>
      <c r="FM889"/>
      <c r="FN889"/>
      <c r="FO889"/>
      <c r="FP889"/>
      <c r="FQ889"/>
      <c r="FR889"/>
      <c r="FS889"/>
      <c r="FT889"/>
      <c r="FU889"/>
      <c r="FV889"/>
      <c r="FW889"/>
      <c r="FX889"/>
      <c r="FY889"/>
      <c r="FZ889"/>
      <c r="GA889"/>
      <c r="GB889"/>
      <c r="GC889"/>
      <c r="GD889"/>
      <c r="GE889"/>
      <c r="GF889"/>
      <c r="GG889"/>
      <c r="GH889"/>
      <c r="GI889"/>
      <c r="GJ889"/>
      <c r="GK889"/>
      <c r="GL889"/>
      <c r="GM889"/>
      <c r="GN889"/>
      <c r="GO889"/>
      <c r="GP889"/>
      <c r="GQ889"/>
      <c r="GR889"/>
      <c r="GS889"/>
      <c r="GT889"/>
      <c r="GU889"/>
      <c r="GV889"/>
      <c r="GW889"/>
      <c r="GX889"/>
      <c r="GY889"/>
      <c r="GZ889"/>
      <c r="HA889"/>
      <c r="HB889"/>
      <c r="HC889"/>
      <c r="HD889"/>
      <c r="HE889"/>
      <c r="HF889"/>
      <c r="HG889"/>
      <c r="HH889"/>
      <c r="HI889"/>
      <c r="HJ889"/>
      <c r="HK889"/>
      <c r="HL889"/>
      <c r="HM889"/>
      <c r="HN889"/>
      <c r="HO889"/>
      <c r="HP889"/>
      <c r="HQ889"/>
      <c r="HR889"/>
      <c r="HS889"/>
      <c r="HT889"/>
      <c r="HU889"/>
      <c r="HV889"/>
      <c r="HW889"/>
      <c r="HX889"/>
      <c r="HY889"/>
      <c r="HZ889"/>
      <c r="IA889"/>
      <c r="IB889"/>
      <c r="IC889"/>
      <c r="ID889"/>
      <c r="IE889"/>
      <c r="IF889"/>
      <c r="IG889"/>
      <c r="IH889"/>
      <c r="II889"/>
      <c r="IJ889"/>
      <c r="IK889"/>
      <c r="IL889"/>
    </row>
    <row r="890" spans="1:246" ht="30" customHeight="1" x14ac:dyDescent="0.2">
      <c r="A890" s="2098"/>
      <c r="B890" s="2080" t="s">
        <v>2555</v>
      </c>
      <c r="C890" s="2082">
        <v>0</v>
      </c>
      <c r="D890" s="2082">
        <v>0</v>
      </c>
      <c r="E890" s="2082">
        <v>0</v>
      </c>
      <c r="F890" s="2082">
        <v>0</v>
      </c>
      <c r="G890" s="2082">
        <f>310000+110000+72000</f>
        <v>492000</v>
      </c>
      <c r="H890"/>
      <c r="I890" s="2068"/>
      <c r="J890"/>
      <c r="K890"/>
      <c r="L890"/>
      <c r="M890"/>
      <c r="N890"/>
      <c r="O890"/>
      <c r="P890"/>
      <c r="Q890"/>
      <c r="R890"/>
      <c r="S890"/>
      <c r="T890"/>
      <c r="U890"/>
      <c r="V890"/>
      <c r="W890"/>
      <c r="X890"/>
      <c r="Y890"/>
      <c r="Z890"/>
      <c r="AA890"/>
      <c r="AB890"/>
      <c r="AC890"/>
      <c r="AD890"/>
      <c r="AE890"/>
      <c r="AF890"/>
      <c r="AG890"/>
      <c r="AH890"/>
      <c r="AI890"/>
      <c r="AJ890"/>
      <c r="AK890"/>
      <c r="AL890"/>
      <c r="AM890"/>
      <c r="AN890"/>
      <c r="AO890"/>
      <c r="AP890"/>
      <c r="AQ890"/>
      <c r="AR890"/>
      <c r="AS890"/>
      <c r="AT890"/>
      <c r="AU890"/>
      <c r="AV890"/>
      <c r="AW890"/>
      <c r="AX890"/>
      <c r="AY890"/>
      <c r="AZ890"/>
      <c r="BA890"/>
      <c r="BB890"/>
      <c r="BC890"/>
      <c r="BD890"/>
      <c r="BE890"/>
      <c r="BF890"/>
      <c r="BG890"/>
      <c r="BH890"/>
      <c r="BI890"/>
      <c r="BJ890"/>
      <c r="BK890"/>
      <c r="BL890"/>
      <c r="BM890"/>
      <c r="BN890"/>
      <c r="BO890"/>
      <c r="BP890"/>
      <c r="BQ890"/>
      <c r="BR890"/>
      <c r="BS890"/>
      <c r="BT890"/>
      <c r="BU890"/>
      <c r="BV890"/>
      <c r="BW890"/>
      <c r="BX890"/>
      <c r="BY890"/>
      <c r="BZ890"/>
      <c r="CA890"/>
      <c r="CB890"/>
      <c r="CC890"/>
      <c r="CD890"/>
      <c r="CE890"/>
      <c r="CF890"/>
      <c r="CG890"/>
      <c r="CH890"/>
      <c r="CI890"/>
      <c r="CJ890"/>
      <c r="CK890"/>
      <c r="CL890"/>
      <c r="CM890"/>
      <c r="CN890"/>
      <c r="CO890"/>
      <c r="CP890"/>
      <c r="CQ890"/>
      <c r="CR890"/>
      <c r="CS890"/>
      <c r="CT890"/>
      <c r="CU890"/>
      <c r="CV890"/>
      <c r="CW890"/>
      <c r="CX890"/>
      <c r="CY890"/>
      <c r="CZ890"/>
      <c r="DA890"/>
      <c r="DB890"/>
      <c r="DC890"/>
      <c r="DD890"/>
      <c r="DE890"/>
      <c r="DF890"/>
      <c r="DG890"/>
      <c r="DH890"/>
      <c r="DI890"/>
      <c r="DJ890"/>
      <c r="DK890"/>
      <c r="DL890"/>
      <c r="DM890"/>
      <c r="DN890"/>
      <c r="DO890"/>
      <c r="DP890"/>
      <c r="DQ890"/>
      <c r="DR890"/>
      <c r="DS890"/>
      <c r="DT890"/>
      <c r="DU890"/>
      <c r="DV890"/>
      <c r="DW890"/>
      <c r="DX890"/>
      <c r="DY890"/>
      <c r="DZ890"/>
      <c r="EA890"/>
      <c r="EB890"/>
      <c r="EC890"/>
      <c r="ED890"/>
      <c r="EE890"/>
      <c r="EF890"/>
      <c r="EG890"/>
      <c r="EH890"/>
      <c r="EI890"/>
      <c r="EJ890"/>
      <c r="EK890"/>
      <c r="EL890"/>
      <c r="EM890"/>
      <c r="EN890"/>
      <c r="EO890"/>
      <c r="EP890"/>
      <c r="EQ890"/>
      <c r="ER890"/>
      <c r="ES890"/>
      <c r="ET890"/>
      <c r="EU890"/>
      <c r="EV890"/>
      <c r="EW890"/>
      <c r="EX890"/>
      <c r="EY890"/>
      <c r="EZ890"/>
      <c r="FA890"/>
      <c r="FB890"/>
      <c r="FC890"/>
      <c r="FD890"/>
      <c r="FE890"/>
      <c r="FF890"/>
      <c r="FG890"/>
      <c r="FH890"/>
      <c r="FI890"/>
      <c r="FJ890"/>
      <c r="FK890"/>
      <c r="FL890"/>
      <c r="FM890"/>
      <c r="FN890"/>
      <c r="FO890"/>
      <c r="FP890"/>
      <c r="FQ890"/>
      <c r="FR890"/>
      <c r="FS890"/>
      <c r="FT890"/>
      <c r="FU890"/>
      <c r="FV890"/>
      <c r="FW890"/>
      <c r="FX890"/>
      <c r="FY890"/>
      <c r="FZ890"/>
      <c r="GA890"/>
      <c r="GB890"/>
      <c r="GC890"/>
      <c r="GD890"/>
      <c r="GE890"/>
      <c r="GF890"/>
      <c r="GG890"/>
      <c r="GH890"/>
      <c r="GI890"/>
      <c r="GJ890"/>
      <c r="GK890"/>
      <c r="GL890"/>
      <c r="GM890"/>
      <c r="GN890"/>
      <c r="GO890"/>
      <c r="GP890"/>
      <c r="GQ890"/>
      <c r="GR890"/>
      <c r="GS890"/>
      <c r="GT890"/>
      <c r="GU890"/>
      <c r="GV890"/>
      <c r="GW890"/>
      <c r="GX890"/>
      <c r="GY890"/>
      <c r="GZ890"/>
      <c r="HA890"/>
      <c r="HB890"/>
      <c r="HC890"/>
      <c r="HD890"/>
      <c r="HE890"/>
      <c r="HF890"/>
      <c r="HG890"/>
      <c r="HH890"/>
      <c r="HI890"/>
      <c r="HJ890"/>
      <c r="HK890"/>
      <c r="HL890"/>
      <c r="HM890"/>
      <c r="HN890"/>
      <c r="HO890"/>
      <c r="HP890"/>
      <c r="HQ890"/>
      <c r="HR890"/>
      <c r="HS890"/>
      <c r="HT890"/>
      <c r="HU890"/>
      <c r="HV890"/>
      <c r="HW890"/>
      <c r="HX890"/>
      <c r="HY890"/>
      <c r="HZ890"/>
      <c r="IA890"/>
      <c r="IB890"/>
      <c r="IC890"/>
      <c r="ID890"/>
      <c r="IE890"/>
      <c r="IF890"/>
      <c r="IG890"/>
      <c r="IH890"/>
      <c r="II890"/>
      <c r="IJ890"/>
      <c r="IK890"/>
      <c r="IL890"/>
    </row>
    <row r="891" spans="1:246" ht="25.5" x14ac:dyDescent="0.2">
      <c r="A891" s="2098"/>
      <c r="B891" s="2080" t="s">
        <v>1972</v>
      </c>
      <c r="C891" s="2075">
        <v>590000</v>
      </c>
      <c r="D891" s="2075">
        <v>255480.93</v>
      </c>
      <c r="E891" s="2075">
        <v>115480.3</v>
      </c>
      <c r="F891" s="2075">
        <v>255480.93</v>
      </c>
      <c r="G891" s="2075">
        <v>0</v>
      </c>
      <c r="H891"/>
      <c r="I891" s="2068"/>
      <c r="J891"/>
      <c r="K891"/>
      <c r="L891"/>
      <c r="M891"/>
      <c r="N891"/>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c r="EX891"/>
      <c r="EY891"/>
      <c r="EZ891"/>
      <c r="FA891"/>
      <c r="FB891"/>
      <c r="FC891"/>
      <c r="FD891"/>
      <c r="FE891"/>
      <c r="FF891"/>
      <c r="FG891"/>
      <c r="FH891"/>
      <c r="FI891"/>
      <c r="FJ891"/>
      <c r="FK891"/>
      <c r="FL891"/>
      <c r="FM891"/>
      <c r="FN891"/>
      <c r="FO891"/>
      <c r="FP891"/>
      <c r="FQ891"/>
      <c r="FR891"/>
      <c r="FS891"/>
      <c r="FT891"/>
      <c r="FU891"/>
      <c r="FV891"/>
      <c r="FW891"/>
      <c r="FX891"/>
      <c r="FY891"/>
      <c r="FZ891"/>
      <c r="GA891"/>
      <c r="GB891"/>
      <c r="GC891"/>
      <c r="GD891"/>
      <c r="GE891"/>
      <c r="GF891"/>
      <c r="GG891"/>
      <c r="GH891"/>
      <c r="GI891"/>
      <c r="GJ891"/>
      <c r="GK891"/>
      <c r="GL891"/>
      <c r="GM891"/>
      <c r="GN891"/>
      <c r="GO891"/>
      <c r="GP891"/>
      <c r="GQ891"/>
      <c r="GR891"/>
      <c r="GS891"/>
      <c r="GT891"/>
      <c r="GU891"/>
      <c r="GV891"/>
      <c r="GW891"/>
      <c r="GX891"/>
      <c r="GY891"/>
      <c r="GZ891"/>
      <c r="HA891"/>
      <c r="HB891"/>
      <c r="HC891"/>
      <c r="HD891"/>
      <c r="HE891"/>
      <c r="HF891"/>
      <c r="HG891"/>
      <c r="HH891"/>
      <c r="HI891"/>
      <c r="HJ891"/>
      <c r="HK891"/>
      <c r="HL891"/>
      <c r="HM891"/>
      <c r="HN891"/>
      <c r="HO891"/>
      <c r="HP891"/>
      <c r="HQ891"/>
      <c r="HR891"/>
      <c r="HS891"/>
      <c r="HT891"/>
      <c r="HU891"/>
      <c r="HV891"/>
      <c r="HW891"/>
      <c r="HX891"/>
      <c r="HY891"/>
      <c r="HZ891"/>
      <c r="IA891"/>
      <c r="IB891"/>
      <c r="IC891"/>
      <c r="ID891"/>
      <c r="IE891"/>
      <c r="IF891"/>
      <c r="IG891"/>
      <c r="IH891"/>
      <c r="II891"/>
      <c r="IJ891"/>
      <c r="IK891"/>
      <c r="IL891"/>
    </row>
    <row r="892" spans="1:246" ht="12.75" customHeight="1" x14ac:dyDescent="0.2">
      <c r="A892" s="2098"/>
      <c r="B892" s="2095" t="s">
        <v>1974</v>
      </c>
      <c r="C892" s="2104">
        <f>C893</f>
        <v>3000000</v>
      </c>
      <c r="D892" s="2104">
        <f>D893</f>
        <v>2790000</v>
      </c>
      <c r="E892" s="2104">
        <f>E893</f>
        <v>1393030.55</v>
      </c>
      <c r="F892" s="2104">
        <f>F893</f>
        <v>2000000</v>
      </c>
      <c r="G892" s="2104">
        <f>G893</f>
        <v>0</v>
      </c>
      <c r="H892"/>
      <c r="I892" s="2068"/>
      <c r="J892"/>
      <c r="K892"/>
      <c r="L892"/>
      <c r="M892"/>
      <c r="N892"/>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c r="EX892"/>
      <c r="EY892"/>
      <c r="EZ892"/>
      <c r="FA892"/>
      <c r="FB892"/>
      <c r="FC892"/>
      <c r="FD892"/>
      <c r="FE892"/>
      <c r="FF892"/>
      <c r="FG892"/>
      <c r="FH892"/>
      <c r="FI892"/>
      <c r="FJ892"/>
      <c r="FK892"/>
      <c r="FL892"/>
      <c r="FM892"/>
      <c r="FN892"/>
      <c r="FO892"/>
      <c r="FP892"/>
      <c r="FQ892"/>
      <c r="FR892"/>
      <c r="FS892"/>
      <c r="FT892"/>
      <c r="FU892"/>
      <c r="FV892"/>
      <c r="FW892"/>
      <c r="FX892"/>
      <c r="FY892"/>
      <c r="FZ892"/>
      <c r="GA892"/>
      <c r="GB892"/>
      <c r="GC892"/>
      <c r="GD892"/>
      <c r="GE892"/>
      <c r="GF892"/>
      <c r="GG892"/>
      <c r="GH892"/>
      <c r="GI892"/>
      <c r="GJ892"/>
      <c r="GK892"/>
      <c r="GL892"/>
      <c r="GM892"/>
      <c r="GN892"/>
      <c r="GO892"/>
      <c r="GP892"/>
      <c r="GQ892"/>
      <c r="GR892"/>
      <c r="GS892"/>
      <c r="GT892"/>
      <c r="GU892"/>
      <c r="GV892"/>
      <c r="GW892"/>
      <c r="GX892"/>
      <c r="GY892"/>
      <c r="GZ892"/>
      <c r="HA892"/>
      <c r="HB892"/>
      <c r="HC892"/>
      <c r="HD892"/>
      <c r="HE892"/>
      <c r="HF892"/>
      <c r="HG892"/>
      <c r="HH892"/>
      <c r="HI892"/>
      <c r="HJ892"/>
      <c r="HK892"/>
      <c r="HL892"/>
      <c r="HM892"/>
      <c r="HN892"/>
      <c r="HO892"/>
      <c r="HP892"/>
      <c r="HQ892"/>
      <c r="HR892"/>
      <c r="HS892"/>
      <c r="HT892"/>
      <c r="HU892"/>
      <c r="HV892"/>
      <c r="HW892"/>
      <c r="HX892"/>
      <c r="HY892"/>
      <c r="HZ892"/>
      <c r="IA892"/>
      <c r="IB892"/>
      <c r="IC892"/>
      <c r="ID892"/>
      <c r="IE892"/>
      <c r="IF892"/>
      <c r="IG892"/>
      <c r="IH892"/>
      <c r="II892"/>
      <c r="IJ892"/>
      <c r="IK892"/>
      <c r="IL892"/>
    </row>
    <row r="893" spans="1:246" ht="12.75" customHeight="1" x14ac:dyDescent="0.2">
      <c r="A893" s="2098"/>
      <c r="B893" s="2126" t="s">
        <v>916</v>
      </c>
      <c r="C893" s="2075">
        <v>3000000</v>
      </c>
      <c r="D893" s="2075">
        <v>2790000</v>
      </c>
      <c r="E893" s="2075">
        <v>1393030.55</v>
      </c>
      <c r="F893" s="2075">
        <v>2000000</v>
      </c>
      <c r="G893" s="2075">
        <v>0</v>
      </c>
      <c r="H893"/>
      <c r="I893" s="2068"/>
      <c r="J893"/>
      <c r="K893"/>
      <c r="L893"/>
      <c r="M893"/>
      <c r="N89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c r="EX893"/>
      <c r="EY893"/>
      <c r="EZ893"/>
      <c r="FA893"/>
      <c r="FB893"/>
      <c r="FC893"/>
      <c r="FD893"/>
      <c r="FE893"/>
      <c r="FF893"/>
      <c r="FG893"/>
      <c r="FH893"/>
      <c r="FI893"/>
      <c r="FJ893"/>
      <c r="FK893"/>
      <c r="FL893"/>
      <c r="FM893"/>
      <c r="FN893"/>
      <c r="FO893"/>
      <c r="FP893"/>
      <c r="FQ893"/>
      <c r="FR893"/>
      <c r="FS893"/>
      <c r="FT893"/>
      <c r="FU893"/>
      <c r="FV893"/>
      <c r="FW893"/>
      <c r="FX893"/>
      <c r="FY893"/>
      <c r="FZ893"/>
      <c r="GA893"/>
      <c r="GB893"/>
      <c r="GC893"/>
      <c r="GD893"/>
      <c r="GE893"/>
      <c r="GF893"/>
      <c r="GG893"/>
      <c r="GH893"/>
      <c r="GI893"/>
      <c r="GJ893"/>
      <c r="GK893"/>
      <c r="GL893"/>
      <c r="GM893"/>
      <c r="GN893"/>
      <c r="GO893"/>
      <c r="GP893"/>
      <c r="GQ893"/>
      <c r="GR893"/>
      <c r="GS893"/>
      <c r="GT893"/>
      <c r="GU893"/>
      <c r="GV893"/>
      <c r="GW893"/>
      <c r="GX893"/>
      <c r="GY893"/>
      <c r="GZ893"/>
      <c r="HA893"/>
      <c r="HB893"/>
      <c r="HC893"/>
      <c r="HD893"/>
      <c r="HE893"/>
      <c r="HF893"/>
      <c r="HG893"/>
      <c r="HH893"/>
      <c r="HI893"/>
      <c r="HJ893"/>
      <c r="HK893"/>
      <c r="HL893"/>
      <c r="HM893"/>
      <c r="HN893"/>
      <c r="HO893"/>
      <c r="HP893"/>
      <c r="HQ893"/>
      <c r="HR893"/>
      <c r="HS893"/>
      <c r="HT893"/>
      <c r="HU893"/>
      <c r="HV893"/>
      <c r="HW893"/>
      <c r="HX893"/>
      <c r="HY893"/>
      <c r="HZ893"/>
      <c r="IA893"/>
      <c r="IB893"/>
      <c r="IC893"/>
      <c r="ID893"/>
      <c r="IE893"/>
      <c r="IF893"/>
      <c r="IG893"/>
      <c r="IH893"/>
      <c r="II893"/>
      <c r="IJ893"/>
      <c r="IK893"/>
      <c r="IL893"/>
    </row>
    <row r="894" spans="1:246" ht="12.75" customHeight="1" x14ac:dyDescent="0.2">
      <c r="A894" s="2098"/>
      <c r="B894" s="2127" t="s">
        <v>2556</v>
      </c>
      <c r="C894" s="2104">
        <f>SUM(C895:C896)</f>
        <v>1350000</v>
      </c>
      <c r="D894" s="2104">
        <f>SUM(D895:D896)</f>
        <v>1350000</v>
      </c>
      <c r="E894" s="2104">
        <f>SUM(E895:E896)</f>
        <v>52876.17</v>
      </c>
      <c r="F894" s="2104">
        <f>SUM(F895:F896)</f>
        <v>52876.17</v>
      </c>
      <c r="G894" s="2104">
        <f>SUM(G895:G896)</f>
        <v>3400000</v>
      </c>
      <c r="H894"/>
      <c r="I894" s="2068"/>
      <c r="J894"/>
      <c r="K894"/>
      <c r="L894"/>
      <c r="M894"/>
      <c r="N894"/>
      <c r="O894"/>
      <c r="P894"/>
      <c r="Q894"/>
      <c r="R894"/>
      <c r="S894"/>
      <c r="T894"/>
      <c r="U894"/>
      <c r="V894"/>
      <c r="W894"/>
      <c r="X894"/>
      <c r="Y894"/>
      <c r="Z894"/>
      <c r="AA894"/>
      <c r="AB894"/>
      <c r="AC894"/>
      <c r="AD894"/>
      <c r="AE894"/>
      <c r="AF894"/>
      <c r="AG894"/>
      <c r="AH894"/>
      <c r="AI894"/>
      <c r="AJ894"/>
      <c r="AK894"/>
      <c r="AL894"/>
      <c r="AM894"/>
      <c r="AN894"/>
      <c r="AO894"/>
      <c r="AP894"/>
      <c r="AQ894"/>
      <c r="AR894"/>
      <c r="AS894"/>
      <c r="AT894"/>
      <c r="AU894"/>
      <c r="AV894"/>
      <c r="AW894"/>
      <c r="AX894"/>
      <c r="AY894"/>
      <c r="AZ894"/>
      <c r="BA894"/>
      <c r="BB894"/>
      <c r="BC894"/>
      <c r="BD894"/>
      <c r="BE894"/>
      <c r="BF894"/>
      <c r="BG894"/>
      <c r="BH894"/>
      <c r="BI894"/>
      <c r="BJ894"/>
      <c r="BK894"/>
      <c r="BL894"/>
      <c r="BM894"/>
      <c r="BN894"/>
      <c r="BO894"/>
      <c r="BP894"/>
      <c r="BQ894"/>
      <c r="BR894"/>
      <c r="BS894"/>
      <c r="BT894"/>
      <c r="BU894"/>
      <c r="BV894"/>
      <c r="BW894"/>
      <c r="BX894"/>
      <c r="BY894"/>
      <c r="BZ894"/>
      <c r="CA894"/>
      <c r="CB894"/>
      <c r="CC894"/>
      <c r="CD894"/>
      <c r="CE894"/>
      <c r="CF894"/>
      <c r="CG894"/>
      <c r="CH894"/>
      <c r="CI894"/>
      <c r="CJ894"/>
      <c r="CK894"/>
      <c r="CL894"/>
      <c r="CM894"/>
      <c r="CN894"/>
      <c r="CO894"/>
      <c r="CP894"/>
      <c r="CQ894"/>
      <c r="CR894"/>
      <c r="CS894"/>
      <c r="CT894"/>
      <c r="CU894"/>
      <c r="CV894"/>
      <c r="CW894"/>
      <c r="CX894"/>
      <c r="CY894"/>
      <c r="CZ894"/>
      <c r="DA894"/>
      <c r="DB894"/>
      <c r="DC894"/>
      <c r="DD894"/>
      <c r="DE894"/>
      <c r="DF894"/>
      <c r="DG894"/>
      <c r="DH894"/>
      <c r="DI894"/>
      <c r="DJ894"/>
      <c r="DK894"/>
      <c r="DL894"/>
      <c r="DM894"/>
      <c r="DN894"/>
      <c r="DO894"/>
      <c r="DP894"/>
      <c r="DQ894"/>
      <c r="DR894"/>
      <c r="DS894"/>
      <c r="DT894"/>
      <c r="DU894"/>
      <c r="DV894"/>
      <c r="DW894"/>
      <c r="DX894"/>
      <c r="DY894"/>
      <c r="DZ894"/>
      <c r="EA894"/>
      <c r="EB894"/>
      <c r="EC894"/>
      <c r="ED894"/>
      <c r="EE894"/>
      <c r="EF894"/>
      <c r="EG894"/>
      <c r="EH894"/>
      <c r="EI894"/>
      <c r="EJ894"/>
      <c r="EK894"/>
      <c r="EL894"/>
      <c r="EM894"/>
      <c r="EN894"/>
      <c r="EO894"/>
      <c r="EP894"/>
      <c r="EQ894"/>
      <c r="ER894"/>
      <c r="ES894"/>
      <c r="ET894"/>
      <c r="EU894"/>
      <c r="EV894"/>
      <c r="EW894"/>
      <c r="EX894"/>
      <c r="EY894"/>
      <c r="EZ894"/>
      <c r="FA894"/>
      <c r="FB894"/>
      <c r="FC894"/>
      <c r="FD894"/>
      <c r="FE894"/>
      <c r="FF894"/>
      <c r="FG894"/>
      <c r="FH894"/>
      <c r="FI894"/>
      <c r="FJ894"/>
      <c r="FK894"/>
      <c r="FL894"/>
      <c r="FM894"/>
      <c r="FN894"/>
      <c r="FO894"/>
      <c r="FP894"/>
      <c r="FQ894"/>
      <c r="FR894"/>
      <c r="FS894"/>
      <c r="FT894"/>
      <c r="FU894"/>
      <c r="FV894"/>
      <c r="FW894"/>
      <c r="FX894"/>
      <c r="FY894"/>
      <c r="FZ894"/>
      <c r="GA894"/>
      <c r="GB894"/>
      <c r="GC894"/>
      <c r="GD894"/>
      <c r="GE894"/>
      <c r="GF894"/>
      <c r="GG894"/>
      <c r="GH894"/>
      <c r="GI894"/>
      <c r="GJ894"/>
      <c r="GK894"/>
      <c r="GL894"/>
      <c r="GM894"/>
      <c r="GN894"/>
      <c r="GO894"/>
      <c r="GP894"/>
      <c r="GQ894"/>
      <c r="GR894"/>
      <c r="GS894"/>
      <c r="GT894"/>
      <c r="GU894"/>
      <c r="GV894"/>
      <c r="GW894"/>
      <c r="GX894"/>
      <c r="GY894"/>
      <c r="GZ894"/>
      <c r="HA894"/>
      <c r="HB894"/>
      <c r="HC894"/>
      <c r="HD894"/>
      <c r="HE894"/>
      <c r="HF894"/>
      <c r="HG894"/>
      <c r="HH894"/>
      <c r="HI894"/>
      <c r="HJ894"/>
      <c r="HK894"/>
      <c r="HL894"/>
      <c r="HM894"/>
      <c r="HN894"/>
      <c r="HO894"/>
      <c r="HP894"/>
      <c r="HQ894"/>
      <c r="HR894"/>
      <c r="HS894"/>
      <c r="HT894"/>
      <c r="HU894"/>
      <c r="HV894"/>
      <c r="HW894"/>
      <c r="HX894"/>
      <c r="HY894"/>
      <c r="HZ894"/>
      <c r="IA894"/>
      <c r="IB894"/>
      <c r="IC894"/>
      <c r="ID894"/>
      <c r="IE894"/>
      <c r="IF894"/>
      <c r="IG894"/>
      <c r="IH894"/>
      <c r="II894"/>
      <c r="IJ894"/>
      <c r="IK894"/>
      <c r="IL894"/>
    </row>
    <row r="895" spans="1:246" ht="12.75" customHeight="1" x14ac:dyDescent="0.2">
      <c r="A895" s="2098"/>
      <c r="B895" s="2128" t="s">
        <v>927</v>
      </c>
      <c r="C895" s="2075">
        <v>0</v>
      </c>
      <c r="D895" s="2075">
        <v>0</v>
      </c>
      <c r="E895" s="2075">
        <v>0</v>
      </c>
      <c r="F895" s="2075">
        <v>0</v>
      </c>
      <c r="G895" s="2075">
        <v>3000000</v>
      </c>
      <c r="H895"/>
      <c r="I895" s="2068"/>
      <c r="J895"/>
      <c r="K895"/>
      <c r="L895"/>
      <c r="M895"/>
      <c r="N895"/>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c r="EX895"/>
      <c r="EY895"/>
      <c r="EZ895"/>
      <c r="FA895"/>
      <c r="FB895"/>
      <c r="FC895"/>
      <c r="FD895"/>
      <c r="FE895"/>
      <c r="FF895"/>
      <c r="FG895"/>
      <c r="FH895"/>
      <c r="FI895"/>
      <c r="FJ895"/>
      <c r="FK895"/>
      <c r="FL895"/>
      <c r="FM895"/>
      <c r="FN895"/>
      <c r="FO895"/>
      <c r="FP895"/>
      <c r="FQ895"/>
      <c r="FR895"/>
      <c r="FS895"/>
      <c r="FT895"/>
      <c r="FU895"/>
      <c r="FV895"/>
      <c r="FW895"/>
      <c r="FX895"/>
      <c r="FY895"/>
      <c r="FZ895"/>
      <c r="GA895"/>
      <c r="GB895"/>
      <c r="GC895"/>
      <c r="GD895"/>
      <c r="GE895"/>
      <c r="GF895"/>
      <c r="GG895"/>
      <c r="GH895"/>
      <c r="GI895"/>
      <c r="GJ895"/>
      <c r="GK895"/>
      <c r="GL895"/>
      <c r="GM895"/>
      <c r="GN895"/>
      <c r="GO895"/>
      <c r="GP895"/>
      <c r="GQ895"/>
      <c r="GR895"/>
      <c r="GS895"/>
      <c r="GT895"/>
      <c r="GU895"/>
      <c r="GV895"/>
      <c r="GW895"/>
      <c r="GX895"/>
      <c r="GY895"/>
      <c r="GZ895"/>
      <c r="HA895"/>
      <c r="HB895"/>
      <c r="HC895"/>
      <c r="HD895"/>
      <c r="HE895"/>
      <c r="HF895"/>
      <c r="HG895"/>
      <c r="HH895"/>
      <c r="HI895"/>
      <c r="HJ895"/>
      <c r="HK895"/>
      <c r="HL895"/>
      <c r="HM895"/>
      <c r="HN895"/>
      <c r="HO895"/>
      <c r="HP895"/>
      <c r="HQ895"/>
      <c r="HR895"/>
      <c r="HS895"/>
      <c r="HT895"/>
      <c r="HU895"/>
      <c r="HV895"/>
      <c r="HW895"/>
      <c r="HX895"/>
      <c r="HY895"/>
      <c r="HZ895"/>
      <c r="IA895"/>
      <c r="IB895"/>
      <c r="IC895"/>
      <c r="ID895"/>
      <c r="IE895"/>
      <c r="IF895"/>
      <c r="IG895"/>
      <c r="IH895"/>
      <c r="II895"/>
      <c r="IJ895"/>
      <c r="IK895"/>
      <c r="IL895"/>
    </row>
    <row r="896" spans="1:246" ht="12.75" customHeight="1" x14ac:dyDescent="0.2">
      <c r="A896" s="2098"/>
      <c r="B896" s="2128" t="s">
        <v>1978</v>
      </c>
      <c r="C896" s="2075">
        <f>SUM(C897:C900)</f>
        <v>1350000</v>
      </c>
      <c r="D896" s="2075">
        <f>SUM(D897:D900)</f>
        <v>1350000</v>
      </c>
      <c r="E896" s="2075">
        <f>SUM(E897:E900)</f>
        <v>52876.17</v>
      </c>
      <c r="F896" s="2075">
        <f>SUM(F897:F900)</f>
        <v>52876.17</v>
      </c>
      <c r="G896" s="2075">
        <f>SUM(G897:G900)</f>
        <v>400000</v>
      </c>
      <c r="H896"/>
      <c r="I896" s="2068"/>
      <c r="J896"/>
      <c r="K896"/>
      <c r="L896"/>
      <c r="M896"/>
      <c r="N896"/>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c r="EX896"/>
      <c r="EY896"/>
      <c r="EZ896"/>
      <c r="FA896"/>
      <c r="FB896"/>
      <c r="FC896"/>
      <c r="FD896"/>
      <c r="FE896"/>
      <c r="FF896"/>
      <c r="FG896"/>
      <c r="FH896"/>
      <c r="FI896"/>
      <c r="FJ896"/>
      <c r="FK896"/>
      <c r="FL896"/>
      <c r="FM896"/>
      <c r="FN896"/>
      <c r="FO896"/>
      <c r="FP896"/>
      <c r="FQ896"/>
      <c r="FR896"/>
      <c r="FS896"/>
      <c r="FT896"/>
      <c r="FU896"/>
      <c r="FV896"/>
      <c r="FW896"/>
      <c r="FX896"/>
      <c r="FY896"/>
      <c r="FZ896"/>
      <c r="GA896"/>
      <c r="GB896"/>
      <c r="GC896"/>
      <c r="GD896"/>
      <c r="GE896"/>
      <c r="GF896"/>
      <c r="GG896"/>
      <c r="GH896"/>
      <c r="GI896"/>
      <c r="GJ896"/>
      <c r="GK896"/>
      <c r="GL896"/>
      <c r="GM896"/>
      <c r="GN896"/>
      <c r="GO896"/>
      <c r="GP896"/>
      <c r="GQ896"/>
      <c r="GR896"/>
      <c r="GS896"/>
      <c r="GT896"/>
      <c r="GU896"/>
      <c r="GV896"/>
      <c r="GW896"/>
      <c r="GX896"/>
      <c r="GY896"/>
      <c r="GZ896"/>
      <c r="HA896"/>
      <c r="HB896"/>
      <c r="HC896"/>
      <c r="HD896"/>
      <c r="HE896"/>
      <c r="HF896"/>
      <c r="HG896"/>
      <c r="HH896"/>
      <c r="HI896"/>
      <c r="HJ896"/>
      <c r="HK896"/>
      <c r="HL896"/>
      <c r="HM896"/>
      <c r="HN896"/>
      <c r="HO896"/>
      <c r="HP896"/>
      <c r="HQ896"/>
      <c r="HR896"/>
      <c r="HS896"/>
      <c r="HT896"/>
      <c r="HU896"/>
      <c r="HV896"/>
      <c r="HW896"/>
      <c r="HX896"/>
      <c r="HY896"/>
      <c r="HZ896"/>
      <c r="IA896"/>
      <c r="IB896"/>
      <c r="IC896"/>
      <c r="ID896"/>
      <c r="IE896"/>
      <c r="IF896"/>
      <c r="IG896"/>
      <c r="IH896"/>
      <c r="II896"/>
      <c r="IJ896"/>
      <c r="IK896"/>
      <c r="IL896"/>
    </row>
    <row r="897" spans="1:246" ht="12.75" customHeight="1" x14ac:dyDescent="0.2">
      <c r="A897" s="1155"/>
      <c r="B897" s="2088" t="s">
        <v>2557</v>
      </c>
      <c r="C897" s="2075">
        <v>100000</v>
      </c>
      <c r="D897" s="2075">
        <v>100000</v>
      </c>
      <c r="E897" s="2075">
        <v>0</v>
      </c>
      <c r="F897" s="2075">
        <v>0</v>
      </c>
      <c r="G897" s="2075">
        <v>100000</v>
      </c>
      <c r="H897"/>
      <c r="I897" s="2068"/>
      <c r="J897"/>
      <c r="K897"/>
      <c r="L897"/>
      <c r="M897"/>
      <c r="N897"/>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c r="EX897"/>
      <c r="EY897"/>
      <c r="EZ897"/>
      <c r="FA897"/>
      <c r="FB897"/>
      <c r="FC897"/>
      <c r="FD897"/>
      <c r="FE897"/>
      <c r="FF897"/>
      <c r="FG897"/>
      <c r="FH897"/>
      <c r="FI897"/>
      <c r="FJ897"/>
      <c r="FK897"/>
      <c r="FL897"/>
      <c r="FM897"/>
      <c r="FN897"/>
      <c r="FO897"/>
      <c r="FP897"/>
      <c r="FQ897"/>
      <c r="FR897"/>
      <c r="FS897"/>
      <c r="FT897"/>
      <c r="FU897"/>
      <c r="FV897"/>
      <c r="FW897"/>
      <c r="FX897"/>
      <c r="FY897"/>
      <c r="FZ897"/>
      <c r="GA897"/>
      <c r="GB897"/>
      <c r="GC897"/>
      <c r="GD897"/>
      <c r="GE897"/>
      <c r="GF897"/>
      <c r="GG897"/>
      <c r="GH897"/>
      <c r="GI897"/>
      <c r="GJ897"/>
      <c r="GK897"/>
      <c r="GL897"/>
      <c r="GM897"/>
      <c r="GN897"/>
      <c r="GO897"/>
      <c r="GP897"/>
      <c r="GQ897"/>
      <c r="GR897"/>
      <c r="GS897"/>
      <c r="GT897"/>
      <c r="GU897"/>
      <c r="GV897"/>
      <c r="GW897"/>
      <c r="GX897"/>
      <c r="GY897"/>
      <c r="GZ897"/>
      <c r="HA897"/>
      <c r="HB897"/>
      <c r="HC897"/>
      <c r="HD897"/>
      <c r="HE897"/>
      <c r="HF897"/>
      <c r="HG897"/>
      <c r="HH897"/>
      <c r="HI897"/>
      <c r="HJ897"/>
      <c r="HK897"/>
      <c r="HL897"/>
      <c r="HM897"/>
      <c r="HN897"/>
      <c r="HO897"/>
      <c r="HP897"/>
      <c r="HQ897"/>
      <c r="HR897"/>
      <c r="HS897"/>
      <c r="HT897"/>
      <c r="HU897"/>
      <c r="HV897"/>
      <c r="HW897"/>
      <c r="HX897"/>
      <c r="HY897"/>
      <c r="HZ897"/>
      <c r="IA897"/>
      <c r="IB897"/>
      <c r="IC897"/>
      <c r="ID897"/>
      <c r="IE897"/>
      <c r="IF897"/>
      <c r="IG897"/>
      <c r="IH897"/>
      <c r="II897"/>
      <c r="IJ897"/>
      <c r="IK897"/>
      <c r="IL897"/>
    </row>
    <row r="898" spans="1:246" ht="12.75" customHeight="1" x14ac:dyDescent="0.2">
      <c r="A898" s="2098"/>
      <c r="B898" s="2113" t="s">
        <v>2558</v>
      </c>
      <c r="C898" s="2075">
        <v>650000</v>
      </c>
      <c r="D898" s="2075">
        <v>650000</v>
      </c>
      <c r="E898" s="2075">
        <v>52876.17</v>
      </c>
      <c r="F898" s="2075">
        <v>52876.17</v>
      </c>
      <c r="G898" s="2075">
        <v>200000</v>
      </c>
      <c r="H898"/>
      <c r="I898" s="2068"/>
      <c r="J898"/>
      <c r="K898"/>
      <c r="L898"/>
      <c r="M898"/>
      <c r="N898"/>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c r="EX898"/>
      <c r="EY898"/>
      <c r="EZ898"/>
      <c r="FA898"/>
      <c r="FB898"/>
      <c r="FC898"/>
      <c r="FD898"/>
      <c r="FE898"/>
      <c r="FF898"/>
      <c r="FG898"/>
      <c r="FH898"/>
      <c r="FI898"/>
      <c r="FJ898"/>
      <c r="FK898"/>
      <c r="FL898"/>
      <c r="FM898"/>
      <c r="FN898"/>
      <c r="FO898"/>
      <c r="FP898"/>
      <c r="FQ898"/>
      <c r="FR898"/>
      <c r="FS898"/>
      <c r="FT898"/>
      <c r="FU898"/>
      <c r="FV898"/>
      <c r="FW898"/>
      <c r="FX898"/>
      <c r="FY898"/>
      <c r="FZ898"/>
      <c r="GA898"/>
      <c r="GB898"/>
      <c r="GC898"/>
      <c r="GD898"/>
      <c r="GE898"/>
      <c r="GF898"/>
      <c r="GG898"/>
      <c r="GH898"/>
      <c r="GI898"/>
      <c r="GJ898"/>
      <c r="GK898"/>
      <c r="GL898"/>
      <c r="GM898"/>
      <c r="GN898"/>
      <c r="GO898"/>
      <c r="GP898"/>
      <c r="GQ898"/>
      <c r="GR898"/>
      <c r="GS898"/>
      <c r="GT898"/>
      <c r="GU898"/>
      <c r="GV898"/>
      <c r="GW898"/>
      <c r="GX898"/>
      <c r="GY898"/>
      <c r="GZ898"/>
      <c r="HA898"/>
      <c r="HB898"/>
      <c r="HC898"/>
      <c r="HD898"/>
      <c r="HE898"/>
      <c r="HF898"/>
      <c r="HG898"/>
      <c r="HH898"/>
      <c r="HI898"/>
      <c r="HJ898"/>
      <c r="HK898"/>
      <c r="HL898"/>
      <c r="HM898"/>
      <c r="HN898"/>
      <c r="HO898"/>
      <c r="HP898"/>
      <c r="HQ898"/>
      <c r="HR898"/>
      <c r="HS898"/>
      <c r="HT898"/>
      <c r="HU898"/>
      <c r="HV898"/>
      <c r="HW898"/>
      <c r="HX898"/>
      <c r="HY898"/>
      <c r="HZ898"/>
      <c r="IA898"/>
      <c r="IB898"/>
      <c r="IC898"/>
      <c r="ID898"/>
      <c r="IE898"/>
      <c r="IF898"/>
      <c r="IG898"/>
      <c r="IH898"/>
      <c r="II898"/>
      <c r="IJ898"/>
      <c r="IK898"/>
      <c r="IL898"/>
    </row>
    <row r="899" spans="1:246" ht="12.75" customHeight="1" x14ac:dyDescent="0.2">
      <c r="A899" s="2098"/>
      <c r="B899" s="2113" t="s">
        <v>1981</v>
      </c>
      <c r="C899" s="2075">
        <v>500000</v>
      </c>
      <c r="D899" s="2075">
        <v>500000</v>
      </c>
      <c r="E899" s="2075">
        <v>0</v>
      </c>
      <c r="F899" s="2075">
        <v>0</v>
      </c>
      <c r="G899" s="2075">
        <v>0</v>
      </c>
      <c r="H899"/>
      <c r="I899" s="2068"/>
      <c r="J899"/>
      <c r="K899"/>
      <c r="L899"/>
      <c r="M899"/>
      <c r="N899"/>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c r="EX899"/>
      <c r="EY899"/>
      <c r="EZ899"/>
      <c r="FA899"/>
      <c r="FB899"/>
      <c r="FC899"/>
      <c r="FD899"/>
      <c r="FE899"/>
      <c r="FF899"/>
      <c r="FG899"/>
      <c r="FH899"/>
      <c r="FI899"/>
      <c r="FJ899"/>
      <c r="FK899"/>
      <c r="FL899"/>
      <c r="FM899"/>
      <c r="FN899"/>
      <c r="FO899"/>
      <c r="FP899"/>
      <c r="FQ899"/>
      <c r="FR899"/>
      <c r="FS899"/>
      <c r="FT899"/>
      <c r="FU899"/>
      <c r="FV899"/>
      <c r="FW899"/>
      <c r="FX899"/>
      <c r="FY899"/>
      <c r="FZ899"/>
      <c r="GA899"/>
      <c r="GB899"/>
      <c r="GC899"/>
      <c r="GD899"/>
      <c r="GE899"/>
      <c r="GF899"/>
      <c r="GG899"/>
      <c r="GH899"/>
      <c r="GI899"/>
      <c r="GJ899"/>
      <c r="GK899"/>
      <c r="GL899"/>
      <c r="GM899"/>
      <c r="GN899"/>
      <c r="GO899"/>
      <c r="GP899"/>
      <c r="GQ899"/>
      <c r="GR899"/>
      <c r="GS899"/>
      <c r="GT899"/>
      <c r="GU899"/>
      <c r="GV899"/>
      <c r="GW899"/>
      <c r="GX899"/>
      <c r="GY899"/>
      <c r="GZ899"/>
      <c r="HA899"/>
      <c r="HB899"/>
      <c r="HC899"/>
      <c r="HD899"/>
      <c r="HE899"/>
      <c r="HF899"/>
      <c r="HG899"/>
      <c r="HH899"/>
      <c r="HI899"/>
      <c r="HJ899"/>
      <c r="HK899"/>
      <c r="HL899"/>
      <c r="HM899"/>
      <c r="HN899"/>
      <c r="HO899"/>
      <c r="HP899"/>
      <c r="HQ899"/>
      <c r="HR899"/>
      <c r="HS899"/>
      <c r="HT899"/>
      <c r="HU899"/>
      <c r="HV899"/>
      <c r="HW899"/>
      <c r="HX899"/>
      <c r="HY899"/>
      <c r="HZ899"/>
      <c r="IA899"/>
      <c r="IB899"/>
      <c r="IC899"/>
      <c r="ID899"/>
      <c r="IE899"/>
      <c r="IF899"/>
      <c r="IG899"/>
      <c r="IH899"/>
      <c r="II899"/>
      <c r="IJ899"/>
      <c r="IK899"/>
      <c r="IL899"/>
    </row>
    <row r="900" spans="1:246" ht="12.75" customHeight="1" x14ac:dyDescent="0.2">
      <c r="A900" s="2098"/>
      <c r="B900" s="2113" t="s">
        <v>1982</v>
      </c>
      <c r="C900" s="2075">
        <v>100000</v>
      </c>
      <c r="D900" s="2075">
        <v>100000</v>
      </c>
      <c r="E900" s="2075">
        <v>0</v>
      </c>
      <c r="F900" s="2075">
        <v>0</v>
      </c>
      <c r="G900" s="2075">
        <v>100000</v>
      </c>
      <c r="H900"/>
      <c r="I900" s="2068"/>
      <c r="J900"/>
      <c r="K900"/>
      <c r="L900"/>
      <c r="M900"/>
      <c r="N900"/>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c r="EX900"/>
      <c r="EY900"/>
      <c r="EZ900"/>
      <c r="FA900"/>
      <c r="FB900"/>
      <c r="FC900"/>
      <c r="FD900"/>
      <c r="FE900"/>
      <c r="FF900"/>
      <c r="FG900"/>
      <c r="FH900"/>
      <c r="FI900"/>
      <c r="FJ900"/>
      <c r="FK900"/>
      <c r="FL900"/>
      <c r="FM900"/>
      <c r="FN900"/>
      <c r="FO900"/>
      <c r="FP900"/>
      <c r="FQ900"/>
      <c r="FR900"/>
      <c r="FS900"/>
      <c r="FT900"/>
      <c r="FU900"/>
      <c r="FV900"/>
      <c r="FW900"/>
      <c r="FX900"/>
      <c r="FY900"/>
      <c r="FZ900"/>
      <c r="GA900"/>
      <c r="GB900"/>
      <c r="GC900"/>
      <c r="GD900"/>
      <c r="GE900"/>
      <c r="GF900"/>
      <c r="GG900"/>
      <c r="GH900"/>
      <c r="GI900"/>
      <c r="GJ900"/>
      <c r="GK900"/>
      <c r="GL900"/>
      <c r="GM900"/>
      <c r="GN900"/>
      <c r="GO900"/>
      <c r="GP900"/>
      <c r="GQ900"/>
      <c r="GR900"/>
      <c r="GS900"/>
      <c r="GT900"/>
      <c r="GU900"/>
      <c r="GV900"/>
      <c r="GW900"/>
      <c r="GX900"/>
      <c r="GY900"/>
      <c r="GZ900"/>
      <c r="HA900"/>
      <c r="HB900"/>
      <c r="HC900"/>
      <c r="HD900"/>
      <c r="HE900"/>
      <c r="HF900"/>
      <c r="HG900"/>
      <c r="HH900"/>
      <c r="HI900"/>
      <c r="HJ900"/>
      <c r="HK900"/>
      <c r="HL900"/>
      <c r="HM900"/>
      <c r="HN900"/>
      <c r="HO900"/>
      <c r="HP900"/>
      <c r="HQ900"/>
      <c r="HR900"/>
      <c r="HS900"/>
      <c r="HT900"/>
      <c r="HU900"/>
      <c r="HV900"/>
      <c r="HW900"/>
      <c r="HX900"/>
      <c r="HY900"/>
      <c r="HZ900"/>
      <c r="IA900"/>
      <c r="IB900"/>
      <c r="IC900"/>
      <c r="ID900"/>
      <c r="IE900"/>
      <c r="IF900"/>
      <c r="IG900"/>
      <c r="IH900"/>
      <c r="II900"/>
      <c r="IJ900"/>
      <c r="IK900"/>
      <c r="IL900"/>
    </row>
    <row r="901" spans="1:246" x14ac:dyDescent="0.2">
      <c r="A901" s="2098"/>
      <c r="B901" s="2129" t="s">
        <v>1984</v>
      </c>
      <c r="C901" s="2082">
        <f>SUM(C903:C907)</f>
        <v>1750000</v>
      </c>
      <c r="D901" s="2082">
        <f>SUM(D903:D907)</f>
        <v>1750000</v>
      </c>
      <c r="E901" s="2082">
        <f>SUM(E903:E907)</f>
        <v>243237.19</v>
      </c>
      <c r="F901" s="2082">
        <f>SUM(F903:F907)</f>
        <v>654458</v>
      </c>
      <c r="G901" s="2082">
        <f>SUM(G902:G907)</f>
        <v>1650000</v>
      </c>
      <c r="H901"/>
      <c r="I901" s="2068"/>
      <c r="J901"/>
      <c r="K901"/>
      <c r="L901"/>
      <c r="M901"/>
      <c r="N901"/>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c r="EX901"/>
      <c r="EY901"/>
      <c r="EZ901"/>
      <c r="FA901"/>
      <c r="FB901"/>
      <c r="FC901"/>
      <c r="FD901"/>
      <c r="FE901"/>
      <c r="FF901"/>
      <c r="FG901"/>
      <c r="FH901"/>
      <c r="FI901"/>
      <c r="FJ901"/>
      <c r="FK901"/>
      <c r="FL901"/>
      <c r="FM901"/>
      <c r="FN901"/>
      <c r="FO901"/>
      <c r="FP901"/>
      <c r="FQ901"/>
      <c r="FR901"/>
      <c r="FS901"/>
      <c r="FT901"/>
      <c r="FU901"/>
      <c r="FV901"/>
      <c r="FW901"/>
      <c r="FX901"/>
      <c r="FY901"/>
      <c r="FZ901"/>
      <c r="GA901"/>
      <c r="GB901"/>
      <c r="GC901"/>
      <c r="GD901"/>
      <c r="GE901"/>
      <c r="GF901"/>
      <c r="GG901"/>
      <c r="GH901"/>
      <c r="GI901"/>
      <c r="GJ901"/>
      <c r="GK901"/>
      <c r="GL901"/>
      <c r="GM901"/>
      <c r="GN901"/>
      <c r="GO901"/>
      <c r="GP901"/>
      <c r="GQ901"/>
      <c r="GR901"/>
      <c r="GS901"/>
      <c r="GT901"/>
      <c r="GU901"/>
      <c r="GV901"/>
      <c r="GW901"/>
      <c r="GX901"/>
      <c r="GY901"/>
      <c r="GZ901"/>
      <c r="HA901"/>
      <c r="HB901"/>
      <c r="HC901"/>
      <c r="HD901"/>
      <c r="HE901"/>
      <c r="HF901"/>
      <c r="HG901"/>
      <c r="HH901"/>
      <c r="HI901"/>
      <c r="HJ901"/>
      <c r="HK901"/>
      <c r="HL901"/>
      <c r="HM901"/>
      <c r="HN901"/>
      <c r="HO901"/>
      <c r="HP901"/>
      <c r="HQ901"/>
      <c r="HR901"/>
      <c r="HS901"/>
      <c r="HT901"/>
      <c r="HU901"/>
      <c r="HV901"/>
      <c r="HW901"/>
      <c r="HX901"/>
      <c r="HY901"/>
      <c r="HZ901"/>
      <c r="IA901"/>
      <c r="IB901"/>
      <c r="IC901"/>
      <c r="ID901"/>
      <c r="IE901"/>
      <c r="IF901"/>
      <c r="IG901"/>
      <c r="IH901"/>
      <c r="II901"/>
      <c r="IJ901"/>
      <c r="IK901"/>
      <c r="IL901"/>
    </row>
    <row r="902" spans="1:246" x14ac:dyDescent="0.2">
      <c r="A902" s="2098"/>
      <c r="B902" s="2113" t="s">
        <v>1985</v>
      </c>
      <c r="C902" s="2107">
        <v>100000</v>
      </c>
      <c r="D902" s="2107">
        <v>100000</v>
      </c>
      <c r="E902" s="2107">
        <v>1253.56</v>
      </c>
      <c r="F902" s="2107">
        <v>10000</v>
      </c>
      <c r="G902" s="2107">
        <v>100000</v>
      </c>
      <c r="H902"/>
      <c r="I902" s="2068"/>
      <c r="J902"/>
      <c r="K902"/>
      <c r="L902"/>
      <c r="M902"/>
      <c r="N902"/>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c r="EX902"/>
      <c r="EY902"/>
      <c r="EZ902"/>
      <c r="FA902"/>
      <c r="FB902"/>
      <c r="FC902"/>
      <c r="FD902"/>
      <c r="FE902"/>
      <c r="FF902"/>
      <c r="FG902"/>
      <c r="FH902"/>
      <c r="FI902"/>
      <c r="FJ902"/>
      <c r="FK902"/>
      <c r="FL902"/>
      <c r="FM902"/>
      <c r="FN902"/>
      <c r="FO902"/>
      <c r="FP902"/>
      <c r="FQ902"/>
      <c r="FR902"/>
      <c r="FS902"/>
      <c r="FT902"/>
      <c r="FU902"/>
      <c r="FV902"/>
      <c r="FW902"/>
      <c r="FX902"/>
      <c r="FY902"/>
      <c r="FZ902"/>
      <c r="GA902"/>
      <c r="GB902"/>
      <c r="GC902"/>
      <c r="GD902"/>
      <c r="GE902"/>
      <c r="GF902"/>
      <c r="GG902"/>
      <c r="GH902"/>
      <c r="GI902"/>
      <c r="GJ902"/>
      <c r="GK902"/>
      <c r="GL902"/>
      <c r="GM902"/>
      <c r="GN902"/>
      <c r="GO902"/>
      <c r="GP902"/>
      <c r="GQ902"/>
      <c r="GR902"/>
      <c r="GS902"/>
      <c r="GT902"/>
      <c r="GU902"/>
      <c r="GV902"/>
      <c r="GW902"/>
      <c r="GX902"/>
      <c r="GY902"/>
      <c r="GZ902"/>
      <c r="HA902"/>
      <c r="HB902"/>
      <c r="HC902"/>
      <c r="HD902"/>
      <c r="HE902"/>
      <c r="HF902"/>
      <c r="HG902"/>
      <c r="HH902"/>
      <c r="HI902"/>
      <c r="HJ902"/>
      <c r="HK902"/>
      <c r="HL902"/>
      <c r="HM902"/>
      <c r="HN902"/>
      <c r="HO902"/>
      <c r="HP902"/>
      <c r="HQ902"/>
      <c r="HR902"/>
      <c r="HS902"/>
      <c r="HT902"/>
      <c r="HU902"/>
      <c r="HV902"/>
      <c r="HW902"/>
      <c r="HX902"/>
      <c r="HY902"/>
      <c r="HZ902"/>
      <c r="IA902"/>
      <c r="IB902"/>
      <c r="IC902"/>
      <c r="ID902"/>
      <c r="IE902"/>
      <c r="IF902"/>
      <c r="IG902"/>
      <c r="IH902"/>
      <c r="II902"/>
      <c r="IJ902"/>
      <c r="IK902"/>
      <c r="IL902"/>
    </row>
    <row r="903" spans="1:246" x14ac:dyDescent="0.2">
      <c r="A903" s="2098"/>
      <c r="B903" s="2113" t="s">
        <v>1986</v>
      </c>
      <c r="C903" s="2107">
        <v>200000</v>
      </c>
      <c r="D903" s="2107">
        <v>200000</v>
      </c>
      <c r="E903" s="2107">
        <v>3187.64</v>
      </c>
      <c r="F903" s="2107">
        <v>10000</v>
      </c>
      <c r="G903" s="2107">
        <v>200000</v>
      </c>
      <c r="H903"/>
      <c r="I903" s="2068"/>
      <c r="J903"/>
      <c r="K903"/>
      <c r="L903"/>
      <c r="M903"/>
      <c r="N90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c r="EX903"/>
      <c r="EY903"/>
      <c r="EZ903"/>
      <c r="FA903"/>
      <c r="FB903"/>
      <c r="FC903"/>
      <c r="FD903"/>
      <c r="FE903"/>
      <c r="FF903"/>
      <c r="FG903"/>
      <c r="FH903"/>
      <c r="FI903"/>
      <c r="FJ903"/>
      <c r="FK903"/>
      <c r="FL903"/>
      <c r="FM903"/>
      <c r="FN903"/>
      <c r="FO903"/>
      <c r="FP903"/>
      <c r="FQ903"/>
      <c r="FR903"/>
      <c r="FS903"/>
      <c r="FT903"/>
      <c r="FU903"/>
      <c r="FV903"/>
      <c r="FW903"/>
      <c r="FX903"/>
      <c r="FY903"/>
      <c r="FZ903"/>
      <c r="GA903"/>
      <c r="GB903"/>
      <c r="GC903"/>
      <c r="GD903"/>
      <c r="GE903"/>
      <c r="GF903"/>
      <c r="GG903"/>
      <c r="GH903"/>
      <c r="GI903"/>
      <c r="GJ903"/>
      <c r="GK903"/>
      <c r="GL903"/>
      <c r="GM903"/>
      <c r="GN903"/>
      <c r="GO903"/>
      <c r="GP903"/>
      <c r="GQ903"/>
      <c r="GR903"/>
      <c r="GS903"/>
      <c r="GT903"/>
      <c r="GU903"/>
      <c r="GV903"/>
      <c r="GW903"/>
      <c r="GX903"/>
      <c r="GY903"/>
      <c r="GZ903"/>
      <c r="HA903"/>
      <c r="HB903"/>
      <c r="HC903"/>
      <c r="HD903"/>
      <c r="HE903"/>
      <c r="HF903"/>
      <c r="HG903"/>
      <c r="HH903"/>
      <c r="HI903"/>
      <c r="HJ903"/>
      <c r="HK903"/>
      <c r="HL903"/>
      <c r="HM903"/>
      <c r="HN903"/>
      <c r="HO903"/>
      <c r="HP903"/>
      <c r="HQ903"/>
      <c r="HR903"/>
      <c r="HS903"/>
      <c r="HT903"/>
      <c r="HU903"/>
      <c r="HV903"/>
      <c r="HW903"/>
      <c r="HX903"/>
      <c r="HY903"/>
      <c r="HZ903"/>
      <c r="IA903"/>
      <c r="IB903"/>
      <c r="IC903"/>
      <c r="ID903"/>
      <c r="IE903"/>
      <c r="IF903"/>
      <c r="IG903"/>
      <c r="IH903"/>
      <c r="II903"/>
      <c r="IJ903"/>
      <c r="IK903"/>
      <c r="IL903"/>
    </row>
    <row r="904" spans="1:246" x14ac:dyDescent="0.2">
      <c r="A904" s="2098"/>
      <c r="B904" s="2113" t="s">
        <v>2559</v>
      </c>
      <c r="C904" s="2075">
        <v>450000</v>
      </c>
      <c r="D904" s="2075">
        <v>450000</v>
      </c>
      <c r="E904" s="2075">
        <v>0</v>
      </c>
      <c r="F904" s="2075">
        <v>100000</v>
      </c>
      <c r="G904" s="2075">
        <v>450000</v>
      </c>
      <c r="H904"/>
      <c r="I904" s="2068"/>
      <c r="J904"/>
      <c r="K904"/>
      <c r="L904"/>
      <c r="M904"/>
      <c r="N904"/>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c r="EX904"/>
      <c r="EY904"/>
      <c r="EZ904"/>
      <c r="FA904"/>
      <c r="FB904"/>
      <c r="FC904"/>
      <c r="FD904"/>
      <c r="FE904"/>
      <c r="FF904"/>
      <c r="FG904"/>
      <c r="FH904"/>
      <c r="FI904"/>
      <c r="FJ904"/>
      <c r="FK904"/>
      <c r="FL904"/>
      <c r="FM904"/>
      <c r="FN904"/>
      <c r="FO904"/>
      <c r="FP904"/>
      <c r="FQ904"/>
      <c r="FR904"/>
      <c r="FS904"/>
      <c r="FT904"/>
      <c r="FU904"/>
      <c r="FV904"/>
      <c r="FW904"/>
      <c r="FX904"/>
      <c r="FY904"/>
      <c r="FZ904"/>
      <c r="GA904"/>
      <c r="GB904"/>
      <c r="GC904"/>
      <c r="GD904"/>
      <c r="GE904"/>
      <c r="GF904"/>
      <c r="GG904"/>
      <c r="GH904"/>
      <c r="GI904"/>
      <c r="GJ904"/>
      <c r="GK904"/>
      <c r="GL904"/>
      <c r="GM904"/>
      <c r="GN904"/>
      <c r="GO904"/>
      <c r="GP904"/>
      <c r="GQ904"/>
      <c r="GR904"/>
      <c r="GS904"/>
      <c r="GT904"/>
      <c r="GU904"/>
      <c r="GV904"/>
      <c r="GW904"/>
      <c r="GX904"/>
      <c r="GY904"/>
      <c r="GZ904"/>
      <c r="HA904"/>
      <c r="HB904"/>
      <c r="HC904"/>
      <c r="HD904"/>
      <c r="HE904"/>
      <c r="HF904"/>
      <c r="HG904"/>
      <c r="HH904"/>
      <c r="HI904"/>
      <c r="HJ904"/>
      <c r="HK904"/>
      <c r="HL904"/>
      <c r="HM904"/>
      <c r="HN904"/>
      <c r="HO904"/>
      <c r="HP904"/>
      <c r="HQ904"/>
      <c r="HR904"/>
      <c r="HS904"/>
      <c r="HT904"/>
      <c r="HU904"/>
      <c r="HV904"/>
      <c r="HW904"/>
      <c r="HX904"/>
      <c r="HY904"/>
      <c r="HZ904"/>
      <c r="IA904"/>
      <c r="IB904"/>
      <c r="IC904"/>
      <c r="ID904"/>
      <c r="IE904"/>
      <c r="IF904"/>
      <c r="IG904"/>
      <c r="IH904"/>
      <c r="II904"/>
      <c r="IJ904"/>
      <c r="IK904"/>
      <c r="IL904"/>
    </row>
    <row r="905" spans="1:246" ht="13.5" customHeight="1" x14ac:dyDescent="0.2">
      <c r="A905" s="2098"/>
      <c r="B905" s="2112" t="s">
        <v>1988</v>
      </c>
      <c r="C905" s="2107">
        <v>200000</v>
      </c>
      <c r="D905" s="2107">
        <v>200000</v>
      </c>
      <c r="E905" s="2107">
        <v>36421</v>
      </c>
      <c r="F905" s="2107">
        <v>36421</v>
      </c>
      <c r="G905" s="2107">
        <v>200000</v>
      </c>
      <c r="H905"/>
      <c r="I905" s="2068"/>
      <c r="J905"/>
      <c r="K905"/>
      <c r="L905"/>
      <c r="M905"/>
      <c r="N905"/>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c r="EX905"/>
      <c r="EY905"/>
      <c r="EZ905"/>
      <c r="FA905"/>
      <c r="FB905"/>
      <c r="FC905"/>
      <c r="FD905"/>
      <c r="FE905"/>
      <c r="FF905"/>
      <c r="FG905"/>
      <c r="FH905"/>
      <c r="FI905"/>
      <c r="FJ905"/>
      <c r="FK905"/>
      <c r="FL905"/>
      <c r="FM905"/>
      <c r="FN905"/>
      <c r="FO905"/>
      <c r="FP905"/>
      <c r="FQ905"/>
      <c r="FR905"/>
      <c r="FS905"/>
      <c r="FT905"/>
      <c r="FU905"/>
      <c r="FV905"/>
      <c r="FW905"/>
      <c r="FX905"/>
      <c r="FY905"/>
      <c r="FZ905"/>
      <c r="GA905"/>
      <c r="GB905"/>
      <c r="GC905"/>
      <c r="GD905"/>
      <c r="GE905"/>
      <c r="GF905"/>
      <c r="GG905"/>
      <c r="GH905"/>
      <c r="GI905"/>
      <c r="GJ905"/>
      <c r="GK905"/>
      <c r="GL905"/>
      <c r="GM905"/>
      <c r="GN905"/>
      <c r="GO905"/>
      <c r="GP905"/>
      <c r="GQ905"/>
      <c r="GR905"/>
      <c r="GS905"/>
      <c r="GT905"/>
      <c r="GU905"/>
      <c r="GV905"/>
      <c r="GW905"/>
      <c r="GX905"/>
      <c r="GY905"/>
      <c r="GZ905"/>
      <c r="HA905"/>
      <c r="HB905"/>
      <c r="HC905"/>
      <c r="HD905"/>
      <c r="HE905"/>
      <c r="HF905"/>
      <c r="HG905"/>
      <c r="HH905"/>
      <c r="HI905"/>
      <c r="HJ905"/>
      <c r="HK905"/>
      <c r="HL905"/>
      <c r="HM905"/>
      <c r="HN905"/>
      <c r="HO905"/>
      <c r="HP905"/>
      <c r="HQ905"/>
      <c r="HR905"/>
      <c r="HS905"/>
      <c r="HT905"/>
      <c r="HU905"/>
      <c r="HV905"/>
      <c r="HW905"/>
      <c r="HX905"/>
      <c r="HY905"/>
      <c r="HZ905"/>
      <c r="IA905"/>
      <c r="IB905"/>
      <c r="IC905"/>
      <c r="ID905"/>
      <c r="IE905"/>
      <c r="IF905"/>
      <c r="IG905"/>
      <c r="IH905"/>
      <c r="II905"/>
      <c r="IJ905"/>
      <c r="IK905"/>
      <c r="IL905"/>
    </row>
    <row r="906" spans="1:246" x14ac:dyDescent="0.2">
      <c r="A906" s="2098"/>
      <c r="B906" s="2126" t="s">
        <v>2560</v>
      </c>
      <c r="C906" s="2111">
        <v>400000</v>
      </c>
      <c r="D906" s="2111">
        <v>400000</v>
      </c>
      <c r="E906" s="2111">
        <v>0</v>
      </c>
      <c r="F906" s="2111">
        <v>110037</v>
      </c>
      <c r="G906" s="2111">
        <v>200000</v>
      </c>
      <c r="H906"/>
      <c r="I906" s="2068"/>
      <c r="J906"/>
      <c r="K906"/>
      <c r="L906"/>
      <c r="M906"/>
      <c r="N906"/>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c r="EX906"/>
      <c r="EY906"/>
      <c r="EZ906"/>
      <c r="FA906"/>
      <c r="FB906"/>
      <c r="FC906"/>
      <c r="FD906"/>
      <c r="FE906"/>
      <c r="FF906"/>
      <c r="FG906"/>
      <c r="FH906"/>
      <c r="FI906"/>
      <c r="FJ906"/>
      <c r="FK906"/>
      <c r="FL906"/>
      <c r="FM906"/>
      <c r="FN906"/>
      <c r="FO906"/>
      <c r="FP906"/>
      <c r="FQ906"/>
      <c r="FR906"/>
      <c r="FS906"/>
      <c r="FT906"/>
      <c r="FU906"/>
      <c r="FV906"/>
      <c r="FW906"/>
      <c r="FX906"/>
      <c r="FY906"/>
      <c r="FZ906"/>
      <c r="GA906"/>
      <c r="GB906"/>
      <c r="GC906"/>
      <c r="GD906"/>
      <c r="GE906"/>
      <c r="GF906"/>
      <c r="GG906"/>
      <c r="GH906"/>
      <c r="GI906"/>
      <c r="GJ906"/>
      <c r="GK906"/>
      <c r="GL906"/>
      <c r="GM906"/>
      <c r="GN906"/>
      <c r="GO906"/>
      <c r="GP906"/>
      <c r="GQ906"/>
      <c r="GR906"/>
      <c r="GS906"/>
      <c r="GT906"/>
      <c r="GU906"/>
      <c r="GV906"/>
      <c r="GW906"/>
      <c r="GX906"/>
      <c r="GY906"/>
      <c r="GZ906"/>
      <c r="HA906"/>
      <c r="HB906"/>
      <c r="HC906"/>
      <c r="HD906"/>
      <c r="HE906"/>
      <c r="HF906"/>
      <c r="HG906"/>
      <c r="HH906"/>
      <c r="HI906"/>
      <c r="HJ906"/>
      <c r="HK906"/>
      <c r="HL906"/>
      <c r="HM906"/>
      <c r="HN906"/>
      <c r="HO906"/>
      <c r="HP906"/>
      <c r="HQ906"/>
      <c r="HR906"/>
      <c r="HS906"/>
      <c r="HT906"/>
      <c r="HU906"/>
      <c r="HV906"/>
      <c r="HW906"/>
      <c r="HX906"/>
      <c r="HY906"/>
      <c r="HZ906"/>
      <c r="IA906"/>
      <c r="IB906"/>
      <c r="IC906"/>
      <c r="ID906"/>
      <c r="IE906"/>
      <c r="IF906"/>
      <c r="IG906"/>
      <c r="IH906"/>
      <c r="II906"/>
      <c r="IJ906"/>
      <c r="IK906"/>
      <c r="IL906"/>
    </row>
    <row r="907" spans="1:246" s="488" customFormat="1" ht="13.5" customHeight="1" x14ac:dyDescent="0.2">
      <c r="A907" s="1155"/>
      <c r="B907" s="2112" t="s">
        <v>2561</v>
      </c>
      <c r="C907" s="2107">
        <v>500000</v>
      </c>
      <c r="D907" s="2107">
        <v>500000</v>
      </c>
      <c r="E907" s="2111">
        <v>203628.55</v>
      </c>
      <c r="F907" s="2111">
        <v>398000</v>
      </c>
      <c r="G907" s="2107">
        <v>500000</v>
      </c>
      <c r="I907" s="2105"/>
    </row>
    <row r="908" spans="1:246" s="488" customFormat="1" ht="13.5" customHeight="1" x14ac:dyDescent="0.2">
      <c r="A908" s="1155">
        <v>3634</v>
      </c>
      <c r="B908" s="2130" t="s">
        <v>1991</v>
      </c>
      <c r="C908" s="2131">
        <f>SUM(C909:C913)</f>
        <v>4050000</v>
      </c>
      <c r="D908" s="2131">
        <f>SUM(D909:D913)</f>
        <v>4050000</v>
      </c>
      <c r="E908" s="2131">
        <f>SUM(E909:E913)</f>
        <v>2072788.08</v>
      </c>
      <c r="F908" s="2131">
        <f>SUM(F909:F913)</f>
        <v>3339514.7199999997</v>
      </c>
      <c r="G908" s="2131">
        <f>SUM(G909:G913)</f>
        <v>5700000</v>
      </c>
      <c r="I908" s="2105"/>
    </row>
    <row r="909" spans="1:246" s="488" customFormat="1" ht="12.75" customHeight="1" x14ac:dyDescent="0.2">
      <c r="A909" s="1155"/>
      <c r="B909" s="2113" t="s">
        <v>2562</v>
      </c>
      <c r="C909" s="2107">
        <v>350000</v>
      </c>
      <c r="D909" s="2107">
        <v>350000</v>
      </c>
      <c r="E909" s="2107">
        <v>98967.11</v>
      </c>
      <c r="F909" s="2107">
        <v>140000</v>
      </c>
      <c r="G909" s="2107">
        <v>500000</v>
      </c>
      <c r="I909" s="2105"/>
    </row>
    <row r="910" spans="1:246" ht="21" customHeight="1" x14ac:dyDescent="0.2">
      <c r="A910" s="1155"/>
      <c r="B910" s="2113" t="s">
        <v>1993</v>
      </c>
      <c r="C910" s="2107">
        <v>300000</v>
      </c>
      <c r="D910" s="2107">
        <v>300000</v>
      </c>
      <c r="E910" s="2107">
        <v>295966</v>
      </c>
      <c r="F910" s="2107">
        <v>295966</v>
      </c>
      <c r="G910" s="2107">
        <v>0</v>
      </c>
      <c r="H910"/>
      <c r="I910" s="2068"/>
      <c r="J910"/>
      <c r="K910"/>
      <c r="L910"/>
      <c r="M910"/>
      <c r="N910"/>
      <c r="O910"/>
      <c r="P910"/>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c r="EB910"/>
      <c r="EC910"/>
      <c r="ED910"/>
      <c r="EE910"/>
      <c r="EF910"/>
      <c r="EG910"/>
      <c r="EH910"/>
      <c r="EI910"/>
      <c r="EJ910"/>
      <c r="EK910"/>
      <c r="EL910"/>
      <c r="EM910"/>
      <c r="EN910"/>
      <c r="EO910"/>
      <c r="EP910"/>
      <c r="EQ910"/>
      <c r="ER910"/>
      <c r="ES910"/>
      <c r="ET910"/>
      <c r="EU910"/>
      <c r="EV910"/>
      <c r="EW910"/>
      <c r="EX910"/>
      <c r="EY910"/>
      <c r="EZ910"/>
      <c r="FA910"/>
      <c r="FB910"/>
      <c r="FC910"/>
      <c r="FD910"/>
      <c r="FE910"/>
      <c r="FF910"/>
      <c r="FG910"/>
      <c r="FH910"/>
      <c r="FI910"/>
      <c r="FJ910"/>
      <c r="FK910"/>
      <c r="FL910"/>
      <c r="FM910"/>
      <c r="FN910"/>
      <c r="FO910"/>
      <c r="FP910"/>
      <c r="FQ910"/>
      <c r="FR910"/>
      <c r="FS910"/>
      <c r="FT910"/>
      <c r="FU910"/>
      <c r="FV910"/>
      <c r="FW910"/>
      <c r="FX910"/>
      <c r="FY910"/>
      <c r="FZ910"/>
      <c r="GA910"/>
      <c r="GB910"/>
      <c r="GC910"/>
      <c r="GD910"/>
      <c r="GE910"/>
      <c r="GF910"/>
      <c r="GG910"/>
      <c r="GH910"/>
      <c r="GI910"/>
      <c r="GJ910"/>
      <c r="GK910"/>
      <c r="GL910"/>
      <c r="GM910"/>
      <c r="GN910"/>
      <c r="GO910"/>
      <c r="GP910"/>
      <c r="GQ910"/>
      <c r="GR910"/>
      <c r="GS910"/>
      <c r="GT910"/>
      <c r="GU910"/>
      <c r="GV910"/>
      <c r="GW910"/>
      <c r="GX910"/>
      <c r="GY910"/>
      <c r="GZ910"/>
      <c r="HA910"/>
      <c r="HB910"/>
      <c r="HC910"/>
      <c r="HD910"/>
      <c r="HE910"/>
      <c r="HF910"/>
      <c r="HG910"/>
      <c r="HH910"/>
      <c r="HI910"/>
      <c r="HJ910"/>
      <c r="HK910"/>
      <c r="HL910"/>
      <c r="HM910"/>
      <c r="HN910"/>
      <c r="HO910"/>
      <c r="HP910"/>
      <c r="HQ910"/>
      <c r="HR910"/>
      <c r="HS910"/>
      <c r="HT910"/>
      <c r="HU910"/>
      <c r="HV910"/>
      <c r="HW910"/>
      <c r="HX910"/>
      <c r="HY910"/>
      <c r="HZ910"/>
      <c r="IA910"/>
      <c r="IB910"/>
      <c r="IC910"/>
      <c r="ID910"/>
      <c r="IE910"/>
      <c r="IF910"/>
      <c r="IG910"/>
      <c r="IH910"/>
      <c r="II910"/>
      <c r="IJ910"/>
      <c r="IK910"/>
      <c r="IL910"/>
    </row>
    <row r="911" spans="1:246" ht="27.75" customHeight="1" x14ac:dyDescent="0.2">
      <c r="A911" s="1155"/>
      <c r="B911" s="2113" t="s">
        <v>2563</v>
      </c>
      <c r="C911" s="2075">
        <v>900000</v>
      </c>
      <c r="D911" s="2075">
        <v>900000</v>
      </c>
      <c r="E911" s="2107">
        <v>763548.72</v>
      </c>
      <c r="F911" s="2107">
        <v>763548.72</v>
      </c>
      <c r="G911" s="2075">
        <v>700000</v>
      </c>
      <c r="H911"/>
      <c r="I911" s="2068"/>
      <c r="J911"/>
      <c r="K911"/>
      <c r="L911"/>
      <c r="M911"/>
      <c r="N911"/>
      <c r="O911"/>
      <c r="P911"/>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c r="EB911"/>
      <c r="EC911"/>
      <c r="ED911"/>
      <c r="EE911"/>
      <c r="EF911"/>
      <c r="EG911"/>
      <c r="EH911"/>
      <c r="EI911"/>
      <c r="EJ911"/>
      <c r="EK911"/>
      <c r="EL911"/>
      <c r="EM911"/>
      <c r="EN911"/>
      <c r="EO911"/>
      <c r="EP911"/>
      <c r="EQ911"/>
      <c r="ER911"/>
      <c r="ES911"/>
      <c r="ET911"/>
      <c r="EU911"/>
      <c r="EV911"/>
      <c r="EW911"/>
      <c r="EX911"/>
      <c r="EY911"/>
      <c r="EZ911"/>
      <c r="FA911"/>
      <c r="FB911"/>
      <c r="FC911"/>
      <c r="FD911"/>
      <c r="FE911"/>
      <c r="FF911"/>
      <c r="FG911"/>
      <c r="FH911"/>
      <c r="FI911"/>
      <c r="FJ911"/>
      <c r="FK911"/>
      <c r="FL911"/>
      <c r="FM911"/>
      <c r="FN911"/>
      <c r="FO911"/>
      <c r="FP911"/>
      <c r="FQ911"/>
      <c r="FR911"/>
      <c r="FS911"/>
      <c r="FT911"/>
      <c r="FU911"/>
      <c r="FV911"/>
      <c r="FW911"/>
      <c r="FX911"/>
      <c r="FY911"/>
      <c r="FZ911"/>
      <c r="GA911"/>
      <c r="GB911"/>
      <c r="GC911"/>
      <c r="GD911"/>
      <c r="GE911"/>
      <c r="GF911"/>
      <c r="GG911"/>
      <c r="GH911"/>
      <c r="GI911"/>
      <c r="GJ911"/>
      <c r="GK911"/>
      <c r="GL911"/>
      <c r="GM911"/>
      <c r="GN911"/>
      <c r="GO911"/>
      <c r="GP911"/>
      <c r="GQ911"/>
      <c r="GR911"/>
      <c r="GS911"/>
      <c r="GT911"/>
      <c r="GU911"/>
      <c r="GV911"/>
      <c r="GW911"/>
      <c r="GX911"/>
      <c r="GY911"/>
      <c r="GZ911"/>
      <c r="HA911"/>
      <c r="HB911"/>
      <c r="HC911"/>
      <c r="HD911"/>
      <c r="HE911"/>
      <c r="HF911"/>
      <c r="HG911"/>
      <c r="HH911"/>
      <c r="HI911"/>
      <c r="HJ911"/>
      <c r="HK911"/>
      <c r="HL911"/>
      <c r="HM911"/>
      <c r="HN911"/>
      <c r="HO911"/>
      <c r="HP911"/>
      <c r="HQ911"/>
      <c r="HR911"/>
      <c r="HS911"/>
      <c r="HT911"/>
      <c r="HU911"/>
      <c r="HV911"/>
      <c r="HW911"/>
      <c r="HX911"/>
      <c r="HY911"/>
      <c r="HZ911"/>
      <c r="IA911"/>
      <c r="IB911"/>
      <c r="IC911"/>
      <c r="ID911"/>
      <c r="IE911"/>
      <c r="IF911"/>
      <c r="IG911"/>
      <c r="IH911"/>
      <c r="II911"/>
      <c r="IJ911"/>
      <c r="IK911"/>
      <c r="IL911"/>
    </row>
    <row r="912" spans="1:246" s="488" customFormat="1" ht="12.75" customHeight="1" x14ac:dyDescent="0.2">
      <c r="A912" s="1155"/>
      <c r="B912" s="2132" t="s">
        <v>2564</v>
      </c>
      <c r="C912" s="2075">
        <v>2200000</v>
      </c>
      <c r="D912" s="2075">
        <v>2200000</v>
      </c>
      <c r="E912" s="2075">
        <v>914306.25</v>
      </c>
      <c r="F912" s="2075">
        <v>2140000</v>
      </c>
      <c r="G912" s="2075">
        <v>2500000</v>
      </c>
      <c r="I912" s="2105"/>
    </row>
    <row r="913" spans="1:9" s="488" customFormat="1" ht="13.5" customHeight="1" x14ac:dyDescent="0.2">
      <c r="A913" s="2122"/>
      <c r="B913" s="2106" t="s">
        <v>951</v>
      </c>
      <c r="C913" s="2107">
        <f>SUM(C914:C914)</f>
        <v>300000</v>
      </c>
      <c r="D913" s="2107">
        <f>SUM(D914:D914)</f>
        <v>300000</v>
      </c>
      <c r="E913" s="2107">
        <f>SUM(E914:E914)</f>
        <v>0</v>
      </c>
      <c r="F913" s="2107">
        <f>SUM(F914:F914)</f>
        <v>0</v>
      </c>
      <c r="G913" s="2107">
        <f>SUM(G914:G916)</f>
        <v>2000000</v>
      </c>
      <c r="I913" s="2105"/>
    </row>
    <row r="914" spans="1:9" s="488" customFormat="1" ht="29.25" customHeight="1" x14ac:dyDescent="0.2">
      <c r="A914" s="2086"/>
      <c r="B914" s="2133" t="s">
        <v>2565</v>
      </c>
      <c r="C914" s="2075">
        <v>300000</v>
      </c>
      <c r="D914" s="2075">
        <v>300000</v>
      </c>
      <c r="E914" s="2075">
        <v>0</v>
      </c>
      <c r="F914" s="2075">
        <v>0</v>
      </c>
      <c r="G914" s="2075">
        <v>400000</v>
      </c>
      <c r="I914" s="2105"/>
    </row>
    <row r="915" spans="1:9" s="488" customFormat="1" ht="13.5" customHeight="1" x14ac:dyDescent="0.2">
      <c r="A915" s="2086"/>
      <c r="B915" s="2133" t="s">
        <v>2566</v>
      </c>
      <c r="C915" s="2107">
        <v>0</v>
      </c>
      <c r="D915" s="2107">
        <v>0</v>
      </c>
      <c r="E915" s="2107">
        <v>0</v>
      </c>
      <c r="F915" s="2107">
        <v>0</v>
      </c>
      <c r="G915" s="2107">
        <v>800000</v>
      </c>
      <c r="I915" s="2105"/>
    </row>
    <row r="916" spans="1:9" s="488" customFormat="1" ht="13.5" customHeight="1" x14ac:dyDescent="0.2">
      <c r="A916" s="2086"/>
      <c r="B916" s="2133" t="s">
        <v>2567</v>
      </c>
      <c r="C916" s="2107">
        <v>0</v>
      </c>
      <c r="D916" s="2107">
        <v>0</v>
      </c>
      <c r="E916" s="2107">
        <v>0</v>
      </c>
      <c r="F916" s="2107">
        <v>0</v>
      </c>
      <c r="G916" s="2107">
        <v>800000</v>
      </c>
      <c r="I916" s="2105"/>
    </row>
    <row r="917" spans="1:9" s="488" customFormat="1" ht="13.5" customHeight="1" x14ac:dyDescent="0.2">
      <c r="A917" s="1155">
        <v>4351</v>
      </c>
      <c r="B917" s="2134" t="s">
        <v>1998</v>
      </c>
      <c r="C917" s="2085">
        <v>15000</v>
      </c>
      <c r="D917" s="2085">
        <v>15000</v>
      </c>
      <c r="E917" s="2085">
        <v>217.28</v>
      </c>
      <c r="F917" s="2085">
        <v>12600</v>
      </c>
      <c r="G917" s="2085">
        <v>15000</v>
      </c>
      <c r="I917" s="2105"/>
    </row>
    <row r="918" spans="1:9" s="488" customFormat="1" ht="13.5" customHeight="1" x14ac:dyDescent="0.2">
      <c r="A918" s="1155">
        <v>4374</v>
      </c>
      <c r="B918" s="2134" t="s">
        <v>759</v>
      </c>
      <c r="C918" s="2085">
        <f>C919</f>
        <v>940000</v>
      </c>
      <c r="D918" s="2085">
        <f>D919</f>
        <v>940000</v>
      </c>
      <c r="E918" s="2085">
        <f>E919</f>
        <v>70328.45</v>
      </c>
      <c r="F918" s="2085">
        <f>F919</f>
        <v>655000</v>
      </c>
      <c r="G918" s="2085">
        <f>G919</f>
        <v>350000</v>
      </c>
      <c r="I918" s="2105"/>
    </row>
    <row r="919" spans="1:9" s="488" customFormat="1" ht="13.5" customHeight="1" x14ac:dyDescent="0.2">
      <c r="A919" s="2086"/>
      <c r="B919" s="2133" t="s">
        <v>1999</v>
      </c>
      <c r="C919" s="2075">
        <f>C920+C921</f>
        <v>940000</v>
      </c>
      <c r="D919" s="2075">
        <f>D920+D921</f>
        <v>940000</v>
      </c>
      <c r="E919" s="2075">
        <f>E920+E921</f>
        <v>70328.45</v>
      </c>
      <c r="F919" s="2075">
        <f>F920+F921</f>
        <v>655000</v>
      </c>
      <c r="G919" s="2075">
        <f>G920+G921</f>
        <v>350000</v>
      </c>
      <c r="I919" s="2105"/>
    </row>
    <row r="920" spans="1:9" s="488" customFormat="1" x14ac:dyDescent="0.2">
      <c r="A920" s="2086">
        <v>800</v>
      </c>
      <c r="B920" s="2133" t="s">
        <v>2000</v>
      </c>
      <c r="C920" s="2107">
        <v>800000</v>
      </c>
      <c r="D920" s="2107">
        <v>800000</v>
      </c>
      <c r="E920" s="2107">
        <v>56440.45</v>
      </c>
      <c r="F920" s="2107">
        <v>635000</v>
      </c>
      <c r="G920" s="2107">
        <v>250000</v>
      </c>
      <c r="I920" s="2105"/>
    </row>
    <row r="921" spans="1:9" s="488" customFormat="1" ht="13.5" customHeight="1" x14ac:dyDescent="0.2">
      <c r="A921" s="1155"/>
      <c r="B921" s="2083" t="s">
        <v>2001</v>
      </c>
      <c r="C921" s="2075">
        <v>140000</v>
      </c>
      <c r="D921" s="2075">
        <v>140000</v>
      </c>
      <c r="E921" s="2075">
        <v>13888</v>
      </c>
      <c r="F921" s="2075">
        <v>20000</v>
      </c>
      <c r="G921" s="2075">
        <v>100000</v>
      </c>
      <c r="I921" s="2105"/>
    </row>
    <row r="922" spans="1:9" s="488" customFormat="1" ht="13.5" customHeight="1" x14ac:dyDescent="0.2">
      <c r="A922" s="1155">
        <v>6171</v>
      </c>
      <c r="B922" s="2135" t="s">
        <v>975</v>
      </c>
      <c r="C922" s="2131">
        <f>SUM(C923:C927)</f>
        <v>1530000</v>
      </c>
      <c r="D922" s="2131">
        <f>SUM(D923:D927)</f>
        <v>1530000</v>
      </c>
      <c r="E922" s="2131">
        <f>SUM(E923:E927)</f>
        <v>233973.5</v>
      </c>
      <c r="F922" s="2131">
        <f>SUM(F923:F927)</f>
        <v>1303657.5</v>
      </c>
      <c r="G922" s="2131">
        <f>SUM(G923:G927)</f>
        <v>500000</v>
      </c>
      <c r="I922" s="2105"/>
    </row>
    <row r="923" spans="1:9" s="488" customFormat="1" ht="21.75" customHeight="1" x14ac:dyDescent="0.2">
      <c r="A923" s="2136"/>
      <c r="B923" s="2128" t="s">
        <v>2002</v>
      </c>
      <c r="C923" s="2137">
        <v>300000</v>
      </c>
      <c r="D923" s="2137">
        <v>300000</v>
      </c>
      <c r="E923" s="2137">
        <v>138928</v>
      </c>
      <c r="F923" s="2137">
        <v>208392</v>
      </c>
      <c r="G923" s="2137">
        <v>250000</v>
      </c>
      <c r="I923" s="2105"/>
    </row>
    <row r="924" spans="1:9" s="488" customFormat="1" ht="13.5" customHeight="1" x14ac:dyDescent="0.2">
      <c r="A924" s="2091"/>
      <c r="B924" s="2138" t="s">
        <v>2003</v>
      </c>
      <c r="C924" s="2075">
        <v>180000</v>
      </c>
      <c r="D924" s="2075">
        <v>170000</v>
      </c>
      <c r="E924" s="2075">
        <v>58080</v>
      </c>
      <c r="F924" s="2075">
        <v>58080</v>
      </c>
      <c r="G924" s="2075">
        <v>0</v>
      </c>
      <c r="I924" s="2105"/>
    </row>
    <row r="925" spans="1:9" s="488" customFormat="1" ht="25.5" x14ac:dyDescent="0.2">
      <c r="A925" s="2086"/>
      <c r="B925" s="2078" t="s">
        <v>2568</v>
      </c>
      <c r="C925" s="2075">
        <v>500000</v>
      </c>
      <c r="D925" s="2075">
        <v>500000</v>
      </c>
      <c r="E925" s="2075">
        <v>0</v>
      </c>
      <c r="F925" s="2075">
        <v>500000</v>
      </c>
      <c r="G925" s="2075">
        <v>250000</v>
      </c>
      <c r="I925" s="2105"/>
    </row>
    <row r="926" spans="1:9" s="488" customFormat="1" ht="13.5" customHeight="1" x14ac:dyDescent="0.2">
      <c r="A926" s="2091"/>
      <c r="B926" s="2078" t="s">
        <v>2005</v>
      </c>
      <c r="C926" s="2139">
        <v>300000</v>
      </c>
      <c r="D926" s="2139">
        <v>300000</v>
      </c>
      <c r="E926" s="2139">
        <v>0</v>
      </c>
      <c r="F926" s="2139">
        <v>280000</v>
      </c>
      <c r="G926" s="2139">
        <v>0</v>
      </c>
      <c r="I926" s="2105"/>
    </row>
    <row r="927" spans="1:9" s="488" customFormat="1" ht="13.5" customHeight="1" x14ac:dyDescent="0.2">
      <c r="A927" s="2086"/>
      <c r="B927" s="2088" t="s">
        <v>2006</v>
      </c>
      <c r="C927" s="2075">
        <v>250000</v>
      </c>
      <c r="D927" s="2075">
        <v>260000</v>
      </c>
      <c r="E927" s="2075">
        <v>36965.5</v>
      </c>
      <c r="F927" s="2075">
        <v>257185.5</v>
      </c>
      <c r="G927" s="2075">
        <v>0</v>
      </c>
      <c r="I927" s="2105"/>
    </row>
    <row r="928" spans="1:9" s="488" customFormat="1" ht="13.5" customHeight="1" x14ac:dyDescent="0.2">
      <c r="A928" s="2140"/>
      <c r="B928" s="2141"/>
      <c r="C928" s="1506"/>
      <c r="D928" s="1506"/>
      <c r="E928" s="2142"/>
      <c r="F928" s="2143"/>
      <c r="G928" s="2144"/>
      <c r="I928" s="2105"/>
    </row>
    <row r="929" spans="1:245" s="545" customFormat="1" ht="20.25" x14ac:dyDescent="0.3">
      <c r="A929" s="649"/>
      <c r="B929" s="701" t="s">
        <v>52</v>
      </c>
      <c r="C929" s="1217">
        <f t="shared" ref="C929:I929" si="171">SUM(C930+C935)</f>
        <v>350000</v>
      </c>
      <c r="D929" s="1217">
        <f t="shared" si="171"/>
        <v>350000</v>
      </c>
      <c r="E929" s="1217">
        <f t="shared" si="171"/>
        <v>78650</v>
      </c>
      <c r="F929" s="1386">
        <f t="shared" si="171"/>
        <v>131850</v>
      </c>
      <c r="G929" s="2145">
        <f t="shared" si="171"/>
        <v>290000</v>
      </c>
      <c r="H929" s="1217">
        <f t="shared" si="171"/>
        <v>290000</v>
      </c>
      <c r="I929" s="1217">
        <f t="shared" si="171"/>
        <v>290000</v>
      </c>
      <c r="IE929" s="98"/>
      <c r="IF929" s="98"/>
      <c r="IG929" s="98"/>
      <c r="IH929" s="98"/>
      <c r="II929" s="98"/>
      <c r="IJ929" s="98"/>
      <c r="IK929" s="98"/>
    </row>
    <row r="930" spans="1:245" s="545" customFormat="1" x14ac:dyDescent="0.2">
      <c r="A930" s="764">
        <v>2169</v>
      </c>
      <c r="B930" s="709" t="s">
        <v>2007</v>
      </c>
      <c r="C930" s="731">
        <f t="shared" ref="C930:I930" si="172">SUM(C931:C934)</f>
        <v>250000</v>
      </c>
      <c r="D930" s="731">
        <f t="shared" si="172"/>
        <v>175000</v>
      </c>
      <c r="E930" s="731">
        <f t="shared" si="172"/>
        <v>0</v>
      </c>
      <c r="F930" s="731">
        <f t="shared" si="172"/>
        <v>1000</v>
      </c>
      <c r="G930" s="746">
        <f>SUM(G931:G934)</f>
        <v>250000</v>
      </c>
      <c r="H930" s="731">
        <f t="shared" si="172"/>
        <v>250000</v>
      </c>
      <c r="I930" s="731">
        <f t="shared" si="172"/>
        <v>250000</v>
      </c>
      <c r="IE930" s="98"/>
      <c r="IF930" s="98"/>
      <c r="IG930" s="98"/>
      <c r="IH930" s="98"/>
      <c r="II930" s="98"/>
      <c r="IJ930" s="98"/>
      <c r="IK930" s="98"/>
    </row>
    <row r="931" spans="1:245" s="545" customFormat="1" x14ac:dyDescent="0.2">
      <c r="A931" s="764"/>
      <c r="B931" s="766" t="s">
        <v>982</v>
      </c>
      <c r="C931" s="738">
        <v>47000</v>
      </c>
      <c r="D931" s="738">
        <v>47000</v>
      </c>
      <c r="E931" s="738">
        <v>0</v>
      </c>
      <c r="F931" s="2146">
        <v>0</v>
      </c>
      <c r="G931" s="1856">
        <v>37000</v>
      </c>
      <c r="H931" s="2146">
        <v>37000</v>
      </c>
      <c r="I931" s="2146">
        <v>37000</v>
      </c>
      <c r="IE931" s="98"/>
      <c r="IF931" s="98"/>
      <c r="IG931" s="98"/>
      <c r="IH931" s="98"/>
      <c r="II931" s="98"/>
      <c r="IJ931" s="98"/>
      <c r="IK931" s="98"/>
    </row>
    <row r="932" spans="1:245" s="545" customFormat="1" x14ac:dyDescent="0.2">
      <c r="A932" s="764"/>
      <c r="B932" s="766" t="s">
        <v>983</v>
      </c>
      <c r="C932" s="738">
        <v>200000</v>
      </c>
      <c r="D932" s="738">
        <v>125000</v>
      </c>
      <c r="E932" s="738">
        <v>0</v>
      </c>
      <c r="F932" s="1256">
        <v>0</v>
      </c>
      <c r="G932" s="858">
        <v>200000</v>
      </c>
      <c r="H932" s="1256">
        <v>200000</v>
      </c>
      <c r="I932" s="1260">
        <v>200000</v>
      </c>
      <c r="IE932" s="98"/>
      <c r="IF932" s="98"/>
      <c r="IG932" s="98"/>
      <c r="IH932" s="98"/>
      <c r="II932" s="98"/>
      <c r="IJ932" s="98"/>
      <c r="IK932" s="98"/>
    </row>
    <row r="933" spans="1:245" s="545" customFormat="1" x14ac:dyDescent="0.2">
      <c r="A933" s="764"/>
      <c r="B933" s="766" t="s">
        <v>2569</v>
      </c>
      <c r="C933" s="738">
        <v>0</v>
      </c>
      <c r="D933" s="738">
        <v>0</v>
      </c>
      <c r="E933" s="738">
        <v>0</v>
      </c>
      <c r="F933" s="1256">
        <v>0</v>
      </c>
      <c r="G933" s="858">
        <v>10000</v>
      </c>
      <c r="H933" s="1256">
        <v>10000</v>
      </c>
      <c r="I933" s="1260">
        <v>10000</v>
      </c>
      <c r="IE933" s="98"/>
      <c r="IF933" s="98"/>
      <c r="IG933" s="98"/>
      <c r="IH933" s="98"/>
      <c r="II933" s="98"/>
      <c r="IJ933" s="98"/>
      <c r="IK933" s="98"/>
    </row>
    <row r="934" spans="1:245" s="545" customFormat="1" x14ac:dyDescent="0.2">
      <c r="A934" s="764"/>
      <c r="B934" s="766" t="s">
        <v>984</v>
      </c>
      <c r="C934" s="738">
        <v>3000</v>
      </c>
      <c r="D934" s="738">
        <v>3000</v>
      </c>
      <c r="E934" s="738">
        <v>0</v>
      </c>
      <c r="F934" s="2047">
        <v>1000</v>
      </c>
      <c r="G934" s="866">
        <v>3000</v>
      </c>
      <c r="H934" s="1271">
        <v>3000</v>
      </c>
      <c r="I934" s="1271">
        <v>3000</v>
      </c>
      <c r="IE934" s="98"/>
      <c r="IF934" s="98"/>
      <c r="IG934" s="98"/>
      <c r="IH934" s="98"/>
      <c r="II934" s="98"/>
      <c r="IJ934" s="98"/>
      <c r="IK934" s="98"/>
    </row>
    <row r="935" spans="1:245" s="545" customFormat="1" x14ac:dyDescent="0.2">
      <c r="A935" s="771">
        <v>3635</v>
      </c>
      <c r="B935" s="717" t="s">
        <v>986</v>
      </c>
      <c r="C935" s="726">
        <f t="shared" ref="C935:I935" si="173">SUM(C936:C937)</f>
        <v>100000</v>
      </c>
      <c r="D935" s="726">
        <f t="shared" si="173"/>
        <v>175000</v>
      </c>
      <c r="E935" s="726">
        <f t="shared" si="173"/>
        <v>78650</v>
      </c>
      <c r="F935" s="726">
        <f t="shared" si="173"/>
        <v>130850</v>
      </c>
      <c r="G935" s="726">
        <f t="shared" si="173"/>
        <v>40000</v>
      </c>
      <c r="H935" s="726">
        <f t="shared" si="173"/>
        <v>40000</v>
      </c>
      <c r="I935" s="726">
        <f t="shared" si="173"/>
        <v>40000</v>
      </c>
      <c r="IE935" s="98"/>
      <c r="IF935" s="98"/>
      <c r="IG935" s="98"/>
      <c r="IH935" s="98"/>
      <c r="II935" s="98"/>
      <c r="IJ935" s="98"/>
      <c r="IK935" s="98"/>
    </row>
    <row r="936" spans="1:245" s="545" customFormat="1" x14ac:dyDescent="0.2">
      <c r="A936" s="776"/>
      <c r="B936" s="737" t="s">
        <v>2570</v>
      </c>
      <c r="C936" s="738">
        <v>100000</v>
      </c>
      <c r="D936" s="738">
        <v>100000</v>
      </c>
      <c r="E936" s="738">
        <v>78650</v>
      </c>
      <c r="F936" s="2146">
        <v>78650</v>
      </c>
      <c r="G936" s="2146">
        <v>0</v>
      </c>
      <c r="H936" s="2146">
        <v>0</v>
      </c>
      <c r="I936" s="2146">
        <v>0</v>
      </c>
      <c r="IE936" s="98"/>
      <c r="IF936" s="98"/>
      <c r="IG936" s="98"/>
      <c r="IH936" s="98"/>
      <c r="II936" s="98"/>
      <c r="IJ936" s="98"/>
      <c r="IK936" s="98"/>
    </row>
    <row r="937" spans="1:245" s="545" customFormat="1" x14ac:dyDescent="0.2">
      <c r="A937" s="1529"/>
      <c r="B937" s="1530" t="s">
        <v>2571</v>
      </c>
      <c r="C937" s="1040">
        <v>0</v>
      </c>
      <c r="D937" s="1040">
        <v>75000</v>
      </c>
      <c r="E937" s="1040">
        <v>0</v>
      </c>
      <c r="F937" s="1256">
        <v>52200</v>
      </c>
      <c r="G937" s="1260">
        <v>40000</v>
      </c>
      <c r="H937" s="1271">
        <v>40000</v>
      </c>
      <c r="I937" s="1260">
        <v>40000</v>
      </c>
      <c r="IE937" s="98"/>
      <c r="IF937" s="98"/>
      <c r="IG937" s="98"/>
      <c r="IH937" s="98"/>
      <c r="II937" s="98"/>
      <c r="IJ937" s="98"/>
      <c r="IK937" s="98"/>
    </row>
    <row r="938" spans="1:245" s="550" customFormat="1" x14ac:dyDescent="0.2">
      <c r="A938" s="1373"/>
      <c r="B938" s="1236"/>
      <c r="C938" s="1042"/>
      <c r="D938" s="1042"/>
      <c r="E938" s="1042"/>
      <c r="G938" s="2147"/>
      <c r="I938" s="2147"/>
      <c r="IE938" s="1"/>
      <c r="IF938" s="1"/>
      <c r="IG938" s="1"/>
      <c r="IH938" s="1"/>
      <c r="II938" s="1"/>
      <c r="IJ938" s="1"/>
      <c r="IK938" s="1"/>
    </row>
    <row r="939" spans="1:245" s="244" customFormat="1" ht="20.25" x14ac:dyDescent="0.3">
      <c r="A939" s="1195"/>
      <c r="B939" s="1051" t="s">
        <v>54</v>
      </c>
      <c r="C939" s="652">
        <f t="shared" ref="C939:I939" si="174">SUM(C940:C941,C943:C947,C951,C956)</f>
        <v>36990000</v>
      </c>
      <c r="D939" s="652">
        <f t="shared" si="174"/>
        <v>81810309.319999993</v>
      </c>
      <c r="E939" s="652">
        <f>SUM(E940:E941,E943:E947,E951,E956)</f>
        <v>51460070.459999993</v>
      </c>
      <c r="F939" s="652">
        <f>SUM(F940:F941,F943:F947,F951,F956)</f>
        <v>52428200</v>
      </c>
      <c r="G939" s="652">
        <f>SUM(G940:G941,G943:G947,G951,G956)</f>
        <v>65900000</v>
      </c>
      <c r="H939" s="652">
        <f t="shared" si="174"/>
        <v>65850000</v>
      </c>
      <c r="I939" s="652">
        <f t="shared" si="174"/>
        <v>65850000</v>
      </c>
    </row>
    <row r="940" spans="1:245" s="553" customFormat="1" ht="26.25" customHeight="1" x14ac:dyDescent="0.2">
      <c r="A940" s="2148">
        <v>2223</v>
      </c>
      <c r="B940" s="1208" t="s">
        <v>2572</v>
      </c>
      <c r="C940" s="765">
        <v>0</v>
      </c>
      <c r="D940" s="844">
        <v>0</v>
      </c>
      <c r="E940" s="882">
        <v>1000</v>
      </c>
      <c r="F940" s="765">
        <v>1000</v>
      </c>
      <c r="G940" s="765">
        <v>0</v>
      </c>
      <c r="H940" s="1880">
        <v>0</v>
      </c>
      <c r="I940" s="765">
        <v>0</v>
      </c>
    </row>
    <row r="941" spans="1:245" s="98" customFormat="1" ht="13.5" customHeight="1" x14ac:dyDescent="0.2">
      <c r="A941" s="716">
        <v>3113</v>
      </c>
      <c r="B941" s="717" t="s">
        <v>2573</v>
      </c>
      <c r="C941" s="731">
        <f t="shared" ref="C941:I941" si="175">C942</f>
        <v>0</v>
      </c>
      <c r="D941" s="746">
        <f t="shared" si="175"/>
        <v>770594.40999999992</v>
      </c>
      <c r="E941" s="882">
        <f t="shared" si="175"/>
        <v>770594.40999999992</v>
      </c>
      <c r="F941" s="1145">
        <f t="shared" si="175"/>
        <v>770594.41</v>
      </c>
      <c r="G941" s="1145">
        <f t="shared" si="175"/>
        <v>0</v>
      </c>
      <c r="H941" s="1245">
        <f t="shared" si="175"/>
        <v>0</v>
      </c>
      <c r="I941" s="1145">
        <f t="shared" si="175"/>
        <v>0</v>
      </c>
    </row>
    <row r="942" spans="1:245" s="98" customFormat="1" ht="25.5" x14ac:dyDescent="0.2">
      <c r="A942" s="771"/>
      <c r="B942" s="1525" t="s">
        <v>2574</v>
      </c>
      <c r="C942" s="738">
        <v>0</v>
      </c>
      <c r="D942" s="767">
        <f>(237.96757+45.26034+71.09203+416.27447)*1000</f>
        <v>770594.40999999992</v>
      </c>
      <c r="E942" s="894">
        <f>(237.96757+45.26034+71.09203+416.27447)*1000</f>
        <v>770594.40999999992</v>
      </c>
      <c r="F942" s="1077">
        <f>237967.57+45260.34+71092.03+416274.47</f>
        <v>770594.41</v>
      </c>
      <c r="G942" s="1077">
        <v>0</v>
      </c>
      <c r="H942" s="2046">
        <v>0</v>
      </c>
      <c r="I942" s="1077">
        <v>0</v>
      </c>
    </row>
    <row r="943" spans="1:245" s="98" customFormat="1" ht="13.5" customHeight="1" x14ac:dyDescent="0.2">
      <c r="A943" s="771">
        <v>3612</v>
      </c>
      <c r="B943" s="1035" t="s">
        <v>2575</v>
      </c>
      <c r="C943" s="731">
        <v>800000</v>
      </c>
      <c r="D943" s="746">
        <v>800000</v>
      </c>
      <c r="E943" s="882">
        <v>550671.98</v>
      </c>
      <c r="F943" s="722">
        <v>800000</v>
      </c>
      <c r="G943" s="722">
        <v>700000</v>
      </c>
      <c r="H943" s="2149">
        <v>700000</v>
      </c>
      <c r="I943" s="722">
        <v>700000</v>
      </c>
    </row>
    <row r="944" spans="1:245" s="553" customFormat="1" ht="13.5" customHeight="1" x14ac:dyDescent="0.2">
      <c r="A944" s="1207" t="s">
        <v>2019</v>
      </c>
      <c r="B944" s="709" t="s">
        <v>2020</v>
      </c>
      <c r="C944" s="731">
        <v>250000</v>
      </c>
      <c r="D944" s="746">
        <v>250000</v>
      </c>
      <c r="E944" s="882">
        <v>131094</v>
      </c>
      <c r="F944" s="731">
        <v>200000</v>
      </c>
      <c r="G944" s="731">
        <v>200000</v>
      </c>
      <c r="H944" s="1116">
        <v>200000</v>
      </c>
      <c r="I944" s="731">
        <v>200000</v>
      </c>
    </row>
    <row r="945" spans="1:9" ht="25.5" x14ac:dyDescent="0.2">
      <c r="A945" s="771">
        <v>6171</v>
      </c>
      <c r="B945" s="1526" t="s">
        <v>2576</v>
      </c>
      <c r="C945" s="731">
        <v>100000</v>
      </c>
      <c r="D945" s="746">
        <f>99000+1000</f>
        <v>100000</v>
      </c>
      <c r="E945" s="882">
        <f>33880+500</f>
        <v>34380</v>
      </c>
      <c r="F945" s="731">
        <v>80000</v>
      </c>
      <c r="G945" s="731">
        <v>100000</v>
      </c>
      <c r="H945" s="1116">
        <v>100000</v>
      </c>
      <c r="I945" s="731">
        <v>100000</v>
      </c>
    </row>
    <row r="946" spans="1:9" ht="13.5" customHeight="1" x14ac:dyDescent="0.2">
      <c r="A946" s="771">
        <v>6310</v>
      </c>
      <c r="B946" s="717" t="s">
        <v>2577</v>
      </c>
      <c r="C946" s="731">
        <v>400000</v>
      </c>
      <c r="D946" s="746">
        <v>400000</v>
      </c>
      <c r="E946" s="998">
        <f>332604.25+53575.27+156</f>
        <v>386335.52</v>
      </c>
      <c r="F946" s="731">
        <v>500000</v>
      </c>
      <c r="G946" s="731">
        <v>400000</v>
      </c>
      <c r="H946" s="1116">
        <v>400000</v>
      </c>
      <c r="I946" s="731">
        <v>400000</v>
      </c>
    </row>
    <row r="947" spans="1:9" ht="13.5" customHeight="1" x14ac:dyDescent="0.2">
      <c r="A947" s="771">
        <v>6399</v>
      </c>
      <c r="B947" s="717" t="s">
        <v>1005</v>
      </c>
      <c r="C947" s="726">
        <f t="shared" ref="C947:I947" si="176">SUM(C948:C950)</f>
        <v>32000000</v>
      </c>
      <c r="D947" s="734">
        <f t="shared" si="176"/>
        <v>48435050</v>
      </c>
      <c r="E947" s="734">
        <f t="shared" si="176"/>
        <v>49052643</v>
      </c>
      <c r="F947" s="726">
        <f t="shared" si="176"/>
        <v>49435050</v>
      </c>
      <c r="G947" s="726">
        <f t="shared" si="176"/>
        <v>61000000</v>
      </c>
      <c r="H947" s="726">
        <f t="shared" si="176"/>
        <v>60950000</v>
      </c>
      <c r="I947" s="726">
        <f t="shared" si="176"/>
        <v>60950000</v>
      </c>
    </row>
    <row r="948" spans="1:9" ht="13.5" customHeight="1" x14ac:dyDescent="0.2">
      <c r="A948" s="776"/>
      <c r="B948" s="737" t="s">
        <v>2023</v>
      </c>
      <c r="C948" s="1230">
        <v>30000000</v>
      </c>
      <c r="D948" s="1458">
        <f>30000000+16435050</f>
        <v>46435050</v>
      </c>
      <c r="E948" s="894">
        <v>46435050</v>
      </c>
      <c r="F948" s="738">
        <v>46435050</v>
      </c>
      <c r="G948" s="2150">
        <v>30000000</v>
      </c>
      <c r="H948" s="2150">
        <v>29950000</v>
      </c>
      <c r="I948" s="2150">
        <v>29950000</v>
      </c>
    </row>
    <row r="949" spans="1:9" ht="13.5" customHeight="1" x14ac:dyDescent="0.2">
      <c r="A949" s="776"/>
      <c r="B949" s="737" t="s">
        <v>2024</v>
      </c>
      <c r="C949" s="738">
        <v>2000000</v>
      </c>
      <c r="D949" s="767">
        <v>2000000</v>
      </c>
      <c r="E949" s="893">
        <v>2617593</v>
      </c>
      <c r="F949" s="2150">
        <v>3000000</v>
      </c>
      <c r="G949" s="1946">
        <v>3000000</v>
      </c>
      <c r="H949" s="1946">
        <v>3000000</v>
      </c>
      <c r="I949" s="740">
        <v>3000000</v>
      </c>
    </row>
    <row r="950" spans="1:9" ht="13.5" customHeight="1" x14ac:dyDescent="0.2">
      <c r="A950" s="776"/>
      <c r="B950" s="737" t="s">
        <v>2578</v>
      </c>
      <c r="C950" s="738">
        <v>0</v>
      </c>
      <c r="D950" s="767">
        <v>0</v>
      </c>
      <c r="E950" s="893">
        <v>0</v>
      </c>
      <c r="F950" s="742">
        <v>0</v>
      </c>
      <c r="G950" s="742">
        <v>28000000</v>
      </c>
      <c r="H950" s="1994">
        <v>28000000</v>
      </c>
      <c r="I950" s="742">
        <v>28000000</v>
      </c>
    </row>
    <row r="951" spans="1:9" s="98" customFormat="1" ht="13.5" customHeight="1" x14ac:dyDescent="0.2">
      <c r="A951" s="771">
        <v>6402</v>
      </c>
      <c r="B951" s="717" t="s">
        <v>2579</v>
      </c>
      <c r="C951" s="726">
        <f t="shared" ref="C951:I951" si="177">SUM(C952:C955)</f>
        <v>0</v>
      </c>
      <c r="D951" s="734">
        <f t="shared" si="177"/>
        <v>109928</v>
      </c>
      <c r="E951" s="734">
        <f t="shared" si="177"/>
        <v>136544</v>
      </c>
      <c r="F951" s="726">
        <f t="shared" si="177"/>
        <v>136544</v>
      </c>
      <c r="G951" s="726">
        <f t="shared" si="177"/>
        <v>0</v>
      </c>
      <c r="H951" s="726">
        <f t="shared" si="177"/>
        <v>0</v>
      </c>
      <c r="I951" s="726">
        <f t="shared" si="177"/>
        <v>0</v>
      </c>
    </row>
    <row r="952" spans="1:9" s="2" customFormat="1" ht="13.5" customHeight="1" x14ac:dyDescent="0.2">
      <c r="A952" s="1034"/>
      <c r="B952" s="1035" t="s">
        <v>2580</v>
      </c>
      <c r="C952" s="738">
        <v>0</v>
      </c>
      <c r="D952" s="767">
        <f>(5068.4+45615.6)</f>
        <v>50684</v>
      </c>
      <c r="E952" s="894">
        <v>50684</v>
      </c>
      <c r="F952" s="738">
        <v>50684</v>
      </c>
      <c r="G952" s="1232">
        <v>0</v>
      </c>
      <c r="H952" s="1232">
        <v>0</v>
      </c>
      <c r="I952" s="1232">
        <v>0</v>
      </c>
    </row>
    <row r="953" spans="1:9" s="2" customFormat="1" ht="13.5" customHeight="1" x14ac:dyDescent="0.2">
      <c r="A953" s="1034"/>
      <c r="B953" s="1035" t="s">
        <v>2581</v>
      </c>
      <c r="C953" s="738">
        <v>0</v>
      </c>
      <c r="D953" s="767">
        <f>(4089+36801)</f>
        <v>40890</v>
      </c>
      <c r="E953" s="894">
        <v>40890</v>
      </c>
      <c r="F953" s="738">
        <v>40890</v>
      </c>
      <c r="G953" s="1864">
        <v>0</v>
      </c>
      <c r="H953" s="1864">
        <v>0</v>
      </c>
      <c r="I953" s="1864">
        <v>0</v>
      </c>
    </row>
    <row r="954" spans="1:9" s="2" customFormat="1" ht="13.5" customHeight="1" x14ac:dyDescent="0.2">
      <c r="A954" s="1034"/>
      <c r="B954" s="1035" t="s">
        <v>2582</v>
      </c>
      <c r="C954" s="738">
        <v>0</v>
      </c>
      <c r="D954" s="767">
        <f>(1835.4+16518.6)</f>
        <v>18354</v>
      </c>
      <c r="E954" s="894">
        <v>18354</v>
      </c>
      <c r="F954" s="738">
        <v>18354</v>
      </c>
      <c r="G954" s="1864">
        <v>0</v>
      </c>
      <c r="H954" s="1864">
        <v>0</v>
      </c>
      <c r="I954" s="1864">
        <v>0</v>
      </c>
    </row>
    <row r="955" spans="1:9" s="2" customFormat="1" ht="13.5" customHeight="1" x14ac:dyDescent="0.2">
      <c r="A955" s="1034"/>
      <c r="B955" s="1035" t="s">
        <v>2583</v>
      </c>
      <c r="C955" s="738">
        <v>0</v>
      </c>
      <c r="D955" s="767">
        <v>0</v>
      </c>
      <c r="E955" s="894">
        <v>26616</v>
      </c>
      <c r="F955" s="738">
        <v>26616</v>
      </c>
      <c r="G955" s="1234">
        <v>0</v>
      </c>
      <c r="H955" s="88">
        <v>0</v>
      </c>
      <c r="I955" s="1234">
        <v>0</v>
      </c>
    </row>
    <row r="956" spans="1:9" s="244" customFormat="1" ht="13.5" customHeight="1" x14ac:dyDescent="0.25">
      <c r="A956" s="771">
        <v>6409</v>
      </c>
      <c r="B956" s="717" t="s">
        <v>1014</v>
      </c>
      <c r="C956" s="726">
        <f t="shared" ref="C956:I956" si="178">SUM(C957:C959)</f>
        <v>3440000</v>
      </c>
      <c r="D956" s="734">
        <f t="shared" si="178"/>
        <v>30944736.91</v>
      </c>
      <c r="E956" s="998">
        <f t="shared" si="178"/>
        <v>396807.55</v>
      </c>
      <c r="F956" s="726">
        <f t="shared" si="178"/>
        <v>505011.59</v>
      </c>
      <c r="G956" s="726">
        <f t="shared" si="178"/>
        <v>3500000</v>
      </c>
      <c r="H956" s="726">
        <f t="shared" si="178"/>
        <v>3500000</v>
      </c>
      <c r="I956" s="726">
        <f t="shared" si="178"/>
        <v>3500000</v>
      </c>
    </row>
    <row r="957" spans="1:9" s="98" customFormat="1" ht="13.5" customHeight="1" x14ac:dyDescent="0.2">
      <c r="A957" s="1529"/>
      <c r="B957" s="1530" t="s">
        <v>2031</v>
      </c>
      <c r="C957" s="1040">
        <f>3000000+361000-361000</f>
        <v>3000000</v>
      </c>
      <c r="D957" s="779">
        <f>(3000000+361000-361000)-10000-15000-272932-3337434-192228+192228+319987.99-90488+289333-266805-96558+400000-348800+3226272.84-70000-59000+5514060+1548+5904137.5+1844214.7+1284-231352.61+21989-80000-134310+8862-313948-10000-150000+(-36900-30000)-5000-40000+(-1002336.01+943202.2)+16164266.27+13443.03-150000-250000-147000-75000</f>
        <v>30429736.91</v>
      </c>
      <c r="E957" s="993">
        <v>0</v>
      </c>
      <c r="F957" s="1234">
        <v>0</v>
      </c>
      <c r="G957" s="1234">
        <v>3000000</v>
      </c>
      <c r="H957" s="2151">
        <v>3000000</v>
      </c>
      <c r="I957" s="1234">
        <v>3000000</v>
      </c>
    </row>
    <row r="958" spans="1:9" s="98" customFormat="1" ht="38.25" x14ac:dyDescent="0.2">
      <c r="A958" s="809"/>
      <c r="B958" s="1258" t="s">
        <v>2032</v>
      </c>
      <c r="C958" s="1077">
        <v>440000</v>
      </c>
      <c r="D958" s="854">
        <f>440000+75000</f>
        <v>515000</v>
      </c>
      <c r="E958" s="993">
        <v>470532.55</v>
      </c>
      <c r="F958" s="1077">
        <v>500000</v>
      </c>
      <c r="G958" s="1077">
        <v>500000</v>
      </c>
      <c r="H958" s="1077">
        <v>500000</v>
      </c>
      <c r="I958" s="1077">
        <v>500000</v>
      </c>
    </row>
    <row r="959" spans="1:9" s="98" customFormat="1" ht="13.5" customHeight="1" x14ac:dyDescent="0.2">
      <c r="A959" s="1531"/>
      <c r="B959" s="1532" t="s">
        <v>2584</v>
      </c>
      <c r="C959" s="1040">
        <v>0</v>
      </c>
      <c r="D959" s="779">
        <v>0</v>
      </c>
      <c r="E959" s="993">
        <v>-73725</v>
      </c>
      <c r="F959" s="1864">
        <v>5011.59</v>
      </c>
      <c r="G959" s="1864">
        <v>0</v>
      </c>
      <c r="H959" s="1883">
        <v>0</v>
      </c>
      <c r="I959" s="1864">
        <v>0</v>
      </c>
    </row>
    <row r="960" spans="1:9" s="98" customFormat="1" ht="13.5" customHeight="1" x14ac:dyDescent="0.2">
      <c r="A960" s="1535"/>
      <c r="B960" s="1536"/>
      <c r="C960" s="1048"/>
      <c r="D960" s="1048"/>
      <c r="E960" s="1341"/>
      <c r="F960" s="762"/>
      <c r="G960" s="762"/>
      <c r="H960" s="1846"/>
      <c r="I960" s="872"/>
    </row>
    <row r="961" spans="1:9" s="98" customFormat="1" ht="26.25" x14ac:dyDescent="0.35">
      <c r="A961" s="691"/>
      <c r="B961" s="1539" t="s">
        <v>55</v>
      </c>
      <c r="C961" s="2152">
        <f>SUM(C262+C380+C600+C603+C610+C619+C623+C628+C714+C718+C739+C748+C778+C785+C810+C929+C939)</f>
        <v>1012540563</v>
      </c>
      <c r="D961" s="2152" t="e">
        <f>SUM(D262+D380+D600+D603+D610+D619+D623+D628+D714+D718+D739+D748+D778+D785+D810+D929+D939)</f>
        <v>#REF!</v>
      </c>
      <c r="E961" s="2152">
        <v>399038392.61000001</v>
      </c>
      <c r="F961" s="2152">
        <f>SUM(F262+F380+F600+F603+F610+F619+F623+F628+F714+F718+F739+F748+F778+F785+F810+F929+F939)</f>
        <v>910200000</v>
      </c>
      <c r="G961" s="2152">
        <f>SUM(G262+G380+G600+G603+G610+G619+G623+G628+G714+G718+G739+G748+G778+G785+G810+G929+G939)</f>
        <v>1121493640</v>
      </c>
      <c r="H961" s="1403" t="e">
        <f>SUM(H262+H380+H600+H603+H610+H619+H623+H628+H714+H718+H739+H748+H778+H785+H810+H929+H939)</f>
        <v>#REF!</v>
      </c>
      <c r="I961" s="2152" t="e">
        <f>SUM(I262+I380+I600+I603+I610+I619+I623+I628+I714+I718+I739+I748+I778+I785+I810+I929+I939)</f>
        <v>#REF!</v>
      </c>
    </row>
    <row r="962" spans="1:9" ht="12.75" customHeight="1" x14ac:dyDescent="0.2">
      <c r="B962" s="1542"/>
    </row>
    <row r="963" spans="1:9" ht="12.75" customHeight="1" x14ac:dyDescent="0.35">
      <c r="B963" s="1543"/>
    </row>
    <row r="964" spans="1:9" s="98" customFormat="1" ht="12.75" hidden="1" customHeight="1" x14ac:dyDescent="0.35">
      <c r="A964" s="1"/>
      <c r="B964" s="1543"/>
      <c r="C964" s="29">
        <f>C10-C961</f>
        <v>2.5000572204589844E-3</v>
      </c>
      <c r="D964" s="29" t="e">
        <f>D10-D961</f>
        <v>#REF!</v>
      </c>
      <c r="E964" s="29">
        <f>E10-E961</f>
        <v>281300558.93999994</v>
      </c>
    </row>
    <row r="965" spans="1:9" s="98" customFormat="1" x14ac:dyDescent="0.2">
      <c r="A965" s="1"/>
      <c r="B965" s="564"/>
      <c r="C965" s="1"/>
      <c r="D965" s="1"/>
      <c r="E965" s="1"/>
    </row>
  </sheetData>
  <sheetProtection selectLockedCells="1" selectUnlockedCells="1"/>
  <autoFilter ref="G2:G969"/>
  <mergeCells count="1">
    <mergeCell ref="C212:C214"/>
  </mergeCells>
  <printOptions horizontalCentered="1"/>
  <pageMargins left="0.23622047244094491" right="0.23622047244094491" top="0.55118110236220474" bottom="0.55118110236220474" header="0.31496062992125984" footer="0.31496062992125984"/>
  <pageSetup paperSize="9" scale="71" firstPageNumber="0" fitToHeight="0" orientation="landscape"/>
  <headerFooter>
    <oddFooter>&amp;C&amp;P</oddFooter>
  </headerFooter>
  <legacyDrawing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2"/>
  </sheetPr>
  <dimension ref="A1:BHA876"/>
  <sheetViews>
    <sheetView zoomScale="110" workbookViewId="0">
      <selection activeCell="A385" sqref="A385"/>
    </sheetView>
  </sheetViews>
  <sheetFormatPr defaultColWidth="9.5703125" defaultRowHeight="12.75" x14ac:dyDescent="0.2"/>
  <cols>
    <col min="1" max="1" width="12" style="1" customWidth="1"/>
    <col min="2" max="2" width="91.85546875" style="1" customWidth="1"/>
    <col min="3" max="5" width="26.85546875" style="1" customWidth="1"/>
    <col min="6" max="6" width="22" style="1" hidden="1" customWidth="1"/>
    <col min="7" max="8" width="10.5703125" style="1" customWidth="1"/>
    <col min="9" max="9" width="12.140625" style="1" customWidth="1"/>
    <col min="10" max="10" width="19.28515625" style="29" customWidth="1"/>
    <col min="11" max="16384" width="9.5703125" style="1"/>
  </cols>
  <sheetData>
    <row r="1" spans="1:10" ht="67.5" customHeight="1" x14ac:dyDescent="0.2">
      <c r="A1" s="566" t="s">
        <v>2585</v>
      </c>
      <c r="B1" s="2153" t="s">
        <v>2586</v>
      </c>
      <c r="C1" s="1594" t="s">
        <v>2587</v>
      </c>
      <c r="D1" s="1594" t="s">
        <v>2588</v>
      </c>
      <c r="E1" s="1594" t="s">
        <v>2589</v>
      </c>
      <c r="F1" s="2154" t="s">
        <v>2590</v>
      </c>
      <c r="G1" s="1594" t="s">
        <v>2591</v>
      </c>
      <c r="H1" s="1594" t="s">
        <v>2592</v>
      </c>
      <c r="I1" s="1594" t="s">
        <v>2593</v>
      </c>
      <c r="J1" s="2155" t="s">
        <v>2594</v>
      </c>
    </row>
    <row r="2" spans="1:10" ht="20.25" x14ac:dyDescent="0.3">
      <c r="A2" s="2156"/>
      <c r="B2" s="1597" t="s">
        <v>56</v>
      </c>
      <c r="C2" s="1600"/>
      <c r="D2" s="1600"/>
      <c r="E2" s="1599"/>
      <c r="F2" s="966"/>
      <c r="G2" s="966"/>
      <c r="H2" s="966"/>
      <c r="I2" s="1600"/>
    </row>
    <row r="3" spans="1:10" s="98" customFormat="1" ht="18" x14ac:dyDescent="0.25">
      <c r="A3" s="2157"/>
      <c r="B3" s="1602" t="s">
        <v>57</v>
      </c>
      <c r="C3" s="1603">
        <f t="shared" ref="C3:D3" si="0">C32</f>
        <v>570976355.83999991</v>
      </c>
      <c r="D3" s="1603">
        <f t="shared" si="0"/>
        <v>596572665.84000003</v>
      </c>
      <c r="E3" s="1603">
        <f t="shared" ref="E3:I3" si="1">E32</f>
        <v>314340296.67000002</v>
      </c>
      <c r="F3" s="2158">
        <f t="shared" si="1"/>
        <v>314340296.66999996</v>
      </c>
      <c r="G3" s="1603">
        <f t="shared" si="1"/>
        <v>55.053119705377974</v>
      </c>
      <c r="H3" s="1603">
        <f t="shared" si="1"/>
        <v>52.69103240380538</v>
      </c>
      <c r="I3" s="1603">
        <f t="shared" si="1"/>
        <v>105.69003463262574</v>
      </c>
      <c r="J3" s="29"/>
    </row>
    <row r="4" spans="1:10" s="98" customFormat="1" ht="18.75" customHeight="1" x14ac:dyDescent="0.25">
      <c r="A4" s="2159"/>
      <c r="B4" s="1601" t="s">
        <v>10</v>
      </c>
      <c r="C4" s="1605">
        <f t="shared" ref="C4:D4" si="2">C65</f>
        <v>172178289.50999999</v>
      </c>
      <c r="D4" s="1605">
        <f t="shared" si="2"/>
        <v>172703100.72</v>
      </c>
      <c r="E4" s="1605">
        <f>E65</f>
        <v>103418717.67</v>
      </c>
      <c r="F4" s="2160">
        <f t="shared" ref="F4:I4" si="3">F65</f>
        <v>103418717.67</v>
      </c>
      <c r="G4" s="1605">
        <f t="shared" si="3"/>
        <v>60.064900147584247</v>
      </c>
      <c r="H4" s="1605">
        <f t="shared" si="3"/>
        <v>59.882374571647468</v>
      </c>
      <c r="I4" s="1605">
        <f t="shared" si="3"/>
        <v>50.790606335483361</v>
      </c>
      <c r="J4" s="29"/>
    </row>
    <row r="5" spans="1:10" s="98" customFormat="1" ht="18.75" customHeight="1" x14ac:dyDescent="0.25">
      <c r="A5" s="2161"/>
      <c r="B5" s="1601" t="s">
        <v>11</v>
      </c>
      <c r="C5" s="1605">
        <f t="shared" ref="C5:D5" si="4">C159</f>
        <v>45747371</v>
      </c>
      <c r="D5" s="1605">
        <f t="shared" si="4"/>
        <v>57872258</v>
      </c>
      <c r="E5" s="1605">
        <f>E159</f>
        <v>421983</v>
      </c>
      <c r="F5" s="2160">
        <f t="shared" ref="F5:I5" si="5">F159</f>
        <v>421983</v>
      </c>
      <c r="G5" s="1605">
        <f t="shared" si="5"/>
        <v>0.92242021951381648</v>
      </c>
      <c r="H5" s="1605">
        <f t="shared" si="5"/>
        <v>0.72916283999148601</v>
      </c>
      <c r="I5" s="1605">
        <f t="shared" si="5"/>
        <v>14.059225038955949</v>
      </c>
      <c r="J5" s="29"/>
    </row>
    <row r="6" spans="1:10" s="98" customFormat="1" ht="18.75" customHeight="1" x14ac:dyDescent="0.25">
      <c r="A6" s="2161"/>
      <c r="B6" s="1601" t="s">
        <v>196</v>
      </c>
      <c r="C6" s="1607">
        <f t="shared" ref="C6:D6" si="6">C177</f>
        <v>91705431.088</v>
      </c>
      <c r="D6" s="1607">
        <f t="shared" si="6"/>
        <v>109028813.04799999</v>
      </c>
      <c r="E6" s="1607">
        <f>E177</f>
        <v>50897222.469999999</v>
      </c>
      <c r="F6" s="1864">
        <f t="shared" ref="F6:I6" si="7">F177</f>
        <v>50897222.469999999</v>
      </c>
      <c r="G6" s="1607">
        <f t="shared" si="7"/>
        <v>55.500772272864971</v>
      </c>
      <c r="H6" s="1607">
        <f t="shared" si="7"/>
        <v>46.682359503989531</v>
      </c>
      <c r="I6" s="1607">
        <f t="shared" si="7"/>
        <v>81.157133252429375</v>
      </c>
      <c r="J6" s="29"/>
    </row>
    <row r="7" spans="1:10" s="98" customFormat="1" ht="20.25" x14ac:dyDescent="0.3">
      <c r="A7" s="2162"/>
      <c r="B7" s="1609" t="s">
        <v>13</v>
      </c>
      <c r="C7" s="1610">
        <f>C232</f>
        <v>880607447.43799996</v>
      </c>
      <c r="D7" s="1610">
        <f>D232</f>
        <v>936176837.60800004</v>
      </c>
      <c r="E7" s="1610">
        <f>E232</f>
        <v>469078219.81</v>
      </c>
      <c r="F7" s="2163">
        <f t="shared" ref="F7:I7" si="8">F232</f>
        <v>469078219.81000006</v>
      </c>
      <c r="G7" s="1610">
        <f t="shared" si="8"/>
        <v>53.267573556721018</v>
      </c>
      <c r="H7" s="1610">
        <f t="shared" si="8"/>
        <v>50.105727995634773</v>
      </c>
      <c r="I7" s="1610">
        <f t="shared" si="8"/>
        <v>82.766214369455895</v>
      </c>
      <c r="J7" s="29"/>
    </row>
    <row r="8" spans="1:10" s="98" customFormat="1" ht="18" x14ac:dyDescent="0.25">
      <c r="A8" s="2164"/>
      <c r="B8" s="1612" t="s">
        <v>14</v>
      </c>
      <c r="C8" s="1613">
        <f t="shared" ref="C8:D8" si="9">C234</f>
        <v>240886192.56</v>
      </c>
      <c r="D8" s="1613">
        <f t="shared" si="9"/>
        <v>262407060.73000002</v>
      </c>
      <c r="E8" s="1613">
        <f>E234</f>
        <v>-13280468.92</v>
      </c>
      <c r="F8" s="2165">
        <f t="shared" ref="F8:I8" si="10">F234</f>
        <v>-13280468.92</v>
      </c>
      <c r="G8" s="1613">
        <f t="shared" si="10"/>
        <v>-5.5131715018045693</v>
      </c>
      <c r="H8" s="1613">
        <f t="shared" si="10"/>
        <v>-5.061018130782978</v>
      </c>
      <c r="I8" s="1613">
        <f t="shared" si="10"/>
        <v>7.9185944056234501</v>
      </c>
      <c r="J8" s="29"/>
    </row>
    <row r="9" spans="1:10" s="85" customFormat="1" ht="26.25" customHeight="1" x14ac:dyDescent="0.4">
      <c r="A9" s="2166"/>
      <c r="B9" s="612" t="s">
        <v>15</v>
      </c>
      <c r="C9" s="1614">
        <f t="shared" ref="C9:D9" si="11">C241</f>
        <v>1121493639.9979999</v>
      </c>
      <c r="D9" s="1614">
        <f t="shared" si="11"/>
        <v>1198583898.3380001</v>
      </c>
      <c r="E9" s="1614">
        <f>E241</f>
        <v>455797750.88999999</v>
      </c>
      <c r="F9" s="2167">
        <f t="shared" ref="F9:I9" si="12">F241</f>
        <v>455797750.88999999</v>
      </c>
      <c r="G9" s="1614">
        <f t="shared" si="12"/>
        <v>40.642027260253819</v>
      </c>
      <c r="H9" s="1614">
        <f t="shared" si="12"/>
        <v>38.028022195361181</v>
      </c>
      <c r="I9" s="1614">
        <f t="shared" si="12"/>
        <v>114.22403441151432</v>
      </c>
      <c r="J9" s="29"/>
    </row>
    <row r="10" spans="1:10" s="98" customFormat="1" ht="20.25" customHeight="1" x14ac:dyDescent="0.3">
      <c r="A10" s="2168"/>
      <c r="B10" s="1597" t="s">
        <v>257</v>
      </c>
      <c r="C10" s="1620"/>
      <c r="D10" s="1620"/>
      <c r="E10" s="1618"/>
      <c r="F10" s="2156"/>
      <c r="G10" s="2169"/>
      <c r="H10" s="2169"/>
      <c r="I10" s="2170"/>
      <c r="J10" s="29"/>
    </row>
    <row r="11" spans="1:10" s="1622" customFormat="1" ht="20.25" customHeight="1" x14ac:dyDescent="0.25">
      <c r="A11" s="2171"/>
      <c r="B11" s="1467" t="s">
        <v>17</v>
      </c>
      <c r="C11" s="1624">
        <f>C30-C12</f>
        <v>796898130</v>
      </c>
      <c r="D11" s="1624">
        <f>D30-D12</f>
        <v>873988388.33999991</v>
      </c>
      <c r="E11" s="1624">
        <f>E30-E12</f>
        <v>392357906.95999998</v>
      </c>
      <c r="F11" s="2172">
        <f>F30-F12</f>
        <v>255797750.88999999</v>
      </c>
      <c r="G11" s="2173">
        <f t="shared" ref="G11:G12" si="13">E11/C11*100</f>
        <v>49.235641569393565</v>
      </c>
      <c r="H11" s="2174">
        <f t="shared" ref="H11:H12" si="14">E11/D11*100</f>
        <v>44.892805464523455</v>
      </c>
      <c r="I11" s="2174">
        <f t="shared" ref="I11:I12" si="15">E11/J11*100</f>
        <v>108.58922484001327</v>
      </c>
      <c r="J11" s="2175">
        <v>361323057.18000001</v>
      </c>
    </row>
    <row r="12" spans="1:10" s="1622" customFormat="1" ht="20.25" customHeight="1" x14ac:dyDescent="0.25">
      <c r="A12" s="2171"/>
      <c r="B12" s="1467" t="s">
        <v>18</v>
      </c>
      <c r="C12" s="1629">
        <v>324595510</v>
      </c>
      <c r="D12" s="1629">
        <v>324595510</v>
      </c>
      <c r="E12" s="1627">
        <v>63439843.93</v>
      </c>
      <c r="F12" s="2176">
        <v>200000000</v>
      </c>
      <c r="G12" s="2173">
        <f t="shared" si="13"/>
        <v>19.544276484292713</v>
      </c>
      <c r="H12" s="2174">
        <f t="shared" si="14"/>
        <v>19.544276484292713</v>
      </c>
      <c r="I12" s="2174">
        <f t="shared" si="15"/>
        <v>168.20702562156691</v>
      </c>
      <c r="J12" s="2175">
        <v>37715335.43</v>
      </c>
    </row>
    <row r="13" spans="1:10" s="12" customFormat="1" ht="20.25" customHeight="1" x14ac:dyDescent="0.25">
      <c r="A13" s="2177"/>
      <c r="B13" s="1601" t="s">
        <v>258</v>
      </c>
      <c r="C13" s="1605">
        <f t="shared" ref="C13:D13" si="16">C243</f>
        <v>79616000</v>
      </c>
      <c r="D13" s="1605">
        <f t="shared" si="16"/>
        <v>83571807.640000001</v>
      </c>
      <c r="E13" s="1605">
        <f>E243</f>
        <v>25944075.559999999</v>
      </c>
      <c r="F13" s="2178">
        <f t="shared" ref="F13:I13" si="17">F243</f>
        <v>25944075.560000002</v>
      </c>
      <c r="G13" s="2179">
        <f t="shared" si="17"/>
        <v>32.586509696543409</v>
      </c>
      <c r="H13" s="2179">
        <f t="shared" si="17"/>
        <v>31.044052166202491</v>
      </c>
      <c r="I13" s="2179">
        <f t="shared" si="17"/>
        <v>91.402775841371664</v>
      </c>
      <c r="J13" s="29"/>
    </row>
    <row r="14" spans="1:10" s="12" customFormat="1" ht="20.25" customHeight="1" x14ac:dyDescent="0.25">
      <c r="A14" s="2177"/>
      <c r="B14" s="1601" t="s">
        <v>1031</v>
      </c>
      <c r="C14" s="1605">
        <f t="shared" ref="C14:D14" si="18">C340</f>
        <v>323192700</v>
      </c>
      <c r="D14" s="1605">
        <f t="shared" si="18"/>
        <v>329991200</v>
      </c>
      <c r="E14" s="1605">
        <f>E340</f>
        <v>37304207.189999998</v>
      </c>
      <c r="F14" s="2178">
        <f t="shared" ref="F14:I14" si="19">F340</f>
        <v>37304207.189999998</v>
      </c>
      <c r="G14" s="1605">
        <f t="shared" si="19"/>
        <v>11.542404017788767</v>
      </c>
      <c r="H14" s="1605">
        <f t="shared" si="19"/>
        <v>11.304606665268649</v>
      </c>
      <c r="I14" s="1605">
        <f t="shared" si="19"/>
        <v>150.01790975635089</v>
      </c>
      <c r="J14" s="29"/>
    </row>
    <row r="15" spans="1:10" s="12" customFormat="1" ht="20.25" customHeight="1" x14ac:dyDescent="0.25">
      <c r="A15" s="2180"/>
      <c r="B15" s="1632" t="s">
        <v>31</v>
      </c>
      <c r="C15" s="1633">
        <f t="shared" ref="C15:D15" si="20">C532</f>
        <v>15000</v>
      </c>
      <c r="D15" s="1633">
        <f t="shared" si="20"/>
        <v>15000</v>
      </c>
      <c r="E15" s="1633">
        <f>E532</f>
        <v>7500</v>
      </c>
      <c r="F15" s="2181">
        <f t="shared" ref="F15:I15" si="21">F532</f>
        <v>0</v>
      </c>
      <c r="G15" s="1633">
        <f t="shared" si="21"/>
        <v>50</v>
      </c>
      <c r="H15" s="1633">
        <f t="shared" si="21"/>
        <v>50</v>
      </c>
      <c r="I15" s="1633">
        <f t="shared" si="21"/>
        <v>0</v>
      </c>
      <c r="J15" s="29"/>
    </row>
    <row r="16" spans="1:10" s="1634" customFormat="1" ht="20.25" customHeight="1" x14ac:dyDescent="0.25">
      <c r="A16" s="1605"/>
      <c r="B16" s="1607" t="s">
        <v>1032</v>
      </c>
      <c r="C16" s="1633">
        <f t="shared" ref="C16:D16" si="22">C535</f>
        <v>17594633</v>
      </c>
      <c r="D16" s="1633">
        <f t="shared" si="22"/>
        <v>17974633</v>
      </c>
      <c r="E16" s="1633">
        <f>E535</f>
        <v>6495985.4800000004</v>
      </c>
      <c r="F16" s="2181">
        <f t="shared" ref="F16:I16" si="23">F535</f>
        <v>6495985.4800000004</v>
      </c>
      <c r="G16" s="1633">
        <f t="shared" si="23"/>
        <v>36.920266992781272</v>
      </c>
      <c r="H16" s="1633">
        <f t="shared" si="23"/>
        <v>36.139739153505943</v>
      </c>
      <c r="I16" s="1633">
        <f t="shared" si="23"/>
        <v>113.49134408354307</v>
      </c>
      <c r="J16" s="29"/>
    </row>
    <row r="17" spans="1:241" s="1635" customFormat="1" ht="20.25" customHeight="1" x14ac:dyDescent="0.25">
      <c r="A17" s="2180"/>
      <c r="B17" s="1632" t="s">
        <v>33</v>
      </c>
      <c r="C17" s="1633">
        <f t="shared" ref="C17:D17" si="24">C541</f>
        <v>11914064</v>
      </c>
      <c r="D17" s="1633">
        <f t="shared" si="24"/>
        <v>11914064</v>
      </c>
      <c r="E17" s="1633">
        <f>E541</f>
        <v>6075000.75</v>
      </c>
      <c r="F17" s="2181">
        <f t="shared" ref="F17:I17" si="25">F541</f>
        <v>6075000.75</v>
      </c>
      <c r="G17" s="1633">
        <f t="shared" si="25"/>
        <v>50.990163809762976</v>
      </c>
      <c r="H17" s="1633">
        <f t="shared" si="25"/>
        <v>50.990163809762976</v>
      </c>
      <c r="I17" s="1633">
        <f t="shared" si="25"/>
        <v>110.04539550431629</v>
      </c>
      <c r="J17" s="29"/>
    </row>
    <row r="18" spans="1:241" s="1635" customFormat="1" ht="20.25" customHeight="1" x14ac:dyDescent="0.25">
      <c r="A18" s="2182"/>
      <c r="B18" s="1601" t="s">
        <v>34</v>
      </c>
      <c r="C18" s="1605">
        <f t="shared" ref="C18:D18" si="26">C550</f>
        <v>162000</v>
      </c>
      <c r="D18" s="1605">
        <f t="shared" si="26"/>
        <v>162000</v>
      </c>
      <c r="E18" s="1605">
        <f>E550</f>
        <v>11720</v>
      </c>
      <c r="F18" s="2160">
        <f t="shared" ref="F18:I18" si="27">F550</f>
        <v>0</v>
      </c>
      <c r="G18" s="1605">
        <f t="shared" si="27"/>
        <v>7.2345679012345681</v>
      </c>
      <c r="H18" s="1605">
        <f t="shared" si="27"/>
        <v>7.2345679012345681</v>
      </c>
      <c r="I18" s="1605">
        <f t="shared" si="27"/>
        <v>171.59439302143758</v>
      </c>
      <c r="J18" s="29"/>
    </row>
    <row r="19" spans="1:241" s="1635" customFormat="1" ht="20.25" customHeight="1" x14ac:dyDescent="0.25">
      <c r="A19" s="2180"/>
      <c r="B19" s="1601" t="s">
        <v>630</v>
      </c>
      <c r="C19" s="1605">
        <f t="shared" ref="C19:D19" si="28">C554</f>
        <v>500000</v>
      </c>
      <c r="D19" s="1605">
        <f t="shared" si="28"/>
        <v>500000</v>
      </c>
      <c r="E19" s="1605">
        <f>E554</f>
        <v>0</v>
      </c>
      <c r="F19" s="2160">
        <f t="shared" ref="F19:I19" si="29">F554</f>
        <v>0</v>
      </c>
      <c r="G19" s="1605">
        <f t="shared" si="29"/>
        <v>0</v>
      </c>
      <c r="H19" s="1605">
        <f t="shared" si="29"/>
        <v>0</v>
      </c>
      <c r="I19" s="1605">
        <f t="shared" si="29"/>
        <v>0</v>
      </c>
      <c r="J19" s="29"/>
    </row>
    <row r="20" spans="1:241" s="1637" customFormat="1" ht="20.25" customHeight="1" x14ac:dyDescent="0.25">
      <c r="A20" s="2183"/>
      <c r="B20" s="1638" t="s">
        <v>36</v>
      </c>
      <c r="C20" s="1607">
        <f t="shared" ref="C20:D20" si="30">C557</f>
        <v>125656247</v>
      </c>
      <c r="D20" s="1607">
        <f t="shared" si="30"/>
        <v>140482051.32999998</v>
      </c>
      <c r="E20" s="1607">
        <f>E557</f>
        <v>72645632.400000006</v>
      </c>
      <c r="F20" s="1864">
        <f t="shared" ref="F20:I20" si="31">F557</f>
        <v>72645632.400000006</v>
      </c>
      <c r="G20" s="1607">
        <f t="shared" si="31"/>
        <v>57.812989114659786</v>
      </c>
      <c r="H20" s="1607">
        <f t="shared" si="31"/>
        <v>51.71168253327356</v>
      </c>
      <c r="I20" s="1607">
        <f t="shared" si="31"/>
        <v>99.280043396195396</v>
      </c>
      <c r="J20" s="2184"/>
    </row>
    <row r="21" spans="1:241" s="12" customFormat="1" ht="20.25" customHeight="1" x14ac:dyDescent="0.25">
      <c r="A21" s="2157"/>
      <c r="B21" s="1601" t="s">
        <v>716</v>
      </c>
      <c r="C21" s="1633">
        <f t="shared" ref="C21:D21" si="32">C646</f>
        <v>30378980</v>
      </c>
      <c r="D21" s="1633">
        <f t="shared" si="32"/>
        <v>31548124.350000001</v>
      </c>
      <c r="E21" s="1633">
        <f>E646</f>
        <v>13641982.65</v>
      </c>
      <c r="F21" s="2181">
        <f t="shared" ref="F21:I21" si="33">F646</f>
        <v>0</v>
      </c>
      <c r="G21" s="1633">
        <f t="shared" si="33"/>
        <v>44.905993058358121</v>
      </c>
      <c r="H21" s="1633">
        <f t="shared" si="33"/>
        <v>43.241818431592435</v>
      </c>
      <c r="I21" s="1633">
        <f t="shared" si="33"/>
        <v>106.64507178608878</v>
      </c>
      <c r="J21" s="29"/>
    </row>
    <row r="22" spans="1:241" s="12" customFormat="1" ht="20.25" customHeight="1" x14ac:dyDescent="0.25">
      <c r="A22" s="2157"/>
      <c r="B22" s="1601" t="s">
        <v>719</v>
      </c>
      <c r="C22" s="1605">
        <f t="shared" ref="C22:D22" si="34">C650</f>
        <v>37939410</v>
      </c>
      <c r="D22" s="1605">
        <f t="shared" si="34"/>
        <v>37126500.399999999</v>
      </c>
      <c r="E22" s="1605">
        <f>E650</f>
        <v>15909779.07</v>
      </c>
      <c r="F22" s="2160">
        <f t="shared" ref="F22:I22" si="35">F650</f>
        <v>15909779.07</v>
      </c>
      <c r="G22" s="1605">
        <f t="shared" si="35"/>
        <v>41.934703438983369</v>
      </c>
      <c r="H22" s="1605">
        <f t="shared" si="35"/>
        <v>42.852891865886718</v>
      </c>
      <c r="I22" s="1605">
        <f t="shared" si="35"/>
        <v>95.583519227836319</v>
      </c>
      <c r="J22" s="29"/>
    </row>
    <row r="23" spans="1:241" s="12" customFormat="1" ht="20.25" customHeight="1" x14ac:dyDescent="0.25">
      <c r="A23" s="2157"/>
      <c r="B23" s="1601" t="s">
        <v>735</v>
      </c>
      <c r="C23" s="1603">
        <f t="shared" ref="C23:D23" si="36">C672</f>
        <v>190047550</v>
      </c>
      <c r="D23" s="1603">
        <f t="shared" si="36"/>
        <v>190061455</v>
      </c>
      <c r="E23" s="1603">
        <f>E672</f>
        <v>79698784.569999993</v>
      </c>
      <c r="F23" s="2158">
        <f t="shared" ref="F23:I23" si="37">F672</f>
        <v>79698784.570000008</v>
      </c>
      <c r="G23" s="1603">
        <f t="shared" si="37"/>
        <v>41.936233626794973</v>
      </c>
      <c r="H23" s="1603">
        <f t="shared" si="37"/>
        <v>41.933165549006233</v>
      </c>
      <c r="I23" s="1603">
        <f t="shared" si="37"/>
        <v>105.03573906198775</v>
      </c>
      <c r="J23" s="29"/>
    </row>
    <row r="24" spans="1:241" s="12" customFormat="1" ht="20.25" customHeight="1" x14ac:dyDescent="0.25">
      <c r="A24" s="2157"/>
      <c r="B24" s="1601" t="s">
        <v>43</v>
      </c>
      <c r="C24" s="1603">
        <f t="shared" ref="C24:D24" si="38">C681</f>
        <v>16959056</v>
      </c>
      <c r="D24" s="1603">
        <f t="shared" si="38"/>
        <v>17251526</v>
      </c>
      <c r="E24" s="1603">
        <f>E681</f>
        <v>13819909.32</v>
      </c>
      <c r="F24" s="2158">
        <f t="shared" ref="F24:I24" si="39">F681</f>
        <v>13819909.32</v>
      </c>
      <c r="G24" s="1603">
        <f t="shared" si="39"/>
        <v>81.489850142602279</v>
      </c>
      <c r="H24" s="1603">
        <f t="shared" si="39"/>
        <v>80.108329663126611</v>
      </c>
      <c r="I24" s="1603">
        <f t="shared" si="39"/>
        <v>119.76636794254193</v>
      </c>
      <c r="J24" s="29"/>
    </row>
    <row r="25" spans="1:241" s="12" customFormat="1" ht="20.25" customHeight="1" x14ac:dyDescent="0.25">
      <c r="A25" s="2183"/>
      <c r="B25" s="1632" t="s">
        <v>777</v>
      </c>
      <c r="C25" s="1633">
        <f t="shared" ref="C25:D25" si="40">C710</f>
        <v>18612000</v>
      </c>
      <c r="D25" s="1633">
        <f t="shared" si="40"/>
        <v>23243000</v>
      </c>
      <c r="E25" s="1633">
        <f>E710</f>
        <v>6712562.0599999996</v>
      </c>
      <c r="F25" s="2181">
        <f t="shared" ref="F25:I25" si="41">F710</f>
        <v>0</v>
      </c>
      <c r="G25" s="1633">
        <f t="shared" si="41"/>
        <v>36.065775091338921</v>
      </c>
      <c r="H25" s="1633">
        <f t="shared" si="41"/>
        <v>28.879929699264295</v>
      </c>
      <c r="I25" s="1633">
        <f t="shared" si="41"/>
        <v>104.19461442428096</v>
      </c>
      <c r="J25" s="29"/>
    </row>
    <row r="26" spans="1:241" s="12" customFormat="1" ht="20.25" customHeight="1" x14ac:dyDescent="0.25">
      <c r="A26" s="2157"/>
      <c r="B26" s="1601" t="s">
        <v>2117</v>
      </c>
      <c r="C26" s="1633">
        <f t="shared" ref="C26:D26" si="42">C716</f>
        <v>72242000</v>
      </c>
      <c r="D26" s="1633">
        <f t="shared" si="42"/>
        <v>72269427.5</v>
      </c>
      <c r="E26" s="1633">
        <f>E716</f>
        <v>28795509.309999999</v>
      </c>
      <c r="F26" s="2181">
        <f t="shared" ref="F26:I26" si="43">F716</f>
        <v>28795509.310000002</v>
      </c>
      <c r="G26" s="1633">
        <f t="shared" si="43"/>
        <v>39.85978974834584</v>
      </c>
      <c r="H26" s="1633">
        <f t="shared" si="43"/>
        <v>39.844662267457423</v>
      </c>
      <c r="I26" s="1633">
        <f t="shared" si="43"/>
        <v>89.532399653934405</v>
      </c>
      <c r="J26" s="29"/>
    </row>
    <row r="27" spans="1:241" s="12" customFormat="1" ht="20.25" customHeight="1" x14ac:dyDescent="0.25">
      <c r="A27" s="2185"/>
      <c r="B27" s="1632" t="s">
        <v>803</v>
      </c>
      <c r="C27" s="1633">
        <f t="shared" ref="C27:D27" si="44">C740</f>
        <v>130474000</v>
      </c>
      <c r="D27" s="1633">
        <f t="shared" si="44"/>
        <v>134974000</v>
      </c>
      <c r="E27" s="1633">
        <f>E740</f>
        <v>60300953.399999999</v>
      </c>
      <c r="F27" s="2186">
        <f t="shared" ref="F27:I27" si="45">F740</f>
        <v>60300953.399999999</v>
      </c>
      <c r="G27" s="1633">
        <f t="shared" si="45"/>
        <v>46.216835078253141</v>
      </c>
      <c r="H27" s="1633">
        <f t="shared" si="45"/>
        <v>44.675977151155038</v>
      </c>
      <c r="I27" s="1633">
        <f t="shared" si="45"/>
        <v>109.87926437566308</v>
      </c>
      <c r="J27" s="88"/>
    </row>
    <row r="28" spans="1:241" s="1640" customFormat="1" ht="20.25" customHeight="1" x14ac:dyDescent="0.25">
      <c r="A28" s="2157"/>
      <c r="B28" s="1601" t="s">
        <v>52</v>
      </c>
      <c r="C28" s="1633">
        <f t="shared" ref="C28:D28" si="46">C840</f>
        <v>290000</v>
      </c>
      <c r="D28" s="1633">
        <f t="shared" si="46"/>
        <v>290000</v>
      </c>
      <c r="E28" s="1633">
        <f>E840</f>
        <v>0</v>
      </c>
      <c r="F28" s="2181">
        <f t="shared" ref="F28:I28" si="47">F840</f>
        <v>0</v>
      </c>
      <c r="G28" s="1633">
        <f t="shared" si="47"/>
        <v>0</v>
      </c>
      <c r="H28" s="1633">
        <f t="shared" si="47"/>
        <v>0</v>
      </c>
      <c r="I28" s="1633">
        <f t="shared" si="47"/>
        <v>0</v>
      </c>
      <c r="J28" s="2047"/>
      <c r="IA28" s="1635"/>
      <c r="IB28" s="1635"/>
      <c r="IC28" s="1635"/>
      <c r="ID28" s="1635"/>
      <c r="IE28" s="1635"/>
      <c r="IF28" s="1635"/>
      <c r="IG28" s="1635"/>
    </row>
    <row r="29" spans="1:241" s="1635" customFormat="1" ht="20.25" customHeight="1" x14ac:dyDescent="0.25">
      <c r="A29" s="2187"/>
      <c r="B29" s="1612" t="s">
        <v>54</v>
      </c>
      <c r="C29" s="1642">
        <f t="shared" ref="C29:D29" si="48">C850</f>
        <v>65900000</v>
      </c>
      <c r="D29" s="1642">
        <f t="shared" si="48"/>
        <v>107209109.11999999</v>
      </c>
      <c r="E29" s="1641">
        <f>E850</f>
        <v>88434149.129999995</v>
      </c>
      <c r="F29" s="2188">
        <f t="shared" ref="F29:I29" si="49">F850</f>
        <v>88434149.129999995</v>
      </c>
      <c r="G29" s="1641">
        <f t="shared" si="49"/>
        <v>134.1944599848255</v>
      </c>
      <c r="H29" s="1641">
        <f t="shared" si="49"/>
        <v>82.487532874669228</v>
      </c>
      <c r="I29" s="1641">
        <f t="shared" si="49"/>
        <v>175.46601677293836</v>
      </c>
      <c r="J29" s="29"/>
    </row>
    <row r="30" spans="1:241" s="98" customFormat="1" ht="26.25" customHeight="1" x14ac:dyDescent="0.35">
      <c r="A30" s="2189"/>
      <c r="B30" s="691" t="s">
        <v>55</v>
      </c>
      <c r="C30" s="2190">
        <f t="shared" ref="C30:D30" si="50">C872</f>
        <v>1121493640</v>
      </c>
      <c r="D30" s="2190">
        <f t="shared" si="50"/>
        <v>1198583898.3399999</v>
      </c>
      <c r="E30" s="1644">
        <f>E872</f>
        <v>455797750.88999999</v>
      </c>
      <c r="F30" s="2191">
        <f t="shared" ref="F30:I30" si="51">F872</f>
        <v>455797750.88999999</v>
      </c>
      <c r="G30" s="1644">
        <f t="shared" si="51"/>
        <v>40.642027260181344</v>
      </c>
      <c r="H30" s="1644">
        <f t="shared" si="51"/>
        <v>38.028022195297737</v>
      </c>
      <c r="I30" s="2192">
        <f t="shared" si="51"/>
        <v>114.22403441151432</v>
      </c>
      <c r="J30" s="29"/>
    </row>
    <row r="31" spans="1:241" ht="22.5" customHeight="1" x14ac:dyDescent="0.3">
      <c r="A31" s="2193"/>
      <c r="B31" s="951" t="s">
        <v>2118</v>
      </c>
      <c r="C31" s="1650"/>
      <c r="D31" s="1650"/>
      <c r="E31" s="1649"/>
      <c r="F31" s="582"/>
      <c r="G31" s="582"/>
      <c r="H31" s="582"/>
      <c r="I31" s="1650"/>
    </row>
    <row r="32" spans="1:241" s="98" customFormat="1" ht="18" x14ac:dyDescent="0.25">
      <c r="A32" s="2194"/>
      <c r="B32" s="2195" t="s">
        <v>57</v>
      </c>
      <c r="C32" s="1654">
        <f>SUM(C33:C44,C48:C53,C60:C63)</f>
        <v>570976355.83999991</v>
      </c>
      <c r="D32" s="1654">
        <f>SUM(D33:D44,D48:D53,D60:D63)</f>
        <v>596572665.84000003</v>
      </c>
      <c r="E32" s="1653">
        <v>314340296.67000002</v>
      </c>
      <c r="F32" s="2196">
        <f>SUM(E33:E44,E48:E53,E60:E63)</f>
        <v>314340296.66999996</v>
      </c>
      <c r="G32" s="1654">
        <f t="shared" ref="G32:G95" si="52">E32/C32*100</f>
        <v>55.053119705377974</v>
      </c>
      <c r="H32" s="1654">
        <f t="shared" ref="H32:H95" si="53">E32/D32*100</f>
        <v>52.69103240380538</v>
      </c>
      <c r="I32" s="1654">
        <f t="shared" ref="I32:I95" si="54">E32/J32*100</f>
        <v>105.69003463262574</v>
      </c>
      <c r="J32" s="29">
        <v>297417157.41000003</v>
      </c>
    </row>
    <row r="33" spans="1:10" s="98" customFormat="1" ht="12.75" customHeight="1" x14ac:dyDescent="0.2">
      <c r="A33" s="2197">
        <v>1111</v>
      </c>
      <c r="B33" s="709" t="s">
        <v>2119</v>
      </c>
      <c r="C33" s="1656">
        <f>(54100000*0.155174/100)*1000</f>
        <v>83949134</v>
      </c>
      <c r="D33" s="1656">
        <f>(54100000*0.155174/100)*1000</f>
        <v>83949134</v>
      </c>
      <c r="E33" s="1656">
        <v>39064522.5</v>
      </c>
      <c r="F33" s="2198">
        <f>SUM(E33:E34)</f>
        <v>43173614.649999999</v>
      </c>
      <c r="G33" s="1657">
        <f t="shared" si="52"/>
        <v>46.533562216377362</v>
      </c>
      <c r="H33" s="1657">
        <f t="shared" si="53"/>
        <v>46.533562216377362</v>
      </c>
      <c r="I33" s="1656">
        <f t="shared" si="54"/>
        <v>107.19942043012284</v>
      </c>
      <c r="J33" s="29">
        <v>36440982.93</v>
      </c>
    </row>
    <row r="34" spans="1:10" s="98" customFormat="1" ht="12.75" customHeight="1" x14ac:dyDescent="0.2">
      <c r="A34" s="2199">
        <v>1111</v>
      </c>
      <c r="B34" s="717" t="s">
        <v>1047</v>
      </c>
      <c r="C34" s="1662">
        <f>(3400000*0.263492/100)*1000</f>
        <v>8958728.0000000019</v>
      </c>
      <c r="D34" s="1662">
        <f>(3400000*0.263492/100)*1000</f>
        <v>8958728.0000000019</v>
      </c>
      <c r="E34" s="1662">
        <v>4109092.15</v>
      </c>
      <c r="F34" s="2200"/>
      <c r="G34" s="1663">
        <f t="shared" si="52"/>
        <v>45.866914923636472</v>
      </c>
      <c r="H34" s="1663">
        <f t="shared" si="53"/>
        <v>45.866914923636472</v>
      </c>
      <c r="I34" s="1662">
        <f t="shared" si="54"/>
        <v>115.82629946759067</v>
      </c>
      <c r="J34" s="29">
        <v>3547633.11</v>
      </c>
    </row>
    <row r="35" spans="1:10" s="98" customFormat="1" ht="12.75" customHeight="1" x14ac:dyDescent="0.2">
      <c r="A35" s="2199">
        <v>1112</v>
      </c>
      <c r="B35" s="717" t="s">
        <v>2120</v>
      </c>
      <c r="C35" s="1667">
        <f>(4600000*0.155174/100)*1000-1138004</f>
        <v>6000000</v>
      </c>
      <c r="D35" s="1667">
        <f>(4600000*0.155174/100)*1000-1138004</f>
        <v>6000000</v>
      </c>
      <c r="E35" s="1667">
        <v>1940188.47</v>
      </c>
      <c r="F35" s="2200"/>
      <c r="G35" s="1663">
        <f t="shared" si="52"/>
        <v>32.336474500000001</v>
      </c>
      <c r="H35" s="1663">
        <f t="shared" si="53"/>
        <v>32.336474500000001</v>
      </c>
      <c r="I35" s="1662">
        <f t="shared" si="54"/>
        <v>175.21063691115663</v>
      </c>
      <c r="J35" s="29">
        <v>1107346.28</v>
      </c>
    </row>
    <row r="36" spans="1:10" s="98" customFormat="1" ht="12.75" customHeight="1" x14ac:dyDescent="0.2">
      <c r="A36" s="2199">
        <v>1113</v>
      </c>
      <c r="B36" s="717" t="s">
        <v>1049</v>
      </c>
      <c r="C36" s="1667">
        <f>(9700000*0.155174/100)*1000</f>
        <v>15051878</v>
      </c>
      <c r="D36" s="1667">
        <f>(9700000*0.155174/100)*1000</f>
        <v>15051878</v>
      </c>
      <c r="E36" s="1667">
        <v>7403480.2199999997</v>
      </c>
      <c r="F36" s="2200"/>
      <c r="G36" s="1663">
        <f t="shared" si="52"/>
        <v>49.186421920241443</v>
      </c>
      <c r="H36" s="1663">
        <f t="shared" si="53"/>
        <v>49.186421920241443</v>
      </c>
      <c r="I36" s="1662">
        <f t="shared" si="54"/>
        <v>90.284088145163281</v>
      </c>
      <c r="J36" s="29">
        <v>8200204.9000000004</v>
      </c>
    </row>
    <row r="37" spans="1:10" s="98" customFormat="1" ht="12.75" customHeight="1" x14ac:dyDescent="0.2">
      <c r="A37" s="2199">
        <v>1121</v>
      </c>
      <c r="B37" s="717" t="s">
        <v>2121</v>
      </c>
      <c r="C37" s="1667">
        <v>119018458</v>
      </c>
      <c r="D37" s="1667">
        <v>119018458</v>
      </c>
      <c r="E37" s="1667">
        <v>43793433.630000003</v>
      </c>
      <c r="F37" s="2201"/>
      <c r="G37" s="1663">
        <f t="shared" si="52"/>
        <v>36.795497409317804</v>
      </c>
      <c r="H37" s="1663">
        <f t="shared" si="53"/>
        <v>36.795497409317804</v>
      </c>
      <c r="I37" s="1662">
        <f t="shared" si="54"/>
        <v>96.99131467135237</v>
      </c>
      <c r="J37" s="29">
        <v>45151912.600000001</v>
      </c>
    </row>
    <row r="38" spans="1:10" s="98" customFormat="1" ht="25.5" customHeight="1" x14ac:dyDescent="0.2">
      <c r="A38" s="2199">
        <v>1122</v>
      </c>
      <c r="B38" s="725" t="s">
        <v>1051</v>
      </c>
      <c r="C38" s="734">
        <v>30000000</v>
      </c>
      <c r="D38" s="734">
        <f>30000000+25564110</f>
        <v>55564110</v>
      </c>
      <c r="E38" s="734">
        <v>55564110</v>
      </c>
      <c r="F38" s="894"/>
      <c r="G38" s="1663">
        <f t="shared" si="52"/>
        <v>185.21369999999999</v>
      </c>
      <c r="H38" s="1663">
        <f t="shared" si="53"/>
        <v>100</v>
      </c>
      <c r="I38" s="1662">
        <f t="shared" si="54"/>
        <v>119.65984746436152</v>
      </c>
      <c r="J38" s="1866">
        <v>46435050</v>
      </c>
    </row>
    <row r="39" spans="1:10" s="98" customFormat="1" ht="12.75" customHeight="1" x14ac:dyDescent="0.2">
      <c r="A39" s="2199">
        <v>1211</v>
      </c>
      <c r="B39" s="717" t="s">
        <v>1052</v>
      </c>
      <c r="C39" s="1667">
        <f>(150600000*0.155174/100)*1000</f>
        <v>233692044.00000003</v>
      </c>
      <c r="D39" s="1667">
        <f>(150600000*0.155174/100)*1000</f>
        <v>233692044.00000003</v>
      </c>
      <c r="E39" s="1672">
        <v>110212670.59</v>
      </c>
      <c r="F39" s="2202"/>
      <c r="G39" s="1663">
        <f t="shared" si="52"/>
        <v>47.161498827063184</v>
      </c>
      <c r="H39" s="1663">
        <f t="shared" si="53"/>
        <v>47.161498827063184</v>
      </c>
      <c r="I39" s="1662">
        <f t="shared" si="54"/>
        <v>100.71251900877263</v>
      </c>
      <c r="J39" s="29">
        <v>109432940.09</v>
      </c>
    </row>
    <row r="40" spans="1:10" s="98" customFormat="1" ht="25.5" x14ac:dyDescent="0.2">
      <c r="A40" s="2199">
        <v>1334</v>
      </c>
      <c r="B40" s="725" t="s">
        <v>1053</v>
      </c>
      <c r="C40" s="746">
        <v>50000</v>
      </c>
      <c r="D40" s="746">
        <v>50000</v>
      </c>
      <c r="E40" s="972">
        <v>3462.4</v>
      </c>
      <c r="F40" s="968"/>
      <c r="G40" s="1663">
        <f t="shared" si="52"/>
        <v>6.9248000000000003</v>
      </c>
      <c r="H40" s="1663">
        <f t="shared" si="53"/>
        <v>6.9248000000000003</v>
      </c>
      <c r="I40" s="1662">
        <f t="shared" si="54"/>
        <v>15.898102274240427</v>
      </c>
      <c r="J40" s="29">
        <v>21778.7</v>
      </c>
    </row>
    <row r="41" spans="1:10" s="98" customFormat="1" x14ac:dyDescent="0.2">
      <c r="A41" s="2199">
        <v>1335</v>
      </c>
      <c r="B41" s="717" t="s">
        <v>1054</v>
      </c>
      <c r="C41" s="746">
        <v>2000</v>
      </c>
      <c r="D41" s="746">
        <v>2000</v>
      </c>
      <c r="E41" s="972">
        <v>2756.6</v>
      </c>
      <c r="F41" s="968"/>
      <c r="G41" s="1663">
        <f t="shared" si="52"/>
        <v>137.82999999999998</v>
      </c>
      <c r="H41" s="1663">
        <f t="shared" si="53"/>
        <v>137.82999999999998</v>
      </c>
      <c r="I41" s="1662">
        <f t="shared" si="54"/>
        <v>129.18252197874293</v>
      </c>
      <c r="J41" s="29">
        <v>2133.88</v>
      </c>
    </row>
    <row r="42" spans="1:10" s="98" customFormat="1" x14ac:dyDescent="0.2">
      <c r="A42" s="2199">
        <v>1336</v>
      </c>
      <c r="B42" s="717" t="s">
        <v>1055</v>
      </c>
      <c r="C42" s="746">
        <v>0</v>
      </c>
      <c r="D42" s="746">
        <v>32200</v>
      </c>
      <c r="E42" s="972">
        <v>32200</v>
      </c>
      <c r="F42" s="968"/>
      <c r="G42" s="1663">
        <v>0</v>
      </c>
      <c r="H42" s="1663">
        <f t="shared" si="53"/>
        <v>100</v>
      </c>
      <c r="I42" s="1662">
        <f t="shared" si="54"/>
        <v>100</v>
      </c>
      <c r="J42" s="29">
        <v>32200</v>
      </c>
    </row>
    <row r="43" spans="1:10" s="98" customFormat="1" x14ac:dyDescent="0.2">
      <c r="A43" s="2199">
        <v>1341</v>
      </c>
      <c r="B43" s="717" t="s">
        <v>1056</v>
      </c>
      <c r="C43" s="734">
        <v>650000</v>
      </c>
      <c r="D43" s="734">
        <v>650000</v>
      </c>
      <c r="E43" s="972">
        <v>429854.56</v>
      </c>
      <c r="F43" s="968"/>
      <c r="G43" s="1663">
        <f t="shared" si="52"/>
        <v>66.131470769230773</v>
      </c>
      <c r="H43" s="1663">
        <f t="shared" si="53"/>
        <v>66.131470769230773</v>
      </c>
      <c r="I43" s="1662">
        <f t="shared" si="54"/>
        <v>83.412424393799327</v>
      </c>
      <c r="J43" s="29">
        <v>515336.37</v>
      </c>
    </row>
    <row r="44" spans="1:10" s="98" customFormat="1" x14ac:dyDescent="0.2">
      <c r="A44" s="2199">
        <v>1343</v>
      </c>
      <c r="B44" s="717" t="s">
        <v>1057</v>
      </c>
      <c r="C44" s="1678">
        <f t="shared" ref="C44:D44" si="55">SUM(C45:C47)</f>
        <v>495000</v>
      </c>
      <c r="D44" s="1678">
        <f t="shared" si="55"/>
        <v>495000</v>
      </c>
      <c r="E44" s="1678">
        <v>320974</v>
      </c>
      <c r="F44" s="2203">
        <f>SUM(E45:E47)</f>
        <v>320974</v>
      </c>
      <c r="G44" s="1663">
        <f t="shared" si="52"/>
        <v>64.843232323232328</v>
      </c>
      <c r="H44" s="1663">
        <f t="shared" si="53"/>
        <v>64.843232323232328</v>
      </c>
      <c r="I44" s="1662">
        <f t="shared" si="54"/>
        <v>172.90690283030048</v>
      </c>
      <c r="J44" s="29">
        <v>185634</v>
      </c>
    </row>
    <row r="45" spans="1:10" x14ac:dyDescent="0.2">
      <c r="A45" s="2204"/>
      <c r="B45" s="737" t="s">
        <v>1059</v>
      </c>
      <c r="C45" s="767">
        <v>320000</v>
      </c>
      <c r="D45" s="767">
        <v>320000</v>
      </c>
      <c r="E45" s="968">
        <v>102155</v>
      </c>
      <c r="F45" s="968"/>
      <c r="G45" s="2200">
        <f t="shared" si="52"/>
        <v>31.923437500000002</v>
      </c>
      <c r="H45" s="2200">
        <f t="shared" si="53"/>
        <v>31.923437500000002</v>
      </c>
      <c r="I45" s="2201">
        <f t="shared" si="54"/>
        <v>74.15540295300454</v>
      </c>
      <c r="J45" s="29">
        <v>137758</v>
      </c>
    </row>
    <row r="46" spans="1:10" x14ac:dyDescent="0.2">
      <c r="A46" s="2205"/>
      <c r="B46" s="737" t="s">
        <v>1060</v>
      </c>
      <c r="C46" s="767">
        <v>90000</v>
      </c>
      <c r="D46" s="767">
        <v>90000</v>
      </c>
      <c r="E46" s="968">
        <v>202044</v>
      </c>
      <c r="F46" s="968"/>
      <c r="G46" s="2200">
        <f t="shared" si="52"/>
        <v>224.49333333333334</v>
      </c>
      <c r="H46" s="2200">
        <f t="shared" si="53"/>
        <v>224.49333333333334</v>
      </c>
      <c r="I46" s="2201">
        <f t="shared" si="54"/>
        <v>1092.0116744135769</v>
      </c>
      <c r="J46" s="29">
        <v>18502</v>
      </c>
    </row>
    <row r="47" spans="1:10" x14ac:dyDescent="0.2">
      <c r="A47" s="2205"/>
      <c r="B47" s="737" t="s">
        <v>1061</v>
      </c>
      <c r="C47" s="767">
        <v>85000</v>
      </c>
      <c r="D47" s="767">
        <v>85000</v>
      </c>
      <c r="E47" s="968">
        <v>16775</v>
      </c>
      <c r="F47" s="968"/>
      <c r="G47" s="2200">
        <f t="shared" si="52"/>
        <v>19.735294117647058</v>
      </c>
      <c r="H47" s="2200">
        <f t="shared" si="53"/>
        <v>19.735294117647058</v>
      </c>
      <c r="I47" s="2201">
        <f t="shared" si="54"/>
        <v>57.108327091986112</v>
      </c>
      <c r="J47" s="29">
        <v>29374</v>
      </c>
    </row>
    <row r="48" spans="1:10" ht="25.5" x14ac:dyDescent="0.2">
      <c r="A48" s="2206">
        <v>1345</v>
      </c>
      <c r="B48" s="725" t="s">
        <v>1062</v>
      </c>
      <c r="C48" s="746">
        <v>17500000</v>
      </c>
      <c r="D48" s="746">
        <v>17500000</v>
      </c>
      <c r="E48" s="1840">
        <v>15031346.17</v>
      </c>
      <c r="F48" s="970"/>
      <c r="G48" s="1663">
        <f t="shared" si="52"/>
        <v>85.893406685714297</v>
      </c>
      <c r="H48" s="1663">
        <f t="shared" si="53"/>
        <v>85.893406685714297</v>
      </c>
      <c r="I48" s="1662">
        <f t="shared" si="54"/>
        <v>101.64517133812106</v>
      </c>
      <c r="J48" s="1866">
        <v>14788057.289999999</v>
      </c>
    </row>
    <row r="49" spans="1:1561" s="98" customFormat="1" ht="24.75" x14ac:dyDescent="0.2">
      <c r="A49" s="2199">
        <v>1346</v>
      </c>
      <c r="B49" s="725" t="s">
        <v>1063</v>
      </c>
      <c r="C49" s="746">
        <v>180000</v>
      </c>
      <c r="D49" s="746">
        <v>180000</v>
      </c>
      <c r="E49" s="2207">
        <v>142300</v>
      </c>
      <c r="F49" s="970"/>
      <c r="G49" s="1663">
        <f t="shared" si="52"/>
        <v>79.055555555555557</v>
      </c>
      <c r="H49" s="1663">
        <f t="shared" si="53"/>
        <v>79.055555555555557</v>
      </c>
      <c r="I49" s="1662">
        <f t="shared" si="54"/>
        <v>94.48871181938911</v>
      </c>
      <c r="J49" s="29">
        <v>150600</v>
      </c>
    </row>
    <row r="50" spans="1:1561" s="98" customFormat="1" x14ac:dyDescent="0.2">
      <c r="A50" s="2199">
        <v>1353</v>
      </c>
      <c r="B50" s="717" t="s">
        <v>1064</v>
      </c>
      <c r="C50" s="746">
        <v>750000</v>
      </c>
      <c r="D50" s="746">
        <v>750000</v>
      </c>
      <c r="E50" s="2208">
        <v>516600</v>
      </c>
      <c r="F50" s="968"/>
      <c r="G50" s="1663">
        <f t="shared" si="52"/>
        <v>68.88</v>
      </c>
      <c r="H50" s="1663">
        <f t="shared" si="53"/>
        <v>68.88</v>
      </c>
      <c r="I50" s="1662">
        <f t="shared" si="54"/>
        <v>95.915336056442627</v>
      </c>
      <c r="J50" s="29">
        <v>538600</v>
      </c>
    </row>
    <row r="51" spans="1:1561" s="98" customFormat="1" ht="12.75" customHeight="1" x14ac:dyDescent="0.2">
      <c r="A51" s="2199">
        <v>1356</v>
      </c>
      <c r="B51" s="717" t="s">
        <v>1065</v>
      </c>
      <c r="C51" s="734">
        <v>242547.84</v>
      </c>
      <c r="D51" s="734">
        <v>242547.84</v>
      </c>
      <c r="E51" s="972">
        <v>242547.84</v>
      </c>
      <c r="F51" s="968"/>
      <c r="G51" s="1663">
        <f t="shared" si="52"/>
        <v>100</v>
      </c>
      <c r="H51" s="1663">
        <f t="shared" si="53"/>
        <v>100</v>
      </c>
      <c r="I51" s="1662">
        <f t="shared" si="54"/>
        <v>100</v>
      </c>
      <c r="J51" s="29">
        <v>242547.84</v>
      </c>
    </row>
    <row r="52" spans="1:1561" s="98" customFormat="1" ht="12.75" customHeight="1" x14ac:dyDescent="0.2">
      <c r="A52" s="2199">
        <v>1359</v>
      </c>
      <c r="B52" s="717" t="s">
        <v>2595</v>
      </c>
      <c r="C52" s="734">
        <v>0</v>
      </c>
      <c r="D52" s="734">
        <v>0</v>
      </c>
      <c r="E52" s="972">
        <v>13000</v>
      </c>
      <c r="F52" s="968"/>
      <c r="G52" s="1663">
        <v>0</v>
      </c>
      <c r="H52" s="1663">
        <v>0</v>
      </c>
      <c r="I52" s="1662">
        <f t="shared" si="54"/>
        <v>216.66666666666666</v>
      </c>
      <c r="J52" s="29">
        <v>6000</v>
      </c>
    </row>
    <row r="53" spans="1:1561" s="98" customFormat="1" ht="12.75" customHeight="1" x14ac:dyDescent="0.2">
      <c r="A53" s="2199">
        <v>1361</v>
      </c>
      <c r="B53" s="717" t="s">
        <v>1067</v>
      </c>
      <c r="C53" s="1678">
        <f>SUM(C54:C59)</f>
        <v>9395000</v>
      </c>
      <c r="D53" s="1678">
        <f>SUM(D54:D59)</f>
        <v>9395000</v>
      </c>
      <c r="E53" s="1678">
        <v>6969270</v>
      </c>
      <c r="F53" s="2203">
        <f>SUM(E54:E59)</f>
        <v>6969270</v>
      </c>
      <c r="G53" s="1663">
        <f t="shared" si="52"/>
        <v>74.180627993613626</v>
      </c>
      <c r="H53" s="1663">
        <f t="shared" si="53"/>
        <v>74.180627993613626</v>
      </c>
      <c r="I53" s="1662">
        <f t="shared" si="54"/>
        <v>113.27606089591733</v>
      </c>
      <c r="J53" s="29">
        <v>6152465</v>
      </c>
    </row>
    <row r="54" spans="1:1561" ht="12.75" customHeight="1" x14ac:dyDescent="0.2">
      <c r="A54" s="2205"/>
      <c r="B54" s="737" t="s">
        <v>1068</v>
      </c>
      <c r="C54" s="767">
        <v>5600000</v>
      </c>
      <c r="D54" s="767">
        <v>5600000</v>
      </c>
      <c r="E54" s="968">
        <v>3446100</v>
      </c>
      <c r="F54" s="968"/>
      <c r="G54" s="2200">
        <f t="shared" si="52"/>
        <v>61.537500000000001</v>
      </c>
      <c r="H54" s="2200">
        <f t="shared" si="53"/>
        <v>61.537500000000001</v>
      </c>
      <c r="I54" s="2201">
        <f t="shared" si="54"/>
        <v>97.841640829954684</v>
      </c>
      <c r="J54" s="29">
        <v>3522120</v>
      </c>
    </row>
    <row r="55" spans="1:1561" ht="27.75" customHeight="1" x14ac:dyDescent="0.2">
      <c r="A55" s="2209"/>
      <c r="B55" s="749" t="s">
        <v>2596</v>
      </c>
      <c r="C55" s="767">
        <v>450000</v>
      </c>
      <c r="D55" s="767">
        <v>450000</v>
      </c>
      <c r="E55" s="968">
        <v>293960</v>
      </c>
      <c r="F55" s="968"/>
      <c r="G55" s="2200">
        <f t="shared" si="52"/>
        <v>65.324444444444438</v>
      </c>
      <c r="H55" s="2200">
        <f t="shared" si="53"/>
        <v>65.324444444444438</v>
      </c>
      <c r="I55" s="2201">
        <f t="shared" si="54"/>
        <v>107.18296506964195</v>
      </c>
      <c r="J55" s="1866">
        <v>274260</v>
      </c>
    </row>
    <row r="56" spans="1:1561" ht="12.75" customHeight="1" x14ac:dyDescent="0.2">
      <c r="A56" s="2205"/>
      <c r="B56" s="737" t="s">
        <v>1071</v>
      </c>
      <c r="C56" s="767">
        <v>1000000</v>
      </c>
      <c r="D56" s="767">
        <v>1000000</v>
      </c>
      <c r="E56" s="968">
        <v>1219000</v>
      </c>
      <c r="F56" s="968"/>
      <c r="G56" s="2200">
        <f t="shared" si="52"/>
        <v>121.9</v>
      </c>
      <c r="H56" s="2200">
        <f t="shared" si="53"/>
        <v>121.9</v>
      </c>
      <c r="I56" s="2201">
        <f t="shared" si="54"/>
        <v>201.9047619047619</v>
      </c>
      <c r="J56" s="29">
        <v>603750</v>
      </c>
    </row>
    <row r="57" spans="1:1561" s="126" customFormat="1" ht="24" customHeight="1" x14ac:dyDescent="0.2">
      <c r="A57" s="2209"/>
      <c r="B57" s="788" t="s">
        <v>2122</v>
      </c>
      <c r="C57" s="772">
        <v>2153000</v>
      </c>
      <c r="D57" s="772">
        <v>2153000</v>
      </c>
      <c r="E57" s="968">
        <v>1587060</v>
      </c>
      <c r="F57" s="968"/>
      <c r="G57" s="2200">
        <f t="shared" si="52"/>
        <v>73.713887598699486</v>
      </c>
      <c r="H57" s="2200">
        <f t="shared" si="53"/>
        <v>73.713887598699486</v>
      </c>
      <c r="I57" s="2201">
        <f t="shared" si="54"/>
        <v>98.461404836648342</v>
      </c>
      <c r="J57" s="1866">
        <v>1611860</v>
      </c>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c r="GY57" s="1"/>
      <c r="GZ57" s="1"/>
      <c r="HA57" s="1"/>
      <c r="HB57" s="1"/>
      <c r="HC57" s="1"/>
      <c r="HD57" s="1"/>
      <c r="HE57" s="1"/>
      <c r="HF57" s="1"/>
      <c r="HG57" s="1"/>
      <c r="HH57" s="1"/>
      <c r="HI57" s="1"/>
      <c r="HJ57" s="1"/>
      <c r="HK57" s="1"/>
      <c r="HL57" s="1"/>
      <c r="HM57" s="1"/>
      <c r="HN57" s="1"/>
      <c r="HO57" s="1"/>
      <c r="HP57" s="1"/>
      <c r="HQ57" s="1"/>
      <c r="HR57" s="1"/>
      <c r="HS57" s="1"/>
      <c r="HT57" s="1"/>
      <c r="HU57" s="1"/>
      <c r="HV57" s="1"/>
      <c r="HW57" s="1"/>
      <c r="HX57" s="1"/>
      <c r="HY57" s="1"/>
      <c r="HZ57" s="1"/>
      <c r="IA57" s="1"/>
      <c r="IB57" s="1"/>
      <c r="IC57" s="1"/>
      <c r="ID57" s="1"/>
      <c r="IE57" s="1"/>
      <c r="IF57" s="1"/>
      <c r="IG57" s="1"/>
      <c r="IH57" s="1"/>
      <c r="II57" s="1"/>
      <c r="IJ57" s="1"/>
      <c r="IK57" s="1"/>
      <c r="IL57" s="1"/>
      <c r="IM57" s="1"/>
      <c r="IN57" s="1"/>
      <c r="IO57" s="1"/>
      <c r="IP57" s="1"/>
      <c r="IQ57" s="1"/>
      <c r="IR57" s="1"/>
      <c r="IS57" s="1"/>
      <c r="IT57" s="1"/>
      <c r="IU57" s="1"/>
      <c r="IV57" s="1"/>
      <c r="IW57" s="1"/>
      <c r="IX57" s="1"/>
      <c r="IY57" s="1"/>
      <c r="IZ57" s="1"/>
      <c r="JA57" s="1"/>
      <c r="JB57" s="1"/>
      <c r="JC57" s="1"/>
      <c r="JD57" s="1"/>
      <c r="JE57" s="1"/>
      <c r="JF57" s="1"/>
      <c r="JG57" s="1"/>
      <c r="JH57" s="1"/>
      <c r="JI57" s="1"/>
      <c r="JJ57" s="1"/>
      <c r="JK57" s="1"/>
      <c r="JL57" s="1"/>
      <c r="JM57" s="1"/>
      <c r="JN57" s="1"/>
      <c r="JO57" s="1"/>
      <c r="JP57" s="1"/>
      <c r="JQ57" s="1"/>
      <c r="JR57" s="1"/>
      <c r="JS57" s="1"/>
      <c r="JT57" s="1"/>
      <c r="JU57" s="1"/>
      <c r="JV57" s="1"/>
      <c r="JW57" s="1"/>
      <c r="JX57" s="1"/>
      <c r="JY57" s="1"/>
      <c r="JZ57" s="1"/>
      <c r="KA57" s="1"/>
      <c r="KB57" s="1"/>
      <c r="KC57" s="1"/>
      <c r="KD57" s="1"/>
      <c r="KE57" s="1"/>
      <c r="KF57" s="1"/>
      <c r="KG57" s="1"/>
      <c r="KH57" s="1"/>
      <c r="KI57" s="1"/>
      <c r="KJ57" s="1"/>
      <c r="KK57" s="1"/>
      <c r="KL57" s="1"/>
      <c r="KM57" s="1"/>
      <c r="KN57" s="1"/>
      <c r="KO57" s="1"/>
      <c r="KP57" s="1"/>
      <c r="KQ57" s="1"/>
      <c r="KR57" s="1"/>
      <c r="KS57" s="1"/>
      <c r="KT57" s="1"/>
      <c r="KU57" s="1"/>
      <c r="KV57" s="1"/>
      <c r="KW57" s="1"/>
      <c r="KX57" s="1"/>
      <c r="KY57" s="1"/>
      <c r="KZ57" s="1"/>
      <c r="LA57" s="1"/>
      <c r="LB57" s="1"/>
      <c r="LC57" s="1"/>
      <c r="LD57" s="1"/>
      <c r="LE57" s="1"/>
      <c r="LF57" s="1"/>
      <c r="LG57" s="1"/>
      <c r="LH57" s="1"/>
      <c r="LI57" s="1"/>
      <c r="LJ57" s="1"/>
      <c r="LK57" s="1"/>
      <c r="LL57" s="1"/>
      <c r="LM57" s="1"/>
      <c r="LN57" s="1"/>
      <c r="LO57" s="1"/>
      <c r="LP57" s="1"/>
      <c r="LQ57" s="1"/>
      <c r="LR57" s="1"/>
      <c r="LS57" s="1"/>
      <c r="LT57" s="1"/>
      <c r="LU57" s="1"/>
      <c r="LV57" s="1"/>
      <c r="LW57" s="1"/>
      <c r="LX57" s="1"/>
      <c r="LY57" s="1"/>
      <c r="LZ57" s="1"/>
      <c r="MA57" s="1"/>
      <c r="MB57" s="1"/>
      <c r="MC57" s="1"/>
      <c r="MD57" s="1"/>
      <c r="ME57" s="1"/>
      <c r="MF57" s="1"/>
      <c r="MG57" s="1"/>
      <c r="MH57" s="1"/>
      <c r="MI57" s="1"/>
      <c r="MJ57" s="1"/>
      <c r="MK57" s="1"/>
      <c r="ML57" s="1"/>
      <c r="MM57" s="1"/>
      <c r="MN57" s="1"/>
      <c r="MO57" s="1"/>
      <c r="MP57" s="1"/>
      <c r="MQ57" s="1"/>
      <c r="MR57" s="1"/>
      <c r="MS57" s="1"/>
      <c r="MT57" s="1"/>
      <c r="MU57" s="1"/>
      <c r="MV57" s="1"/>
      <c r="MW57" s="1"/>
      <c r="MX57" s="1"/>
      <c r="MY57" s="1"/>
      <c r="MZ57" s="1"/>
      <c r="NA57" s="1"/>
      <c r="NB57" s="1"/>
      <c r="NC57" s="1"/>
      <c r="ND57" s="1"/>
      <c r="NE57" s="1"/>
      <c r="NF57" s="1"/>
      <c r="NG57" s="1"/>
      <c r="NH57" s="1"/>
      <c r="NI57" s="1"/>
      <c r="NJ57" s="1"/>
      <c r="NK57" s="1"/>
      <c r="NL57" s="1"/>
      <c r="NM57" s="1"/>
      <c r="NN57" s="1"/>
      <c r="NO57" s="1"/>
      <c r="NP57" s="1"/>
      <c r="NQ57" s="1"/>
      <c r="NR57" s="1"/>
      <c r="NS57" s="1"/>
      <c r="NT57" s="1"/>
      <c r="NU57" s="1"/>
      <c r="NV57" s="1"/>
      <c r="NW57" s="1"/>
      <c r="NX57" s="1"/>
      <c r="NY57" s="1"/>
      <c r="NZ57" s="1"/>
      <c r="OA57" s="1"/>
      <c r="OB57" s="1"/>
      <c r="OC57" s="1"/>
      <c r="OD57" s="1"/>
      <c r="OE57" s="1"/>
      <c r="OF57" s="1"/>
      <c r="OG57" s="1"/>
      <c r="OH57" s="1"/>
      <c r="OI57" s="1"/>
      <c r="OJ57" s="1"/>
      <c r="OK57" s="1"/>
      <c r="OL57" s="1"/>
      <c r="OM57" s="1"/>
      <c r="ON57" s="1"/>
      <c r="OO57" s="1"/>
      <c r="OP57" s="1"/>
      <c r="OQ57" s="1"/>
      <c r="OR57" s="1"/>
      <c r="OS57" s="1"/>
      <c r="OT57" s="1"/>
      <c r="OU57" s="1"/>
      <c r="OV57" s="1"/>
      <c r="OW57" s="1"/>
      <c r="OX57" s="1"/>
      <c r="OY57" s="1"/>
      <c r="OZ57" s="1"/>
      <c r="PA57" s="1"/>
      <c r="PB57" s="1"/>
      <c r="PC57" s="1"/>
      <c r="PD57" s="1"/>
      <c r="PE57" s="1"/>
      <c r="PF57" s="1"/>
      <c r="PG57" s="1"/>
      <c r="PH57" s="1"/>
      <c r="PI57" s="1"/>
      <c r="PJ57" s="1"/>
      <c r="PK57" s="1"/>
      <c r="PL57" s="1"/>
      <c r="PM57" s="1"/>
      <c r="PN57" s="1"/>
      <c r="PO57" s="1"/>
      <c r="PP57" s="1"/>
      <c r="PQ57" s="1"/>
      <c r="PR57" s="1"/>
      <c r="PS57" s="1"/>
      <c r="PT57" s="1"/>
      <c r="PU57" s="1"/>
      <c r="PV57" s="1"/>
      <c r="PW57" s="1"/>
      <c r="PX57" s="1"/>
      <c r="PY57" s="1"/>
      <c r="PZ57" s="1"/>
      <c r="QA57" s="1"/>
      <c r="QB57" s="1"/>
      <c r="QC57" s="1"/>
      <c r="QD57" s="1"/>
      <c r="QE57" s="1"/>
      <c r="QF57" s="1"/>
      <c r="QG57" s="1"/>
      <c r="QH57" s="1"/>
      <c r="QI57" s="1"/>
      <c r="QJ57" s="1"/>
      <c r="QK57" s="1"/>
      <c r="QL57" s="1"/>
      <c r="QM57" s="1"/>
      <c r="QN57" s="1"/>
      <c r="QO57" s="1"/>
      <c r="QP57" s="1"/>
      <c r="QQ57" s="1"/>
      <c r="QR57" s="1"/>
      <c r="QS57" s="1"/>
      <c r="QT57" s="1"/>
      <c r="QU57" s="1"/>
      <c r="QV57" s="1"/>
      <c r="QW57" s="1"/>
      <c r="QX57" s="1"/>
      <c r="QY57" s="1"/>
      <c r="QZ57" s="1"/>
      <c r="RA57" s="1"/>
      <c r="RB57" s="1"/>
      <c r="RC57" s="1"/>
      <c r="RD57" s="1"/>
      <c r="RE57" s="1"/>
      <c r="RF57" s="1"/>
      <c r="RG57" s="1"/>
      <c r="RH57" s="1"/>
      <c r="RI57" s="1"/>
      <c r="RJ57" s="1"/>
      <c r="RK57" s="1"/>
      <c r="RL57" s="1"/>
      <c r="RM57" s="1"/>
      <c r="RN57" s="1"/>
      <c r="RO57" s="1"/>
      <c r="RP57" s="1"/>
      <c r="RQ57" s="1"/>
      <c r="RR57" s="1"/>
      <c r="RS57" s="1"/>
      <c r="RT57" s="1"/>
      <c r="RU57" s="1"/>
      <c r="RV57" s="1"/>
      <c r="RW57" s="1"/>
      <c r="RX57" s="1"/>
      <c r="RY57" s="1"/>
      <c r="RZ57" s="1"/>
      <c r="SA57" s="1"/>
      <c r="SB57" s="1"/>
      <c r="SC57" s="1"/>
      <c r="SD57" s="1"/>
      <c r="SE57" s="1"/>
      <c r="SF57" s="1"/>
      <c r="SG57" s="1"/>
      <c r="SH57" s="1"/>
      <c r="SI57" s="1"/>
      <c r="SJ57" s="1"/>
      <c r="SK57" s="1"/>
      <c r="SL57" s="1"/>
      <c r="SM57" s="1"/>
      <c r="SN57" s="1"/>
      <c r="SO57" s="1"/>
      <c r="SP57" s="1"/>
      <c r="SQ57" s="1"/>
      <c r="SR57" s="1"/>
      <c r="SS57" s="1"/>
      <c r="ST57" s="1"/>
      <c r="SU57" s="1"/>
      <c r="SV57" s="1"/>
      <c r="SW57" s="1"/>
      <c r="SX57" s="1"/>
      <c r="SY57" s="1"/>
      <c r="SZ57" s="1"/>
      <c r="TA57" s="1"/>
      <c r="TB57" s="1"/>
      <c r="TC57" s="1"/>
      <c r="TD57" s="1"/>
      <c r="TE57" s="1"/>
      <c r="TF57" s="1"/>
      <c r="TG57" s="1"/>
      <c r="TH57" s="1"/>
      <c r="TI57" s="1"/>
      <c r="TJ57" s="1"/>
      <c r="TK57" s="1"/>
      <c r="TL57" s="1"/>
      <c r="TM57" s="1"/>
      <c r="TN57" s="1"/>
      <c r="TO57" s="1"/>
      <c r="TP57" s="1"/>
      <c r="TQ57" s="1"/>
      <c r="TR57" s="1"/>
      <c r="TS57" s="1"/>
      <c r="TT57" s="1"/>
      <c r="TU57" s="1"/>
      <c r="TV57" s="1"/>
      <c r="TW57" s="1"/>
      <c r="TX57" s="1"/>
      <c r="TY57" s="1"/>
      <c r="TZ57" s="1"/>
      <c r="UA57" s="1"/>
      <c r="UB57" s="1"/>
      <c r="UC57" s="1"/>
      <c r="UD57" s="1"/>
      <c r="UE57" s="1"/>
      <c r="UF57" s="1"/>
      <c r="UG57" s="1"/>
      <c r="UH57" s="1"/>
      <c r="UI57" s="1"/>
      <c r="UJ57" s="1"/>
      <c r="UK57" s="1"/>
      <c r="UL57" s="1"/>
      <c r="UM57" s="1"/>
      <c r="UN57" s="1"/>
      <c r="UO57" s="1"/>
      <c r="UP57" s="1"/>
      <c r="UQ57" s="1"/>
      <c r="UR57" s="1"/>
      <c r="US57" s="1"/>
      <c r="UT57" s="1"/>
      <c r="UU57" s="1"/>
      <c r="UV57" s="1"/>
      <c r="UW57" s="1"/>
      <c r="UX57" s="1"/>
      <c r="UY57" s="1"/>
      <c r="UZ57" s="1"/>
      <c r="VA57" s="1"/>
      <c r="VB57" s="1"/>
      <c r="VC57" s="1"/>
      <c r="VD57" s="1"/>
      <c r="VE57" s="1"/>
      <c r="VF57" s="1"/>
      <c r="VG57" s="1"/>
      <c r="VH57" s="1"/>
      <c r="VI57" s="1"/>
      <c r="VJ57" s="1"/>
      <c r="VK57" s="1"/>
      <c r="VL57" s="1"/>
      <c r="VM57" s="1"/>
      <c r="VN57" s="1"/>
      <c r="VO57" s="1"/>
      <c r="VP57" s="1"/>
      <c r="VQ57" s="1"/>
      <c r="VR57" s="1"/>
      <c r="VS57" s="1"/>
      <c r="VT57" s="1"/>
      <c r="VU57" s="1"/>
      <c r="VV57" s="1"/>
      <c r="VW57" s="1"/>
      <c r="VX57" s="1"/>
      <c r="VY57" s="1"/>
      <c r="VZ57" s="1"/>
      <c r="WA57" s="1"/>
      <c r="WB57" s="1"/>
      <c r="WC57" s="1"/>
      <c r="WD57" s="1"/>
      <c r="WE57" s="1"/>
      <c r="WF57" s="1"/>
      <c r="WG57" s="1"/>
      <c r="WH57" s="1"/>
      <c r="WI57" s="1"/>
      <c r="WJ57" s="1"/>
      <c r="WK57" s="1"/>
      <c r="WL57" s="1"/>
      <c r="WM57" s="1"/>
      <c r="WN57" s="1"/>
      <c r="WO57" s="1"/>
      <c r="WP57" s="1"/>
      <c r="WQ57" s="1"/>
      <c r="WR57" s="1"/>
      <c r="WS57" s="1"/>
      <c r="WT57" s="1"/>
      <c r="WU57" s="1"/>
      <c r="WV57" s="1"/>
      <c r="WW57" s="1"/>
      <c r="WX57" s="1"/>
      <c r="WY57" s="1"/>
      <c r="WZ57" s="1"/>
      <c r="XA57" s="1"/>
      <c r="XB57" s="1"/>
      <c r="XC57" s="1"/>
      <c r="XD57" s="1"/>
      <c r="XE57" s="1"/>
      <c r="XF57" s="1"/>
      <c r="XG57" s="1"/>
      <c r="XH57" s="1"/>
      <c r="XI57" s="1"/>
      <c r="XJ57" s="1"/>
      <c r="XK57" s="1"/>
      <c r="XL57" s="1"/>
      <c r="XM57" s="1"/>
      <c r="XN57" s="1"/>
      <c r="XO57" s="1"/>
      <c r="XP57" s="1"/>
      <c r="XQ57" s="1"/>
      <c r="XR57" s="1"/>
      <c r="XS57" s="1"/>
      <c r="XT57" s="1"/>
      <c r="XU57" s="1"/>
      <c r="XV57" s="1"/>
      <c r="XW57" s="1"/>
      <c r="XX57" s="1"/>
      <c r="XY57" s="1"/>
      <c r="XZ57" s="1"/>
      <c r="YA57" s="1"/>
      <c r="YB57" s="1"/>
      <c r="YC57" s="1"/>
      <c r="YD57" s="1"/>
      <c r="YE57" s="1"/>
      <c r="YF57" s="1"/>
      <c r="YG57" s="1"/>
      <c r="YH57" s="1"/>
      <c r="YI57" s="1"/>
      <c r="YJ57" s="1"/>
      <c r="YK57" s="1"/>
      <c r="YL57" s="1"/>
      <c r="YM57" s="1"/>
      <c r="YN57" s="1"/>
      <c r="YO57" s="1"/>
      <c r="YP57" s="1"/>
      <c r="YQ57" s="1"/>
      <c r="YR57" s="1"/>
      <c r="YS57" s="1"/>
      <c r="YT57" s="1"/>
      <c r="YU57" s="1"/>
      <c r="YV57" s="1"/>
      <c r="YW57" s="1"/>
      <c r="YX57" s="1"/>
      <c r="YY57" s="1"/>
      <c r="YZ57" s="1"/>
      <c r="ZA57" s="1"/>
      <c r="ZB57" s="1"/>
      <c r="ZC57" s="1"/>
      <c r="ZD57" s="1"/>
      <c r="ZE57" s="1"/>
      <c r="ZF57" s="1"/>
      <c r="ZG57" s="1"/>
      <c r="ZH57" s="1"/>
      <c r="ZI57" s="1"/>
      <c r="ZJ57" s="1"/>
      <c r="ZK57" s="1"/>
      <c r="ZL57" s="1"/>
      <c r="ZM57" s="1"/>
      <c r="ZN57" s="1"/>
      <c r="ZO57" s="1"/>
      <c r="ZP57" s="1"/>
      <c r="ZQ57" s="1"/>
      <c r="ZR57" s="1"/>
      <c r="ZS57" s="1"/>
      <c r="ZT57" s="1"/>
      <c r="ZU57" s="1"/>
      <c r="ZV57" s="1"/>
      <c r="ZW57" s="1"/>
      <c r="ZX57" s="1"/>
      <c r="ZY57" s="1"/>
      <c r="ZZ57" s="1"/>
      <c r="AAA57" s="1"/>
      <c r="AAB57" s="1"/>
      <c r="AAC57" s="1"/>
      <c r="AAD57" s="1"/>
      <c r="AAE57" s="1"/>
      <c r="AAF57" s="1"/>
      <c r="AAG57" s="1"/>
      <c r="AAH57" s="1"/>
      <c r="AAI57" s="1"/>
      <c r="AAJ57" s="1"/>
      <c r="AAK57" s="1"/>
      <c r="AAL57" s="1"/>
      <c r="AAM57" s="1"/>
      <c r="AAN57" s="1"/>
      <c r="AAO57" s="1"/>
      <c r="AAP57" s="1"/>
      <c r="AAQ57" s="1"/>
      <c r="AAR57" s="1"/>
      <c r="AAS57" s="1"/>
      <c r="AAT57" s="1"/>
      <c r="AAU57" s="1"/>
      <c r="AAV57" s="1"/>
      <c r="AAW57" s="1"/>
      <c r="AAX57" s="1"/>
      <c r="AAY57" s="1"/>
      <c r="AAZ57" s="1"/>
      <c r="ABA57" s="1"/>
      <c r="ABB57" s="1"/>
      <c r="ABC57" s="1"/>
      <c r="ABD57" s="1"/>
      <c r="ABE57" s="1"/>
      <c r="ABF57" s="1"/>
      <c r="ABG57" s="1"/>
      <c r="ABH57" s="1"/>
      <c r="ABI57" s="1"/>
      <c r="ABJ57" s="1"/>
      <c r="ABK57" s="1"/>
      <c r="ABL57" s="1"/>
      <c r="ABM57" s="1"/>
      <c r="ABN57" s="1"/>
      <c r="ABO57" s="1"/>
      <c r="ABP57" s="1"/>
      <c r="ABQ57" s="1"/>
      <c r="ABR57" s="1"/>
      <c r="ABS57" s="1"/>
      <c r="ABT57" s="1"/>
      <c r="ABU57" s="1"/>
      <c r="ABV57" s="1"/>
      <c r="ABW57" s="1"/>
      <c r="ABX57" s="1"/>
      <c r="ABY57" s="1"/>
      <c r="ABZ57" s="1"/>
      <c r="ACA57" s="1"/>
      <c r="ACB57" s="1"/>
      <c r="ACC57" s="1"/>
      <c r="ACD57" s="1"/>
      <c r="ACE57" s="1"/>
      <c r="ACF57" s="1"/>
      <c r="ACG57" s="1"/>
      <c r="ACH57" s="1"/>
      <c r="ACI57" s="1"/>
      <c r="ACJ57" s="1"/>
      <c r="ACK57" s="1"/>
      <c r="ACL57" s="1"/>
      <c r="ACM57" s="1"/>
      <c r="ACN57" s="1"/>
      <c r="ACO57" s="1"/>
      <c r="ACP57" s="1"/>
      <c r="ACQ57" s="1"/>
      <c r="ACR57" s="1"/>
      <c r="ACS57" s="1"/>
      <c r="ACT57" s="1"/>
      <c r="ACU57" s="1"/>
      <c r="ACV57" s="1"/>
      <c r="ACW57" s="1"/>
      <c r="ACX57" s="1"/>
      <c r="ACY57" s="1"/>
      <c r="ACZ57" s="1"/>
      <c r="ADA57" s="1"/>
      <c r="ADB57" s="1"/>
      <c r="ADC57" s="1"/>
      <c r="ADD57" s="1"/>
      <c r="ADE57" s="1"/>
      <c r="ADF57" s="1"/>
      <c r="ADG57" s="1"/>
      <c r="ADH57" s="1"/>
      <c r="ADI57" s="1"/>
      <c r="ADJ57" s="1"/>
      <c r="ADK57" s="1"/>
      <c r="ADL57" s="1"/>
      <c r="ADM57" s="1"/>
      <c r="ADN57" s="1"/>
      <c r="ADO57" s="1"/>
      <c r="ADP57" s="1"/>
      <c r="ADQ57" s="1"/>
      <c r="ADR57" s="1"/>
      <c r="ADS57" s="1"/>
      <c r="ADT57" s="1"/>
      <c r="ADU57" s="1"/>
      <c r="ADV57" s="1"/>
      <c r="ADW57" s="1"/>
      <c r="ADX57" s="1"/>
      <c r="ADY57" s="1"/>
      <c r="ADZ57" s="1"/>
      <c r="AEA57" s="1"/>
      <c r="AEB57" s="1"/>
      <c r="AEC57" s="1"/>
      <c r="AED57" s="1"/>
      <c r="AEE57" s="1"/>
      <c r="AEF57" s="1"/>
      <c r="AEG57" s="1"/>
      <c r="AEH57" s="1"/>
      <c r="AEI57" s="1"/>
      <c r="AEJ57" s="1"/>
      <c r="AEK57" s="1"/>
      <c r="AEL57" s="1"/>
      <c r="AEM57" s="1"/>
      <c r="AEN57" s="1"/>
      <c r="AEO57" s="1"/>
      <c r="AEP57" s="1"/>
      <c r="AEQ57" s="1"/>
      <c r="AER57" s="1"/>
      <c r="AES57" s="1"/>
      <c r="AET57" s="1"/>
      <c r="AEU57" s="1"/>
      <c r="AEV57" s="1"/>
      <c r="AEW57" s="1"/>
      <c r="AEX57" s="1"/>
      <c r="AEY57" s="1"/>
      <c r="AEZ57" s="1"/>
      <c r="AFA57" s="1"/>
      <c r="AFB57" s="1"/>
      <c r="AFC57" s="1"/>
      <c r="AFD57" s="1"/>
      <c r="AFE57" s="1"/>
      <c r="AFF57" s="1"/>
      <c r="AFG57" s="1"/>
      <c r="AFH57" s="1"/>
      <c r="AFI57" s="1"/>
      <c r="AFJ57" s="1"/>
      <c r="AFK57" s="1"/>
      <c r="AFL57" s="1"/>
      <c r="AFM57" s="1"/>
      <c r="AFN57" s="1"/>
      <c r="AFO57" s="1"/>
      <c r="AFP57" s="1"/>
      <c r="AFQ57" s="1"/>
      <c r="AFR57" s="1"/>
      <c r="AFS57" s="1"/>
      <c r="AFT57" s="1"/>
      <c r="AFU57" s="1"/>
      <c r="AFV57" s="1"/>
      <c r="AFW57" s="1"/>
      <c r="AFX57" s="1"/>
      <c r="AFY57" s="1"/>
      <c r="AFZ57" s="1"/>
      <c r="AGA57" s="1"/>
      <c r="AGB57" s="1"/>
      <c r="AGC57" s="1"/>
      <c r="AGD57" s="1"/>
      <c r="AGE57" s="1"/>
      <c r="AGF57" s="1"/>
      <c r="AGG57" s="1"/>
      <c r="AGH57" s="1"/>
      <c r="AGI57" s="1"/>
      <c r="AGJ57" s="1"/>
      <c r="AGK57" s="1"/>
      <c r="AGL57" s="1"/>
      <c r="AGM57" s="1"/>
      <c r="AGN57" s="1"/>
      <c r="AGO57" s="1"/>
      <c r="AGP57" s="1"/>
      <c r="AGQ57" s="1"/>
      <c r="AGR57" s="1"/>
      <c r="AGS57" s="1"/>
      <c r="AGT57" s="1"/>
      <c r="AGU57" s="1"/>
      <c r="AGV57" s="1"/>
      <c r="AGW57" s="1"/>
      <c r="AGX57" s="1"/>
      <c r="AGY57" s="1"/>
      <c r="AGZ57" s="1"/>
      <c r="AHA57" s="1"/>
      <c r="AHB57" s="1"/>
      <c r="AHC57" s="1"/>
      <c r="AHD57" s="1"/>
      <c r="AHE57" s="1"/>
      <c r="AHF57" s="1"/>
      <c r="AHG57" s="1"/>
      <c r="AHH57" s="1"/>
      <c r="AHI57" s="1"/>
      <c r="AHJ57" s="1"/>
      <c r="AHK57" s="1"/>
      <c r="AHL57" s="1"/>
      <c r="AHM57" s="1"/>
      <c r="AHN57" s="1"/>
      <c r="AHO57" s="1"/>
      <c r="AHP57" s="1"/>
      <c r="AHQ57" s="1"/>
      <c r="AHR57" s="1"/>
      <c r="AHS57" s="1"/>
      <c r="AHT57" s="1"/>
      <c r="AHU57" s="1"/>
      <c r="AHV57" s="1"/>
      <c r="AHW57" s="1"/>
      <c r="AHX57" s="1"/>
      <c r="AHY57" s="1"/>
      <c r="AHZ57" s="1"/>
      <c r="AIA57" s="1"/>
      <c r="AIB57" s="1"/>
      <c r="AIC57" s="1"/>
      <c r="AID57" s="1"/>
      <c r="AIE57" s="1"/>
      <c r="AIF57" s="1"/>
      <c r="AIG57" s="1"/>
      <c r="AIH57" s="1"/>
      <c r="AII57" s="1"/>
      <c r="AIJ57" s="1"/>
      <c r="AIK57" s="1"/>
      <c r="AIL57" s="1"/>
      <c r="AIM57" s="1"/>
      <c r="AIN57" s="1"/>
      <c r="AIO57" s="1"/>
      <c r="AIP57" s="1"/>
      <c r="AIQ57" s="1"/>
      <c r="AIR57" s="1"/>
      <c r="AIS57" s="1"/>
      <c r="AIT57" s="1"/>
      <c r="AIU57" s="1"/>
      <c r="AIV57" s="1"/>
      <c r="AIW57" s="1"/>
      <c r="AIX57" s="1"/>
      <c r="AIY57" s="1"/>
      <c r="AIZ57" s="1"/>
      <c r="AJA57" s="1"/>
      <c r="AJB57" s="1"/>
      <c r="AJC57" s="1"/>
      <c r="AJD57" s="1"/>
      <c r="AJE57" s="1"/>
      <c r="AJF57" s="1"/>
      <c r="AJG57" s="1"/>
      <c r="AJH57" s="1"/>
      <c r="AJI57" s="1"/>
      <c r="AJJ57" s="1"/>
      <c r="AJK57" s="1"/>
      <c r="AJL57" s="1"/>
      <c r="AJM57" s="1"/>
      <c r="AJN57" s="1"/>
      <c r="AJO57" s="1"/>
      <c r="AJP57" s="1"/>
      <c r="AJQ57" s="1"/>
      <c r="AJR57" s="1"/>
      <c r="AJS57" s="1"/>
      <c r="AJT57" s="1"/>
      <c r="AJU57" s="1"/>
      <c r="AJV57" s="1"/>
      <c r="AJW57" s="1"/>
      <c r="AJX57" s="1"/>
      <c r="AJY57" s="1"/>
      <c r="AJZ57" s="1"/>
      <c r="AKA57" s="1"/>
      <c r="AKB57" s="1"/>
      <c r="AKC57" s="1"/>
      <c r="AKD57" s="1"/>
      <c r="AKE57" s="1"/>
      <c r="AKF57" s="1"/>
      <c r="AKG57" s="1"/>
      <c r="AKH57" s="1"/>
      <c r="AKI57" s="1"/>
      <c r="AKJ57" s="1"/>
      <c r="AKK57" s="1"/>
      <c r="AKL57" s="1"/>
      <c r="AKM57" s="1"/>
      <c r="AKN57" s="1"/>
      <c r="AKO57" s="1"/>
      <c r="AKP57" s="1"/>
      <c r="AKQ57" s="1"/>
      <c r="AKR57" s="1"/>
      <c r="AKS57" s="1"/>
      <c r="AKT57" s="1"/>
      <c r="AKU57" s="1"/>
      <c r="AKV57" s="1"/>
      <c r="AKW57" s="1"/>
      <c r="AKX57" s="1"/>
      <c r="AKY57" s="1"/>
      <c r="AKZ57" s="1"/>
      <c r="ALA57" s="1"/>
      <c r="ALB57" s="1"/>
      <c r="ALC57" s="1"/>
      <c r="ALD57" s="1"/>
      <c r="ALE57" s="1"/>
      <c r="ALF57" s="1"/>
      <c r="ALG57" s="1"/>
      <c r="ALH57" s="1"/>
      <c r="ALI57" s="1"/>
      <c r="ALJ57" s="1"/>
      <c r="ALK57" s="1"/>
      <c r="ALL57" s="1"/>
      <c r="ALM57" s="1"/>
      <c r="ALN57" s="1"/>
      <c r="ALO57" s="1"/>
      <c r="ALP57" s="1"/>
      <c r="ALQ57" s="1"/>
      <c r="ALR57" s="1"/>
      <c r="ALS57" s="1"/>
      <c r="ALT57" s="1"/>
      <c r="ALU57" s="1"/>
      <c r="ALV57" s="1"/>
      <c r="ALW57" s="1"/>
      <c r="ALX57" s="1"/>
      <c r="ALY57" s="1"/>
      <c r="ALZ57" s="1"/>
      <c r="AMA57" s="1"/>
      <c r="AMB57" s="1"/>
      <c r="AMC57" s="1"/>
      <c r="AMD57" s="1"/>
      <c r="AME57" s="1"/>
      <c r="AMF57" s="1"/>
      <c r="AMG57" s="1"/>
      <c r="AMH57" s="1"/>
      <c r="AMI57" s="1"/>
      <c r="AMJ57" s="1"/>
      <c r="AMK57" s="1"/>
      <c r="AML57" s="1"/>
      <c r="AMM57" s="1"/>
      <c r="AMN57" s="1"/>
      <c r="AMO57" s="1"/>
      <c r="AMP57" s="1"/>
      <c r="AMQ57" s="1"/>
      <c r="AMR57" s="1"/>
      <c r="AMS57" s="1"/>
      <c r="AMT57" s="1"/>
      <c r="AMU57" s="1"/>
      <c r="AMV57" s="1"/>
      <c r="AMW57" s="1"/>
      <c r="AMX57" s="1"/>
      <c r="AMY57" s="1"/>
      <c r="AMZ57" s="1"/>
      <c r="ANA57" s="1"/>
      <c r="ANB57" s="1"/>
      <c r="ANC57" s="1"/>
      <c r="AND57" s="1"/>
      <c r="ANE57" s="1"/>
      <c r="ANF57" s="1"/>
      <c r="ANG57" s="1"/>
      <c r="ANH57" s="1"/>
      <c r="ANI57" s="1"/>
      <c r="ANJ57" s="1"/>
      <c r="ANK57" s="1"/>
      <c r="ANL57" s="1"/>
      <c r="ANM57" s="1"/>
      <c r="ANN57" s="1"/>
      <c r="ANO57" s="1"/>
      <c r="ANP57" s="1"/>
      <c r="ANQ57" s="1"/>
      <c r="ANR57" s="1"/>
      <c r="ANS57" s="1"/>
      <c r="ANT57" s="1"/>
      <c r="ANU57" s="1"/>
      <c r="ANV57" s="1"/>
      <c r="ANW57" s="1"/>
      <c r="ANX57" s="1"/>
      <c r="ANY57" s="1"/>
      <c r="ANZ57" s="1"/>
      <c r="AOA57" s="1"/>
      <c r="AOB57" s="1"/>
      <c r="AOC57" s="1"/>
      <c r="AOD57" s="1"/>
      <c r="AOE57" s="1"/>
      <c r="AOF57" s="1"/>
      <c r="AOG57" s="1"/>
      <c r="AOH57" s="1"/>
      <c r="AOI57" s="1"/>
      <c r="AOJ57" s="1"/>
      <c r="AOK57" s="1"/>
      <c r="AOL57" s="1"/>
      <c r="AOM57" s="1"/>
      <c r="AON57" s="1"/>
      <c r="AOO57" s="1"/>
      <c r="AOP57" s="1"/>
      <c r="AOQ57" s="1"/>
      <c r="AOR57" s="1"/>
      <c r="AOS57" s="1"/>
      <c r="AOT57" s="1"/>
      <c r="AOU57" s="1"/>
      <c r="AOV57" s="1"/>
      <c r="AOW57" s="1"/>
      <c r="AOX57" s="1"/>
      <c r="AOY57" s="1"/>
      <c r="AOZ57" s="1"/>
      <c r="APA57" s="1"/>
      <c r="APB57" s="1"/>
      <c r="APC57" s="1"/>
      <c r="APD57" s="1"/>
      <c r="APE57" s="1"/>
      <c r="APF57" s="1"/>
      <c r="APG57" s="1"/>
      <c r="APH57" s="1"/>
      <c r="API57" s="1"/>
      <c r="APJ57" s="1"/>
      <c r="APK57" s="1"/>
      <c r="APL57" s="1"/>
      <c r="APM57" s="1"/>
      <c r="APN57" s="1"/>
      <c r="APO57" s="1"/>
      <c r="APP57" s="1"/>
      <c r="APQ57" s="1"/>
      <c r="APR57" s="1"/>
      <c r="APS57" s="1"/>
      <c r="APT57" s="1"/>
      <c r="APU57" s="1"/>
      <c r="APV57" s="1"/>
      <c r="APW57" s="1"/>
      <c r="APX57" s="1"/>
      <c r="APY57" s="1"/>
      <c r="APZ57" s="1"/>
      <c r="AQA57" s="1"/>
      <c r="AQB57" s="1"/>
      <c r="AQC57" s="1"/>
      <c r="AQD57" s="1"/>
      <c r="AQE57" s="1"/>
      <c r="AQF57" s="1"/>
      <c r="AQG57" s="1"/>
      <c r="AQH57" s="1"/>
      <c r="AQI57" s="1"/>
      <c r="AQJ57" s="1"/>
      <c r="AQK57" s="1"/>
      <c r="AQL57" s="1"/>
      <c r="AQM57" s="1"/>
      <c r="AQN57" s="1"/>
      <c r="AQO57" s="1"/>
      <c r="AQP57" s="1"/>
      <c r="AQQ57" s="1"/>
      <c r="AQR57" s="1"/>
      <c r="AQS57" s="1"/>
      <c r="AQT57" s="1"/>
      <c r="AQU57" s="1"/>
      <c r="AQV57" s="1"/>
      <c r="AQW57" s="1"/>
      <c r="AQX57" s="1"/>
      <c r="AQY57" s="1"/>
      <c r="AQZ57" s="1"/>
      <c r="ARA57" s="1"/>
      <c r="ARB57" s="1"/>
      <c r="ARC57" s="1"/>
      <c r="ARD57" s="1"/>
      <c r="ARE57" s="1"/>
      <c r="ARF57" s="1"/>
      <c r="ARG57" s="1"/>
      <c r="ARH57" s="1"/>
      <c r="ARI57" s="1"/>
      <c r="ARJ57" s="1"/>
      <c r="ARK57" s="1"/>
      <c r="ARL57" s="1"/>
      <c r="ARM57" s="1"/>
      <c r="ARN57" s="1"/>
      <c r="ARO57" s="1"/>
      <c r="ARP57" s="1"/>
      <c r="ARQ57" s="1"/>
      <c r="ARR57" s="1"/>
      <c r="ARS57" s="1"/>
      <c r="ART57" s="1"/>
      <c r="ARU57" s="1"/>
      <c r="ARV57" s="1"/>
      <c r="ARW57" s="1"/>
      <c r="ARX57" s="1"/>
      <c r="ARY57" s="1"/>
      <c r="ARZ57" s="1"/>
      <c r="ASA57" s="1"/>
      <c r="ASB57" s="1"/>
      <c r="ASC57" s="1"/>
      <c r="ASD57" s="1"/>
      <c r="ASE57" s="1"/>
      <c r="ASF57" s="1"/>
      <c r="ASG57" s="1"/>
      <c r="ASH57" s="1"/>
      <c r="ASI57" s="1"/>
      <c r="ASJ57" s="1"/>
      <c r="ASK57" s="1"/>
      <c r="ASL57" s="1"/>
      <c r="ASM57" s="1"/>
      <c r="ASN57" s="1"/>
      <c r="ASO57" s="1"/>
      <c r="ASP57" s="1"/>
      <c r="ASQ57" s="1"/>
      <c r="ASR57" s="1"/>
      <c r="ASS57" s="1"/>
      <c r="AST57" s="1"/>
      <c r="ASU57" s="1"/>
      <c r="ASV57" s="1"/>
      <c r="ASW57" s="1"/>
      <c r="ASX57" s="1"/>
      <c r="ASY57" s="1"/>
      <c r="ASZ57" s="1"/>
      <c r="ATA57" s="1"/>
      <c r="ATB57" s="1"/>
      <c r="ATC57" s="1"/>
      <c r="ATD57" s="1"/>
      <c r="ATE57" s="1"/>
      <c r="ATF57" s="1"/>
      <c r="ATG57" s="1"/>
      <c r="ATH57" s="1"/>
      <c r="ATI57" s="1"/>
      <c r="ATJ57" s="1"/>
      <c r="ATK57" s="1"/>
      <c r="ATL57" s="1"/>
      <c r="ATM57" s="1"/>
      <c r="ATN57" s="1"/>
      <c r="ATO57" s="1"/>
      <c r="ATP57" s="1"/>
      <c r="ATQ57" s="1"/>
      <c r="ATR57" s="1"/>
      <c r="ATS57" s="1"/>
      <c r="ATT57" s="1"/>
      <c r="ATU57" s="1"/>
      <c r="ATV57" s="1"/>
      <c r="ATW57" s="1"/>
      <c r="ATX57" s="1"/>
      <c r="ATY57" s="1"/>
      <c r="ATZ57" s="1"/>
      <c r="AUA57" s="1"/>
      <c r="AUB57" s="1"/>
      <c r="AUC57" s="1"/>
      <c r="AUD57" s="1"/>
      <c r="AUE57" s="1"/>
      <c r="AUF57" s="1"/>
      <c r="AUG57" s="1"/>
      <c r="AUH57" s="1"/>
      <c r="AUI57" s="1"/>
      <c r="AUJ57" s="1"/>
      <c r="AUK57" s="1"/>
      <c r="AUL57" s="1"/>
      <c r="AUM57" s="1"/>
      <c r="AUN57" s="1"/>
      <c r="AUO57" s="1"/>
      <c r="AUP57" s="1"/>
      <c r="AUQ57" s="1"/>
      <c r="AUR57" s="1"/>
      <c r="AUS57" s="1"/>
      <c r="AUT57" s="1"/>
      <c r="AUU57" s="1"/>
      <c r="AUV57" s="1"/>
      <c r="AUW57" s="1"/>
      <c r="AUX57" s="1"/>
      <c r="AUY57" s="1"/>
      <c r="AUZ57" s="1"/>
      <c r="AVA57" s="1"/>
      <c r="AVB57" s="1"/>
      <c r="AVC57" s="1"/>
      <c r="AVD57" s="1"/>
      <c r="AVE57" s="1"/>
      <c r="AVF57" s="1"/>
      <c r="AVG57" s="1"/>
      <c r="AVH57" s="1"/>
      <c r="AVI57" s="1"/>
      <c r="AVJ57" s="1"/>
      <c r="AVK57" s="1"/>
      <c r="AVL57" s="1"/>
      <c r="AVM57" s="1"/>
      <c r="AVN57" s="1"/>
      <c r="AVO57" s="1"/>
      <c r="AVP57" s="1"/>
      <c r="AVQ57" s="1"/>
      <c r="AVR57" s="1"/>
      <c r="AVS57" s="1"/>
      <c r="AVT57" s="1"/>
      <c r="AVU57" s="1"/>
      <c r="AVV57" s="1"/>
      <c r="AVW57" s="1"/>
      <c r="AVX57" s="1"/>
      <c r="AVY57" s="1"/>
      <c r="AVZ57" s="1"/>
      <c r="AWA57" s="1"/>
      <c r="AWB57" s="1"/>
      <c r="AWC57" s="1"/>
      <c r="AWD57" s="1"/>
      <c r="AWE57" s="1"/>
      <c r="AWF57" s="1"/>
      <c r="AWG57" s="1"/>
      <c r="AWH57" s="1"/>
      <c r="AWI57" s="1"/>
      <c r="AWJ57" s="1"/>
      <c r="AWK57" s="1"/>
      <c r="AWL57" s="1"/>
      <c r="AWM57" s="1"/>
      <c r="AWN57" s="1"/>
      <c r="AWO57" s="1"/>
      <c r="AWP57" s="1"/>
      <c r="AWQ57" s="1"/>
      <c r="AWR57" s="1"/>
      <c r="AWS57" s="1"/>
      <c r="AWT57" s="1"/>
      <c r="AWU57" s="1"/>
      <c r="AWV57" s="1"/>
      <c r="AWW57" s="1"/>
      <c r="AWX57" s="1"/>
      <c r="AWY57" s="1"/>
      <c r="AWZ57" s="1"/>
      <c r="AXA57" s="1"/>
      <c r="AXB57" s="1"/>
      <c r="AXC57" s="1"/>
      <c r="AXD57" s="1"/>
      <c r="AXE57" s="1"/>
      <c r="AXF57" s="1"/>
      <c r="AXG57" s="1"/>
      <c r="AXH57" s="1"/>
      <c r="AXI57" s="1"/>
      <c r="AXJ57" s="1"/>
      <c r="AXK57" s="1"/>
      <c r="AXL57" s="1"/>
      <c r="AXM57" s="1"/>
      <c r="AXN57" s="1"/>
      <c r="AXO57" s="1"/>
      <c r="AXP57" s="1"/>
      <c r="AXQ57" s="1"/>
      <c r="AXR57" s="1"/>
      <c r="AXS57" s="1"/>
      <c r="AXT57" s="1"/>
      <c r="AXU57" s="1"/>
      <c r="AXV57" s="1"/>
      <c r="AXW57" s="1"/>
      <c r="AXX57" s="1"/>
      <c r="AXY57" s="1"/>
      <c r="AXZ57" s="1"/>
      <c r="AYA57" s="1"/>
      <c r="AYB57" s="1"/>
      <c r="AYC57" s="1"/>
      <c r="AYD57" s="1"/>
      <c r="AYE57" s="1"/>
      <c r="AYF57" s="1"/>
      <c r="AYG57" s="1"/>
      <c r="AYH57" s="1"/>
      <c r="AYI57" s="1"/>
      <c r="AYJ57" s="1"/>
      <c r="AYK57" s="1"/>
      <c r="AYL57" s="1"/>
      <c r="AYM57" s="1"/>
      <c r="AYN57" s="1"/>
      <c r="AYO57" s="1"/>
      <c r="AYP57" s="1"/>
      <c r="AYQ57" s="1"/>
      <c r="AYR57" s="1"/>
      <c r="AYS57" s="1"/>
      <c r="AYT57" s="1"/>
      <c r="AYU57" s="1"/>
      <c r="AYV57" s="1"/>
      <c r="AYW57" s="1"/>
      <c r="AYX57" s="1"/>
      <c r="AYY57" s="1"/>
      <c r="AYZ57" s="1"/>
      <c r="AZA57" s="1"/>
      <c r="AZB57" s="1"/>
      <c r="AZC57" s="1"/>
      <c r="AZD57" s="1"/>
      <c r="AZE57" s="1"/>
      <c r="AZF57" s="1"/>
      <c r="AZG57" s="1"/>
      <c r="AZH57" s="1"/>
      <c r="AZI57" s="1"/>
      <c r="AZJ57" s="1"/>
      <c r="AZK57" s="1"/>
      <c r="AZL57" s="1"/>
      <c r="AZM57" s="1"/>
      <c r="AZN57" s="1"/>
      <c r="AZO57" s="1"/>
      <c r="AZP57" s="1"/>
      <c r="AZQ57" s="1"/>
      <c r="AZR57" s="1"/>
      <c r="AZS57" s="1"/>
      <c r="AZT57" s="1"/>
      <c r="AZU57" s="1"/>
      <c r="AZV57" s="1"/>
      <c r="AZW57" s="1"/>
      <c r="AZX57" s="1"/>
      <c r="AZY57" s="1"/>
      <c r="AZZ57" s="1"/>
      <c r="BAA57" s="1"/>
      <c r="BAB57" s="1"/>
      <c r="BAC57" s="1"/>
      <c r="BAD57" s="1"/>
      <c r="BAE57" s="1"/>
      <c r="BAF57" s="1"/>
      <c r="BAG57" s="1"/>
      <c r="BAH57" s="1"/>
      <c r="BAI57" s="1"/>
      <c r="BAJ57" s="1"/>
      <c r="BAK57" s="1"/>
      <c r="BAL57" s="1"/>
      <c r="BAM57" s="1"/>
      <c r="BAN57" s="1"/>
      <c r="BAO57" s="1"/>
      <c r="BAP57" s="1"/>
      <c r="BAQ57" s="1"/>
      <c r="BAR57" s="1"/>
      <c r="BAS57" s="1"/>
      <c r="BAT57" s="1"/>
      <c r="BAU57" s="1"/>
      <c r="BAV57" s="1"/>
      <c r="BAW57" s="1"/>
      <c r="BAX57" s="1"/>
      <c r="BAY57" s="1"/>
      <c r="BAZ57" s="1"/>
      <c r="BBA57" s="1"/>
      <c r="BBB57" s="1"/>
      <c r="BBC57" s="1"/>
      <c r="BBD57" s="1"/>
      <c r="BBE57" s="1"/>
      <c r="BBF57" s="1"/>
      <c r="BBG57" s="1"/>
      <c r="BBH57" s="1"/>
      <c r="BBI57" s="1"/>
      <c r="BBJ57" s="1"/>
      <c r="BBK57" s="1"/>
      <c r="BBL57" s="1"/>
      <c r="BBM57" s="1"/>
      <c r="BBN57" s="1"/>
      <c r="BBO57" s="1"/>
      <c r="BBP57" s="1"/>
      <c r="BBQ57" s="1"/>
      <c r="BBR57" s="1"/>
      <c r="BBS57" s="1"/>
      <c r="BBT57" s="1"/>
      <c r="BBU57" s="1"/>
      <c r="BBV57" s="1"/>
      <c r="BBW57" s="1"/>
      <c r="BBX57" s="1"/>
      <c r="BBY57" s="1"/>
      <c r="BBZ57" s="1"/>
      <c r="BCA57" s="1"/>
      <c r="BCB57" s="1"/>
      <c r="BCC57" s="1"/>
      <c r="BCD57" s="1"/>
      <c r="BCE57" s="1"/>
      <c r="BCF57" s="1"/>
      <c r="BCG57" s="1"/>
      <c r="BCH57" s="1"/>
      <c r="BCI57" s="1"/>
      <c r="BCJ57" s="1"/>
      <c r="BCK57" s="1"/>
      <c r="BCL57" s="1"/>
      <c r="BCM57" s="1"/>
      <c r="BCN57" s="1"/>
      <c r="BCO57" s="1"/>
      <c r="BCP57" s="1"/>
      <c r="BCQ57" s="1"/>
      <c r="BCR57" s="1"/>
      <c r="BCS57" s="1"/>
      <c r="BCT57" s="1"/>
      <c r="BCU57" s="1"/>
      <c r="BCV57" s="1"/>
      <c r="BCW57" s="1"/>
      <c r="BCX57" s="1"/>
      <c r="BCY57" s="1"/>
      <c r="BCZ57" s="1"/>
      <c r="BDA57" s="1"/>
      <c r="BDB57" s="1"/>
      <c r="BDC57" s="1"/>
      <c r="BDD57" s="1"/>
      <c r="BDE57" s="1"/>
      <c r="BDF57" s="1"/>
      <c r="BDG57" s="1"/>
      <c r="BDH57" s="1"/>
      <c r="BDI57" s="1"/>
      <c r="BDJ57" s="1"/>
      <c r="BDK57" s="1"/>
      <c r="BDL57" s="1"/>
      <c r="BDM57" s="1"/>
      <c r="BDN57" s="1"/>
      <c r="BDO57" s="1"/>
      <c r="BDP57" s="1"/>
      <c r="BDQ57" s="1"/>
      <c r="BDR57" s="1"/>
      <c r="BDS57" s="1"/>
      <c r="BDT57" s="1"/>
      <c r="BDU57" s="1"/>
      <c r="BDV57" s="1"/>
      <c r="BDW57" s="1"/>
      <c r="BDX57" s="1"/>
      <c r="BDY57" s="1"/>
      <c r="BDZ57" s="1"/>
      <c r="BEA57" s="1"/>
      <c r="BEB57" s="1"/>
      <c r="BEC57" s="1"/>
      <c r="BED57" s="1"/>
      <c r="BEE57" s="1"/>
      <c r="BEF57" s="1"/>
      <c r="BEG57" s="1"/>
      <c r="BEH57" s="1"/>
      <c r="BEI57" s="1"/>
      <c r="BEJ57" s="1"/>
      <c r="BEK57" s="1"/>
      <c r="BEL57" s="1"/>
      <c r="BEM57" s="1"/>
      <c r="BEN57" s="1"/>
      <c r="BEO57" s="1"/>
      <c r="BEP57" s="1"/>
      <c r="BEQ57" s="1"/>
      <c r="BER57" s="1"/>
      <c r="BES57" s="1"/>
      <c r="BET57" s="1"/>
      <c r="BEU57" s="1"/>
      <c r="BEV57" s="1"/>
      <c r="BEW57" s="1"/>
      <c r="BEX57" s="1"/>
      <c r="BEY57" s="1"/>
      <c r="BEZ57" s="1"/>
      <c r="BFA57" s="1"/>
      <c r="BFB57" s="1"/>
      <c r="BFC57" s="1"/>
      <c r="BFD57" s="1"/>
      <c r="BFE57" s="1"/>
      <c r="BFF57" s="1"/>
      <c r="BFG57" s="1"/>
      <c r="BFH57" s="1"/>
      <c r="BFI57" s="1"/>
      <c r="BFJ57" s="1"/>
      <c r="BFK57" s="1"/>
      <c r="BFL57" s="1"/>
      <c r="BFM57" s="1"/>
      <c r="BFN57" s="1"/>
      <c r="BFO57" s="1"/>
      <c r="BFP57" s="1"/>
      <c r="BFQ57" s="1"/>
      <c r="BFR57" s="1"/>
      <c r="BFS57" s="1"/>
      <c r="BFT57" s="1"/>
      <c r="BFU57" s="1"/>
      <c r="BFV57" s="1"/>
      <c r="BFW57" s="1"/>
      <c r="BFX57" s="1"/>
      <c r="BFY57" s="1"/>
      <c r="BFZ57" s="1"/>
      <c r="BGA57" s="1"/>
      <c r="BGB57" s="1"/>
      <c r="BGC57" s="1"/>
      <c r="BGD57" s="1"/>
      <c r="BGE57" s="1"/>
      <c r="BGF57" s="1"/>
      <c r="BGG57" s="1"/>
      <c r="BGH57" s="1"/>
      <c r="BGI57" s="1"/>
      <c r="BGJ57" s="1"/>
      <c r="BGK57" s="1"/>
      <c r="BGL57" s="1"/>
      <c r="BGM57" s="1"/>
      <c r="BGN57" s="1"/>
      <c r="BGO57" s="1"/>
      <c r="BGP57" s="1"/>
      <c r="BGQ57" s="1"/>
      <c r="BGR57" s="1"/>
      <c r="BGS57" s="1"/>
      <c r="BGT57" s="1"/>
      <c r="BGU57" s="1"/>
      <c r="BGV57" s="1"/>
      <c r="BGW57" s="1"/>
      <c r="BGX57" s="1"/>
      <c r="BGY57" s="1"/>
      <c r="BGZ57" s="1"/>
      <c r="BHA57" s="1"/>
    </row>
    <row r="58" spans="1:1561" ht="12.75" customHeight="1" x14ac:dyDescent="0.2">
      <c r="A58" s="2209"/>
      <c r="B58" s="737" t="s">
        <v>1074</v>
      </c>
      <c r="C58" s="772">
        <v>185000</v>
      </c>
      <c r="D58" s="772">
        <v>185000</v>
      </c>
      <c r="E58" s="968">
        <v>416150</v>
      </c>
      <c r="F58" s="968"/>
      <c r="G58" s="2200">
        <f t="shared" si="52"/>
        <v>224.94594594594594</v>
      </c>
      <c r="H58" s="2200">
        <f t="shared" si="53"/>
        <v>224.94594594594594</v>
      </c>
      <c r="I58" s="2201">
        <f t="shared" si="54"/>
        <v>308.77388239658694</v>
      </c>
      <c r="J58" s="29">
        <v>134775</v>
      </c>
    </row>
    <row r="59" spans="1:1561" ht="12.75" customHeight="1" x14ac:dyDescent="0.2">
      <c r="A59" s="2209"/>
      <c r="B59" s="737" t="s">
        <v>1076</v>
      </c>
      <c r="C59" s="767">
        <v>7000</v>
      </c>
      <c r="D59" s="767">
        <v>7000</v>
      </c>
      <c r="E59" s="968">
        <v>7000</v>
      </c>
      <c r="F59" s="968"/>
      <c r="G59" s="2200">
        <f t="shared" si="52"/>
        <v>100</v>
      </c>
      <c r="H59" s="2200">
        <f t="shared" si="53"/>
        <v>100</v>
      </c>
      <c r="I59" s="2201">
        <f t="shared" si="54"/>
        <v>122.80701754385966</v>
      </c>
      <c r="J59" s="29">
        <v>5700</v>
      </c>
    </row>
    <row r="60" spans="1:1561" ht="12.75" customHeight="1" x14ac:dyDescent="0.2">
      <c r="A60" s="2210">
        <v>1383</v>
      </c>
      <c r="B60" s="717" t="s">
        <v>2597</v>
      </c>
      <c r="C60" s="1690">
        <v>0</v>
      </c>
      <c r="D60" s="1690">
        <v>0</v>
      </c>
      <c r="E60" s="746">
        <v>42745.89</v>
      </c>
      <c r="F60" s="2211"/>
      <c r="G60" s="1663">
        <v>0</v>
      </c>
      <c r="H60" s="1663">
        <v>0</v>
      </c>
      <c r="I60" s="1662">
        <v>0</v>
      </c>
      <c r="J60" s="29">
        <v>0</v>
      </c>
    </row>
    <row r="61" spans="1:1561" ht="12.75" customHeight="1" x14ac:dyDescent="0.2">
      <c r="A61" s="2199">
        <v>1386</v>
      </c>
      <c r="B61" s="717" t="s">
        <v>2598</v>
      </c>
      <c r="C61" s="1666">
        <v>3200000</v>
      </c>
      <c r="D61" s="1666">
        <v>3200000</v>
      </c>
      <c r="E61" s="746">
        <v>2432258.81</v>
      </c>
      <c r="F61" s="2212"/>
      <c r="G61" s="1663">
        <f t="shared" si="52"/>
        <v>76.008087812500008</v>
      </c>
      <c r="H61" s="1663">
        <f t="shared" si="53"/>
        <v>76.008087812500008</v>
      </c>
      <c r="I61" s="1662">
        <f t="shared" si="54"/>
        <v>276.94787704408225</v>
      </c>
      <c r="J61" s="29">
        <v>878237.03</v>
      </c>
    </row>
    <row r="62" spans="1:1561" ht="12.75" customHeight="1" x14ac:dyDescent="0.2">
      <c r="A62" s="2210">
        <v>1387</v>
      </c>
      <c r="B62" s="717" t="s">
        <v>1084</v>
      </c>
      <c r="C62" s="746">
        <f>3700000+1600000</f>
        <v>5300000</v>
      </c>
      <c r="D62" s="746">
        <f>3700000+1600000</f>
        <v>5300000</v>
      </c>
      <c r="E62" s="746">
        <f>2176701.31+926066.2</f>
        <v>3102767.51</v>
      </c>
      <c r="F62" s="2213"/>
      <c r="G62" s="1663">
        <f t="shared" si="52"/>
        <v>58.542783207547167</v>
      </c>
      <c r="H62" s="1663">
        <f t="shared" si="53"/>
        <v>58.542783207547167</v>
      </c>
      <c r="I62" s="1662">
        <f t="shared" si="54"/>
        <v>217.97346233121235</v>
      </c>
      <c r="J62" s="29">
        <v>1423461.13</v>
      </c>
    </row>
    <row r="63" spans="1:1561" s="98" customFormat="1" ht="12.75" customHeight="1" x14ac:dyDescent="0.2">
      <c r="A63" s="2199">
        <v>1511</v>
      </c>
      <c r="B63" s="717" t="s">
        <v>1087</v>
      </c>
      <c r="C63" s="734">
        <v>36541566</v>
      </c>
      <c r="D63" s="734">
        <v>36541566</v>
      </c>
      <c r="E63" s="783">
        <v>22970715.329999998</v>
      </c>
      <c r="F63" s="2213"/>
      <c r="G63" s="1663">
        <f t="shared" si="52"/>
        <v>62.861879893160562</v>
      </c>
      <c r="H63" s="1663">
        <f t="shared" si="53"/>
        <v>62.861879893160562</v>
      </c>
      <c r="I63" s="1662">
        <f t="shared" si="54"/>
        <v>151.96762666917328</v>
      </c>
      <c r="J63" s="29">
        <v>15115532.060000001</v>
      </c>
    </row>
    <row r="64" spans="1:1561" s="98" customFormat="1" ht="12.75" customHeight="1" x14ac:dyDescent="0.2">
      <c r="A64" s="2214"/>
      <c r="B64" s="757"/>
      <c r="C64" s="1694"/>
      <c r="D64" s="1694"/>
      <c r="E64" s="869"/>
      <c r="F64" s="2215"/>
      <c r="G64" s="2200"/>
      <c r="H64" s="2200"/>
      <c r="I64" s="1662"/>
      <c r="J64" s="29"/>
    </row>
    <row r="65" spans="1:10" s="98" customFormat="1" ht="18.75" customHeight="1" x14ac:dyDescent="0.25">
      <c r="A65" s="2216"/>
      <c r="B65" s="2217" t="s">
        <v>10</v>
      </c>
      <c r="C65" s="1696">
        <f>SUM(C66,C77:C80,C92:C94,C108:C108,C121:C124,C142:C143)</f>
        <v>172178289.50999999</v>
      </c>
      <c r="D65" s="1696">
        <f>SUM(D66,D77:D80,D92:D94,D108:D108,D121:D124,D142:D143)</f>
        <v>172703100.72</v>
      </c>
      <c r="E65" s="593">
        <v>103418717.67</v>
      </c>
      <c r="F65" s="2218">
        <f>SUM(E66,E77:E80,E92:E94,E108,E121:E124,E143,E142)</f>
        <v>103418717.67</v>
      </c>
      <c r="G65" s="1654">
        <f t="shared" si="52"/>
        <v>60.064900147584247</v>
      </c>
      <c r="H65" s="1654">
        <f t="shared" si="53"/>
        <v>59.882374571647468</v>
      </c>
      <c r="I65" s="1654">
        <f t="shared" si="54"/>
        <v>50.790606335483361</v>
      </c>
      <c r="J65" s="29">
        <v>203617804.81</v>
      </c>
    </row>
    <row r="66" spans="1:10" s="98" customFormat="1" ht="12.75" customHeight="1" x14ac:dyDescent="0.2">
      <c r="A66" s="2219">
        <v>2111</v>
      </c>
      <c r="B66" s="1698" t="s">
        <v>1088</v>
      </c>
      <c r="C66" s="1700">
        <f>SUM(C67:C76)</f>
        <v>18422000</v>
      </c>
      <c r="D66" s="1700">
        <f>SUM(D67:D76)</f>
        <v>18432000</v>
      </c>
      <c r="E66" s="844">
        <v>12222573.380000001</v>
      </c>
      <c r="F66" s="2220">
        <f>SUM(E67:E76)</f>
        <v>12222573.379999999</v>
      </c>
      <c r="G66" s="1663">
        <f t="shared" si="52"/>
        <v>66.347700466833132</v>
      </c>
      <c r="H66" s="1663">
        <f t="shared" si="53"/>
        <v>66.31170453559028</v>
      </c>
      <c r="I66" s="1662">
        <f t="shared" si="54"/>
        <v>109.51891503512653</v>
      </c>
      <c r="J66" s="29">
        <v>11160239.65</v>
      </c>
    </row>
    <row r="67" spans="1:10" ht="12.75" customHeight="1" x14ac:dyDescent="0.2">
      <c r="A67" s="2221"/>
      <c r="B67" s="776" t="s">
        <v>1090</v>
      </c>
      <c r="C67" s="1706">
        <v>800000</v>
      </c>
      <c r="D67" s="1706">
        <v>800000</v>
      </c>
      <c r="E67" s="767">
        <v>225049.19</v>
      </c>
      <c r="F67" s="854"/>
      <c r="G67" s="2200">
        <f t="shared" si="52"/>
        <v>28.131148750000001</v>
      </c>
      <c r="H67" s="2200">
        <f t="shared" si="53"/>
        <v>28.131148750000001</v>
      </c>
      <c r="I67" s="2201">
        <f t="shared" si="54"/>
        <v>175.69344120478434</v>
      </c>
      <c r="J67" s="29">
        <v>128091.97</v>
      </c>
    </row>
    <row r="68" spans="1:10" s="29" customFormat="1" ht="12.75" customHeight="1" x14ac:dyDescent="0.2">
      <c r="A68" s="2222"/>
      <c r="B68" s="1710" t="s">
        <v>1091</v>
      </c>
      <c r="C68" s="1711">
        <v>1340000</v>
      </c>
      <c r="D68" s="1711">
        <v>1340000</v>
      </c>
      <c r="E68" s="767">
        <v>822881.5</v>
      </c>
      <c r="F68" s="854"/>
      <c r="G68" s="2200">
        <f t="shared" si="52"/>
        <v>61.409067164179106</v>
      </c>
      <c r="H68" s="2200">
        <f t="shared" si="53"/>
        <v>61.409067164179106</v>
      </c>
      <c r="I68" s="2201">
        <f t="shared" si="54"/>
        <v>115.01014694906679</v>
      </c>
      <c r="J68" s="29">
        <v>715486</v>
      </c>
    </row>
    <row r="69" spans="1:10" ht="12.75" customHeight="1" x14ac:dyDescent="0.2">
      <c r="A69" s="2223"/>
      <c r="B69" s="776" t="s">
        <v>1092</v>
      </c>
      <c r="C69" s="1714">
        <v>0</v>
      </c>
      <c r="D69" s="1714">
        <v>10000</v>
      </c>
      <c r="E69" s="767">
        <v>40420</v>
      </c>
      <c r="F69" s="1682"/>
      <c r="G69" s="2200">
        <v>0</v>
      </c>
      <c r="H69" s="2200">
        <f t="shared" si="53"/>
        <v>404.2</v>
      </c>
      <c r="I69" s="2201">
        <f t="shared" si="54"/>
        <v>172</v>
      </c>
      <c r="J69" s="29">
        <v>23500</v>
      </c>
    </row>
    <row r="70" spans="1:10" ht="12.75" customHeight="1" x14ac:dyDescent="0.2">
      <c r="A70" s="2223"/>
      <c r="B70" s="776" t="s">
        <v>2599</v>
      </c>
      <c r="C70" s="1893">
        <v>7120000</v>
      </c>
      <c r="D70" s="1893">
        <v>7120000</v>
      </c>
      <c r="E70" s="738">
        <v>5644756.4699999997</v>
      </c>
      <c r="F70" s="1077"/>
      <c r="G70" s="2200">
        <f t="shared" si="52"/>
        <v>79.2802875</v>
      </c>
      <c r="H70" s="2200">
        <f t="shared" si="53"/>
        <v>79.2802875</v>
      </c>
      <c r="I70" s="2201">
        <f t="shared" si="54"/>
        <v>110.81292288646733</v>
      </c>
      <c r="J70" s="29">
        <v>5093951.43</v>
      </c>
    </row>
    <row r="71" spans="1:10" ht="12.75" customHeight="1" x14ac:dyDescent="0.2">
      <c r="A71" s="2223"/>
      <c r="B71" s="776" t="s">
        <v>2600</v>
      </c>
      <c r="C71" s="1893">
        <v>1961000</v>
      </c>
      <c r="D71" s="1893">
        <v>1961000</v>
      </c>
      <c r="E71" s="738">
        <v>1414424.27</v>
      </c>
      <c r="F71" s="1077"/>
      <c r="G71" s="2200">
        <f t="shared" si="52"/>
        <v>72.127703722590525</v>
      </c>
      <c r="H71" s="2200">
        <f t="shared" si="53"/>
        <v>72.127703722590525</v>
      </c>
      <c r="I71" s="2201">
        <f t="shared" si="54"/>
        <v>116.61734424682773</v>
      </c>
      <c r="J71" s="29">
        <v>1212876.42</v>
      </c>
    </row>
    <row r="72" spans="1:10" ht="12.75" customHeight="1" x14ac:dyDescent="0.2">
      <c r="A72" s="2223"/>
      <c r="B72" s="776" t="s">
        <v>2601</v>
      </c>
      <c r="C72" s="1893">
        <v>2940000</v>
      </c>
      <c r="D72" s="1893">
        <v>2940000</v>
      </c>
      <c r="E72" s="738">
        <v>1770261.95</v>
      </c>
      <c r="F72" s="1077"/>
      <c r="G72" s="2200">
        <f t="shared" si="52"/>
        <v>60.212991496598633</v>
      </c>
      <c r="H72" s="2200">
        <f t="shared" si="53"/>
        <v>60.212991496598633</v>
      </c>
      <c r="I72" s="2201">
        <f t="shared" si="54"/>
        <v>104.66692925703866</v>
      </c>
      <c r="J72" s="29">
        <v>1691328.83</v>
      </c>
    </row>
    <row r="73" spans="1:10" ht="12.75" customHeight="1" x14ac:dyDescent="0.2">
      <c r="A73" s="2223"/>
      <c r="B73" s="776" t="s">
        <v>2602</v>
      </c>
      <c r="C73" s="1893">
        <v>0</v>
      </c>
      <c r="D73" s="1893">
        <v>0</v>
      </c>
      <c r="E73" s="738">
        <v>198522</v>
      </c>
      <c r="F73" s="1077"/>
      <c r="G73" s="2200">
        <v>0</v>
      </c>
      <c r="H73" s="2200">
        <v>0</v>
      </c>
      <c r="I73" s="2201">
        <f t="shared" si="54"/>
        <v>526.70929399591409</v>
      </c>
      <c r="J73" s="29">
        <v>37691</v>
      </c>
    </row>
    <row r="74" spans="1:10" ht="12.75" customHeight="1" x14ac:dyDescent="0.2">
      <c r="A74" s="2223"/>
      <c r="B74" s="776" t="s">
        <v>2603</v>
      </c>
      <c r="C74" s="1893">
        <v>4200000</v>
      </c>
      <c r="D74" s="1893">
        <v>4200000</v>
      </c>
      <c r="E74" s="738">
        <v>2106216</v>
      </c>
      <c r="F74" s="1077"/>
      <c r="G74" s="2200">
        <f t="shared" si="52"/>
        <v>50.148000000000003</v>
      </c>
      <c r="H74" s="2200">
        <f t="shared" si="53"/>
        <v>50.148000000000003</v>
      </c>
      <c r="I74" s="2201">
        <f t="shared" si="54"/>
        <v>94.627837589277334</v>
      </c>
      <c r="J74" s="29">
        <v>2225789</v>
      </c>
    </row>
    <row r="75" spans="1:10" ht="12.75" customHeight="1" x14ac:dyDescent="0.2">
      <c r="A75" s="2223"/>
      <c r="B75" s="776" t="s">
        <v>1098</v>
      </c>
      <c r="C75" s="2224">
        <v>60000</v>
      </c>
      <c r="D75" s="2224">
        <v>60000</v>
      </c>
      <c r="E75" s="738">
        <v>0</v>
      </c>
      <c r="F75" s="1077"/>
      <c r="G75" s="2200">
        <f t="shared" si="52"/>
        <v>0</v>
      </c>
      <c r="H75" s="2200">
        <f t="shared" si="53"/>
        <v>0</v>
      </c>
      <c r="I75" s="2201">
        <f t="shared" si="54"/>
        <v>0</v>
      </c>
      <c r="J75" s="29">
        <v>30800</v>
      </c>
    </row>
    <row r="76" spans="1:10" ht="12.75" customHeight="1" x14ac:dyDescent="0.2">
      <c r="A76" s="2223"/>
      <c r="B76" s="776" t="s">
        <v>1099</v>
      </c>
      <c r="C76" s="2225">
        <v>1000</v>
      </c>
      <c r="D76" s="2225">
        <v>1000</v>
      </c>
      <c r="E76" s="738">
        <v>42</v>
      </c>
      <c r="F76" s="742"/>
      <c r="G76" s="2200">
        <f t="shared" si="52"/>
        <v>4.2</v>
      </c>
      <c r="H76" s="2200">
        <f t="shared" si="53"/>
        <v>4.2</v>
      </c>
      <c r="I76" s="2201">
        <f t="shared" si="54"/>
        <v>9.2307692307692317</v>
      </c>
      <c r="J76" s="29">
        <v>455</v>
      </c>
    </row>
    <row r="77" spans="1:10" s="98" customFormat="1" ht="12.75" customHeight="1" x14ac:dyDescent="0.2">
      <c r="A77" s="2221">
        <v>2119</v>
      </c>
      <c r="B77" s="2226" t="s">
        <v>2131</v>
      </c>
      <c r="C77" s="2227">
        <v>1500000</v>
      </c>
      <c r="D77" s="2227">
        <v>1500000</v>
      </c>
      <c r="E77" s="726">
        <v>23853.94</v>
      </c>
      <c r="F77" s="750"/>
      <c r="G77" s="1663">
        <f t="shared" si="52"/>
        <v>1.5902626666666666</v>
      </c>
      <c r="H77" s="1663">
        <f t="shared" si="53"/>
        <v>1.5902626666666666</v>
      </c>
      <c r="I77" s="1662">
        <f t="shared" si="54"/>
        <v>14.147111589522785</v>
      </c>
      <c r="J77" s="29">
        <v>168613.5</v>
      </c>
    </row>
    <row r="78" spans="1:10" s="98" customFormat="1" ht="12.75" customHeight="1" x14ac:dyDescent="0.2">
      <c r="A78" s="2221">
        <v>2122</v>
      </c>
      <c r="B78" s="771" t="s">
        <v>2132</v>
      </c>
      <c r="C78" s="2228">
        <v>4810518</v>
      </c>
      <c r="D78" s="2228">
        <f>4810518+99036+145092-10990+(545328.75+160990)+54671.25</f>
        <v>5804646</v>
      </c>
      <c r="E78" s="2229">
        <v>2027194.15</v>
      </c>
      <c r="F78" s="2230"/>
      <c r="G78" s="1663">
        <f t="shared" si="52"/>
        <v>42.140870276340301</v>
      </c>
      <c r="H78" s="1663">
        <f t="shared" si="53"/>
        <v>34.923648229366613</v>
      </c>
      <c r="I78" s="1662">
        <f t="shared" si="54"/>
        <v>72.22068840693791</v>
      </c>
      <c r="J78" s="29">
        <v>2806943.82</v>
      </c>
    </row>
    <row r="79" spans="1:10" s="98" customFormat="1" x14ac:dyDescent="0.2">
      <c r="A79" s="2221">
        <v>2131</v>
      </c>
      <c r="B79" s="2226" t="s">
        <v>1102</v>
      </c>
      <c r="C79" s="2227">
        <v>1000000</v>
      </c>
      <c r="D79" s="2227">
        <v>1000000</v>
      </c>
      <c r="E79" s="726">
        <v>1124030.1100000001</v>
      </c>
      <c r="F79" s="750"/>
      <c r="G79" s="1663">
        <f t="shared" si="52"/>
        <v>112.40301100000001</v>
      </c>
      <c r="H79" s="1663">
        <f t="shared" si="53"/>
        <v>112.40301100000001</v>
      </c>
      <c r="I79" s="1662">
        <f t="shared" si="54"/>
        <v>106.70490504751943</v>
      </c>
      <c r="J79" s="29">
        <v>1053400.6000000001</v>
      </c>
    </row>
    <row r="80" spans="1:10" s="98" customFormat="1" ht="12.75" customHeight="1" x14ac:dyDescent="0.2">
      <c r="A80" s="2221">
        <v>2132</v>
      </c>
      <c r="B80" s="771" t="s">
        <v>2133</v>
      </c>
      <c r="C80" s="755">
        <f>SUM(C81:C91)</f>
        <v>109394000</v>
      </c>
      <c r="D80" s="755">
        <f>SUM(D81:D91)</f>
        <v>109394000</v>
      </c>
      <c r="E80" s="726">
        <v>66910319.359999999</v>
      </c>
      <c r="F80" s="750">
        <f>SUM(E81:E91)</f>
        <v>66910319.360000007</v>
      </c>
      <c r="G80" s="1663">
        <f t="shared" si="52"/>
        <v>61.164523977549045</v>
      </c>
      <c r="H80" s="1663">
        <f t="shared" si="53"/>
        <v>61.164523977549045</v>
      </c>
      <c r="I80" s="1662">
        <f t="shared" si="54"/>
        <v>105.80594251399368</v>
      </c>
      <c r="J80" s="29">
        <v>63238715.869999997</v>
      </c>
    </row>
    <row r="81" spans="1:10" x14ac:dyDescent="0.2">
      <c r="A81" s="2223"/>
      <c r="B81" s="776" t="s">
        <v>1104</v>
      </c>
      <c r="C81" s="2231">
        <v>810000</v>
      </c>
      <c r="D81" s="2231">
        <v>810000</v>
      </c>
      <c r="E81" s="750">
        <v>804607</v>
      </c>
      <c r="F81" s="750"/>
      <c r="G81" s="2200">
        <f t="shared" si="52"/>
        <v>99.334197530864202</v>
      </c>
      <c r="H81" s="2200">
        <f t="shared" si="53"/>
        <v>99.334197530864202</v>
      </c>
      <c r="I81" s="2201">
        <f t="shared" si="54"/>
        <v>105.55766919778968</v>
      </c>
      <c r="J81" s="29">
        <v>762244</v>
      </c>
    </row>
    <row r="82" spans="1:10" x14ac:dyDescent="0.2">
      <c r="A82" s="2223"/>
      <c r="B82" s="776" t="s">
        <v>1105</v>
      </c>
      <c r="C82" s="1702">
        <v>7000</v>
      </c>
      <c r="D82" s="1702">
        <v>7000</v>
      </c>
      <c r="E82" s="750">
        <v>6383</v>
      </c>
      <c r="F82" s="750"/>
      <c r="G82" s="2200">
        <f t="shared" si="52"/>
        <v>91.185714285714283</v>
      </c>
      <c r="H82" s="2200">
        <f t="shared" si="53"/>
        <v>91.185714285714283</v>
      </c>
      <c r="I82" s="2201">
        <f t="shared" si="54"/>
        <v>74.169184290030216</v>
      </c>
      <c r="J82" s="29">
        <v>8606</v>
      </c>
    </row>
    <row r="83" spans="1:10" x14ac:dyDescent="0.2">
      <c r="A83" s="2223"/>
      <c r="B83" s="776" t="s">
        <v>1106</v>
      </c>
      <c r="C83" s="1702">
        <v>600000</v>
      </c>
      <c r="D83" s="1702">
        <v>600000</v>
      </c>
      <c r="E83" s="750">
        <v>297269.62</v>
      </c>
      <c r="F83" s="750"/>
      <c r="G83" s="2200">
        <f t="shared" si="52"/>
        <v>49.544936666666665</v>
      </c>
      <c r="H83" s="2200">
        <f t="shared" si="53"/>
        <v>49.544936666666665</v>
      </c>
      <c r="I83" s="2201">
        <f t="shared" si="54"/>
        <v>80.641680400392545</v>
      </c>
      <c r="J83" s="29">
        <v>368630.24</v>
      </c>
    </row>
    <row r="84" spans="1:10" ht="12.75" customHeight="1" x14ac:dyDescent="0.2">
      <c r="A84" s="2223"/>
      <c r="B84" s="776" t="s">
        <v>1107</v>
      </c>
      <c r="C84" s="1893">
        <v>350000</v>
      </c>
      <c r="D84" s="1893">
        <v>350000</v>
      </c>
      <c r="E84" s="738">
        <v>353655.02</v>
      </c>
      <c r="F84" s="1045"/>
      <c r="G84" s="2200">
        <f t="shared" si="52"/>
        <v>101.04429142857143</v>
      </c>
      <c r="H84" s="2200">
        <f t="shared" si="53"/>
        <v>101.04429142857143</v>
      </c>
      <c r="I84" s="2201">
        <f t="shared" si="54"/>
        <v>102.47627736105296</v>
      </c>
      <c r="J84" s="29">
        <v>345109.16</v>
      </c>
    </row>
    <row r="85" spans="1:10" ht="12.75" customHeight="1" x14ac:dyDescent="0.2">
      <c r="A85" s="2223"/>
      <c r="B85" s="2232" t="s">
        <v>1108</v>
      </c>
      <c r="C85" s="1893">
        <v>77480000</v>
      </c>
      <c r="D85" s="1893">
        <v>77480000</v>
      </c>
      <c r="E85" s="738">
        <v>42920041.520000003</v>
      </c>
      <c r="F85" s="1077"/>
      <c r="G85" s="2200">
        <f t="shared" si="52"/>
        <v>55.394994217862681</v>
      </c>
      <c r="H85" s="2200">
        <f t="shared" si="53"/>
        <v>55.394994217862681</v>
      </c>
      <c r="I85" s="2201">
        <f t="shared" si="54"/>
        <v>108.09027655403148</v>
      </c>
      <c r="J85" s="29">
        <v>39707587.850000001</v>
      </c>
    </row>
    <row r="86" spans="1:10" ht="12.75" customHeight="1" x14ac:dyDescent="0.2">
      <c r="A86" s="2223"/>
      <c r="B86" s="2232" t="s">
        <v>1109</v>
      </c>
      <c r="C86" s="2225">
        <v>121000</v>
      </c>
      <c r="D86" s="2225">
        <v>121000</v>
      </c>
      <c r="E86" s="738">
        <v>64826.52</v>
      </c>
      <c r="F86" s="742"/>
      <c r="G86" s="2200">
        <f t="shared" si="52"/>
        <v>53.575636363636356</v>
      </c>
      <c r="H86" s="2200">
        <f t="shared" si="53"/>
        <v>53.575636363636356</v>
      </c>
      <c r="I86" s="2201">
        <f t="shared" si="54"/>
        <v>84.507606288391727</v>
      </c>
      <c r="J86" s="29">
        <v>76710.87</v>
      </c>
    </row>
    <row r="87" spans="1:10" ht="22.5" customHeight="1" x14ac:dyDescent="0.2">
      <c r="A87" s="2223"/>
      <c r="B87" s="2233" t="s">
        <v>2135</v>
      </c>
      <c r="C87" s="2234">
        <v>17481000</v>
      </c>
      <c r="D87" s="2234">
        <v>17481000</v>
      </c>
      <c r="E87" s="738">
        <v>10564207.17</v>
      </c>
      <c r="F87" s="2235"/>
      <c r="G87" s="2200">
        <f t="shared" si="52"/>
        <v>60.43251055431611</v>
      </c>
      <c r="H87" s="2200">
        <f t="shared" si="53"/>
        <v>60.43251055431611</v>
      </c>
      <c r="I87" s="2201">
        <f t="shared" si="54"/>
        <v>108.1246881733733</v>
      </c>
      <c r="J87" s="1866">
        <v>9770393.1899999995</v>
      </c>
    </row>
    <row r="88" spans="1:10" ht="12.75" customHeight="1" x14ac:dyDescent="0.2">
      <c r="A88" s="2223"/>
      <c r="B88" s="776" t="s">
        <v>1112</v>
      </c>
      <c r="C88" s="1893">
        <v>12000000</v>
      </c>
      <c r="D88" s="1893">
        <v>12000000</v>
      </c>
      <c r="E88" s="738">
        <v>11500000</v>
      </c>
      <c r="F88" s="1946"/>
      <c r="G88" s="2200">
        <f t="shared" si="52"/>
        <v>95.833333333333343</v>
      </c>
      <c r="H88" s="2200">
        <f t="shared" si="53"/>
        <v>95.833333333333343</v>
      </c>
      <c r="I88" s="2201">
        <f t="shared" si="54"/>
        <v>97.545806874740066</v>
      </c>
      <c r="J88" s="29">
        <v>11789333</v>
      </c>
    </row>
    <row r="89" spans="1:10" ht="12.75" customHeight="1" x14ac:dyDescent="0.2">
      <c r="A89" s="2223"/>
      <c r="B89" s="776" t="s">
        <v>2136</v>
      </c>
      <c r="C89" s="2224">
        <v>500000</v>
      </c>
      <c r="D89" s="2224">
        <v>500000</v>
      </c>
      <c r="E89" s="738">
        <v>366635.51</v>
      </c>
      <c r="F89" s="1946"/>
      <c r="G89" s="2200">
        <f t="shared" si="52"/>
        <v>73.327101999999996</v>
      </c>
      <c r="H89" s="2200">
        <f t="shared" si="53"/>
        <v>73.327101999999996</v>
      </c>
      <c r="I89" s="2201">
        <v>0</v>
      </c>
      <c r="J89" s="29">
        <v>0</v>
      </c>
    </row>
    <row r="90" spans="1:10" ht="12.75" customHeight="1" x14ac:dyDescent="0.2">
      <c r="A90" s="2223"/>
      <c r="B90" s="776" t="s">
        <v>1113</v>
      </c>
      <c r="C90" s="2224">
        <v>20000</v>
      </c>
      <c r="D90" s="2224">
        <v>20000</v>
      </c>
      <c r="E90" s="738">
        <v>13100</v>
      </c>
      <c r="F90" s="740"/>
      <c r="G90" s="2200">
        <f t="shared" si="52"/>
        <v>65.5</v>
      </c>
      <c r="H90" s="2200">
        <f t="shared" si="53"/>
        <v>65.5</v>
      </c>
      <c r="I90" s="2201">
        <f t="shared" si="54"/>
        <v>103.14960629921259</v>
      </c>
      <c r="J90" s="29">
        <v>12700</v>
      </c>
    </row>
    <row r="91" spans="1:10" ht="12.75" customHeight="1" x14ac:dyDescent="0.2">
      <c r="A91" s="2236"/>
      <c r="B91" s="790" t="s">
        <v>2137</v>
      </c>
      <c r="C91" s="1717">
        <v>25000</v>
      </c>
      <c r="D91" s="1717">
        <v>25000</v>
      </c>
      <c r="E91" s="767">
        <v>19594</v>
      </c>
      <c r="F91" s="1681"/>
      <c r="G91" s="2200">
        <f t="shared" si="52"/>
        <v>78.376000000000005</v>
      </c>
      <c r="H91" s="2200">
        <f t="shared" si="53"/>
        <v>78.376000000000005</v>
      </c>
      <c r="I91" s="2201">
        <f t="shared" si="54"/>
        <v>76.866344984504337</v>
      </c>
      <c r="J91" s="29">
        <v>25491</v>
      </c>
    </row>
    <row r="92" spans="1:10" s="98" customFormat="1" ht="12.75" customHeight="1" x14ac:dyDescent="0.2">
      <c r="A92" s="2237">
        <v>2141</v>
      </c>
      <c r="B92" s="791" t="s">
        <v>118</v>
      </c>
      <c r="C92" s="1689">
        <v>2000000</v>
      </c>
      <c r="D92" s="1689">
        <v>2000000</v>
      </c>
      <c r="E92" s="746">
        <v>2275965.9300000002</v>
      </c>
      <c r="F92" s="1681"/>
      <c r="G92" s="1663">
        <f t="shared" si="52"/>
        <v>113.79829650000002</v>
      </c>
      <c r="H92" s="1663">
        <f t="shared" si="53"/>
        <v>113.79829650000002</v>
      </c>
      <c r="I92" s="1662">
        <f t="shared" si="54"/>
        <v>695.63412752649856</v>
      </c>
      <c r="J92" s="29">
        <v>327178.59000000003</v>
      </c>
    </row>
    <row r="93" spans="1:10" s="98" customFormat="1" ht="12.75" customHeight="1" x14ac:dyDescent="0.2">
      <c r="A93" s="2237">
        <v>2149</v>
      </c>
      <c r="B93" s="791" t="s">
        <v>2604</v>
      </c>
      <c r="C93" s="1689">
        <v>0</v>
      </c>
      <c r="D93" s="1689">
        <v>0</v>
      </c>
      <c r="E93" s="746">
        <v>968750</v>
      </c>
      <c r="F93" s="1681"/>
      <c r="G93" s="1663">
        <v>0</v>
      </c>
      <c r="H93" s="1663">
        <v>0</v>
      </c>
      <c r="I93" s="1662">
        <v>0</v>
      </c>
      <c r="J93" s="29">
        <v>0</v>
      </c>
    </row>
    <row r="94" spans="1:10" s="98" customFormat="1" ht="12.75" customHeight="1" x14ac:dyDescent="0.2">
      <c r="A94" s="2237">
        <v>2212</v>
      </c>
      <c r="B94" s="791" t="s">
        <v>2138</v>
      </c>
      <c r="C94" s="783">
        <f>SUM(C95:C107)</f>
        <v>18832000</v>
      </c>
      <c r="D94" s="783">
        <f>SUM(D95:D107)</f>
        <v>18842000</v>
      </c>
      <c r="E94" s="734">
        <v>7472253.25</v>
      </c>
      <c r="F94" s="772">
        <f>SUM(E95:E107)</f>
        <v>7472253.25</v>
      </c>
      <c r="G94" s="1663">
        <f t="shared" si="52"/>
        <v>39.67849007009346</v>
      </c>
      <c r="H94" s="1663">
        <f t="shared" si="53"/>
        <v>39.657431535930371</v>
      </c>
      <c r="I94" s="1662">
        <f t="shared" si="54"/>
        <v>65.392977651658001</v>
      </c>
      <c r="J94" s="29">
        <v>11426690.630000001</v>
      </c>
    </row>
    <row r="95" spans="1:10" ht="12.75" customHeight="1" x14ac:dyDescent="0.2">
      <c r="A95" s="2238"/>
      <c r="B95" s="790" t="s">
        <v>1117</v>
      </c>
      <c r="C95" s="1711">
        <v>20000</v>
      </c>
      <c r="D95" s="1711">
        <v>20000</v>
      </c>
      <c r="E95" s="767">
        <v>33400</v>
      </c>
      <c r="F95" s="1681"/>
      <c r="G95" s="2200">
        <f t="shared" si="52"/>
        <v>167</v>
      </c>
      <c r="H95" s="2200">
        <f t="shared" si="53"/>
        <v>167</v>
      </c>
      <c r="I95" s="2201">
        <f t="shared" si="54"/>
        <v>230.34482758620692</v>
      </c>
      <c r="J95" s="29">
        <v>14500</v>
      </c>
    </row>
    <row r="96" spans="1:10" ht="12.75" customHeight="1" x14ac:dyDescent="0.2">
      <c r="A96" s="2223"/>
      <c r="B96" s="776" t="s">
        <v>121</v>
      </c>
      <c r="C96" s="2225">
        <v>50000</v>
      </c>
      <c r="D96" s="2225">
        <v>50000</v>
      </c>
      <c r="E96" s="738">
        <v>35750</v>
      </c>
      <c r="F96" s="742"/>
      <c r="G96" s="2200">
        <f t="shared" ref="G96:G105" si="56">E96/C96*100</f>
        <v>71.5</v>
      </c>
      <c r="H96" s="2200">
        <f t="shared" ref="H96:H105" si="57">E96/D96*100</f>
        <v>71.5</v>
      </c>
      <c r="I96" s="2201">
        <f t="shared" ref="I96:I105" si="58">E96/J96*100</f>
        <v>107.19640179910046</v>
      </c>
      <c r="J96" s="29">
        <v>33350</v>
      </c>
    </row>
    <row r="97" spans="1:10" x14ac:dyDescent="0.2">
      <c r="A97" s="2223"/>
      <c r="B97" s="776" t="s">
        <v>2605</v>
      </c>
      <c r="C97" s="2239">
        <v>0</v>
      </c>
      <c r="D97" s="2239">
        <v>10000</v>
      </c>
      <c r="E97" s="1316">
        <v>10000</v>
      </c>
      <c r="F97" s="1316"/>
      <c r="G97" s="2200">
        <v>0</v>
      </c>
      <c r="H97" s="2200">
        <f t="shared" si="57"/>
        <v>100</v>
      </c>
      <c r="I97" s="2201">
        <v>0</v>
      </c>
      <c r="J97" s="29">
        <v>0</v>
      </c>
    </row>
    <row r="98" spans="1:10" ht="12.75" customHeight="1" x14ac:dyDescent="0.2">
      <c r="A98" s="2223"/>
      <c r="B98" s="776" t="s">
        <v>2606</v>
      </c>
      <c r="C98" s="2240">
        <v>2500000</v>
      </c>
      <c r="D98" s="2240">
        <v>2500000</v>
      </c>
      <c r="E98" s="2241">
        <v>1177438.54</v>
      </c>
      <c r="F98" s="2150">
        <f>SUM(E98:E100)</f>
        <v>6284551.9400000004</v>
      </c>
      <c r="G98" s="2200">
        <f t="shared" si="56"/>
        <v>47.097541600000007</v>
      </c>
      <c r="H98" s="2200">
        <f t="shared" si="57"/>
        <v>47.097541600000007</v>
      </c>
      <c r="I98" s="2201">
        <f t="shared" si="58"/>
        <v>83.482765712358159</v>
      </c>
      <c r="J98" s="29">
        <v>1410397.14</v>
      </c>
    </row>
    <row r="99" spans="1:10" ht="12.75" customHeight="1" x14ac:dyDescent="0.2">
      <c r="A99" s="2236"/>
      <c r="B99" s="790" t="s">
        <v>1120</v>
      </c>
      <c r="C99" s="1711">
        <v>15000000</v>
      </c>
      <c r="D99" s="1711">
        <v>15000000</v>
      </c>
      <c r="E99" s="793">
        <v>5097063.4000000004</v>
      </c>
      <c r="F99" s="1681"/>
      <c r="G99" s="2200">
        <f t="shared" si="56"/>
        <v>33.980422666666669</v>
      </c>
      <c r="H99" s="2200">
        <f t="shared" si="57"/>
        <v>33.980422666666669</v>
      </c>
      <c r="I99" s="2201">
        <f t="shared" si="58"/>
        <v>55.867105880344646</v>
      </c>
      <c r="J99" s="29">
        <v>9123550.1099999994</v>
      </c>
    </row>
    <row r="100" spans="1:10" ht="12.75" customHeight="1" x14ac:dyDescent="0.2">
      <c r="A100" s="2223"/>
      <c r="B100" s="1034" t="s">
        <v>1121</v>
      </c>
      <c r="C100" s="1893">
        <v>150000</v>
      </c>
      <c r="D100" s="1893">
        <v>150000</v>
      </c>
      <c r="E100" s="2241">
        <v>10050</v>
      </c>
      <c r="F100" s="740"/>
      <c r="G100" s="2200">
        <f t="shared" si="56"/>
        <v>6.7</v>
      </c>
      <c r="H100" s="2200">
        <f t="shared" si="57"/>
        <v>6.7</v>
      </c>
      <c r="I100" s="2201">
        <f t="shared" si="58"/>
        <v>19.326923076923077</v>
      </c>
      <c r="J100" s="29">
        <v>52000</v>
      </c>
    </row>
    <row r="101" spans="1:10" ht="12.75" customHeight="1" x14ac:dyDescent="0.2">
      <c r="A101" s="2223"/>
      <c r="B101" s="776" t="s">
        <v>1122</v>
      </c>
      <c r="C101" s="1893">
        <v>50000</v>
      </c>
      <c r="D101" s="1893">
        <v>50000</v>
      </c>
      <c r="E101" s="738">
        <v>0</v>
      </c>
      <c r="F101" s="740"/>
      <c r="G101" s="2200">
        <f t="shared" si="56"/>
        <v>0</v>
      </c>
      <c r="H101" s="2200">
        <f t="shared" si="57"/>
        <v>0</v>
      </c>
      <c r="I101" s="2201">
        <v>0</v>
      </c>
      <c r="J101" s="29">
        <v>0</v>
      </c>
    </row>
    <row r="102" spans="1:10" ht="12.75" customHeight="1" x14ac:dyDescent="0.2">
      <c r="A102" s="2223"/>
      <c r="B102" s="776" t="s">
        <v>1123</v>
      </c>
      <c r="C102" s="1893">
        <v>50000</v>
      </c>
      <c r="D102" s="1893">
        <v>50000</v>
      </c>
      <c r="E102" s="738">
        <v>0</v>
      </c>
      <c r="F102" s="740"/>
      <c r="G102" s="2200">
        <f t="shared" si="56"/>
        <v>0</v>
      </c>
      <c r="H102" s="2200">
        <f t="shared" si="57"/>
        <v>0</v>
      </c>
      <c r="I102" s="2201">
        <v>0</v>
      </c>
      <c r="J102" s="29">
        <v>0</v>
      </c>
    </row>
    <row r="103" spans="1:10" ht="12.75" customHeight="1" x14ac:dyDescent="0.2">
      <c r="A103" s="2223"/>
      <c r="B103" s="776" t="s">
        <v>1124</v>
      </c>
      <c r="C103" s="1893">
        <v>650000</v>
      </c>
      <c r="D103" s="1893">
        <v>650000</v>
      </c>
      <c r="E103" s="738">
        <v>304213</v>
      </c>
      <c r="F103" s="740"/>
      <c r="G103" s="2200">
        <f t="shared" si="56"/>
        <v>46.802</v>
      </c>
      <c r="H103" s="2200">
        <f t="shared" si="57"/>
        <v>46.802</v>
      </c>
      <c r="I103" s="2201">
        <f t="shared" si="58"/>
        <v>100.53005029394033</v>
      </c>
      <c r="J103" s="29">
        <v>302609.02</v>
      </c>
    </row>
    <row r="104" spans="1:10" ht="12.75" customHeight="1" x14ac:dyDescent="0.2">
      <c r="A104" s="2223"/>
      <c r="B104" s="776" t="s">
        <v>1125</v>
      </c>
      <c r="C104" s="2225">
        <v>350000</v>
      </c>
      <c r="D104" s="2225">
        <v>350000</v>
      </c>
      <c r="E104" s="738">
        <v>222213.63</v>
      </c>
      <c r="F104" s="742">
        <f>SUM(E104:E106)</f>
        <v>264113.63</v>
      </c>
      <c r="G104" s="2200">
        <f t="shared" si="56"/>
        <v>63.489608571428569</v>
      </c>
      <c r="H104" s="2200">
        <f t="shared" si="57"/>
        <v>63.489608571428569</v>
      </c>
      <c r="I104" s="2201">
        <f t="shared" si="58"/>
        <v>105.39507638824594</v>
      </c>
      <c r="J104" s="29">
        <v>210838.72</v>
      </c>
    </row>
    <row r="105" spans="1:10" ht="12.75" customHeight="1" x14ac:dyDescent="0.2">
      <c r="A105" s="2242"/>
      <c r="B105" s="776" t="s">
        <v>2142</v>
      </c>
      <c r="C105" s="1448">
        <v>12000</v>
      </c>
      <c r="D105" s="1448">
        <v>12000</v>
      </c>
      <c r="E105" s="750">
        <v>9900</v>
      </c>
      <c r="F105" s="750"/>
      <c r="G105" s="2200">
        <f t="shared" si="56"/>
        <v>82.5</v>
      </c>
      <c r="H105" s="2200">
        <f t="shared" si="57"/>
        <v>82.5</v>
      </c>
      <c r="I105" s="2201">
        <f t="shared" si="58"/>
        <v>126.92307692307692</v>
      </c>
      <c r="J105" s="29">
        <v>7800</v>
      </c>
    </row>
    <row r="106" spans="1:10" ht="12.75" customHeight="1" x14ac:dyDescent="0.2">
      <c r="A106" s="2242"/>
      <c r="B106" s="776" t="s">
        <v>2607</v>
      </c>
      <c r="C106" s="1702">
        <v>0</v>
      </c>
      <c r="D106" s="1702">
        <v>0</v>
      </c>
      <c r="E106" s="738">
        <v>32000</v>
      </c>
      <c r="F106" s="738"/>
      <c r="G106" s="2200">
        <v>0</v>
      </c>
      <c r="H106" s="2200">
        <v>0</v>
      </c>
      <c r="I106" s="2201">
        <v>0</v>
      </c>
      <c r="J106" s="29">
        <v>0</v>
      </c>
    </row>
    <row r="107" spans="1:10" ht="12.75" customHeight="1" x14ac:dyDescent="0.2">
      <c r="A107" s="2242"/>
      <c r="B107" s="776" t="s">
        <v>2608</v>
      </c>
      <c r="C107" s="1702">
        <v>0</v>
      </c>
      <c r="D107" s="1702">
        <v>0</v>
      </c>
      <c r="E107" s="738">
        <v>540224.68000000005</v>
      </c>
      <c r="F107" s="738"/>
      <c r="G107" s="2200">
        <v>0</v>
      </c>
      <c r="H107" s="2200">
        <v>0</v>
      </c>
      <c r="I107" s="2201">
        <v>0</v>
      </c>
      <c r="J107" s="29">
        <v>0</v>
      </c>
    </row>
    <row r="108" spans="1:10" ht="12.75" customHeight="1" x14ac:dyDescent="0.2">
      <c r="A108" s="2221">
        <v>2229</v>
      </c>
      <c r="B108" s="771" t="s">
        <v>2144</v>
      </c>
      <c r="C108" s="755">
        <f>SUM(C109:C118)</f>
        <v>0</v>
      </c>
      <c r="D108" s="755">
        <f>SUM(D109:D121)</f>
        <v>4955496.21</v>
      </c>
      <c r="E108" s="726">
        <v>5104481.21</v>
      </c>
      <c r="F108" s="1710">
        <f>SUM(E109:E120)</f>
        <v>5104481.21</v>
      </c>
      <c r="G108" s="1663">
        <v>0</v>
      </c>
      <c r="H108" s="1663">
        <f t="shared" ref="H108:H171" si="59">E108/D108*100</f>
        <v>103.00645977085713</v>
      </c>
      <c r="I108" s="1662">
        <f t="shared" ref="I108:I168" si="60">E108/J108*100</f>
        <v>55.943005558084366</v>
      </c>
      <c r="J108" s="29">
        <v>9124431.4800000004</v>
      </c>
    </row>
    <row r="109" spans="1:10" s="2" customFormat="1" ht="12.75" customHeight="1" x14ac:dyDescent="0.2">
      <c r="A109" s="2243"/>
      <c r="B109" s="1034" t="s">
        <v>2609</v>
      </c>
      <c r="C109" s="2244">
        <v>0</v>
      </c>
      <c r="D109" s="2244">
        <v>700000</v>
      </c>
      <c r="E109" s="738">
        <v>700000</v>
      </c>
      <c r="F109" s="738"/>
      <c r="G109" s="2200">
        <v>0</v>
      </c>
      <c r="H109" s="2200">
        <f t="shared" si="59"/>
        <v>100</v>
      </c>
      <c r="I109" s="2201">
        <f t="shared" si="60"/>
        <v>43.75</v>
      </c>
      <c r="J109" s="88">
        <v>1600000</v>
      </c>
    </row>
    <row r="110" spans="1:10" s="2" customFormat="1" ht="12.75" customHeight="1" x14ac:dyDescent="0.2">
      <c r="A110" s="2243"/>
      <c r="B110" s="1034" t="s">
        <v>2610</v>
      </c>
      <c r="C110" s="2245">
        <v>0</v>
      </c>
      <c r="D110" s="2245">
        <v>463363</v>
      </c>
      <c r="E110" s="738">
        <v>463363</v>
      </c>
      <c r="F110" s="738"/>
      <c r="G110" s="2200">
        <v>0</v>
      </c>
      <c r="H110" s="2200">
        <f t="shared" si="59"/>
        <v>100</v>
      </c>
      <c r="I110" s="2201">
        <v>0</v>
      </c>
      <c r="J110" s="88">
        <v>0</v>
      </c>
    </row>
    <row r="111" spans="1:10" ht="12.75" customHeight="1" x14ac:dyDescent="0.2">
      <c r="A111" s="2223"/>
      <c r="B111" s="776" t="s">
        <v>2611</v>
      </c>
      <c r="C111" s="1893">
        <v>0</v>
      </c>
      <c r="D111" s="1893">
        <f>62538.16</f>
        <v>62538.16</v>
      </c>
      <c r="E111" s="738">
        <v>62538.16</v>
      </c>
      <c r="F111" s="738"/>
      <c r="G111" s="2200">
        <v>0</v>
      </c>
      <c r="H111" s="2200">
        <f t="shared" si="59"/>
        <v>100</v>
      </c>
      <c r="I111" s="2201">
        <f t="shared" si="60"/>
        <v>20.654305644498361</v>
      </c>
      <c r="J111" s="29">
        <v>302785.09999999998</v>
      </c>
    </row>
    <row r="112" spans="1:10" ht="12.75" customHeight="1" x14ac:dyDescent="0.2">
      <c r="A112" s="2223"/>
      <c r="B112" s="776" t="s">
        <v>2612</v>
      </c>
      <c r="C112" s="1893">
        <v>0</v>
      </c>
      <c r="D112" s="1893">
        <v>129480.7</v>
      </c>
      <c r="E112" s="738">
        <v>129480.7</v>
      </c>
      <c r="F112" s="738"/>
      <c r="G112" s="2200">
        <v>0</v>
      </c>
      <c r="H112" s="2200">
        <f t="shared" si="59"/>
        <v>100</v>
      </c>
      <c r="I112" s="2201">
        <v>0</v>
      </c>
      <c r="J112" s="29">
        <v>0</v>
      </c>
    </row>
    <row r="113" spans="1:10" ht="12.75" customHeight="1" x14ac:dyDescent="0.2">
      <c r="A113" s="2223"/>
      <c r="B113" s="776" t="s">
        <v>2613</v>
      </c>
      <c r="C113" s="2224">
        <v>0</v>
      </c>
      <c r="D113" s="2224">
        <v>169544.53</v>
      </c>
      <c r="E113" s="738">
        <v>169544.53</v>
      </c>
      <c r="F113" s="738"/>
      <c r="G113" s="2200">
        <v>0</v>
      </c>
      <c r="H113" s="2200">
        <f t="shared" si="59"/>
        <v>100</v>
      </c>
      <c r="I113" s="2201">
        <f t="shared" si="60"/>
        <v>71.625612945766065</v>
      </c>
      <c r="J113" s="29">
        <v>236709.36</v>
      </c>
    </row>
    <row r="114" spans="1:10" ht="12.75" customHeight="1" x14ac:dyDescent="0.2">
      <c r="A114" s="2223"/>
      <c r="B114" s="776" t="s">
        <v>2614</v>
      </c>
      <c r="C114" s="2224">
        <v>0</v>
      </c>
      <c r="D114" s="2224">
        <v>70270.33</v>
      </c>
      <c r="E114" s="738">
        <v>70270.33</v>
      </c>
      <c r="F114" s="738"/>
      <c r="G114" s="2200">
        <v>0</v>
      </c>
      <c r="H114" s="2200">
        <f t="shared" si="59"/>
        <v>100</v>
      </c>
      <c r="I114" s="2201">
        <f t="shared" si="60"/>
        <v>43.997725928701733</v>
      </c>
      <c r="J114" s="29">
        <v>159713.54999999999</v>
      </c>
    </row>
    <row r="115" spans="1:10" ht="12.75" customHeight="1" x14ac:dyDescent="0.2">
      <c r="A115" s="2223"/>
      <c r="B115" s="776" t="s">
        <v>2615</v>
      </c>
      <c r="C115" s="2224">
        <v>0</v>
      </c>
      <c r="D115" s="2224">
        <v>2743942.28</v>
      </c>
      <c r="E115" s="738">
        <v>2743942.28</v>
      </c>
      <c r="F115" s="738"/>
      <c r="G115" s="2200">
        <v>0</v>
      </c>
      <c r="H115" s="2200">
        <f t="shared" si="59"/>
        <v>100</v>
      </c>
      <c r="I115" s="2201">
        <f t="shared" si="60"/>
        <v>64.925819602314178</v>
      </c>
      <c r="J115" s="29">
        <v>4226272.84</v>
      </c>
    </row>
    <row r="116" spans="1:10" ht="12.75" customHeight="1" x14ac:dyDescent="0.2">
      <c r="A116" s="2223"/>
      <c r="B116" s="776" t="s">
        <v>2616</v>
      </c>
      <c r="C116" s="2224">
        <v>0</v>
      </c>
      <c r="D116" s="2224">
        <f>(37912.8+6500+455819.41)+30000</f>
        <v>530232.21</v>
      </c>
      <c r="E116" s="738">
        <v>530482.21</v>
      </c>
      <c r="F116" s="1946"/>
      <c r="G116" s="2200">
        <v>0</v>
      </c>
      <c r="H116" s="2200">
        <f t="shared" si="59"/>
        <v>100.04714915376415</v>
      </c>
      <c r="I116" s="2201">
        <f t="shared" si="60"/>
        <v>45.502838408709714</v>
      </c>
      <c r="J116" s="29">
        <v>1165822.24</v>
      </c>
    </row>
    <row r="117" spans="1:10" ht="12.75" customHeight="1" x14ac:dyDescent="0.2">
      <c r="A117" s="2223"/>
      <c r="B117" s="776" t="s">
        <v>2617</v>
      </c>
      <c r="C117" s="2224">
        <v>0</v>
      </c>
      <c r="D117" s="2224">
        <f>23725+4745+40000+10000</f>
        <v>78470</v>
      </c>
      <c r="E117" s="738">
        <v>190597</v>
      </c>
      <c r="F117" s="1946"/>
      <c r="G117" s="2200">
        <v>0</v>
      </c>
      <c r="H117" s="2200">
        <f t="shared" si="59"/>
        <v>242.89155091117624</v>
      </c>
      <c r="I117" s="2201">
        <f t="shared" si="60"/>
        <v>598.87199145352849</v>
      </c>
      <c r="J117" s="29">
        <v>31826</v>
      </c>
    </row>
    <row r="118" spans="1:10" s="2" customFormat="1" ht="12.75" customHeight="1" x14ac:dyDescent="0.2">
      <c r="A118" s="2243"/>
      <c r="B118" s="2246" t="s">
        <v>2618</v>
      </c>
      <c r="C118" s="2247">
        <v>0</v>
      </c>
      <c r="D118" s="2247">
        <v>0</v>
      </c>
      <c r="E118" s="1040">
        <v>36608</v>
      </c>
      <c r="F118" s="1077"/>
      <c r="G118" s="2200">
        <v>0</v>
      </c>
      <c r="H118" s="2200">
        <v>0</v>
      </c>
      <c r="I118" s="2201">
        <v>0</v>
      </c>
      <c r="J118" s="88">
        <v>0</v>
      </c>
    </row>
    <row r="119" spans="1:10" s="2" customFormat="1" ht="12.75" customHeight="1" x14ac:dyDescent="0.2">
      <c r="A119" s="2243"/>
      <c r="B119" s="1751" t="s">
        <v>2619</v>
      </c>
      <c r="C119" s="2248">
        <v>0</v>
      </c>
      <c r="D119" s="2248">
        <f>(913.14+3011.86)</f>
        <v>3925</v>
      </c>
      <c r="E119" s="2248">
        <v>3925</v>
      </c>
      <c r="F119" s="2248"/>
      <c r="G119" s="2200">
        <v>0</v>
      </c>
      <c r="H119" s="2200">
        <f t="shared" si="59"/>
        <v>100</v>
      </c>
      <c r="I119" s="2201">
        <v>0</v>
      </c>
      <c r="J119" s="88">
        <v>0</v>
      </c>
    </row>
    <row r="120" spans="1:10" s="2" customFormat="1" ht="12.75" customHeight="1" x14ac:dyDescent="0.2">
      <c r="A120" s="2243"/>
      <c r="B120" s="1751" t="s">
        <v>2620</v>
      </c>
      <c r="C120" s="2248">
        <v>0</v>
      </c>
      <c r="D120" s="2248">
        <v>3730</v>
      </c>
      <c r="E120" s="2248">
        <v>3730</v>
      </c>
      <c r="F120" s="2249"/>
      <c r="G120" s="2200">
        <v>0</v>
      </c>
      <c r="H120" s="2200">
        <f t="shared" si="59"/>
        <v>100</v>
      </c>
      <c r="I120" s="2201">
        <v>0</v>
      </c>
      <c r="J120" s="88">
        <v>0</v>
      </c>
    </row>
    <row r="121" spans="1:10" ht="12.75" customHeight="1" x14ac:dyDescent="0.2">
      <c r="A121" s="2221">
        <v>2310</v>
      </c>
      <c r="B121" s="1701" t="s">
        <v>2621</v>
      </c>
      <c r="C121" s="2250">
        <v>0</v>
      </c>
      <c r="D121" s="2250">
        <v>0</v>
      </c>
      <c r="E121" s="2251">
        <v>1500</v>
      </c>
      <c r="F121" s="2032"/>
      <c r="G121" s="1663">
        <v>0</v>
      </c>
      <c r="H121" s="1663">
        <v>0</v>
      </c>
      <c r="I121" s="1662">
        <f t="shared" si="60"/>
        <v>24.291497975708502</v>
      </c>
      <c r="J121" s="29">
        <v>6175</v>
      </c>
    </row>
    <row r="122" spans="1:10" ht="12.75" customHeight="1" x14ac:dyDescent="0.2">
      <c r="A122" s="2221">
        <v>2321</v>
      </c>
      <c r="B122" s="771" t="s">
        <v>2158</v>
      </c>
      <c r="C122" s="2250">
        <v>100000</v>
      </c>
      <c r="D122" s="2250">
        <v>100000</v>
      </c>
      <c r="E122" s="2251">
        <v>103000</v>
      </c>
      <c r="F122" s="2252"/>
      <c r="G122" s="1663">
        <f t="shared" ref="G122:G185" si="61">E122/C122*100</f>
        <v>103</v>
      </c>
      <c r="H122" s="1663">
        <f t="shared" si="59"/>
        <v>103</v>
      </c>
      <c r="I122" s="1662">
        <f t="shared" si="60"/>
        <v>98.095238095238088</v>
      </c>
      <c r="J122" s="29">
        <v>105000</v>
      </c>
    </row>
    <row r="123" spans="1:10" ht="12.75" customHeight="1" x14ac:dyDescent="0.2">
      <c r="A123" s="2221">
        <v>2322</v>
      </c>
      <c r="B123" s="771" t="s">
        <v>2159</v>
      </c>
      <c r="C123" s="2228">
        <f>50000+50000</f>
        <v>100000</v>
      </c>
      <c r="D123" s="2228">
        <f>(50000+50000)+240187</f>
        <v>340187</v>
      </c>
      <c r="E123" s="731">
        <v>529354</v>
      </c>
      <c r="F123" s="1234"/>
      <c r="G123" s="1663">
        <f t="shared" si="61"/>
        <v>529.35400000000004</v>
      </c>
      <c r="H123" s="1663">
        <f t="shared" si="59"/>
        <v>155.60676921810654</v>
      </c>
      <c r="I123" s="1662">
        <f t="shared" si="60"/>
        <v>101.81490158063386</v>
      </c>
      <c r="J123" s="29">
        <v>519918</v>
      </c>
    </row>
    <row r="124" spans="1:10" s="98" customFormat="1" ht="12.75" customHeight="1" x14ac:dyDescent="0.2">
      <c r="A124" s="2221">
        <v>2324</v>
      </c>
      <c r="B124" s="771" t="s">
        <v>2160</v>
      </c>
      <c r="C124" s="755">
        <f>SUM(C125:C141)</f>
        <v>3572000</v>
      </c>
      <c r="D124" s="755">
        <f>SUM(D125:D141)</f>
        <v>3587000</v>
      </c>
      <c r="E124" s="726">
        <v>3615242.76</v>
      </c>
      <c r="F124" s="750">
        <f>SUM(E125:E141)</f>
        <v>3615242.7600000002</v>
      </c>
      <c r="G124" s="1663">
        <f t="shared" si="61"/>
        <v>101.21060358342663</v>
      </c>
      <c r="H124" s="1663">
        <f t="shared" si="59"/>
        <v>100.78736437134094</v>
      </c>
      <c r="I124" s="1662">
        <f t="shared" si="60"/>
        <v>76.515852013565265</v>
      </c>
      <c r="J124" s="29">
        <v>4724828.47</v>
      </c>
    </row>
    <row r="125" spans="1:10" s="98" customFormat="1" ht="12.75" customHeight="1" x14ac:dyDescent="0.2">
      <c r="A125" s="2204"/>
      <c r="B125" s="1034" t="s">
        <v>2622</v>
      </c>
      <c r="C125" s="2247">
        <v>0</v>
      </c>
      <c r="D125" s="2247">
        <v>0</v>
      </c>
      <c r="E125" s="738">
        <v>519</v>
      </c>
      <c r="F125" s="1864"/>
      <c r="G125" s="2200">
        <v>0</v>
      </c>
      <c r="H125" s="2200">
        <v>0</v>
      </c>
      <c r="I125" s="2201">
        <v>0</v>
      </c>
      <c r="J125" s="29">
        <v>0</v>
      </c>
    </row>
    <row r="126" spans="1:10" s="98" customFormat="1" ht="12.75" customHeight="1" x14ac:dyDescent="0.2">
      <c r="A126" s="2204"/>
      <c r="B126" s="1034" t="s">
        <v>1146</v>
      </c>
      <c r="C126" s="2247">
        <v>12000</v>
      </c>
      <c r="D126" s="2247">
        <v>12000</v>
      </c>
      <c r="E126" s="738">
        <v>6315.39</v>
      </c>
      <c r="F126" s="1864"/>
      <c r="G126" s="2200">
        <f t="shared" si="61"/>
        <v>52.628250000000001</v>
      </c>
      <c r="H126" s="2200">
        <f t="shared" si="59"/>
        <v>52.628250000000001</v>
      </c>
      <c r="I126" s="2201">
        <f t="shared" si="60"/>
        <v>210.51300000000001</v>
      </c>
      <c r="J126" s="29">
        <v>3000</v>
      </c>
    </row>
    <row r="127" spans="1:10" s="98" customFormat="1" ht="12.75" customHeight="1" x14ac:dyDescent="0.2">
      <c r="A127" s="2221"/>
      <c r="B127" s="1034" t="s">
        <v>1148</v>
      </c>
      <c r="C127" s="1702">
        <v>30000</v>
      </c>
      <c r="D127" s="1702">
        <v>30000</v>
      </c>
      <c r="E127" s="738">
        <v>14500</v>
      </c>
      <c r="F127" s="738"/>
      <c r="G127" s="2200">
        <f t="shared" si="61"/>
        <v>48.333333333333336</v>
      </c>
      <c r="H127" s="2200">
        <f t="shared" si="59"/>
        <v>48.333333333333336</v>
      </c>
      <c r="I127" s="2201">
        <f t="shared" si="60"/>
        <v>85.294117647058826</v>
      </c>
      <c r="J127" s="29">
        <v>17000</v>
      </c>
    </row>
    <row r="128" spans="1:10" s="98" customFormat="1" ht="12.75" customHeight="1" x14ac:dyDescent="0.2">
      <c r="A128" s="2221"/>
      <c r="B128" s="1034" t="s">
        <v>2161</v>
      </c>
      <c r="C128" s="2247">
        <v>0</v>
      </c>
      <c r="D128" s="2247">
        <v>15000</v>
      </c>
      <c r="E128" s="738">
        <v>0</v>
      </c>
      <c r="F128" s="1864"/>
      <c r="G128" s="2200">
        <v>0</v>
      </c>
      <c r="H128" s="2200">
        <f t="shared" si="59"/>
        <v>0</v>
      </c>
      <c r="I128" s="2201">
        <f t="shared" si="60"/>
        <v>0</v>
      </c>
      <c r="J128" s="29">
        <v>1000</v>
      </c>
    </row>
    <row r="129" spans="1:10" s="98" customFormat="1" ht="12.75" customHeight="1" x14ac:dyDescent="0.2">
      <c r="A129" s="2221"/>
      <c r="B129" s="1034" t="s">
        <v>1149</v>
      </c>
      <c r="C129" s="2247">
        <v>100000</v>
      </c>
      <c r="D129" s="2247">
        <v>100000</v>
      </c>
      <c r="E129" s="738">
        <v>106508.8</v>
      </c>
      <c r="F129" s="1864"/>
      <c r="G129" s="2200">
        <f t="shared" si="61"/>
        <v>106.50880000000001</v>
      </c>
      <c r="H129" s="2200">
        <f t="shared" si="59"/>
        <v>106.50880000000001</v>
      </c>
      <c r="I129" s="2201">
        <f t="shared" si="60"/>
        <v>152.45096565771073</v>
      </c>
      <c r="J129" s="29">
        <v>69864.3</v>
      </c>
    </row>
    <row r="130" spans="1:10" s="98" customFormat="1" ht="12.75" customHeight="1" x14ac:dyDescent="0.2">
      <c r="A130" s="2221"/>
      <c r="B130" s="1034" t="s">
        <v>2623</v>
      </c>
      <c r="C130" s="1893">
        <v>0</v>
      </c>
      <c r="D130" s="1893">
        <v>0</v>
      </c>
      <c r="E130" s="738">
        <v>20000</v>
      </c>
      <c r="F130" s="1864"/>
      <c r="G130" s="2200">
        <v>0</v>
      </c>
      <c r="H130" s="2200">
        <v>0</v>
      </c>
      <c r="I130" s="2201">
        <v>0</v>
      </c>
      <c r="J130" s="29">
        <v>0</v>
      </c>
    </row>
    <row r="131" spans="1:10" s="98" customFormat="1" ht="12.75" customHeight="1" x14ac:dyDescent="0.2">
      <c r="A131" s="2221"/>
      <c r="B131" s="1034" t="s">
        <v>1150</v>
      </c>
      <c r="C131" s="1893">
        <v>300000</v>
      </c>
      <c r="D131" s="1893">
        <v>300000</v>
      </c>
      <c r="E131" s="738">
        <v>558062.31999999995</v>
      </c>
      <c r="F131" s="1864"/>
      <c r="G131" s="2200">
        <f t="shared" si="61"/>
        <v>186.02077333333332</v>
      </c>
      <c r="H131" s="2200">
        <f t="shared" si="59"/>
        <v>186.02077333333332</v>
      </c>
      <c r="I131" s="2201">
        <f t="shared" si="60"/>
        <v>131.34946860598112</v>
      </c>
      <c r="J131" s="29">
        <v>424868.35</v>
      </c>
    </row>
    <row r="132" spans="1:10" s="98" customFormat="1" ht="12.75" customHeight="1" x14ac:dyDescent="0.2">
      <c r="A132" s="2221"/>
      <c r="B132" s="1034" t="s">
        <v>1151</v>
      </c>
      <c r="C132" s="2253">
        <v>15000</v>
      </c>
      <c r="D132" s="2253">
        <v>15000</v>
      </c>
      <c r="E132" s="738">
        <v>2551</v>
      </c>
      <c r="F132" s="1234"/>
      <c r="G132" s="2200">
        <f t="shared" si="61"/>
        <v>17.006666666666668</v>
      </c>
      <c r="H132" s="2200">
        <f t="shared" si="59"/>
        <v>17.006666666666668</v>
      </c>
      <c r="I132" s="2201">
        <f t="shared" si="60"/>
        <v>4.8482512561075897</v>
      </c>
      <c r="J132" s="29">
        <v>52616.91</v>
      </c>
    </row>
    <row r="133" spans="1:10" s="98" customFormat="1" ht="14.25" customHeight="1" x14ac:dyDescent="0.2">
      <c r="A133" s="2221"/>
      <c r="B133" s="1034" t="s">
        <v>2162</v>
      </c>
      <c r="C133" s="2231">
        <v>0</v>
      </c>
      <c r="D133" s="2231">
        <v>0</v>
      </c>
      <c r="E133" s="2254">
        <v>9731.5</v>
      </c>
      <c r="F133" s="2255"/>
      <c r="G133" s="2200">
        <v>0</v>
      </c>
      <c r="H133" s="2200">
        <v>0</v>
      </c>
      <c r="I133" s="2201">
        <v>0</v>
      </c>
      <c r="J133" s="29">
        <v>0</v>
      </c>
    </row>
    <row r="134" spans="1:10" s="98" customFormat="1" ht="12.75" customHeight="1" x14ac:dyDescent="0.2">
      <c r="A134" s="2221"/>
      <c r="B134" s="1034" t="s">
        <v>2624</v>
      </c>
      <c r="C134" s="2244">
        <v>0</v>
      </c>
      <c r="D134" s="2244">
        <v>0</v>
      </c>
      <c r="E134" s="738">
        <v>61026.13</v>
      </c>
      <c r="F134" s="1232"/>
      <c r="G134" s="2200">
        <v>0</v>
      </c>
      <c r="H134" s="2200">
        <v>0</v>
      </c>
      <c r="I134" s="2201">
        <v>0</v>
      </c>
      <c r="J134" s="29">
        <v>0</v>
      </c>
    </row>
    <row r="135" spans="1:10" ht="12.75" customHeight="1" x14ac:dyDescent="0.2">
      <c r="A135" s="2256"/>
      <c r="B135" s="2257" t="s">
        <v>1154</v>
      </c>
      <c r="C135" s="2247">
        <v>2000</v>
      </c>
      <c r="D135" s="2247">
        <v>2000</v>
      </c>
      <c r="E135" s="738">
        <v>1406.88</v>
      </c>
      <c r="F135" s="1864"/>
      <c r="G135" s="2200">
        <f t="shared" si="61"/>
        <v>70.344000000000008</v>
      </c>
      <c r="H135" s="2200">
        <f t="shared" si="59"/>
        <v>70.344000000000008</v>
      </c>
      <c r="I135" s="2201">
        <f t="shared" si="60"/>
        <v>211.87951807228919</v>
      </c>
      <c r="J135" s="29">
        <v>664</v>
      </c>
    </row>
    <row r="136" spans="1:10" s="158" customFormat="1" ht="12.75" customHeight="1" x14ac:dyDescent="0.2">
      <c r="A136" s="2236"/>
      <c r="B136" s="790" t="s">
        <v>2164</v>
      </c>
      <c r="C136" s="1770">
        <v>3000000</v>
      </c>
      <c r="D136" s="1770">
        <v>3000000</v>
      </c>
      <c r="E136" s="767">
        <v>2754587.03</v>
      </c>
      <c r="F136" s="854"/>
      <c r="G136" s="2200">
        <f t="shared" si="61"/>
        <v>91.819567666666657</v>
      </c>
      <c r="H136" s="2200">
        <f t="shared" si="59"/>
        <v>91.819567666666657</v>
      </c>
      <c r="I136" s="2201">
        <f t="shared" si="60"/>
        <v>72.448202946819407</v>
      </c>
      <c r="J136" s="1866">
        <v>3802146.8</v>
      </c>
    </row>
    <row r="137" spans="1:10" s="158" customFormat="1" ht="12.75" customHeight="1" x14ac:dyDescent="0.2">
      <c r="A137" s="2236"/>
      <c r="B137" s="790" t="s">
        <v>1157</v>
      </c>
      <c r="C137" s="1770">
        <v>0</v>
      </c>
      <c r="D137" s="1770">
        <v>0</v>
      </c>
      <c r="E137" s="767">
        <v>1529.68</v>
      </c>
      <c r="F137" s="854"/>
      <c r="G137" s="2200">
        <v>0</v>
      </c>
      <c r="H137" s="2200">
        <v>0</v>
      </c>
      <c r="I137" s="2201">
        <f t="shared" si="60"/>
        <v>50.989333333333335</v>
      </c>
      <c r="J137" s="1866">
        <v>3000</v>
      </c>
    </row>
    <row r="138" spans="1:10" s="158" customFormat="1" ht="12.75" customHeight="1" x14ac:dyDescent="0.2">
      <c r="A138" s="2236"/>
      <c r="B138" s="790" t="s">
        <v>1158</v>
      </c>
      <c r="C138" s="1770">
        <v>3000</v>
      </c>
      <c r="D138" s="1770">
        <v>3000</v>
      </c>
      <c r="E138" s="767">
        <v>0</v>
      </c>
      <c r="F138" s="854"/>
      <c r="G138" s="2200">
        <f t="shared" si="61"/>
        <v>0</v>
      </c>
      <c r="H138" s="2200">
        <f t="shared" si="59"/>
        <v>0</v>
      </c>
      <c r="I138" s="2201">
        <f t="shared" si="60"/>
        <v>0</v>
      </c>
      <c r="J138" s="1866">
        <v>1133</v>
      </c>
    </row>
    <row r="139" spans="1:10" s="158" customFormat="1" ht="12.75" customHeight="1" x14ac:dyDescent="0.2">
      <c r="A139" s="2223"/>
      <c r="B139" s="776" t="s">
        <v>1159</v>
      </c>
      <c r="C139" s="2258">
        <v>60000</v>
      </c>
      <c r="D139" s="2258">
        <v>60000</v>
      </c>
      <c r="E139" s="738">
        <v>43192.25</v>
      </c>
      <c r="F139" s="1077"/>
      <c r="G139" s="2200">
        <f t="shared" si="61"/>
        <v>71.987083333333331</v>
      </c>
      <c r="H139" s="2200">
        <f t="shared" si="59"/>
        <v>71.987083333333331</v>
      </c>
      <c r="I139" s="2201">
        <f t="shared" si="60"/>
        <v>152.07419594825592</v>
      </c>
      <c r="J139" s="1866">
        <v>28402.09</v>
      </c>
    </row>
    <row r="140" spans="1:10" s="158" customFormat="1" ht="12.75" customHeight="1" x14ac:dyDescent="0.2">
      <c r="A140" s="2223"/>
      <c r="B140" s="776" t="s">
        <v>1160</v>
      </c>
      <c r="C140" s="2258">
        <v>0</v>
      </c>
      <c r="D140" s="2258">
        <v>0</v>
      </c>
      <c r="E140" s="738">
        <v>5035.7</v>
      </c>
      <c r="F140" s="1077"/>
      <c r="G140" s="2200">
        <v>0</v>
      </c>
      <c r="H140" s="2200">
        <v>0</v>
      </c>
      <c r="I140" s="2201">
        <f t="shared" si="60"/>
        <v>55.508952399009239</v>
      </c>
      <c r="J140" s="1866">
        <v>9071.8700000000008</v>
      </c>
    </row>
    <row r="141" spans="1:10" s="158" customFormat="1" ht="12.75" customHeight="1" x14ac:dyDescent="0.2">
      <c r="A141" s="2204"/>
      <c r="B141" s="776" t="s">
        <v>1162</v>
      </c>
      <c r="C141" s="2259">
        <v>50000</v>
      </c>
      <c r="D141" s="2259">
        <v>50000</v>
      </c>
      <c r="E141" s="738">
        <v>30277.08</v>
      </c>
      <c r="F141" s="1077"/>
      <c r="G141" s="2200">
        <f t="shared" si="61"/>
        <v>60.554160000000003</v>
      </c>
      <c r="H141" s="2200">
        <f t="shared" si="59"/>
        <v>60.554160000000003</v>
      </c>
      <c r="I141" s="2201">
        <f t="shared" si="60"/>
        <v>147.97350100067689</v>
      </c>
      <c r="J141" s="1866">
        <v>20461.150000000001</v>
      </c>
    </row>
    <row r="142" spans="1:10" s="158" customFormat="1" ht="13.5" customHeight="1" x14ac:dyDescent="0.2">
      <c r="A142" s="2199">
        <v>2328</v>
      </c>
      <c r="B142" s="2226" t="s">
        <v>1167</v>
      </c>
      <c r="C142" s="1956">
        <v>0</v>
      </c>
      <c r="D142" s="1956">
        <v>0</v>
      </c>
      <c r="E142" s="726">
        <v>249913.34</v>
      </c>
      <c r="F142" s="750"/>
      <c r="G142" s="1663">
        <v>0</v>
      </c>
      <c r="H142" s="1663">
        <v>0</v>
      </c>
      <c r="I142" s="2201">
        <f t="shared" si="60"/>
        <v>387.28817289084105</v>
      </c>
      <c r="J142" s="1866">
        <v>64529.04</v>
      </c>
    </row>
    <row r="143" spans="1:10" s="98" customFormat="1" ht="12.75" customHeight="1" x14ac:dyDescent="0.2">
      <c r="A143" s="2221">
        <v>2329</v>
      </c>
      <c r="B143" s="771" t="s">
        <v>164</v>
      </c>
      <c r="C143" s="755">
        <f>SUM(C144:C157)</f>
        <v>12447771.50999999</v>
      </c>
      <c r="D143" s="755">
        <f>SUM(D144:D157)</f>
        <v>6747771.5099999905</v>
      </c>
      <c r="E143" s="726">
        <v>790286.24</v>
      </c>
      <c r="F143" s="750">
        <f>SUM(E144:E157)</f>
        <v>790286.24000000011</v>
      </c>
      <c r="G143" s="1663">
        <f t="shared" si="61"/>
        <v>6.3488170502255681</v>
      </c>
      <c r="H143" s="1663">
        <f t="shared" si="59"/>
        <v>11.711810911629419</v>
      </c>
      <c r="I143" s="1662">
        <f t="shared" si="60"/>
        <v>0.79914766754773359</v>
      </c>
      <c r="J143" s="29">
        <v>98891140.159999996</v>
      </c>
    </row>
    <row r="144" spans="1:10" s="98" customFormat="1" ht="12.75" customHeight="1" x14ac:dyDescent="0.2">
      <c r="A144" s="2221"/>
      <c r="B144" s="1034" t="s">
        <v>1168</v>
      </c>
      <c r="C144" s="2253">
        <v>200000</v>
      </c>
      <c r="D144" s="2253">
        <f>200000-200000</f>
        <v>0</v>
      </c>
      <c r="E144" s="738">
        <v>0</v>
      </c>
      <c r="F144" s="1234"/>
      <c r="G144" s="2200">
        <f t="shared" si="61"/>
        <v>0</v>
      </c>
      <c r="H144" s="2200">
        <v>0</v>
      </c>
      <c r="I144" s="2201">
        <v>0</v>
      </c>
      <c r="J144" s="29">
        <v>0</v>
      </c>
    </row>
    <row r="145" spans="1:10" x14ac:dyDescent="0.2">
      <c r="A145" s="2223"/>
      <c r="B145" s="776" t="s">
        <v>2625</v>
      </c>
      <c r="C145" s="1702">
        <v>5000</v>
      </c>
      <c r="D145" s="1702">
        <v>5000</v>
      </c>
      <c r="E145" s="2254">
        <v>5000</v>
      </c>
      <c r="F145" s="2255"/>
      <c r="G145" s="2200">
        <f t="shared" si="61"/>
        <v>100</v>
      </c>
      <c r="H145" s="2200">
        <f t="shared" si="59"/>
        <v>100</v>
      </c>
      <c r="I145" s="2201">
        <v>0</v>
      </c>
      <c r="J145" s="29">
        <v>0</v>
      </c>
    </row>
    <row r="146" spans="1:10" ht="12.75" customHeight="1" x14ac:dyDescent="0.2">
      <c r="A146" s="2223"/>
      <c r="B146" s="776" t="s">
        <v>2626</v>
      </c>
      <c r="C146" s="2244">
        <v>280000</v>
      </c>
      <c r="D146" s="2244">
        <v>280000</v>
      </c>
      <c r="E146" s="738">
        <v>117500</v>
      </c>
      <c r="F146" s="1232"/>
      <c r="G146" s="2200">
        <f t="shared" si="61"/>
        <v>41.964285714285715</v>
      </c>
      <c r="H146" s="2200">
        <f t="shared" si="59"/>
        <v>41.964285714285715</v>
      </c>
      <c r="I146" s="2201">
        <f t="shared" si="60"/>
        <v>88.512241054613938</v>
      </c>
      <c r="J146" s="29">
        <v>132750</v>
      </c>
    </row>
    <row r="147" spans="1:10" ht="12.75" customHeight="1" x14ac:dyDescent="0.2">
      <c r="A147" s="2223"/>
      <c r="B147" s="776" t="s">
        <v>2627</v>
      </c>
      <c r="C147" s="2247">
        <v>500000</v>
      </c>
      <c r="D147" s="2247">
        <v>500000</v>
      </c>
      <c r="E147" s="738">
        <v>432330.4</v>
      </c>
      <c r="F147" s="1864"/>
      <c r="G147" s="2200">
        <f t="shared" si="61"/>
        <v>86.466080000000005</v>
      </c>
      <c r="H147" s="2200">
        <f t="shared" si="59"/>
        <v>86.466080000000005</v>
      </c>
      <c r="I147" s="2201">
        <f t="shared" si="60"/>
        <v>58.909688722408468</v>
      </c>
      <c r="J147" s="29">
        <v>733886.75</v>
      </c>
    </row>
    <row r="148" spans="1:10" ht="12.75" customHeight="1" x14ac:dyDescent="0.2">
      <c r="A148" s="2223"/>
      <c r="B148" s="776" t="s">
        <v>2628</v>
      </c>
      <c r="C148" s="2245">
        <v>220000</v>
      </c>
      <c r="D148" s="2245">
        <v>220000</v>
      </c>
      <c r="E148" s="738">
        <v>977.84</v>
      </c>
      <c r="F148" s="1864"/>
      <c r="G148" s="2200">
        <f t="shared" si="61"/>
        <v>0.4444727272727273</v>
      </c>
      <c r="H148" s="2200">
        <f t="shared" si="59"/>
        <v>0.4444727272727273</v>
      </c>
      <c r="I148" s="2201">
        <f t="shared" si="60"/>
        <v>110.29597545569392</v>
      </c>
      <c r="J148" s="29">
        <v>886.56</v>
      </c>
    </row>
    <row r="149" spans="1:10" ht="12.75" customHeight="1" x14ac:dyDescent="0.2">
      <c r="A149" s="2223"/>
      <c r="B149" s="776" t="s">
        <v>2168</v>
      </c>
      <c r="C149" s="2253">
        <v>0</v>
      </c>
      <c r="D149" s="2253">
        <v>0</v>
      </c>
      <c r="E149" s="738">
        <v>121088.81</v>
      </c>
      <c r="F149" s="1234"/>
      <c r="G149" s="2200">
        <v>0</v>
      </c>
      <c r="H149" s="2200">
        <v>0</v>
      </c>
      <c r="I149" s="2201">
        <f t="shared" si="60"/>
        <v>85.440714082248419</v>
      </c>
      <c r="J149" s="29">
        <v>141722.60999999999</v>
      </c>
    </row>
    <row r="150" spans="1:10" ht="12.75" customHeight="1" x14ac:dyDescent="0.2">
      <c r="A150" s="2223"/>
      <c r="B150" s="776" t="s">
        <v>2629</v>
      </c>
      <c r="C150" s="2231">
        <v>70000</v>
      </c>
      <c r="D150" s="2231">
        <v>70000</v>
      </c>
      <c r="E150" s="738">
        <v>51988.52</v>
      </c>
      <c r="F150" s="1441"/>
      <c r="G150" s="2200">
        <f t="shared" si="61"/>
        <v>74.269314285714287</v>
      </c>
      <c r="H150" s="2200">
        <f t="shared" si="59"/>
        <v>74.269314285714287</v>
      </c>
      <c r="I150" s="2201">
        <f t="shared" si="60"/>
        <v>63.779969403390645</v>
      </c>
      <c r="J150" s="29">
        <v>81512.3</v>
      </c>
    </row>
    <row r="151" spans="1:10" x14ac:dyDescent="0.2">
      <c r="A151" s="2223"/>
      <c r="B151" s="776" t="s">
        <v>2630</v>
      </c>
      <c r="C151" s="2231">
        <v>40000</v>
      </c>
      <c r="D151" s="2231">
        <v>40000</v>
      </c>
      <c r="E151" s="2254">
        <v>18998</v>
      </c>
      <c r="F151" s="2255"/>
      <c r="G151" s="2200">
        <f t="shared" si="61"/>
        <v>47.494999999999997</v>
      </c>
      <c r="H151" s="2200">
        <f t="shared" si="59"/>
        <v>47.494999999999997</v>
      </c>
      <c r="I151" s="2201">
        <f t="shared" si="60"/>
        <v>83.434343434343432</v>
      </c>
      <c r="J151" s="29">
        <v>22770</v>
      </c>
    </row>
    <row r="152" spans="1:10" ht="24.75" x14ac:dyDescent="0.2">
      <c r="A152" s="2223"/>
      <c r="B152" s="2232" t="s">
        <v>2631</v>
      </c>
      <c r="C152" s="2260">
        <v>5000000</v>
      </c>
      <c r="D152" s="2260">
        <f>5000000-5000000</f>
        <v>0</v>
      </c>
      <c r="E152" s="738">
        <v>0</v>
      </c>
      <c r="F152" s="1045"/>
      <c r="G152" s="2200">
        <f t="shared" si="61"/>
        <v>0</v>
      </c>
      <c r="H152" s="2200">
        <v>0</v>
      </c>
      <c r="I152" s="2201">
        <v>0</v>
      </c>
      <c r="J152" s="1866">
        <v>0</v>
      </c>
    </row>
    <row r="153" spans="1:10" x14ac:dyDescent="0.2">
      <c r="A153" s="2204"/>
      <c r="B153" s="2232" t="s">
        <v>2632</v>
      </c>
      <c r="C153" s="2234">
        <v>0</v>
      </c>
      <c r="D153" s="2234">
        <v>0</v>
      </c>
      <c r="E153" s="738">
        <v>554</v>
      </c>
      <c r="F153" s="2042"/>
      <c r="G153" s="2200">
        <v>0</v>
      </c>
      <c r="H153" s="2200">
        <v>0</v>
      </c>
      <c r="I153" s="2201">
        <v>0</v>
      </c>
      <c r="J153" s="29">
        <v>0</v>
      </c>
    </row>
    <row r="154" spans="1:10" ht="12.75" customHeight="1" x14ac:dyDescent="0.2">
      <c r="A154" s="2223"/>
      <c r="B154" s="776" t="s">
        <v>1183</v>
      </c>
      <c r="C154" s="1893">
        <v>0</v>
      </c>
      <c r="D154" s="1893">
        <v>0</v>
      </c>
      <c r="E154" s="1809">
        <v>31842.3</v>
      </c>
      <c r="F154" s="740"/>
      <c r="G154" s="2200">
        <v>0</v>
      </c>
      <c r="H154" s="2200">
        <v>0</v>
      </c>
      <c r="I154" s="2201">
        <f t="shared" si="60"/>
        <v>80.246922914083513</v>
      </c>
      <c r="J154" s="29">
        <v>39680.400000000001</v>
      </c>
    </row>
    <row r="155" spans="1:10" ht="24.75" x14ac:dyDescent="0.2">
      <c r="A155" s="2261"/>
      <c r="B155" s="2262" t="s">
        <v>2633</v>
      </c>
      <c r="C155" s="2259">
        <v>500000</v>
      </c>
      <c r="D155" s="2259">
        <v>500000</v>
      </c>
      <c r="E155" s="738">
        <v>0</v>
      </c>
      <c r="F155" s="1809"/>
      <c r="G155" s="2200">
        <f t="shared" si="61"/>
        <v>0</v>
      </c>
      <c r="H155" s="2200">
        <f t="shared" si="59"/>
        <v>0</v>
      </c>
      <c r="I155" s="2201">
        <v>0</v>
      </c>
      <c r="J155" s="1866">
        <v>0</v>
      </c>
    </row>
    <row r="156" spans="1:10" ht="12.75" customHeight="1" x14ac:dyDescent="0.2">
      <c r="A156" s="2263"/>
      <c r="B156" s="1529" t="s">
        <v>2634</v>
      </c>
      <c r="C156" s="1893">
        <v>500000</v>
      </c>
      <c r="D156" s="1893">
        <f>500000-500000</f>
        <v>0</v>
      </c>
      <c r="E156" s="1077">
        <v>0</v>
      </c>
      <c r="F156" s="1946"/>
      <c r="G156" s="2200">
        <f t="shared" si="61"/>
        <v>0</v>
      </c>
      <c r="H156" s="2200">
        <v>0</v>
      </c>
      <c r="I156" s="2201">
        <v>0</v>
      </c>
      <c r="J156" s="29">
        <v>0</v>
      </c>
    </row>
    <row r="157" spans="1:10" x14ac:dyDescent="0.2">
      <c r="A157" s="2263"/>
      <c r="B157" s="1529" t="s">
        <v>2635</v>
      </c>
      <c r="C157" s="1702">
        <f>102867431.07+200.98-97734860.54</f>
        <v>5132771.5099999905</v>
      </c>
      <c r="D157" s="1702">
        <f>102867431.07+200.98-97734860.54</f>
        <v>5132771.5099999905</v>
      </c>
      <c r="E157" s="1077">
        <v>10006.370000000001</v>
      </c>
      <c r="F157" s="1077"/>
      <c r="G157" s="2200">
        <f t="shared" si="61"/>
        <v>0.19495062230034899</v>
      </c>
      <c r="H157" s="2200">
        <f t="shared" si="59"/>
        <v>0.19495062230034899</v>
      </c>
      <c r="I157" s="2201">
        <f t="shared" si="60"/>
        <v>1.0238281350905175E-2</v>
      </c>
      <c r="J157" s="29">
        <v>97734860.540000007</v>
      </c>
    </row>
    <row r="158" spans="1:10" ht="12.75" customHeight="1" x14ac:dyDescent="0.2">
      <c r="A158" s="2264"/>
      <c r="B158" s="2265"/>
      <c r="C158" s="2266"/>
      <c r="D158" s="2266"/>
      <c r="E158" s="1048"/>
      <c r="F158" s="945"/>
      <c r="G158" s="945"/>
      <c r="H158" s="2267"/>
      <c r="I158" s="2037"/>
    </row>
    <row r="159" spans="1:10" s="98" customFormat="1" ht="18.75" customHeight="1" x14ac:dyDescent="0.25">
      <c r="A159" s="2216"/>
      <c r="B159" s="2268" t="s">
        <v>11</v>
      </c>
      <c r="C159" s="652">
        <f>SUM(C160:C162,C168:C168:C169,C175)</f>
        <v>45747371</v>
      </c>
      <c r="D159" s="652">
        <f>SUM(D160:D162,D168:D168:D169,D175)</f>
        <v>57872258</v>
      </c>
      <c r="E159" s="2269">
        <v>421983</v>
      </c>
      <c r="F159" s="2270">
        <f>SUM(E160:E162,E168,E175)</f>
        <v>421983</v>
      </c>
      <c r="G159" s="1654">
        <f t="shared" si="61"/>
        <v>0.92242021951381648</v>
      </c>
      <c r="H159" s="1654">
        <f t="shared" si="59"/>
        <v>0.72916283999148601</v>
      </c>
      <c r="I159" s="1654">
        <f t="shared" si="60"/>
        <v>14.059225038955949</v>
      </c>
      <c r="J159" s="29">
        <v>3001467</v>
      </c>
    </row>
    <row r="160" spans="1:10" s="98" customFormat="1" x14ac:dyDescent="0.2">
      <c r="A160" s="2219">
        <v>3111</v>
      </c>
      <c r="B160" s="1208" t="s">
        <v>2636</v>
      </c>
      <c r="C160" s="765">
        <v>2300000</v>
      </c>
      <c r="D160" s="765">
        <f>2300000+5889660</f>
        <v>8189660</v>
      </c>
      <c r="E160" s="1880">
        <v>0</v>
      </c>
      <c r="F160" s="2271"/>
      <c r="G160" s="1663">
        <f t="shared" si="61"/>
        <v>0</v>
      </c>
      <c r="H160" s="1663">
        <f t="shared" si="59"/>
        <v>0</v>
      </c>
      <c r="I160" s="1662">
        <f t="shared" si="60"/>
        <v>0</v>
      </c>
      <c r="J160" s="29">
        <v>953071</v>
      </c>
    </row>
    <row r="161" spans="1:10" s="98" customFormat="1" x14ac:dyDescent="0.2">
      <c r="A161" s="2219">
        <v>3111</v>
      </c>
      <c r="B161" s="1208" t="s">
        <v>1189</v>
      </c>
      <c r="C161" s="731">
        <v>600000</v>
      </c>
      <c r="D161" s="731">
        <f>600000+5424450</f>
        <v>6024450</v>
      </c>
      <c r="E161" s="1084">
        <v>235783</v>
      </c>
      <c r="F161" s="2271"/>
      <c r="G161" s="1663">
        <f t="shared" si="61"/>
        <v>39.297166666666669</v>
      </c>
      <c r="H161" s="1663">
        <f t="shared" si="59"/>
        <v>3.9137680618147717</v>
      </c>
      <c r="I161" s="1662">
        <f t="shared" si="60"/>
        <v>944.26511814177024</v>
      </c>
      <c r="J161" s="29">
        <v>24970</v>
      </c>
    </row>
    <row r="162" spans="1:10" s="98" customFormat="1" x14ac:dyDescent="0.2">
      <c r="A162" s="2221">
        <v>3112</v>
      </c>
      <c r="B162" s="717" t="s">
        <v>2177</v>
      </c>
      <c r="C162" s="726">
        <f>SUM(C163:C167)</f>
        <v>33309049</v>
      </c>
      <c r="D162" s="726">
        <f>SUM(D163:D167)</f>
        <v>34119826</v>
      </c>
      <c r="E162" s="726">
        <v>0</v>
      </c>
      <c r="F162" s="1030"/>
      <c r="G162" s="1663">
        <f t="shared" si="61"/>
        <v>0</v>
      </c>
      <c r="H162" s="1663">
        <f t="shared" si="59"/>
        <v>0</v>
      </c>
      <c r="I162" s="1662">
        <v>0</v>
      </c>
      <c r="J162" s="29">
        <v>0</v>
      </c>
    </row>
    <row r="163" spans="1:10" s="98" customFormat="1" x14ac:dyDescent="0.2">
      <c r="A163" s="2221"/>
      <c r="B163" s="1530" t="s">
        <v>2637</v>
      </c>
      <c r="C163" s="2150">
        <v>2975049</v>
      </c>
      <c r="D163" s="2150">
        <v>2975049</v>
      </c>
      <c r="E163" s="750">
        <v>0</v>
      </c>
      <c r="F163" s="2272"/>
      <c r="G163" s="2200">
        <f t="shared" si="61"/>
        <v>0</v>
      </c>
      <c r="H163" s="2200">
        <f t="shared" si="59"/>
        <v>0</v>
      </c>
      <c r="I163" s="2201">
        <v>0</v>
      </c>
      <c r="J163" s="29">
        <v>0</v>
      </c>
    </row>
    <row r="164" spans="1:10" s="98" customFormat="1" x14ac:dyDescent="0.2">
      <c r="A164" s="2221"/>
      <c r="B164" s="1530" t="s">
        <v>2638</v>
      </c>
      <c r="C164" s="1946">
        <v>5455000</v>
      </c>
      <c r="D164" s="1946">
        <f>5455000+748448</f>
        <v>6203448</v>
      </c>
      <c r="E164" s="738">
        <v>0</v>
      </c>
      <c r="F164" s="747"/>
      <c r="G164" s="2200">
        <f t="shared" si="61"/>
        <v>0</v>
      </c>
      <c r="H164" s="2200">
        <f t="shared" si="59"/>
        <v>0</v>
      </c>
      <c r="I164" s="2201">
        <v>0</v>
      </c>
      <c r="J164" s="29">
        <v>0</v>
      </c>
    </row>
    <row r="165" spans="1:10" s="98" customFormat="1" x14ac:dyDescent="0.2">
      <c r="A165" s="2221"/>
      <c r="B165" s="1530" t="s">
        <v>2639</v>
      </c>
      <c r="C165" s="740">
        <v>3969000</v>
      </c>
      <c r="D165" s="740">
        <f>3969000+62329</f>
        <v>4031329</v>
      </c>
      <c r="E165" s="738">
        <v>0</v>
      </c>
      <c r="F165" s="747"/>
      <c r="G165" s="2200">
        <f t="shared" si="61"/>
        <v>0</v>
      </c>
      <c r="H165" s="2200">
        <f t="shared" si="59"/>
        <v>0</v>
      </c>
      <c r="I165" s="2201">
        <v>0</v>
      </c>
      <c r="J165" s="29">
        <v>0</v>
      </c>
    </row>
    <row r="166" spans="1:10" s="98" customFormat="1" x14ac:dyDescent="0.2">
      <c r="A166" s="2221"/>
      <c r="B166" s="1530" t="s">
        <v>2640</v>
      </c>
      <c r="C166" s="740">
        <v>20300000</v>
      </c>
      <c r="D166" s="740">
        <v>20300000</v>
      </c>
      <c r="E166" s="738">
        <v>0</v>
      </c>
      <c r="F166" s="1330"/>
      <c r="G166" s="2200">
        <f t="shared" si="61"/>
        <v>0</v>
      </c>
      <c r="H166" s="2200">
        <f t="shared" si="59"/>
        <v>0</v>
      </c>
      <c r="I166" s="2201">
        <v>0</v>
      </c>
      <c r="J166" s="29">
        <v>0</v>
      </c>
    </row>
    <row r="167" spans="1:10" s="98" customFormat="1" x14ac:dyDescent="0.2">
      <c r="A167" s="2221"/>
      <c r="B167" s="1530" t="s">
        <v>2641</v>
      </c>
      <c r="C167" s="740">
        <v>610000</v>
      </c>
      <c r="D167" s="740">
        <v>610000</v>
      </c>
      <c r="E167" s="738">
        <v>0</v>
      </c>
      <c r="F167" s="1330"/>
      <c r="G167" s="2200">
        <f t="shared" si="61"/>
        <v>0</v>
      </c>
      <c r="H167" s="2200">
        <f t="shared" si="59"/>
        <v>0</v>
      </c>
      <c r="I167" s="2201">
        <v>0</v>
      </c>
      <c r="J167" s="29">
        <v>0</v>
      </c>
    </row>
    <row r="168" spans="1:10" s="98" customFormat="1" x14ac:dyDescent="0.2">
      <c r="A168" s="2221">
        <v>3113</v>
      </c>
      <c r="B168" s="717" t="s">
        <v>2181</v>
      </c>
      <c r="C168" s="730">
        <v>50000</v>
      </c>
      <c r="D168" s="730">
        <v>50000</v>
      </c>
      <c r="E168" s="731">
        <v>181200</v>
      </c>
      <c r="F168" s="740"/>
      <c r="G168" s="1663">
        <f t="shared" si="61"/>
        <v>362.40000000000003</v>
      </c>
      <c r="H168" s="1663">
        <f t="shared" si="59"/>
        <v>362.40000000000003</v>
      </c>
      <c r="I168" s="1662">
        <f t="shared" si="60"/>
        <v>391.36069114470843</v>
      </c>
      <c r="J168" s="29">
        <v>46300</v>
      </c>
    </row>
    <row r="169" spans="1:10" s="98" customFormat="1" ht="12.75" customHeight="1" x14ac:dyDescent="0.2">
      <c r="A169" s="2221">
        <v>3129</v>
      </c>
      <c r="B169" s="717" t="s">
        <v>191</v>
      </c>
      <c r="C169" s="726">
        <f>SUM(C170:C174)</f>
        <v>9488322</v>
      </c>
      <c r="D169" s="726">
        <f>SUM(D170:D174)</f>
        <v>9488322</v>
      </c>
      <c r="E169" s="726">
        <v>0</v>
      </c>
      <c r="F169" s="1030"/>
      <c r="G169" s="1663">
        <f t="shared" si="61"/>
        <v>0</v>
      </c>
      <c r="H169" s="1663">
        <f t="shared" si="59"/>
        <v>0</v>
      </c>
      <c r="I169" s="1662">
        <v>0</v>
      </c>
      <c r="J169" s="29">
        <v>0</v>
      </c>
    </row>
    <row r="170" spans="1:10" s="98" customFormat="1" ht="12.75" customHeight="1" x14ac:dyDescent="0.2">
      <c r="A170" s="2273"/>
      <c r="B170" s="809" t="s">
        <v>2182</v>
      </c>
      <c r="C170" s="1900">
        <v>2499999</v>
      </c>
      <c r="D170" s="1900">
        <v>2499999</v>
      </c>
      <c r="E170" s="1077">
        <v>0</v>
      </c>
      <c r="F170" s="733"/>
      <c r="G170" s="2200">
        <f t="shared" si="61"/>
        <v>0</v>
      </c>
      <c r="H170" s="2200">
        <f t="shared" si="59"/>
        <v>0</v>
      </c>
      <c r="I170" s="2201">
        <v>0</v>
      </c>
      <c r="J170" s="29">
        <v>0</v>
      </c>
    </row>
    <row r="171" spans="1:10" s="98" customFormat="1" ht="12.75" customHeight="1" x14ac:dyDescent="0.2">
      <c r="A171" s="2274"/>
      <c r="B171" s="809" t="s">
        <v>2183</v>
      </c>
      <c r="C171" s="1900">
        <v>1356601</v>
      </c>
      <c r="D171" s="1900">
        <v>1356601</v>
      </c>
      <c r="E171" s="1077">
        <v>0</v>
      </c>
      <c r="F171" s="733"/>
      <c r="G171" s="2200">
        <f t="shared" si="61"/>
        <v>0</v>
      </c>
      <c r="H171" s="2200">
        <f t="shared" si="59"/>
        <v>0</v>
      </c>
      <c r="I171" s="2201">
        <v>0</v>
      </c>
      <c r="J171" s="29">
        <v>0</v>
      </c>
    </row>
    <row r="172" spans="1:10" s="98" customFormat="1" ht="12.75" customHeight="1" x14ac:dyDescent="0.2">
      <c r="A172" s="2275"/>
      <c r="B172" s="809" t="s">
        <v>2184</v>
      </c>
      <c r="C172" s="1900">
        <v>168585</v>
      </c>
      <c r="D172" s="1900">
        <v>168585</v>
      </c>
      <c r="E172" s="1077">
        <v>0</v>
      </c>
      <c r="F172" s="733"/>
      <c r="G172" s="2200">
        <f t="shared" si="61"/>
        <v>0</v>
      </c>
      <c r="H172" s="2200">
        <f t="shared" ref="H172:H235" si="62">E172/D172*100</f>
        <v>0</v>
      </c>
      <c r="I172" s="2201">
        <v>0</v>
      </c>
      <c r="J172" s="29">
        <v>0</v>
      </c>
    </row>
    <row r="173" spans="1:10" s="98" customFormat="1" ht="12.75" customHeight="1" x14ac:dyDescent="0.2">
      <c r="A173" s="2273"/>
      <c r="B173" s="809" t="s">
        <v>2185</v>
      </c>
      <c r="C173" s="1900">
        <v>5312129</v>
      </c>
      <c r="D173" s="1900">
        <v>5312129</v>
      </c>
      <c r="E173" s="1077">
        <v>0</v>
      </c>
      <c r="F173" s="733"/>
      <c r="G173" s="2200">
        <f t="shared" si="61"/>
        <v>0</v>
      </c>
      <c r="H173" s="2200">
        <f t="shared" si="62"/>
        <v>0</v>
      </c>
      <c r="I173" s="2201">
        <v>0</v>
      </c>
      <c r="J173" s="29">
        <v>0</v>
      </c>
    </row>
    <row r="174" spans="1:10" s="98" customFormat="1" ht="12.75" customHeight="1" x14ac:dyDescent="0.2">
      <c r="A174" s="2273"/>
      <c r="B174" s="158" t="s">
        <v>2642</v>
      </c>
      <c r="C174" s="1900">
        <v>151008</v>
      </c>
      <c r="D174" s="1900">
        <v>151008</v>
      </c>
      <c r="E174" s="1077">
        <v>0</v>
      </c>
      <c r="F174" s="733"/>
      <c r="G174" s="2200">
        <f t="shared" si="61"/>
        <v>0</v>
      </c>
      <c r="H174" s="2200">
        <f t="shared" si="62"/>
        <v>0</v>
      </c>
      <c r="I174" s="2201">
        <v>0</v>
      </c>
      <c r="J174" s="29">
        <v>0</v>
      </c>
    </row>
    <row r="175" spans="1:10" s="98" customFormat="1" x14ac:dyDescent="0.2">
      <c r="A175" s="2276">
        <v>3202</v>
      </c>
      <c r="B175" s="2277" t="s">
        <v>2643</v>
      </c>
      <c r="C175" s="1666">
        <v>0</v>
      </c>
      <c r="D175" s="1666">
        <v>0</v>
      </c>
      <c r="E175" s="1671">
        <v>5000</v>
      </c>
      <c r="F175" s="1666"/>
      <c r="G175" s="1663">
        <v>0</v>
      </c>
      <c r="H175" s="1663">
        <v>0</v>
      </c>
      <c r="I175" s="1662">
        <v>0</v>
      </c>
      <c r="J175" s="29">
        <v>0</v>
      </c>
    </row>
    <row r="176" spans="1:10" s="98" customFormat="1" x14ac:dyDescent="0.2">
      <c r="A176" s="2278"/>
      <c r="B176" s="2279"/>
      <c r="C176" s="2280"/>
      <c r="D176" s="2280"/>
      <c r="E176" s="1508"/>
      <c r="F176" s="2281"/>
      <c r="G176" s="2281"/>
      <c r="H176" s="2281"/>
      <c r="I176" s="2280"/>
      <c r="J176" s="29"/>
    </row>
    <row r="177" spans="1:10" s="98" customFormat="1" ht="18" x14ac:dyDescent="0.25">
      <c r="A177" s="2282"/>
      <c r="B177" s="2283" t="s">
        <v>196</v>
      </c>
      <c r="C177" s="637">
        <f>SUM(C178,C180,C181,C185,C195,C204,C216,C218:C218,C220,C227)</f>
        <v>91705431.088</v>
      </c>
      <c r="D177" s="637">
        <f>SUM(D178,D180,D181,D185,D195,D204,D216,D218:D218,D220,D227)</f>
        <v>109028813.04799999</v>
      </c>
      <c r="E177" s="637">
        <v>50897222.469999999</v>
      </c>
      <c r="F177" s="2284">
        <f>SUM(E180,E181,E185,E195,E204,E216,E220,E227)</f>
        <v>50897222.469999999</v>
      </c>
      <c r="G177" s="1654">
        <f t="shared" si="61"/>
        <v>55.500772272864971</v>
      </c>
      <c r="H177" s="1654">
        <f t="shared" si="62"/>
        <v>46.682359503989531</v>
      </c>
      <c r="I177" s="1654">
        <f t="shared" ref="I177:I235" si="63">E177/J177*100</f>
        <v>81.157133252429375</v>
      </c>
      <c r="J177" s="29">
        <v>62714416.380000003</v>
      </c>
    </row>
    <row r="178" spans="1:10" s="98" customFormat="1" x14ac:dyDescent="0.2">
      <c r="A178" s="2285">
        <v>4111</v>
      </c>
      <c r="B178" s="875" t="s">
        <v>197</v>
      </c>
      <c r="C178" s="876">
        <f>SUM(C179:C179)</f>
        <v>0</v>
      </c>
      <c r="D178" s="876">
        <f>SUM(D179:D179)</f>
        <v>500000</v>
      </c>
      <c r="E178" s="876">
        <v>0</v>
      </c>
      <c r="F178" s="2286"/>
      <c r="G178" s="1663">
        <v>0</v>
      </c>
      <c r="H178" s="1663">
        <f t="shared" si="62"/>
        <v>0</v>
      </c>
      <c r="I178" s="1662">
        <f t="shared" si="63"/>
        <v>0</v>
      </c>
      <c r="J178" s="29">
        <v>848612.64</v>
      </c>
    </row>
    <row r="179" spans="1:10" s="98" customFormat="1" x14ac:dyDescent="0.2">
      <c r="A179" s="2287"/>
      <c r="B179" s="878" t="s">
        <v>2644</v>
      </c>
      <c r="C179" s="853">
        <v>0</v>
      </c>
      <c r="D179" s="853">
        <v>500000</v>
      </c>
      <c r="E179" s="879">
        <v>0</v>
      </c>
      <c r="F179" s="879"/>
      <c r="G179" s="2200">
        <v>0</v>
      </c>
      <c r="H179" s="2200">
        <f t="shared" si="62"/>
        <v>0</v>
      </c>
      <c r="I179" s="2201">
        <v>0</v>
      </c>
      <c r="J179" s="29">
        <v>0</v>
      </c>
    </row>
    <row r="180" spans="1:10" ht="25.5" x14ac:dyDescent="0.2">
      <c r="A180" s="2288">
        <v>4112</v>
      </c>
      <c r="B180" s="843" t="s">
        <v>1219</v>
      </c>
      <c r="C180" s="746">
        <f>(1016932+736317+467712+420864+713728+43008+4253687+8154340+23444493+795804+17710+1525000+1296966+241392+782383+86001+2624+348336+27880+12045)-22</f>
        <v>44387200</v>
      </c>
      <c r="D180" s="746">
        <f>((1016932+736317+467712+420864+713728+43008+4253687+8154340+23444493+795804+17710+1525000+1296966+241392+782383+86001+2624+348336+27880+12045)-22)-432200</f>
        <v>43955000</v>
      </c>
      <c r="E180" s="746">
        <v>21977502</v>
      </c>
      <c r="F180" s="767"/>
      <c r="G180" s="1663">
        <f t="shared" si="61"/>
        <v>49.513152440343163</v>
      </c>
      <c r="H180" s="1663">
        <f t="shared" si="62"/>
        <v>50.000004550108066</v>
      </c>
      <c r="I180" s="1662">
        <f t="shared" si="63"/>
        <v>99.026313804548508</v>
      </c>
      <c r="J180" s="29">
        <v>22193598</v>
      </c>
    </row>
    <row r="181" spans="1:10" x14ac:dyDescent="0.2">
      <c r="A181" s="2288">
        <v>4113</v>
      </c>
      <c r="B181" s="843" t="s">
        <v>2194</v>
      </c>
      <c r="C181" s="746">
        <f>SUM(C182:C184)</f>
        <v>55091.756999999998</v>
      </c>
      <c r="D181" s="746">
        <f>SUM(D182:D184)</f>
        <v>495091.75699999998</v>
      </c>
      <c r="E181" s="746">
        <v>541260.57999999996</v>
      </c>
      <c r="F181" s="767">
        <f>SUM(E182:E184)</f>
        <v>541260.57999999996</v>
      </c>
      <c r="G181" s="1663">
        <f t="shared" si="61"/>
        <v>982.4710800201924</v>
      </c>
      <c r="H181" s="1663">
        <f t="shared" si="62"/>
        <v>109.32530633912371</v>
      </c>
      <c r="I181" s="1662">
        <v>0</v>
      </c>
      <c r="J181" s="29">
        <v>0</v>
      </c>
    </row>
    <row r="182" spans="1:10" x14ac:dyDescent="0.2">
      <c r="A182" s="2288"/>
      <c r="B182" s="1423" t="s">
        <v>2645</v>
      </c>
      <c r="C182" s="1734">
        <v>55091.756999999998</v>
      </c>
      <c r="D182" s="1734">
        <v>55091.756999999998</v>
      </c>
      <c r="E182" s="767">
        <v>0</v>
      </c>
      <c r="F182" s="1803"/>
      <c r="G182" s="2200">
        <f t="shared" si="61"/>
        <v>0</v>
      </c>
      <c r="H182" s="2200">
        <f t="shared" si="62"/>
        <v>0</v>
      </c>
      <c r="I182" s="2201">
        <v>0</v>
      </c>
      <c r="J182" s="29">
        <v>0</v>
      </c>
    </row>
    <row r="183" spans="1:10" x14ac:dyDescent="0.2">
      <c r="A183" s="2288"/>
      <c r="B183" s="1423" t="s">
        <v>2646</v>
      </c>
      <c r="C183" s="2289">
        <v>0</v>
      </c>
      <c r="D183" s="2289">
        <v>440000</v>
      </c>
      <c r="E183" s="767">
        <v>400000</v>
      </c>
      <c r="F183" s="1803"/>
      <c r="G183" s="2200">
        <v>0</v>
      </c>
      <c r="H183" s="2200">
        <f t="shared" si="62"/>
        <v>90.909090909090907</v>
      </c>
      <c r="I183" s="2201">
        <v>0</v>
      </c>
      <c r="J183" s="29">
        <v>0</v>
      </c>
    </row>
    <row r="184" spans="1:10" x14ac:dyDescent="0.2">
      <c r="A184" s="2288"/>
      <c r="B184" s="1423" t="s">
        <v>2647</v>
      </c>
      <c r="C184" s="2289">
        <v>0</v>
      </c>
      <c r="D184" s="2289">
        <v>0</v>
      </c>
      <c r="E184" s="767">
        <v>141260.57999999999</v>
      </c>
      <c r="F184" s="1803"/>
      <c r="G184" s="2200">
        <v>0</v>
      </c>
      <c r="H184" s="2200">
        <v>0</v>
      </c>
      <c r="I184" s="2201">
        <v>0</v>
      </c>
      <c r="J184" s="29">
        <v>0</v>
      </c>
    </row>
    <row r="185" spans="1:10" s="98" customFormat="1" x14ac:dyDescent="0.2">
      <c r="A185" s="2237">
        <v>4116</v>
      </c>
      <c r="B185" s="787" t="s">
        <v>201</v>
      </c>
      <c r="C185" s="734">
        <f>SUM(C186:C194)</f>
        <v>9290603</v>
      </c>
      <c r="D185" s="734">
        <f>SUM(D186:D194)</f>
        <v>13188962.619999999</v>
      </c>
      <c r="E185" s="734">
        <v>12340882.619999999</v>
      </c>
      <c r="F185" s="772">
        <f>SUM(E186:E194)</f>
        <v>12340882.619999999</v>
      </c>
      <c r="G185" s="1663">
        <f t="shared" si="61"/>
        <v>132.83187991134696</v>
      </c>
      <c r="H185" s="1663">
        <f t="shared" si="62"/>
        <v>93.569774784910265</v>
      </c>
      <c r="I185" s="1662">
        <f t="shared" si="63"/>
        <v>92.879914500655303</v>
      </c>
      <c r="J185" s="29">
        <v>13286922.890000001</v>
      </c>
    </row>
    <row r="186" spans="1:10" x14ac:dyDescent="0.2">
      <c r="A186" s="2290"/>
      <c r="B186" s="789" t="s">
        <v>2648</v>
      </c>
      <c r="C186" s="767">
        <v>1067803</v>
      </c>
      <c r="D186" s="767">
        <v>1067803</v>
      </c>
      <c r="E186" s="767">
        <v>0</v>
      </c>
      <c r="F186" s="767"/>
      <c r="G186" s="2200">
        <f t="shared" ref="G186:G249" si="64">E186/C186*100</f>
        <v>0</v>
      </c>
      <c r="H186" s="2200">
        <f t="shared" si="62"/>
        <v>0</v>
      </c>
      <c r="I186" s="2201">
        <v>0</v>
      </c>
      <c r="J186" s="29">
        <v>0</v>
      </c>
    </row>
    <row r="187" spans="1:10" x14ac:dyDescent="0.2">
      <c r="A187" s="2290"/>
      <c r="B187" s="789" t="s">
        <v>1231</v>
      </c>
      <c r="C187" s="767">
        <v>8122800</v>
      </c>
      <c r="D187" s="767">
        <v>8122800</v>
      </c>
      <c r="E187" s="767">
        <v>8416800</v>
      </c>
      <c r="F187" s="767"/>
      <c r="G187" s="2200">
        <f t="shared" si="64"/>
        <v>103.61944157187177</v>
      </c>
      <c r="H187" s="2200">
        <f t="shared" si="62"/>
        <v>103.61944157187177</v>
      </c>
      <c r="I187" s="2201">
        <f t="shared" si="63"/>
        <v>103.61944157187177</v>
      </c>
      <c r="J187" s="29">
        <v>8122800</v>
      </c>
    </row>
    <row r="188" spans="1:10" s="98" customFormat="1" ht="12.75" customHeight="1" x14ac:dyDescent="0.2">
      <c r="A188" s="2290"/>
      <c r="B188" s="796" t="s">
        <v>2649</v>
      </c>
      <c r="C188" s="767">
        <v>100000</v>
      </c>
      <c r="D188" s="767">
        <v>100000</v>
      </c>
      <c r="E188" s="767">
        <v>25723</v>
      </c>
      <c r="F188" s="1676"/>
      <c r="G188" s="2200">
        <f t="shared" si="64"/>
        <v>25.723000000000003</v>
      </c>
      <c r="H188" s="2200">
        <f t="shared" si="62"/>
        <v>25.723000000000003</v>
      </c>
      <c r="I188" s="2201">
        <v>0</v>
      </c>
      <c r="J188" s="29">
        <v>0</v>
      </c>
    </row>
    <row r="189" spans="1:10" s="98" customFormat="1" ht="12.75" customHeight="1" x14ac:dyDescent="0.2">
      <c r="A189" s="2290"/>
      <c r="B189" s="796" t="s">
        <v>2650</v>
      </c>
      <c r="C189" s="1703">
        <v>0</v>
      </c>
      <c r="D189" s="1703">
        <v>472672.5</v>
      </c>
      <c r="E189" s="767">
        <v>472672.5</v>
      </c>
      <c r="F189" s="1676"/>
      <c r="G189" s="2200">
        <v>0</v>
      </c>
      <c r="H189" s="2200">
        <f t="shared" si="62"/>
        <v>100</v>
      </c>
      <c r="I189" s="2201">
        <v>0</v>
      </c>
      <c r="J189" s="29">
        <v>0</v>
      </c>
    </row>
    <row r="190" spans="1:10" s="98" customFormat="1" ht="12.75" customHeight="1" x14ac:dyDescent="0.2">
      <c r="A190" s="2290"/>
      <c r="B190" s="796" t="s">
        <v>2651</v>
      </c>
      <c r="C190" s="1813">
        <v>0</v>
      </c>
      <c r="D190" s="1813">
        <v>71563.929999999993</v>
      </c>
      <c r="E190" s="767">
        <v>71563.929999999993</v>
      </c>
      <c r="F190" s="1813"/>
      <c r="G190" s="2200">
        <v>0</v>
      </c>
      <c r="H190" s="2200">
        <f t="shared" si="62"/>
        <v>100</v>
      </c>
      <c r="I190" s="2201">
        <v>0</v>
      </c>
      <c r="J190" s="29">
        <v>0</v>
      </c>
    </row>
    <row r="191" spans="1:10" s="98" customFormat="1" ht="12.75" customHeight="1" x14ac:dyDescent="0.2">
      <c r="A191" s="2290"/>
      <c r="B191" s="796" t="s">
        <v>2652</v>
      </c>
      <c r="C191" s="767">
        <v>0</v>
      </c>
      <c r="D191" s="767">
        <f>(117955.01+495553.09)</f>
        <v>613508.1</v>
      </c>
      <c r="E191" s="767">
        <v>613508.1</v>
      </c>
      <c r="F191" s="1676"/>
      <c r="G191" s="2200">
        <v>0</v>
      </c>
      <c r="H191" s="2200">
        <f t="shared" si="62"/>
        <v>100</v>
      </c>
      <c r="I191" s="2201">
        <v>0</v>
      </c>
      <c r="J191" s="29">
        <v>0</v>
      </c>
    </row>
    <row r="192" spans="1:10" s="98" customFormat="1" ht="12.75" customHeight="1" x14ac:dyDescent="0.2">
      <c r="A192" s="2290"/>
      <c r="B192" s="796" t="s">
        <v>2653</v>
      </c>
      <c r="C192" s="767">
        <v>0</v>
      </c>
      <c r="D192" s="767">
        <f>(138438.27+581607.57)</f>
        <v>720045.84</v>
      </c>
      <c r="E192" s="767">
        <v>720045.84</v>
      </c>
      <c r="F192" s="1676"/>
      <c r="G192" s="2200">
        <v>0</v>
      </c>
      <c r="H192" s="2200">
        <f t="shared" si="62"/>
        <v>100</v>
      </c>
      <c r="I192" s="2201">
        <v>0</v>
      </c>
      <c r="J192" s="29">
        <v>0</v>
      </c>
    </row>
    <row r="193" spans="1:10" s="98" customFormat="1" ht="12.75" customHeight="1" x14ac:dyDescent="0.2">
      <c r="A193" s="2290"/>
      <c r="B193" s="796" t="s">
        <v>2654</v>
      </c>
      <c r="C193" s="767">
        <v>0</v>
      </c>
      <c r="D193" s="767">
        <f>(108476.76+455733)</f>
        <v>564209.76</v>
      </c>
      <c r="E193" s="767">
        <v>564209.76</v>
      </c>
      <c r="F193" s="1676"/>
      <c r="G193" s="2200">
        <v>0</v>
      </c>
      <c r="H193" s="2200">
        <f t="shared" si="62"/>
        <v>100</v>
      </c>
      <c r="I193" s="2201">
        <v>0</v>
      </c>
      <c r="J193" s="29">
        <v>0</v>
      </c>
    </row>
    <row r="194" spans="1:10" s="98" customFormat="1" ht="12.75" customHeight="1" x14ac:dyDescent="0.2">
      <c r="A194" s="2290"/>
      <c r="B194" s="796" t="s">
        <v>2655</v>
      </c>
      <c r="C194" s="767">
        <v>0</v>
      </c>
      <c r="D194" s="767">
        <f>(280004.26+1176355.23)</f>
        <v>1456359.49</v>
      </c>
      <c r="E194" s="767">
        <v>1456359.49</v>
      </c>
      <c r="F194" s="1676"/>
      <c r="G194" s="2200">
        <v>0</v>
      </c>
      <c r="H194" s="2200">
        <f t="shared" si="62"/>
        <v>100</v>
      </c>
      <c r="I194" s="2201">
        <v>0</v>
      </c>
      <c r="J194" s="29">
        <v>0</v>
      </c>
    </row>
    <row r="195" spans="1:10" x14ac:dyDescent="0.2">
      <c r="A195" s="2237">
        <v>4121</v>
      </c>
      <c r="B195" s="787" t="s">
        <v>213</v>
      </c>
      <c r="C195" s="734">
        <f>SUM(C196:C203)</f>
        <v>3641716.8</v>
      </c>
      <c r="D195" s="734">
        <f>SUM(D196:D203)</f>
        <v>3641716.8</v>
      </c>
      <c r="E195" s="734">
        <v>3321015.9</v>
      </c>
      <c r="F195" s="893">
        <f>SUM(E196:E203)</f>
        <v>3321015.9</v>
      </c>
      <c r="G195" s="1663">
        <f t="shared" si="64"/>
        <v>91.193689196260408</v>
      </c>
      <c r="H195" s="1663">
        <f t="shared" si="62"/>
        <v>91.193689196260408</v>
      </c>
      <c r="I195" s="1662">
        <f t="shared" si="63"/>
        <v>99.994215959976003</v>
      </c>
      <c r="J195" s="29">
        <v>3321208</v>
      </c>
    </row>
    <row r="196" spans="1:10" x14ac:dyDescent="0.2">
      <c r="A196" s="2237"/>
      <c r="B196" s="796" t="s">
        <v>1247</v>
      </c>
      <c r="C196" s="1734">
        <v>500000</v>
      </c>
      <c r="D196" s="1734">
        <v>500000</v>
      </c>
      <c r="E196" s="767">
        <v>465000</v>
      </c>
      <c r="F196" s="1796"/>
      <c r="G196" s="2200">
        <f t="shared" si="64"/>
        <v>93</v>
      </c>
      <c r="H196" s="2200">
        <f t="shared" si="62"/>
        <v>93</v>
      </c>
      <c r="I196" s="2201">
        <f t="shared" si="63"/>
        <v>108.77192982456141</v>
      </c>
      <c r="J196" s="29">
        <v>427500</v>
      </c>
    </row>
    <row r="197" spans="1:10" x14ac:dyDescent="0.2">
      <c r="A197" s="2237"/>
      <c r="B197" s="796" t="s">
        <v>2656</v>
      </c>
      <c r="C197" s="1716">
        <v>3000</v>
      </c>
      <c r="D197" s="1716">
        <v>3000</v>
      </c>
      <c r="E197" s="767">
        <v>0</v>
      </c>
      <c r="F197" s="1795"/>
      <c r="G197" s="2200">
        <f t="shared" si="64"/>
        <v>0</v>
      </c>
      <c r="H197" s="2200">
        <f t="shared" si="62"/>
        <v>0</v>
      </c>
      <c r="I197" s="2201">
        <f t="shared" si="63"/>
        <v>0</v>
      </c>
      <c r="J197" s="29">
        <v>1869</v>
      </c>
    </row>
    <row r="198" spans="1:10" ht="12.75" customHeight="1" x14ac:dyDescent="0.2">
      <c r="A198" s="2221"/>
      <c r="B198" s="1035" t="s">
        <v>2657</v>
      </c>
      <c r="C198" s="2291">
        <v>1465013</v>
      </c>
      <c r="D198" s="2291">
        <v>1465013</v>
      </c>
      <c r="E198" s="738">
        <v>1433413</v>
      </c>
      <c r="F198" s="2291"/>
      <c r="G198" s="2200">
        <f t="shared" si="64"/>
        <v>97.843022553383491</v>
      </c>
      <c r="H198" s="2200">
        <f t="shared" si="62"/>
        <v>97.843022553383491</v>
      </c>
      <c r="I198" s="2201">
        <f t="shared" si="63"/>
        <v>104.19274975067819</v>
      </c>
      <c r="J198" s="29">
        <v>1375732</v>
      </c>
    </row>
    <row r="199" spans="1:10" ht="12.75" customHeight="1" x14ac:dyDescent="0.2">
      <c r="A199" s="2221"/>
      <c r="B199" s="1035" t="s">
        <v>2658</v>
      </c>
      <c r="C199" s="2291">
        <v>1086156</v>
      </c>
      <c r="D199" s="2291">
        <v>1086156</v>
      </c>
      <c r="E199" s="738">
        <v>994782</v>
      </c>
      <c r="F199" s="2291"/>
      <c r="G199" s="2200">
        <f t="shared" si="64"/>
        <v>91.587396285616435</v>
      </c>
      <c r="H199" s="2200">
        <f t="shared" si="62"/>
        <v>91.587396285616435</v>
      </c>
      <c r="I199" s="2201">
        <f t="shared" si="63"/>
        <v>99.671462966692417</v>
      </c>
      <c r="J199" s="29">
        <v>998061</v>
      </c>
    </row>
    <row r="200" spans="1:10" ht="12.75" customHeight="1" x14ac:dyDescent="0.2">
      <c r="A200" s="2221"/>
      <c r="B200" s="1035" t="s">
        <v>2659</v>
      </c>
      <c r="C200" s="2291">
        <v>258394</v>
      </c>
      <c r="D200" s="2291">
        <v>258394</v>
      </c>
      <c r="E200" s="738">
        <v>258394</v>
      </c>
      <c r="F200" s="2291"/>
      <c r="G200" s="2200">
        <f t="shared" si="64"/>
        <v>100</v>
      </c>
      <c r="H200" s="2200">
        <f t="shared" si="62"/>
        <v>100</v>
      </c>
      <c r="I200" s="2201">
        <f t="shared" si="63"/>
        <v>72.802217927117198</v>
      </c>
      <c r="J200" s="29">
        <v>354926</v>
      </c>
    </row>
    <row r="201" spans="1:10" x14ac:dyDescent="0.2">
      <c r="A201" s="2221"/>
      <c r="B201" s="1035" t="s">
        <v>1252</v>
      </c>
      <c r="C201" s="738">
        <v>328853.8</v>
      </c>
      <c r="D201" s="738">
        <v>328853.8</v>
      </c>
      <c r="E201" s="750">
        <v>164426.9</v>
      </c>
      <c r="F201" s="1030"/>
      <c r="G201" s="2200">
        <f t="shared" si="64"/>
        <v>50</v>
      </c>
      <c r="H201" s="2200">
        <f t="shared" si="62"/>
        <v>50</v>
      </c>
      <c r="I201" s="2201">
        <f t="shared" si="63"/>
        <v>107</v>
      </c>
      <c r="J201" s="29">
        <v>153670</v>
      </c>
    </row>
    <row r="202" spans="1:10" x14ac:dyDescent="0.2">
      <c r="A202" s="2221"/>
      <c r="B202" s="1035" t="s">
        <v>1253</v>
      </c>
      <c r="C202" s="738">
        <v>300</v>
      </c>
      <c r="D202" s="738">
        <v>300</v>
      </c>
      <c r="E202" s="750">
        <v>0</v>
      </c>
      <c r="F202" s="738"/>
      <c r="G202" s="2200">
        <f t="shared" si="64"/>
        <v>0</v>
      </c>
      <c r="H202" s="2200">
        <f t="shared" si="62"/>
        <v>0</v>
      </c>
      <c r="I202" s="2201">
        <f t="shared" si="63"/>
        <v>0</v>
      </c>
      <c r="J202" s="29">
        <v>450</v>
      </c>
    </row>
    <row r="203" spans="1:10" x14ac:dyDescent="0.2">
      <c r="A203" s="2221"/>
      <c r="B203" s="1035" t="s">
        <v>2201</v>
      </c>
      <c r="C203" s="742">
        <v>0</v>
      </c>
      <c r="D203" s="742">
        <v>0</v>
      </c>
      <c r="E203" s="750">
        <v>5000</v>
      </c>
      <c r="F203" s="2292"/>
      <c r="G203" s="2200">
        <v>0</v>
      </c>
      <c r="H203" s="2200">
        <v>0</v>
      </c>
      <c r="I203" s="1662">
        <f t="shared" si="63"/>
        <v>55.555555555555557</v>
      </c>
      <c r="J203" s="29">
        <v>9000</v>
      </c>
    </row>
    <row r="204" spans="1:10" ht="12.75" customHeight="1" x14ac:dyDescent="0.2">
      <c r="A204" s="2221">
        <v>4122</v>
      </c>
      <c r="B204" s="725" t="s">
        <v>221</v>
      </c>
      <c r="C204" s="726">
        <f>SUM(C205:C215)</f>
        <v>80000</v>
      </c>
      <c r="D204" s="726">
        <f>SUM(D205:D215)</f>
        <v>10543854</v>
      </c>
      <c r="E204" s="726">
        <v>6102954</v>
      </c>
      <c r="F204" s="1030">
        <f>SUM(E205:E215)</f>
        <v>6102954</v>
      </c>
      <c r="G204" s="1663">
        <f t="shared" si="64"/>
        <v>7628.6924999999992</v>
      </c>
      <c r="H204" s="1663">
        <f t="shared" si="62"/>
        <v>57.881624688657482</v>
      </c>
      <c r="I204" s="1662">
        <f t="shared" si="63"/>
        <v>82.754319921961127</v>
      </c>
      <c r="J204" s="29">
        <v>7374786</v>
      </c>
    </row>
    <row r="205" spans="1:10" s="98" customFormat="1" ht="12.75" customHeight="1" x14ac:dyDescent="0.2">
      <c r="A205" s="2293"/>
      <c r="B205" s="2294" t="s">
        <v>2660</v>
      </c>
      <c r="C205" s="1232">
        <v>0</v>
      </c>
      <c r="D205" s="1232">
        <v>110000</v>
      </c>
      <c r="E205" s="738">
        <v>0</v>
      </c>
      <c r="F205" s="2295"/>
      <c r="G205" s="2200">
        <v>0</v>
      </c>
      <c r="H205" s="2200">
        <f t="shared" si="62"/>
        <v>0</v>
      </c>
      <c r="I205" s="2201">
        <v>0</v>
      </c>
      <c r="J205" s="29">
        <v>0</v>
      </c>
    </row>
    <row r="206" spans="1:10" s="98" customFormat="1" ht="12.75" customHeight="1" x14ac:dyDescent="0.2">
      <c r="A206" s="2293"/>
      <c r="B206" s="2294" t="s">
        <v>1262</v>
      </c>
      <c r="C206" s="1232">
        <v>0</v>
      </c>
      <c r="D206" s="1232">
        <f>4737000</f>
        <v>4737000</v>
      </c>
      <c r="E206" s="738">
        <v>2368500</v>
      </c>
      <c r="F206" s="2295"/>
      <c r="G206" s="2200">
        <v>0</v>
      </c>
      <c r="H206" s="2200">
        <f t="shared" si="62"/>
        <v>50</v>
      </c>
      <c r="I206" s="2201">
        <f t="shared" si="63"/>
        <v>99.87349778621126</v>
      </c>
      <c r="J206" s="29">
        <v>2371500</v>
      </c>
    </row>
    <row r="207" spans="1:10" s="98" customFormat="1" ht="12.75" customHeight="1" x14ac:dyDescent="0.2">
      <c r="A207" s="2293"/>
      <c r="B207" s="2294" t="s">
        <v>2203</v>
      </c>
      <c r="C207" s="1900">
        <v>80000</v>
      </c>
      <c r="D207" s="1900">
        <v>80000</v>
      </c>
      <c r="E207" s="738">
        <v>40000</v>
      </c>
      <c r="F207" s="733"/>
      <c r="G207" s="2200">
        <f t="shared" si="64"/>
        <v>50</v>
      </c>
      <c r="H207" s="2200">
        <f t="shared" si="62"/>
        <v>50</v>
      </c>
      <c r="I207" s="2201">
        <v>0</v>
      </c>
      <c r="J207" s="29">
        <v>0</v>
      </c>
    </row>
    <row r="208" spans="1:10" s="98" customFormat="1" ht="12.75" customHeight="1" x14ac:dyDescent="0.2">
      <c r="A208" s="2293"/>
      <c r="B208" s="2294" t="s">
        <v>2661</v>
      </c>
      <c r="C208" s="1900">
        <v>0</v>
      </c>
      <c r="D208" s="1900">
        <v>140000</v>
      </c>
      <c r="E208" s="738">
        <v>70000</v>
      </c>
      <c r="F208" s="733"/>
      <c r="G208" s="2200">
        <v>0</v>
      </c>
      <c r="H208" s="2200">
        <f t="shared" si="62"/>
        <v>50</v>
      </c>
      <c r="I208" s="2201">
        <v>0</v>
      </c>
      <c r="J208" s="29">
        <v>0</v>
      </c>
    </row>
    <row r="209" spans="1:10" s="98" customFormat="1" ht="12.75" customHeight="1" x14ac:dyDescent="0.2">
      <c r="A209" s="2273"/>
      <c r="B209" s="2294" t="s">
        <v>2204</v>
      </c>
      <c r="C209" s="1900">
        <v>0</v>
      </c>
      <c r="D209" s="1900">
        <v>239800</v>
      </c>
      <c r="E209" s="738">
        <v>239800</v>
      </c>
      <c r="F209" s="733"/>
      <c r="G209" s="2200">
        <v>0</v>
      </c>
      <c r="H209" s="2200">
        <f t="shared" si="62"/>
        <v>100</v>
      </c>
      <c r="I209" s="2201">
        <f t="shared" si="63"/>
        <v>114.08182683158896</v>
      </c>
      <c r="J209" s="29">
        <v>210200</v>
      </c>
    </row>
    <row r="210" spans="1:10" s="98" customFormat="1" ht="12.75" customHeight="1" x14ac:dyDescent="0.2">
      <c r="A210" s="2293"/>
      <c r="B210" s="2294" t="s">
        <v>2205</v>
      </c>
      <c r="C210" s="1900">
        <v>0</v>
      </c>
      <c r="D210" s="1900">
        <f>(12834+115506)</f>
        <v>128340</v>
      </c>
      <c r="E210" s="738">
        <v>128340</v>
      </c>
      <c r="F210" s="733"/>
      <c r="G210" s="2200">
        <v>0</v>
      </c>
      <c r="H210" s="2200">
        <f t="shared" si="62"/>
        <v>100</v>
      </c>
      <c r="I210" s="2201">
        <f t="shared" si="63"/>
        <v>375.30705345654462</v>
      </c>
      <c r="J210" s="29">
        <v>34196</v>
      </c>
    </row>
    <row r="211" spans="1:10" s="98" customFormat="1" ht="12.75" customHeight="1" x14ac:dyDescent="0.2">
      <c r="A211" s="2290"/>
      <c r="B211" s="896" t="s">
        <v>2206</v>
      </c>
      <c r="C211" s="1800">
        <v>0</v>
      </c>
      <c r="D211" s="1800">
        <f>(9850+88650)</f>
        <v>98500</v>
      </c>
      <c r="E211" s="767">
        <v>98500</v>
      </c>
      <c r="F211" s="1676"/>
      <c r="G211" s="2200">
        <v>0</v>
      </c>
      <c r="H211" s="2200">
        <f t="shared" si="62"/>
        <v>100</v>
      </c>
      <c r="I211" s="2201">
        <f t="shared" si="63"/>
        <v>201.43149284253582</v>
      </c>
      <c r="J211" s="29">
        <v>48900</v>
      </c>
    </row>
    <row r="212" spans="1:10" s="98" customFormat="1" ht="12.75" customHeight="1" x14ac:dyDescent="0.2">
      <c r="A212" s="2290"/>
      <c r="B212" s="896" t="s">
        <v>2207</v>
      </c>
      <c r="C212" s="1800">
        <v>0</v>
      </c>
      <c r="D212" s="1800">
        <f>(17098.2+153883.8)</f>
        <v>170982</v>
      </c>
      <c r="E212" s="767">
        <v>170982</v>
      </c>
      <c r="F212" s="1676"/>
      <c r="G212" s="2200">
        <v>0</v>
      </c>
      <c r="H212" s="2200">
        <f t="shared" si="62"/>
        <v>100</v>
      </c>
      <c r="I212" s="2201">
        <f t="shared" si="63"/>
        <v>227.39992020215456</v>
      </c>
      <c r="J212" s="29">
        <v>75190</v>
      </c>
    </row>
    <row r="213" spans="1:10" s="98" customFormat="1" ht="12.75" customHeight="1" x14ac:dyDescent="0.2">
      <c r="A213" s="2290"/>
      <c r="B213" s="896" t="s">
        <v>2208</v>
      </c>
      <c r="C213" s="1703">
        <v>0</v>
      </c>
      <c r="D213" s="1703">
        <f>(9159.75+82437.75)</f>
        <v>91597.5</v>
      </c>
      <c r="E213" s="767">
        <v>91597.5</v>
      </c>
      <c r="F213" s="1676"/>
      <c r="G213" s="2200">
        <v>0</v>
      </c>
      <c r="H213" s="2200">
        <f t="shared" si="62"/>
        <v>100</v>
      </c>
      <c r="I213" s="2201">
        <f t="shared" si="63"/>
        <v>148.21601941747574</v>
      </c>
      <c r="J213" s="29">
        <v>61800</v>
      </c>
    </row>
    <row r="214" spans="1:10" s="98" customFormat="1" ht="12.75" customHeight="1" x14ac:dyDescent="0.2">
      <c r="A214" s="2290"/>
      <c r="B214" s="896" t="s">
        <v>2209</v>
      </c>
      <c r="C214" s="1800">
        <v>0</v>
      </c>
      <c r="D214" s="1800">
        <f>(11663.45+104971.05)</f>
        <v>116634.5</v>
      </c>
      <c r="E214" s="854">
        <v>116634.5</v>
      </c>
      <c r="F214" s="1676"/>
      <c r="G214" s="2200">
        <v>0</v>
      </c>
      <c r="H214" s="2200">
        <f t="shared" si="62"/>
        <v>100</v>
      </c>
      <c r="I214" s="2201">
        <v>0</v>
      </c>
      <c r="J214" s="29">
        <v>0</v>
      </c>
    </row>
    <row r="215" spans="1:10" ht="12.75" customHeight="1" x14ac:dyDescent="0.2">
      <c r="A215" s="2296"/>
      <c r="B215" s="809" t="s">
        <v>2210</v>
      </c>
      <c r="C215" s="1800">
        <v>0</v>
      </c>
      <c r="D215" s="1800">
        <v>4631000</v>
      </c>
      <c r="E215" s="854">
        <v>2778600</v>
      </c>
      <c r="F215" s="1783"/>
      <c r="G215" s="2200">
        <v>0</v>
      </c>
      <c r="H215" s="2200">
        <f t="shared" si="62"/>
        <v>60</v>
      </c>
      <c r="I215" s="2201">
        <f t="shared" si="63"/>
        <v>101.26831401705662</v>
      </c>
      <c r="J215" s="29">
        <v>2743800</v>
      </c>
    </row>
    <row r="216" spans="1:10" s="98" customFormat="1" x14ac:dyDescent="0.2">
      <c r="A216" s="2297">
        <v>4134</v>
      </c>
      <c r="B216" s="787" t="s">
        <v>1273</v>
      </c>
      <c r="C216" s="746">
        <f t="shared" ref="C216:D218" si="65">SUM(C217:C217)</f>
        <v>7800000</v>
      </c>
      <c r="D216" s="746">
        <f t="shared" si="65"/>
        <v>7800000</v>
      </c>
      <c r="E216" s="746">
        <v>3900239.03</v>
      </c>
      <c r="F216" s="767">
        <f>SUM(E217)</f>
        <v>3900239.03</v>
      </c>
      <c r="G216" s="1663">
        <f t="shared" si="64"/>
        <v>50.003064487179486</v>
      </c>
      <c r="H216" s="1663">
        <f t="shared" si="62"/>
        <v>50.003064487179486</v>
      </c>
      <c r="I216" s="1662">
        <f t="shared" si="63"/>
        <v>130.00068632822544</v>
      </c>
      <c r="J216" s="29">
        <v>3000168.03</v>
      </c>
    </row>
    <row r="217" spans="1:10" s="98" customFormat="1" x14ac:dyDescent="0.2">
      <c r="A217" s="2298"/>
      <c r="B217" s="796" t="s">
        <v>2662</v>
      </c>
      <c r="C217" s="853">
        <v>7800000</v>
      </c>
      <c r="D217" s="853">
        <v>7800000</v>
      </c>
      <c r="E217" s="772">
        <v>3900239.03</v>
      </c>
      <c r="F217" s="1676"/>
      <c r="G217" s="2200">
        <f t="shared" si="64"/>
        <v>50.003064487179486</v>
      </c>
      <c r="H217" s="2200">
        <f t="shared" si="62"/>
        <v>50.003064487179486</v>
      </c>
      <c r="I217" s="2201">
        <f t="shared" si="63"/>
        <v>130.00068632822544</v>
      </c>
      <c r="J217" s="29">
        <v>3000168.03</v>
      </c>
    </row>
    <row r="218" spans="1:10" s="98" customFormat="1" x14ac:dyDescent="0.2">
      <c r="A218" s="2237">
        <v>4213</v>
      </c>
      <c r="B218" s="787" t="s">
        <v>1279</v>
      </c>
      <c r="C218" s="734">
        <f t="shared" si="65"/>
        <v>1101835.091</v>
      </c>
      <c r="D218" s="734">
        <f>SUM(D219:D219)</f>
        <v>1101835.091</v>
      </c>
      <c r="E218" s="734">
        <v>0</v>
      </c>
      <c r="F218" s="772"/>
      <c r="G218" s="1663">
        <f t="shared" si="64"/>
        <v>0</v>
      </c>
      <c r="H218" s="1663">
        <f t="shared" si="62"/>
        <v>0</v>
      </c>
      <c r="I218" s="1662">
        <v>0</v>
      </c>
      <c r="J218" s="29">
        <v>0</v>
      </c>
    </row>
    <row r="219" spans="1:10" s="2" customFormat="1" x14ac:dyDescent="0.2">
      <c r="A219" s="2299"/>
      <c r="B219" s="1423" t="s">
        <v>2213</v>
      </c>
      <c r="C219" s="1763">
        <v>1101835.091</v>
      </c>
      <c r="D219" s="1763">
        <v>1101835.091</v>
      </c>
      <c r="E219" s="772">
        <v>0</v>
      </c>
      <c r="F219" s="1811"/>
      <c r="G219" s="2200">
        <f t="shared" si="64"/>
        <v>0</v>
      </c>
      <c r="H219" s="2200">
        <f t="shared" si="62"/>
        <v>0</v>
      </c>
      <c r="I219" s="2201">
        <v>0</v>
      </c>
      <c r="J219" s="88">
        <v>0</v>
      </c>
    </row>
    <row r="220" spans="1:10" s="98" customFormat="1" ht="12.75" customHeight="1" x14ac:dyDescent="0.2">
      <c r="A220" s="2237">
        <v>4216</v>
      </c>
      <c r="B220" s="843" t="s">
        <v>234</v>
      </c>
      <c r="C220" s="904">
        <f>SUM(C221:C226)</f>
        <v>24669004.440000001</v>
      </c>
      <c r="D220" s="904">
        <f>SUM(D221:D226)</f>
        <v>27262372.780000001</v>
      </c>
      <c r="E220" s="904">
        <v>2633368.34</v>
      </c>
      <c r="F220" s="2300">
        <f>SUM(E221:E226)</f>
        <v>2633368.34</v>
      </c>
      <c r="G220" s="1663">
        <f t="shared" si="64"/>
        <v>10.674805894193595</v>
      </c>
      <c r="H220" s="1663">
        <f t="shared" si="62"/>
        <v>9.6593512283416132</v>
      </c>
      <c r="I220" s="1662">
        <f t="shared" si="63"/>
        <v>21.143644970747985</v>
      </c>
      <c r="J220" s="29">
        <v>12454656.439999999</v>
      </c>
    </row>
    <row r="221" spans="1:10" s="98" customFormat="1" ht="12.75" customHeight="1" x14ac:dyDescent="0.2">
      <c r="A221" s="2301"/>
      <c r="B221" s="1018" t="s">
        <v>2663</v>
      </c>
      <c r="C221" s="1703">
        <v>13964800</v>
      </c>
      <c r="D221" s="1703">
        <v>13964800</v>
      </c>
      <c r="E221" s="767">
        <v>0</v>
      </c>
      <c r="F221" s="1676"/>
      <c r="G221" s="2200">
        <f t="shared" si="64"/>
        <v>0</v>
      </c>
      <c r="H221" s="2200">
        <f t="shared" si="62"/>
        <v>0</v>
      </c>
      <c r="I221" s="2201">
        <v>0</v>
      </c>
      <c r="J221" s="29">
        <v>0</v>
      </c>
    </row>
    <row r="222" spans="1:10" s="98" customFormat="1" ht="12.75" customHeight="1" x14ac:dyDescent="0.2">
      <c r="A222" s="2290"/>
      <c r="B222" s="1018" t="s">
        <v>2664</v>
      </c>
      <c r="C222" s="1703">
        <v>8886847</v>
      </c>
      <c r="D222" s="1703">
        <v>8886847</v>
      </c>
      <c r="E222" s="767">
        <v>0</v>
      </c>
      <c r="F222" s="1676"/>
      <c r="G222" s="2200">
        <f t="shared" si="64"/>
        <v>0</v>
      </c>
      <c r="H222" s="2200">
        <f t="shared" si="62"/>
        <v>0</v>
      </c>
      <c r="I222" s="2201">
        <v>0</v>
      </c>
      <c r="J222" s="29">
        <v>0</v>
      </c>
    </row>
    <row r="223" spans="1:10" s="2" customFormat="1" x14ac:dyDescent="0.2">
      <c r="A223" s="2299"/>
      <c r="B223" s="903" t="s">
        <v>2665</v>
      </c>
      <c r="C223" s="1800">
        <v>1817357.44</v>
      </c>
      <c r="D223" s="1800">
        <v>1817357.44</v>
      </c>
      <c r="E223" s="772">
        <v>0</v>
      </c>
      <c r="F223" s="1676"/>
      <c r="G223" s="2200">
        <f t="shared" si="64"/>
        <v>0</v>
      </c>
      <c r="H223" s="2200">
        <f t="shared" si="62"/>
        <v>0</v>
      </c>
      <c r="I223" s="2201">
        <v>0</v>
      </c>
      <c r="J223" s="88">
        <v>0</v>
      </c>
    </row>
    <row r="224" spans="1:10" s="98" customFormat="1" ht="12.75" customHeight="1" x14ac:dyDescent="0.2">
      <c r="A224" s="2290"/>
      <c r="B224" s="1018" t="s">
        <v>2666</v>
      </c>
      <c r="C224" s="1703">
        <v>0</v>
      </c>
      <c r="D224" s="1703">
        <v>1571026.45</v>
      </c>
      <c r="E224" s="767">
        <v>1571026.45</v>
      </c>
      <c r="F224" s="1676"/>
      <c r="G224" s="2200">
        <v>0</v>
      </c>
      <c r="H224" s="2200">
        <f t="shared" si="62"/>
        <v>100</v>
      </c>
      <c r="I224" s="2201">
        <v>0</v>
      </c>
      <c r="J224" s="29">
        <v>0</v>
      </c>
    </row>
    <row r="225" spans="1:10" s="98" customFormat="1" ht="12.75" customHeight="1" x14ac:dyDescent="0.2">
      <c r="A225" s="2302"/>
      <c r="B225" s="796" t="s">
        <v>2667</v>
      </c>
      <c r="C225" s="1813">
        <v>0</v>
      </c>
      <c r="D225" s="1813">
        <v>1022341.89</v>
      </c>
      <c r="E225" s="767">
        <v>1022341.89</v>
      </c>
      <c r="F225" s="1813"/>
      <c r="G225" s="2200">
        <v>0</v>
      </c>
      <c r="H225" s="2200">
        <f t="shared" si="62"/>
        <v>100</v>
      </c>
      <c r="I225" s="2201">
        <v>0</v>
      </c>
      <c r="J225" s="29">
        <v>0</v>
      </c>
    </row>
    <row r="226" spans="1:10" s="98" customFormat="1" ht="12.75" customHeight="1" x14ac:dyDescent="0.2">
      <c r="A226" s="2303"/>
      <c r="B226" s="901" t="s">
        <v>2668</v>
      </c>
      <c r="C226" s="772">
        <v>0</v>
      </c>
      <c r="D226" s="772">
        <v>0</v>
      </c>
      <c r="E226" s="767">
        <v>40000</v>
      </c>
      <c r="F226" s="893"/>
      <c r="G226" s="2200">
        <v>0</v>
      </c>
      <c r="H226" s="2200">
        <v>0</v>
      </c>
      <c r="I226" s="2201">
        <v>0</v>
      </c>
      <c r="J226" s="29">
        <v>0</v>
      </c>
    </row>
    <row r="227" spans="1:10" s="98" customFormat="1" ht="12.75" customHeight="1" x14ac:dyDescent="0.2">
      <c r="A227" s="2237">
        <v>4222</v>
      </c>
      <c r="B227" s="782" t="s">
        <v>245</v>
      </c>
      <c r="C227" s="904">
        <f>SUM(C228:C230)</f>
        <v>679980</v>
      </c>
      <c r="D227" s="904">
        <f>SUM(D228:D230)</f>
        <v>539980</v>
      </c>
      <c r="E227" s="904">
        <v>80000</v>
      </c>
      <c r="F227" s="2300">
        <f>SUM(E228:E230)</f>
        <v>80000</v>
      </c>
      <c r="G227" s="1663">
        <f t="shared" si="64"/>
        <v>11.765051913291567</v>
      </c>
      <c r="H227" s="1663">
        <f t="shared" si="62"/>
        <v>14.815363531982667</v>
      </c>
      <c r="I227" s="1662">
        <f t="shared" si="63"/>
        <v>8781.558726673984</v>
      </c>
      <c r="J227" s="29">
        <v>911</v>
      </c>
    </row>
    <row r="228" spans="1:10" s="98" customFormat="1" ht="12.75" customHeight="1" x14ac:dyDescent="0.2">
      <c r="A228" s="2290"/>
      <c r="B228" s="824" t="s">
        <v>2669</v>
      </c>
      <c r="C228" s="1800">
        <v>300000</v>
      </c>
      <c r="D228" s="1800">
        <f>300000-140000</f>
        <v>160000</v>
      </c>
      <c r="E228" s="767">
        <v>80000</v>
      </c>
      <c r="F228" s="1676"/>
      <c r="G228" s="2200">
        <f t="shared" si="64"/>
        <v>26.666666666666668</v>
      </c>
      <c r="H228" s="2200">
        <f t="shared" si="62"/>
        <v>50</v>
      </c>
      <c r="I228" s="2201">
        <v>0</v>
      </c>
      <c r="J228" s="29">
        <v>0</v>
      </c>
    </row>
    <row r="229" spans="1:10" s="98" customFormat="1" ht="12.75" customHeight="1" x14ac:dyDescent="0.2">
      <c r="A229" s="2304"/>
      <c r="B229" s="907" t="s">
        <v>1300</v>
      </c>
      <c r="C229" s="1800">
        <v>79980</v>
      </c>
      <c r="D229" s="1800">
        <v>79980</v>
      </c>
      <c r="E229" s="767">
        <v>0</v>
      </c>
      <c r="F229" s="1676"/>
      <c r="G229" s="2200">
        <f t="shared" si="64"/>
        <v>0</v>
      </c>
      <c r="H229" s="2200">
        <f t="shared" si="62"/>
        <v>0</v>
      </c>
      <c r="I229" s="2201">
        <v>0</v>
      </c>
      <c r="J229" s="29">
        <v>0</v>
      </c>
    </row>
    <row r="230" spans="1:10" s="98" customFormat="1" ht="12.75" customHeight="1" x14ac:dyDescent="0.2">
      <c r="A230" s="2276"/>
      <c r="B230" s="1077" t="s">
        <v>2224</v>
      </c>
      <c r="C230" s="1703">
        <v>300000</v>
      </c>
      <c r="D230" s="1703">
        <v>300000</v>
      </c>
      <c r="E230" s="1800">
        <v>0</v>
      </c>
      <c r="F230" s="1703"/>
      <c r="G230" s="2200">
        <f t="shared" si="64"/>
        <v>0</v>
      </c>
      <c r="H230" s="2200">
        <f t="shared" si="62"/>
        <v>0</v>
      </c>
      <c r="I230" s="2201">
        <v>0</v>
      </c>
      <c r="J230" s="29">
        <v>0</v>
      </c>
    </row>
    <row r="231" spans="1:10" s="98" customFormat="1" x14ac:dyDescent="0.2">
      <c r="A231" s="2305"/>
      <c r="B231" s="913"/>
      <c r="C231" s="1802"/>
      <c r="D231" s="1802"/>
      <c r="E231" s="833"/>
      <c r="F231" s="1682"/>
      <c r="G231" s="1682"/>
      <c r="H231" s="1682"/>
      <c r="I231" s="1802"/>
      <c r="J231" s="29">
        <v>0</v>
      </c>
    </row>
    <row r="232" spans="1:10" s="98" customFormat="1" ht="20.25" x14ac:dyDescent="0.3">
      <c r="A232" s="2306"/>
      <c r="B232" s="916" t="s">
        <v>13</v>
      </c>
      <c r="C232" s="917">
        <f>SUM(C32+C65+C159+C177)</f>
        <v>880607447.43799996</v>
      </c>
      <c r="D232" s="917">
        <f>SUM(D32+D65+D159+D177)</f>
        <v>936176837.60800004</v>
      </c>
      <c r="E232" s="917">
        <v>469078219.81</v>
      </c>
      <c r="F232" s="2307">
        <f>SUM(E32,E65,E159,E177)</f>
        <v>469078219.81000006</v>
      </c>
      <c r="G232" s="949">
        <f t="shared" si="64"/>
        <v>53.267573556721018</v>
      </c>
      <c r="H232" s="949">
        <f t="shared" si="62"/>
        <v>50.105727995634773</v>
      </c>
      <c r="I232" s="949">
        <f t="shared" si="63"/>
        <v>82.766214369455895</v>
      </c>
      <c r="J232" s="29">
        <v>566750845.60000002</v>
      </c>
    </row>
    <row r="233" spans="1:10" s="98" customFormat="1" ht="15.75" x14ac:dyDescent="0.25">
      <c r="A233" s="2308"/>
      <c r="B233" s="919"/>
      <c r="C233" s="1674"/>
      <c r="D233" s="1674"/>
      <c r="E233" s="920"/>
      <c r="F233" s="1682"/>
      <c r="G233" s="1682"/>
      <c r="H233" s="1682"/>
      <c r="I233" s="1674"/>
      <c r="J233" s="29"/>
    </row>
    <row r="234" spans="1:10" s="98" customFormat="1" ht="18" x14ac:dyDescent="0.25">
      <c r="A234" s="2309"/>
      <c r="B234" s="2310" t="s">
        <v>14</v>
      </c>
      <c r="C234" s="608">
        <f>SUM(C235:C237)</f>
        <v>240886192.56</v>
      </c>
      <c r="D234" s="608">
        <f>SUM(D235:D237)</f>
        <v>262407060.73000002</v>
      </c>
      <c r="E234" s="608">
        <v>-13280468.92</v>
      </c>
      <c r="F234" s="2311">
        <f>SUM(E235:E237)</f>
        <v>-13280468.92</v>
      </c>
      <c r="G234" s="1654">
        <f t="shared" si="64"/>
        <v>-5.5131715018045693</v>
      </c>
      <c r="H234" s="1654">
        <f t="shared" si="62"/>
        <v>-5.061018130782978</v>
      </c>
      <c r="I234" s="1654">
        <f t="shared" si="63"/>
        <v>7.9185944056234501</v>
      </c>
      <c r="J234" s="29">
        <v>-167712452.99000001</v>
      </c>
    </row>
    <row r="235" spans="1:10" ht="24.75" x14ac:dyDescent="0.2">
      <c r="A235" s="2288">
        <v>8115</v>
      </c>
      <c r="B235" s="926" t="s">
        <v>2670</v>
      </c>
      <c r="C235" s="1815">
        <f>248167864.56-615000</f>
        <v>247552864.56</v>
      </c>
      <c r="D235" s="1815">
        <f>248167864.56-615000+21520868.17</f>
        <v>269073732.73000002</v>
      </c>
      <c r="E235" s="882">
        <v>-9434858.5899999999</v>
      </c>
      <c r="F235" s="2312"/>
      <c r="G235" s="1663">
        <f t="shared" si="64"/>
        <v>-3.8112500159388176</v>
      </c>
      <c r="H235" s="1663">
        <f t="shared" si="62"/>
        <v>-3.5064212676111852</v>
      </c>
      <c r="I235" s="1662">
        <f t="shared" si="63"/>
        <v>5.6994936160040304</v>
      </c>
      <c r="J235" s="29">
        <v>-165538541.24000001</v>
      </c>
    </row>
    <row r="236" spans="1:10" ht="12.75" customHeight="1" x14ac:dyDescent="0.2">
      <c r="A236" s="2288">
        <v>8124</v>
      </c>
      <c r="B236" s="928" t="s">
        <v>1304</v>
      </c>
      <c r="C236" s="746">
        <f>-(555556*12)</f>
        <v>-6666672</v>
      </c>
      <c r="D236" s="746">
        <f>-(555556*12)</f>
        <v>-6666672</v>
      </c>
      <c r="E236" s="882">
        <v>-3333336</v>
      </c>
      <c r="F236" s="767"/>
      <c r="G236" s="1663">
        <f t="shared" si="64"/>
        <v>50</v>
      </c>
      <c r="H236" s="1663">
        <f t="shared" ref="H236:H299" si="66">E236/D236*100</f>
        <v>50</v>
      </c>
      <c r="I236" s="1662">
        <f t="shared" ref="I236:I298" si="67">E236/J236*100</f>
        <v>100</v>
      </c>
      <c r="J236" s="29">
        <v>-3333336</v>
      </c>
    </row>
    <row r="237" spans="1:10" s="235" customFormat="1" ht="12.75" customHeight="1" x14ac:dyDescent="0.4">
      <c r="A237" s="2237">
        <v>8901</v>
      </c>
      <c r="B237" s="782" t="s">
        <v>254</v>
      </c>
      <c r="C237" s="734">
        <f t="shared" ref="C237:D237" si="68">SUM(C238:C239)</f>
        <v>0</v>
      </c>
      <c r="D237" s="734">
        <f t="shared" si="68"/>
        <v>0</v>
      </c>
      <c r="E237" s="998">
        <v>-512274.33</v>
      </c>
      <c r="F237" s="893">
        <f>SUM(E238:E239)</f>
        <v>-512274.54999999981</v>
      </c>
      <c r="G237" s="1663">
        <v>0</v>
      </c>
      <c r="H237" s="1663">
        <v>0</v>
      </c>
      <c r="I237" s="1662">
        <f t="shared" si="67"/>
        <v>-44.183510048198492</v>
      </c>
      <c r="J237" s="29">
        <v>1159424.25</v>
      </c>
    </row>
    <row r="238" spans="1:10" s="236" customFormat="1" ht="12.75" customHeight="1" x14ac:dyDescent="0.35">
      <c r="A238" s="2313"/>
      <c r="B238" s="933" t="s">
        <v>2671</v>
      </c>
      <c r="C238" s="854">
        <v>0</v>
      </c>
      <c r="D238" s="854">
        <v>0</v>
      </c>
      <c r="E238" s="993">
        <v>-2193979.5499999998</v>
      </c>
      <c r="F238" s="1805"/>
      <c r="G238" s="2200">
        <v>0</v>
      </c>
      <c r="H238" s="2200">
        <v>0</v>
      </c>
      <c r="I238" s="2201">
        <f t="shared" si="67"/>
        <v>81.191713848749927</v>
      </c>
      <c r="J238" s="88">
        <v>-2702221.01</v>
      </c>
    </row>
    <row r="239" spans="1:10" s="236" customFormat="1" ht="12.75" customHeight="1" x14ac:dyDescent="0.35">
      <c r="A239" s="2313"/>
      <c r="B239" s="933" t="s">
        <v>2672</v>
      </c>
      <c r="C239" s="854">
        <v>0</v>
      </c>
      <c r="D239" s="854">
        <v>0</v>
      </c>
      <c r="E239" s="993">
        <v>1681705</v>
      </c>
      <c r="F239" s="854"/>
      <c r="G239" s="2200">
        <v>0</v>
      </c>
      <c r="H239" s="2200">
        <v>0</v>
      </c>
      <c r="I239" s="2201">
        <f t="shared" si="67"/>
        <v>98.555530786676613</v>
      </c>
      <c r="J239" s="88">
        <v>1706352.74</v>
      </c>
    </row>
    <row r="240" spans="1:10" x14ac:dyDescent="0.2">
      <c r="A240" s="2314"/>
      <c r="B240" s="939"/>
      <c r="C240" s="1793"/>
      <c r="D240" s="1793"/>
      <c r="E240" s="1821"/>
      <c r="F240" s="1793"/>
      <c r="G240" s="1793"/>
      <c r="H240" s="1793"/>
      <c r="I240" s="1793"/>
    </row>
    <row r="241" spans="1:10" s="85" customFormat="1" ht="24" customHeight="1" x14ac:dyDescent="0.4">
      <c r="A241" s="2315"/>
      <c r="B241" s="947" t="s">
        <v>15</v>
      </c>
      <c r="C241" s="2316">
        <f>SUM(C232+C234)</f>
        <v>1121493639.9979999</v>
      </c>
      <c r="D241" s="2316">
        <f>SUM(D232+D234)</f>
        <v>1198583898.3380001</v>
      </c>
      <c r="E241" s="2316">
        <v>455797750.88999999</v>
      </c>
      <c r="F241" s="2317">
        <f>SUM(E232,E234)</f>
        <v>455797750.88999999</v>
      </c>
      <c r="G241" s="2318">
        <f t="shared" si="64"/>
        <v>40.642027260253819</v>
      </c>
      <c r="H241" s="2318">
        <f t="shared" si="66"/>
        <v>38.028022195361181</v>
      </c>
      <c r="I241" s="2318">
        <f t="shared" si="67"/>
        <v>114.22403441151432</v>
      </c>
      <c r="J241" s="29">
        <v>399038392.61000001</v>
      </c>
    </row>
    <row r="242" spans="1:10" s="98" customFormat="1" ht="22.5" customHeight="1" x14ac:dyDescent="0.3">
      <c r="A242" s="2319"/>
      <c r="B242" s="951" t="s">
        <v>2228</v>
      </c>
      <c r="C242" s="1674"/>
      <c r="D242" s="1674"/>
      <c r="E242" s="952"/>
      <c r="F242" s="1682"/>
      <c r="G242" s="1682"/>
      <c r="H242" s="1682"/>
      <c r="I242" s="1674"/>
      <c r="J242" s="29"/>
    </row>
    <row r="243" spans="1:10" ht="20.25" x14ac:dyDescent="0.3">
      <c r="A243" s="2320"/>
      <c r="B243" s="951" t="s">
        <v>258</v>
      </c>
      <c r="C243" s="2321">
        <f>C244+C258+C284+C293</f>
        <v>79616000</v>
      </c>
      <c r="D243" s="2321">
        <f>D244+D258+D284+D293</f>
        <v>83571807.640000001</v>
      </c>
      <c r="E243" s="2321">
        <v>25944075.559999999</v>
      </c>
      <c r="F243" s="2322">
        <f>SUM(E244,E258,E284,E293)</f>
        <v>25944075.560000002</v>
      </c>
      <c r="G243" s="949">
        <f t="shared" si="64"/>
        <v>32.586509696543409</v>
      </c>
      <c r="H243" s="949">
        <f t="shared" si="66"/>
        <v>31.044052166202491</v>
      </c>
      <c r="I243" s="949">
        <f t="shared" si="67"/>
        <v>91.402775841371664</v>
      </c>
      <c r="J243" s="29">
        <v>28384340.98</v>
      </c>
    </row>
    <row r="244" spans="1:10" s="19" customFormat="1" ht="15.75" x14ac:dyDescent="0.25">
      <c r="A244" s="2323"/>
      <c r="B244" s="959" t="s">
        <v>259</v>
      </c>
      <c r="C244" s="960">
        <f>SUM(C245+C249+C255)</f>
        <v>5835000</v>
      </c>
      <c r="D244" s="960">
        <f>SUM(D245+D249+D255)</f>
        <v>5835000</v>
      </c>
      <c r="E244" s="960">
        <v>1037434.74</v>
      </c>
      <c r="F244" s="2324">
        <f>SUM(E245,E249,E255)</f>
        <v>1037434.74</v>
      </c>
      <c r="G244" s="2325">
        <f t="shared" si="64"/>
        <v>17.779515681233931</v>
      </c>
      <c r="H244" s="2325">
        <f t="shared" si="66"/>
        <v>17.779515681233931</v>
      </c>
      <c r="I244" s="2325">
        <f t="shared" si="67"/>
        <v>240.05113237217367</v>
      </c>
      <c r="J244" s="29">
        <v>432172.4</v>
      </c>
    </row>
    <row r="245" spans="1:10" x14ac:dyDescent="0.2">
      <c r="A245" s="2326">
        <v>2310</v>
      </c>
      <c r="B245" s="963" t="s">
        <v>1307</v>
      </c>
      <c r="C245" s="964">
        <f t="shared" ref="C245:D245" si="69">SUM(C246:C248)</f>
        <v>265000</v>
      </c>
      <c r="D245" s="964">
        <f t="shared" si="69"/>
        <v>265000</v>
      </c>
      <c r="E245" s="964">
        <v>2190.1</v>
      </c>
      <c r="F245" s="2327"/>
      <c r="G245" s="1663">
        <f t="shared" si="64"/>
        <v>0.82645283018867921</v>
      </c>
      <c r="H245" s="1663">
        <f t="shared" si="66"/>
        <v>0.82645283018867921</v>
      </c>
      <c r="I245" s="1662">
        <v>0</v>
      </c>
      <c r="J245" s="29">
        <v>0</v>
      </c>
    </row>
    <row r="246" spans="1:10" x14ac:dyDescent="0.2">
      <c r="A246" s="2328" t="s">
        <v>261</v>
      </c>
      <c r="B246" s="778" t="s">
        <v>262</v>
      </c>
      <c r="C246" s="1828">
        <v>15000</v>
      </c>
      <c r="D246" s="1828">
        <v>15000</v>
      </c>
      <c r="E246" s="968">
        <v>0</v>
      </c>
      <c r="F246" s="2329"/>
      <c r="G246" s="2200">
        <f t="shared" si="64"/>
        <v>0</v>
      </c>
      <c r="H246" s="2200">
        <f t="shared" si="66"/>
        <v>0</v>
      </c>
      <c r="I246" s="2201">
        <v>0</v>
      </c>
      <c r="J246" s="29">
        <v>0</v>
      </c>
    </row>
    <row r="247" spans="1:10" x14ac:dyDescent="0.2">
      <c r="A247" s="2328" t="s">
        <v>263</v>
      </c>
      <c r="B247" s="778" t="s">
        <v>2229</v>
      </c>
      <c r="C247" s="767">
        <v>50000</v>
      </c>
      <c r="D247" s="767">
        <v>50000</v>
      </c>
      <c r="E247" s="968">
        <v>2190.1</v>
      </c>
      <c r="F247" s="2330"/>
      <c r="G247" s="2200">
        <f t="shared" si="64"/>
        <v>4.3802000000000003</v>
      </c>
      <c r="H247" s="2200">
        <f t="shared" si="66"/>
        <v>4.3802000000000003</v>
      </c>
      <c r="I247" s="2201">
        <v>0</v>
      </c>
      <c r="J247" s="29">
        <v>0</v>
      </c>
    </row>
    <row r="248" spans="1:10" x14ac:dyDescent="0.2">
      <c r="A248" s="2328" t="s">
        <v>265</v>
      </c>
      <c r="B248" s="778" t="s">
        <v>2230</v>
      </c>
      <c r="C248" s="767">
        <v>200000</v>
      </c>
      <c r="D248" s="767">
        <v>200000</v>
      </c>
      <c r="E248" s="970">
        <v>0</v>
      </c>
      <c r="F248" s="2331"/>
      <c r="G248" s="2200">
        <f t="shared" si="64"/>
        <v>0</v>
      </c>
      <c r="H248" s="2200">
        <f t="shared" si="66"/>
        <v>0</v>
      </c>
      <c r="I248" s="2201">
        <v>0</v>
      </c>
      <c r="J248" s="29">
        <v>0</v>
      </c>
    </row>
    <row r="249" spans="1:10" x14ac:dyDescent="0.2">
      <c r="A249" s="2237">
        <v>2321</v>
      </c>
      <c r="B249" s="787" t="s">
        <v>1314</v>
      </c>
      <c r="C249" s="734">
        <f t="shared" ref="C249:D249" si="70">SUM(C250:C254)</f>
        <v>5410000</v>
      </c>
      <c r="D249" s="734">
        <f t="shared" si="70"/>
        <v>5410000</v>
      </c>
      <c r="E249" s="734">
        <v>1014208.31</v>
      </c>
      <c r="F249" s="772">
        <f>SUM(E250:E254)</f>
        <v>1014208.31</v>
      </c>
      <c r="G249" s="1663">
        <f t="shared" si="64"/>
        <v>18.746918853974122</v>
      </c>
      <c r="H249" s="1663">
        <f t="shared" si="66"/>
        <v>18.746918853974122</v>
      </c>
      <c r="I249" s="1662">
        <f t="shared" si="67"/>
        <v>234.67678870746954</v>
      </c>
      <c r="J249" s="29">
        <v>432172.4</v>
      </c>
    </row>
    <row r="250" spans="1:10" x14ac:dyDescent="0.2">
      <c r="A250" s="2328" t="s">
        <v>268</v>
      </c>
      <c r="B250" s="778" t="s">
        <v>269</v>
      </c>
      <c r="C250" s="767">
        <v>300000</v>
      </c>
      <c r="D250" s="767">
        <v>300000</v>
      </c>
      <c r="E250" s="968">
        <v>149547.24</v>
      </c>
      <c r="F250" s="2330"/>
      <c r="G250" s="2200">
        <f t="shared" ref="G250:G313" si="71">E250/C250*100</f>
        <v>49.849079999999994</v>
      </c>
      <c r="H250" s="2200">
        <f t="shared" si="66"/>
        <v>49.849079999999994</v>
      </c>
      <c r="I250" s="2201">
        <f t="shared" si="67"/>
        <v>112.22636298825559</v>
      </c>
      <c r="J250" s="29">
        <v>133255</v>
      </c>
    </row>
    <row r="251" spans="1:10" s="2" customFormat="1" x14ac:dyDescent="0.2">
      <c r="A251" s="2328" t="s">
        <v>270</v>
      </c>
      <c r="B251" s="778" t="s">
        <v>2231</v>
      </c>
      <c r="C251" s="1835">
        <v>910000</v>
      </c>
      <c r="D251" s="767">
        <f>910000+699259+195569.92</f>
        <v>1804828.92</v>
      </c>
      <c r="E251" s="968">
        <v>322422.56</v>
      </c>
      <c r="F251" s="2330"/>
      <c r="G251" s="2200">
        <f t="shared" si="71"/>
        <v>35.431050549450546</v>
      </c>
      <c r="H251" s="2200">
        <f t="shared" si="66"/>
        <v>17.864438918676015</v>
      </c>
      <c r="I251" s="2201">
        <f t="shared" si="67"/>
        <v>131.29002151637508</v>
      </c>
      <c r="J251" s="88">
        <v>245580.4</v>
      </c>
    </row>
    <row r="252" spans="1:10" x14ac:dyDescent="0.2">
      <c r="A252" s="2332" t="s">
        <v>272</v>
      </c>
      <c r="B252" s="818" t="s">
        <v>1316</v>
      </c>
      <c r="C252" s="820">
        <v>3000000</v>
      </c>
      <c r="D252" s="820">
        <f>3000000-699259-195569.92</f>
        <v>2105171.08</v>
      </c>
      <c r="E252" s="934">
        <v>542238.51</v>
      </c>
      <c r="F252" s="1839"/>
      <c r="G252" s="2200">
        <f t="shared" si="71"/>
        <v>18.074617</v>
      </c>
      <c r="H252" s="2200">
        <f t="shared" si="66"/>
        <v>25.757455778843397</v>
      </c>
      <c r="I252" s="2201">
        <f t="shared" si="67"/>
        <v>1036.0519517740795</v>
      </c>
      <c r="J252" s="29">
        <v>52337</v>
      </c>
    </row>
    <row r="253" spans="1:10" x14ac:dyDescent="0.2">
      <c r="A253" s="2333" t="s">
        <v>417</v>
      </c>
      <c r="B253" s="1039" t="s">
        <v>2673</v>
      </c>
      <c r="C253" s="854">
        <v>1000000</v>
      </c>
      <c r="D253" s="854">
        <v>1000000</v>
      </c>
      <c r="E253" s="1730">
        <v>0</v>
      </c>
      <c r="F253" s="779"/>
      <c r="G253" s="2200">
        <f t="shared" si="71"/>
        <v>0</v>
      </c>
      <c r="H253" s="2200">
        <f t="shared" si="66"/>
        <v>0</v>
      </c>
      <c r="I253" s="2201">
        <v>0</v>
      </c>
      <c r="J253" s="29">
        <v>0</v>
      </c>
    </row>
    <row r="254" spans="1:10" ht="12.75" customHeight="1" x14ac:dyDescent="0.2">
      <c r="A254" s="2328" t="s">
        <v>272</v>
      </c>
      <c r="B254" s="789" t="s">
        <v>2674</v>
      </c>
      <c r="C254" s="767">
        <v>200000</v>
      </c>
      <c r="D254" s="767">
        <v>200000</v>
      </c>
      <c r="E254" s="968">
        <v>0</v>
      </c>
      <c r="F254" s="2330"/>
      <c r="G254" s="2200">
        <f t="shared" si="71"/>
        <v>0</v>
      </c>
      <c r="H254" s="2200">
        <f t="shared" si="66"/>
        <v>0</v>
      </c>
      <c r="I254" s="2201">
        <v>0</v>
      </c>
      <c r="J254" s="29">
        <v>0</v>
      </c>
    </row>
    <row r="255" spans="1:10" x14ac:dyDescent="0.2">
      <c r="A255" s="2288">
        <v>2333</v>
      </c>
      <c r="B255" s="973" t="s">
        <v>1318</v>
      </c>
      <c r="C255" s="974">
        <f t="shared" ref="C255:D255" si="72">SUM(C256:C257)</f>
        <v>160000</v>
      </c>
      <c r="D255" s="974">
        <f t="shared" si="72"/>
        <v>160000</v>
      </c>
      <c r="E255" s="974">
        <v>21036.33</v>
      </c>
      <c r="F255" s="820">
        <f>SUM(E256:E257)</f>
        <v>21036.33</v>
      </c>
      <c r="G255" s="1663">
        <f t="shared" si="71"/>
        <v>13.147706250000002</v>
      </c>
      <c r="H255" s="1663">
        <f t="shared" si="66"/>
        <v>13.147706250000002</v>
      </c>
      <c r="I255" s="1662">
        <v>0</v>
      </c>
      <c r="J255" s="29">
        <v>0</v>
      </c>
    </row>
    <row r="256" spans="1:10" x14ac:dyDescent="0.2">
      <c r="A256" s="2328" t="s">
        <v>276</v>
      </c>
      <c r="B256" s="778" t="s">
        <v>1319</v>
      </c>
      <c r="C256" s="767">
        <v>80000</v>
      </c>
      <c r="D256" s="767">
        <v>80000</v>
      </c>
      <c r="E256" s="968">
        <v>21036.33</v>
      </c>
      <c r="F256" s="2330"/>
      <c r="G256" s="2200">
        <f t="shared" si="71"/>
        <v>26.295412500000005</v>
      </c>
      <c r="H256" s="2200">
        <f t="shared" si="66"/>
        <v>26.295412500000005</v>
      </c>
      <c r="I256" s="2201">
        <v>0</v>
      </c>
      <c r="J256" s="29">
        <v>0</v>
      </c>
    </row>
    <row r="257" spans="1:11" x14ac:dyDescent="0.2">
      <c r="A257" s="2328" t="s">
        <v>278</v>
      </c>
      <c r="B257" s="778" t="s">
        <v>2233</v>
      </c>
      <c r="C257" s="779">
        <v>80000</v>
      </c>
      <c r="D257" s="779">
        <v>80000</v>
      </c>
      <c r="E257" s="935">
        <v>0</v>
      </c>
      <c r="F257" s="2334"/>
      <c r="G257" s="2200">
        <f t="shared" si="71"/>
        <v>0</v>
      </c>
      <c r="H257" s="2200">
        <f t="shared" si="66"/>
        <v>0</v>
      </c>
      <c r="I257" s="2201">
        <v>0</v>
      </c>
      <c r="J257" s="29">
        <v>0</v>
      </c>
    </row>
    <row r="258" spans="1:11" s="98" customFormat="1" ht="15.75" x14ac:dyDescent="0.25">
      <c r="A258" s="2335"/>
      <c r="B258" s="925" t="s">
        <v>279</v>
      </c>
      <c r="C258" s="981">
        <f>SUM(C259+C269+C277)</f>
        <v>40696000</v>
      </c>
      <c r="D258" s="981">
        <f>SUM(D259+D269+D277)</f>
        <v>40946000</v>
      </c>
      <c r="E258" s="981">
        <v>15980424.720000001</v>
      </c>
      <c r="F258" s="2336">
        <f>SUM(E259,E269,E277)</f>
        <v>15980424.719999999</v>
      </c>
      <c r="G258" s="2325">
        <f t="shared" si="71"/>
        <v>39.267802044426972</v>
      </c>
      <c r="H258" s="2325">
        <f t="shared" si="66"/>
        <v>39.028048454061448</v>
      </c>
      <c r="I258" s="2325">
        <f t="shared" si="67"/>
        <v>90.767049683723542</v>
      </c>
      <c r="J258" s="29">
        <v>17605975.710000001</v>
      </c>
    </row>
    <row r="259" spans="1:11" s="98" customFormat="1" x14ac:dyDescent="0.2">
      <c r="A259" s="2337">
        <v>2212</v>
      </c>
      <c r="B259" s="963" t="s">
        <v>1321</v>
      </c>
      <c r="C259" s="984">
        <f>SUM(C262:C268)</f>
        <v>34970000</v>
      </c>
      <c r="D259" s="984">
        <f>SUM(D261:D268)</f>
        <v>34970000</v>
      </c>
      <c r="E259" s="984">
        <v>15299661.18</v>
      </c>
      <c r="F259" s="2338">
        <f>SUM(E261:E268)</f>
        <v>15299661.18</v>
      </c>
      <c r="G259" s="1663">
        <f t="shared" si="71"/>
        <v>43.750818358593079</v>
      </c>
      <c r="H259" s="1663">
        <f t="shared" si="66"/>
        <v>43.750818358593079</v>
      </c>
      <c r="I259" s="1662">
        <f t="shared" si="67"/>
        <v>92.074844756387932</v>
      </c>
      <c r="J259" s="29">
        <v>16616548.439999999</v>
      </c>
    </row>
    <row r="260" spans="1:11" s="2" customFormat="1" x14ac:dyDescent="0.2">
      <c r="A260" s="2299"/>
      <c r="B260" s="889" t="s">
        <v>2245</v>
      </c>
      <c r="C260" s="772">
        <f>SUM(C261)</f>
        <v>0</v>
      </c>
      <c r="D260" s="772">
        <f>SUM(D261)</f>
        <v>98736</v>
      </c>
      <c r="E260" s="772">
        <v>53240</v>
      </c>
      <c r="F260" s="772"/>
      <c r="G260" s="2200">
        <v>0</v>
      </c>
      <c r="H260" s="2200">
        <f t="shared" si="66"/>
        <v>53.921568627450981</v>
      </c>
      <c r="I260" s="2201">
        <v>0</v>
      </c>
      <c r="J260" s="88">
        <v>0</v>
      </c>
    </row>
    <row r="261" spans="1:11" s="98" customFormat="1" x14ac:dyDescent="0.2">
      <c r="A261" s="2339" t="s">
        <v>1338</v>
      </c>
      <c r="B261" s="737" t="s">
        <v>2244</v>
      </c>
      <c r="C261" s="738">
        <v>0</v>
      </c>
      <c r="D261" s="738">
        <v>98736</v>
      </c>
      <c r="E261" s="2340">
        <v>53240</v>
      </c>
      <c r="F261" s="2341"/>
      <c r="G261" s="2200">
        <v>0</v>
      </c>
      <c r="H261" s="2200">
        <f t="shared" si="66"/>
        <v>53.921568627450981</v>
      </c>
      <c r="I261" s="2201">
        <v>0</v>
      </c>
      <c r="J261" s="29">
        <v>0</v>
      </c>
    </row>
    <row r="262" spans="1:11" s="98" customFormat="1" x14ac:dyDescent="0.2">
      <c r="A262" s="2339" t="s">
        <v>286</v>
      </c>
      <c r="B262" s="737" t="s">
        <v>2675</v>
      </c>
      <c r="C262" s="738">
        <v>4800000</v>
      </c>
      <c r="D262" s="738">
        <v>4800000</v>
      </c>
      <c r="E262" s="1709">
        <v>2400000</v>
      </c>
      <c r="F262" s="1710"/>
      <c r="G262" s="2200">
        <f t="shared" si="71"/>
        <v>50</v>
      </c>
      <c r="H262" s="2200">
        <f t="shared" si="66"/>
        <v>50</v>
      </c>
      <c r="I262" s="2201">
        <f t="shared" si="67"/>
        <v>104.34782608695652</v>
      </c>
      <c r="J262" s="29">
        <v>2300000</v>
      </c>
    </row>
    <row r="263" spans="1:11" s="98" customFormat="1" x14ac:dyDescent="0.2">
      <c r="A263" s="2339" t="s">
        <v>286</v>
      </c>
      <c r="B263" s="737" t="s">
        <v>2676</v>
      </c>
      <c r="C263" s="738">
        <v>24500000</v>
      </c>
      <c r="D263" s="738">
        <v>24500000</v>
      </c>
      <c r="E263" s="1709">
        <v>12250000.02</v>
      </c>
      <c r="F263" s="1710"/>
      <c r="G263" s="2200">
        <f t="shared" si="71"/>
        <v>50.000000081632656</v>
      </c>
      <c r="H263" s="2200">
        <f t="shared" si="66"/>
        <v>50.000000081632656</v>
      </c>
      <c r="I263" s="2201">
        <f t="shared" si="67"/>
        <v>99.21035056321513</v>
      </c>
      <c r="J263" s="29">
        <v>12347502</v>
      </c>
      <c r="K263" s="1245"/>
    </row>
    <row r="264" spans="1:11" s="98" customFormat="1" x14ac:dyDescent="0.2">
      <c r="A264" s="2339" t="s">
        <v>2239</v>
      </c>
      <c r="B264" s="737" t="s">
        <v>2677</v>
      </c>
      <c r="C264" s="738">
        <v>20000</v>
      </c>
      <c r="D264" s="738">
        <f>20000+18732.1</f>
        <v>38732.1</v>
      </c>
      <c r="E264" s="1709">
        <v>38732.1</v>
      </c>
      <c r="F264" s="1710"/>
      <c r="G264" s="2200">
        <f t="shared" si="71"/>
        <v>193.66049999999998</v>
      </c>
      <c r="H264" s="2200">
        <f t="shared" si="66"/>
        <v>100</v>
      </c>
      <c r="I264" s="2201">
        <v>0</v>
      </c>
      <c r="J264" s="29">
        <v>0</v>
      </c>
    </row>
    <row r="265" spans="1:11" s="98" customFormat="1" ht="24.75" x14ac:dyDescent="0.2">
      <c r="A265" s="2339" t="s">
        <v>291</v>
      </c>
      <c r="B265" s="2342" t="s">
        <v>2678</v>
      </c>
      <c r="C265" s="738">
        <v>3000000</v>
      </c>
      <c r="D265" s="738">
        <f>3000000-98736</f>
        <v>2901264</v>
      </c>
      <c r="E265" s="1709">
        <v>365952.58</v>
      </c>
      <c r="F265" s="1710"/>
      <c r="G265" s="2200">
        <f t="shared" si="71"/>
        <v>12.198419333333334</v>
      </c>
      <c r="H265" s="2200">
        <f t="shared" si="66"/>
        <v>12.613556711833187</v>
      </c>
      <c r="I265" s="2201">
        <f t="shared" si="67"/>
        <v>122.74356686701728</v>
      </c>
      <c r="J265" s="1866">
        <v>298144</v>
      </c>
    </row>
    <row r="266" spans="1:11" s="98" customFormat="1" x14ac:dyDescent="0.2">
      <c r="A266" s="2339" t="s">
        <v>1330</v>
      </c>
      <c r="B266" s="737" t="s">
        <v>2679</v>
      </c>
      <c r="C266" s="2241">
        <v>1700000</v>
      </c>
      <c r="D266" s="2241">
        <f>1700000+370000</f>
        <v>2070000</v>
      </c>
      <c r="E266" s="1709">
        <v>191736.48</v>
      </c>
      <c r="F266" s="1710"/>
      <c r="G266" s="2200">
        <f t="shared" si="71"/>
        <v>11.278616470588236</v>
      </c>
      <c r="H266" s="2200">
        <f t="shared" si="66"/>
        <v>9.2626318840579724</v>
      </c>
      <c r="I266" s="2201">
        <f t="shared" si="67"/>
        <v>44.068542068004064</v>
      </c>
      <c r="J266" s="29">
        <v>435086.96</v>
      </c>
      <c r="K266" s="1846"/>
    </row>
    <row r="267" spans="1:11" s="98" customFormat="1" ht="15" x14ac:dyDescent="0.2">
      <c r="A267" s="2339" t="s">
        <v>293</v>
      </c>
      <c r="B267" s="737" t="s">
        <v>2680</v>
      </c>
      <c r="C267" s="2241">
        <v>500000</v>
      </c>
      <c r="D267" s="2241">
        <f>500000-18732.1</f>
        <v>481267.9</v>
      </c>
      <c r="E267" s="2343">
        <v>0</v>
      </c>
      <c r="F267" s="2235"/>
      <c r="G267" s="2200">
        <f t="shared" si="71"/>
        <v>0</v>
      </c>
      <c r="H267" s="2200">
        <f t="shared" si="66"/>
        <v>0</v>
      </c>
      <c r="I267" s="2201">
        <v>0</v>
      </c>
      <c r="J267" s="29">
        <v>0</v>
      </c>
      <c r="K267" s="1846"/>
    </row>
    <row r="268" spans="1:11" s="98" customFormat="1" x14ac:dyDescent="0.2">
      <c r="A268" s="2339" t="s">
        <v>1334</v>
      </c>
      <c r="B268" s="1035" t="s">
        <v>2681</v>
      </c>
      <c r="C268" s="2241">
        <v>450000</v>
      </c>
      <c r="D268" s="2241">
        <f>450000-370000</f>
        <v>80000</v>
      </c>
      <c r="E268" s="2340">
        <v>0</v>
      </c>
      <c r="F268" s="2341"/>
      <c r="G268" s="2200">
        <f t="shared" si="71"/>
        <v>0</v>
      </c>
      <c r="H268" s="2200">
        <f t="shared" si="66"/>
        <v>0</v>
      </c>
      <c r="I268" s="2201">
        <f t="shared" si="67"/>
        <v>0</v>
      </c>
      <c r="J268" s="29">
        <v>271712</v>
      </c>
    </row>
    <row r="269" spans="1:11" s="98" customFormat="1" x14ac:dyDescent="0.2">
      <c r="A269" s="2221">
        <v>2219</v>
      </c>
      <c r="B269" s="717" t="s">
        <v>1342</v>
      </c>
      <c r="C269" s="726">
        <f>SUM(C270+C275+C276+C274)</f>
        <v>5260000</v>
      </c>
      <c r="D269" s="726">
        <f>SUM(D270+D275+D276+D274)</f>
        <v>5260000</v>
      </c>
      <c r="E269" s="726">
        <v>445469.36</v>
      </c>
      <c r="F269" s="750">
        <f>SUM(E271:E276)</f>
        <v>445469.36000000004</v>
      </c>
      <c r="G269" s="1663">
        <f t="shared" si="71"/>
        <v>8.4689992395437255</v>
      </c>
      <c r="H269" s="1663">
        <f t="shared" si="66"/>
        <v>8.4689992395437255</v>
      </c>
      <c r="I269" s="1662">
        <f t="shared" si="67"/>
        <v>45.022951510119583</v>
      </c>
      <c r="J269" s="29">
        <v>989427.27</v>
      </c>
    </row>
    <row r="270" spans="1:11" s="98" customFormat="1" x14ac:dyDescent="0.2">
      <c r="A270" s="2299"/>
      <c r="B270" s="889" t="s">
        <v>2245</v>
      </c>
      <c r="C270" s="772">
        <f>SUM(C272:C273)</f>
        <v>150000</v>
      </c>
      <c r="D270" s="772">
        <f>SUM(D271:D273)</f>
        <v>270160.08</v>
      </c>
      <c r="E270" s="772">
        <v>104248.58</v>
      </c>
      <c r="F270" s="772">
        <f>SUM(E271:E273)</f>
        <v>104248.58</v>
      </c>
      <c r="G270" s="2200">
        <f t="shared" si="71"/>
        <v>69.499053333333336</v>
      </c>
      <c r="H270" s="2200">
        <f t="shared" si="66"/>
        <v>38.58770696247943</v>
      </c>
      <c r="I270" s="2201">
        <v>0</v>
      </c>
      <c r="J270" s="29">
        <v>0</v>
      </c>
    </row>
    <row r="271" spans="1:11" s="98" customFormat="1" x14ac:dyDescent="0.2">
      <c r="A271" s="2328" t="s">
        <v>2682</v>
      </c>
      <c r="B271" s="778" t="s">
        <v>2683</v>
      </c>
      <c r="C271" s="767">
        <v>0</v>
      </c>
      <c r="D271" s="767">
        <v>90212.58</v>
      </c>
      <c r="E271" s="990">
        <v>90212.58</v>
      </c>
      <c r="F271" s="794"/>
      <c r="G271" s="2200">
        <v>0</v>
      </c>
      <c r="H271" s="2200">
        <f t="shared" si="66"/>
        <v>100</v>
      </c>
      <c r="I271" s="2201">
        <v>0</v>
      </c>
      <c r="J271" s="29">
        <v>0</v>
      </c>
    </row>
    <row r="272" spans="1:11" s="98" customFormat="1" x14ac:dyDescent="0.2">
      <c r="A272" s="2328" t="s">
        <v>477</v>
      </c>
      <c r="B272" s="778" t="s">
        <v>1347</v>
      </c>
      <c r="C272" s="767">
        <v>0</v>
      </c>
      <c r="D272" s="767">
        <v>29947.5</v>
      </c>
      <c r="E272" s="990">
        <v>0</v>
      </c>
      <c r="F272" s="794"/>
      <c r="G272" s="2200">
        <v>0</v>
      </c>
      <c r="H272" s="2200">
        <f t="shared" si="66"/>
        <v>0</v>
      </c>
      <c r="I272" s="2201">
        <v>0</v>
      </c>
      <c r="J272" s="29">
        <v>0</v>
      </c>
    </row>
    <row r="273" spans="1:10" s="98" customFormat="1" x14ac:dyDescent="0.2">
      <c r="A273" s="2328" t="s">
        <v>501</v>
      </c>
      <c r="B273" s="778" t="s">
        <v>1350</v>
      </c>
      <c r="C273" s="767">
        <v>150000</v>
      </c>
      <c r="D273" s="767">
        <v>150000</v>
      </c>
      <c r="E273" s="990">
        <v>14036</v>
      </c>
      <c r="F273" s="794"/>
      <c r="G273" s="2200">
        <f t="shared" si="71"/>
        <v>9.3573333333333331</v>
      </c>
      <c r="H273" s="2200">
        <f t="shared" si="66"/>
        <v>9.3573333333333331</v>
      </c>
      <c r="I273" s="2201">
        <v>0</v>
      </c>
      <c r="J273" s="29">
        <v>0</v>
      </c>
    </row>
    <row r="274" spans="1:10" s="98" customFormat="1" x14ac:dyDescent="0.2">
      <c r="A274" s="2328" t="s">
        <v>1351</v>
      </c>
      <c r="B274" s="778" t="s">
        <v>2684</v>
      </c>
      <c r="C274" s="767">
        <v>10000</v>
      </c>
      <c r="D274" s="767">
        <v>10000</v>
      </c>
      <c r="E274" s="990">
        <v>0</v>
      </c>
      <c r="F274" s="794"/>
      <c r="G274" s="2200">
        <f t="shared" si="71"/>
        <v>0</v>
      </c>
      <c r="H274" s="2200">
        <f t="shared" si="66"/>
        <v>0</v>
      </c>
      <c r="I274" s="2201">
        <v>0</v>
      </c>
      <c r="J274" s="29">
        <v>0</v>
      </c>
    </row>
    <row r="275" spans="1:10" x14ac:dyDescent="0.2">
      <c r="A275" s="2344" t="s">
        <v>299</v>
      </c>
      <c r="B275" s="824" t="s">
        <v>2685</v>
      </c>
      <c r="C275" s="1828">
        <v>100000</v>
      </c>
      <c r="D275" s="1828">
        <v>100000</v>
      </c>
      <c r="E275" s="990">
        <v>0</v>
      </c>
      <c r="F275" s="794"/>
      <c r="G275" s="2200">
        <f t="shared" si="71"/>
        <v>0</v>
      </c>
      <c r="H275" s="2200">
        <f t="shared" si="66"/>
        <v>0</v>
      </c>
      <c r="I275" s="2201">
        <v>0</v>
      </c>
      <c r="J275" s="29">
        <v>0</v>
      </c>
    </row>
    <row r="276" spans="1:10" s="2" customFormat="1" ht="24.75" x14ac:dyDescent="0.2">
      <c r="A276" s="2345" t="s">
        <v>301</v>
      </c>
      <c r="B276" s="1847" t="s">
        <v>2686</v>
      </c>
      <c r="C276" s="793">
        <v>5000000</v>
      </c>
      <c r="D276" s="793">
        <f>5000000-29947.5-90212.58</f>
        <v>4879839.92</v>
      </c>
      <c r="E276" s="893">
        <v>341220.78</v>
      </c>
      <c r="F276" s="772"/>
      <c r="G276" s="2200">
        <f t="shared" si="71"/>
        <v>6.8244156</v>
      </c>
      <c r="H276" s="2200">
        <f t="shared" si="66"/>
        <v>6.9924584739246942</v>
      </c>
      <c r="I276" s="2201">
        <f t="shared" si="67"/>
        <v>34.486696531014353</v>
      </c>
      <c r="J276" s="32">
        <v>989427.27</v>
      </c>
    </row>
    <row r="277" spans="1:10" x14ac:dyDescent="0.2">
      <c r="A277" s="2237">
        <v>2221</v>
      </c>
      <c r="B277" s="787" t="s">
        <v>1355</v>
      </c>
      <c r="C277" s="734">
        <f t="shared" ref="C277:D277" si="73">SUM(C278:C283)</f>
        <v>466000</v>
      </c>
      <c r="D277" s="734">
        <f t="shared" si="73"/>
        <v>716000</v>
      </c>
      <c r="E277" s="734">
        <v>235294.18</v>
      </c>
      <c r="F277" s="772">
        <f>SUM(E278:E283)</f>
        <v>235294.18</v>
      </c>
      <c r="G277" s="1663">
        <f t="shared" si="71"/>
        <v>50.492313304721023</v>
      </c>
      <c r="H277" s="1663">
        <f t="shared" si="66"/>
        <v>32.8623156424581</v>
      </c>
      <c r="I277" s="1662">
        <v>0</v>
      </c>
      <c r="J277" s="29">
        <v>0</v>
      </c>
    </row>
    <row r="278" spans="1:10" x14ac:dyDescent="0.2">
      <c r="A278" s="2328" t="s">
        <v>1356</v>
      </c>
      <c r="B278" s="889" t="s">
        <v>2250</v>
      </c>
      <c r="C278" s="767">
        <v>200000</v>
      </c>
      <c r="D278" s="767">
        <v>200000</v>
      </c>
      <c r="E278" s="892">
        <v>200000</v>
      </c>
      <c r="F278" s="856"/>
      <c r="G278" s="2200">
        <f t="shared" si="71"/>
        <v>100</v>
      </c>
      <c r="H278" s="2200">
        <f t="shared" si="66"/>
        <v>100</v>
      </c>
      <c r="I278" s="2201">
        <v>0</v>
      </c>
      <c r="J278" s="29">
        <v>0</v>
      </c>
    </row>
    <row r="279" spans="1:10" x14ac:dyDescent="0.2">
      <c r="A279" s="2346" t="s">
        <v>1356</v>
      </c>
      <c r="B279" s="1112" t="s">
        <v>2687</v>
      </c>
      <c r="C279" s="1077">
        <v>0</v>
      </c>
      <c r="D279" s="1077">
        <v>19312.5</v>
      </c>
      <c r="E279" s="1077">
        <v>19312.5</v>
      </c>
      <c r="F279" s="1076"/>
      <c r="G279" s="2200">
        <v>0</v>
      </c>
      <c r="H279" s="2200">
        <f t="shared" si="66"/>
        <v>100</v>
      </c>
      <c r="I279" s="2201">
        <v>0</v>
      </c>
      <c r="J279" s="29">
        <v>0</v>
      </c>
    </row>
    <row r="280" spans="1:10" x14ac:dyDescent="0.2">
      <c r="A280" s="2346" t="s">
        <v>2688</v>
      </c>
      <c r="B280" s="1112" t="s">
        <v>2689</v>
      </c>
      <c r="C280" s="1077">
        <v>0</v>
      </c>
      <c r="D280" s="1077">
        <v>250000</v>
      </c>
      <c r="E280" s="1077">
        <v>0</v>
      </c>
      <c r="F280" s="1077"/>
      <c r="G280" s="2200">
        <v>0</v>
      </c>
      <c r="H280" s="2200">
        <f t="shared" si="66"/>
        <v>0</v>
      </c>
      <c r="I280" s="2201">
        <v>0</v>
      </c>
      <c r="J280" s="29">
        <v>0</v>
      </c>
    </row>
    <row r="281" spans="1:10" x14ac:dyDescent="0.2">
      <c r="A281" s="2347" t="s">
        <v>2251</v>
      </c>
      <c r="B281" s="2348" t="s">
        <v>2690</v>
      </c>
      <c r="C281" s="890">
        <v>16000</v>
      </c>
      <c r="D281" s="890">
        <v>16000</v>
      </c>
      <c r="E281" s="890">
        <v>0</v>
      </c>
      <c r="F281" s="779"/>
      <c r="G281" s="2200">
        <f t="shared" si="71"/>
        <v>0</v>
      </c>
      <c r="H281" s="2200">
        <f t="shared" si="66"/>
        <v>0</v>
      </c>
      <c r="I281" s="2201">
        <v>0</v>
      </c>
      <c r="J281" s="29">
        <v>0</v>
      </c>
    </row>
    <row r="282" spans="1:10" x14ac:dyDescent="0.2">
      <c r="A282" s="2347" t="s">
        <v>308</v>
      </c>
      <c r="B282" s="889" t="s">
        <v>2691</v>
      </c>
      <c r="C282" s="767">
        <v>100000</v>
      </c>
      <c r="D282" s="767">
        <f>100000-19312.5</f>
        <v>80687.5</v>
      </c>
      <c r="E282" s="893">
        <v>0</v>
      </c>
      <c r="F282" s="772"/>
      <c r="G282" s="2200">
        <f t="shared" si="71"/>
        <v>0</v>
      </c>
      <c r="H282" s="2200">
        <f t="shared" si="66"/>
        <v>0</v>
      </c>
      <c r="I282" s="2201">
        <v>0</v>
      </c>
      <c r="J282" s="29">
        <v>0</v>
      </c>
    </row>
    <row r="283" spans="1:10" x14ac:dyDescent="0.2">
      <c r="A283" s="2347" t="s">
        <v>310</v>
      </c>
      <c r="B283" s="889" t="s">
        <v>2692</v>
      </c>
      <c r="C283" s="767">
        <v>150000</v>
      </c>
      <c r="D283" s="767">
        <v>150000</v>
      </c>
      <c r="E283" s="892">
        <v>15981.68</v>
      </c>
      <c r="F283" s="856"/>
      <c r="G283" s="2200">
        <f t="shared" si="71"/>
        <v>10.654453333333333</v>
      </c>
      <c r="H283" s="2200">
        <f t="shared" si="66"/>
        <v>10.654453333333333</v>
      </c>
      <c r="I283" s="2201">
        <v>0</v>
      </c>
      <c r="J283" s="29">
        <v>0</v>
      </c>
    </row>
    <row r="284" spans="1:10" ht="15.75" x14ac:dyDescent="0.25">
      <c r="A284" s="2335"/>
      <c r="B284" s="925" t="s">
        <v>312</v>
      </c>
      <c r="C284" s="1002">
        <f t="shared" ref="C284:D284" si="74">C285</f>
        <v>5120000</v>
      </c>
      <c r="D284" s="1002">
        <f t="shared" si="74"/>
        <v>8495008.6400000006</v>
      </c>
      <c r="E284" s="1002">
        <v>1682622.87</v>
      </c>
      <c r="F284" s="2349"/>
      <c r="G284" s="2325">
        <f t="shared" si="71"/>
        <v>32.863727929687499</v>
      </c>
      <c r="H284" s="2325">
        <f t="shared" si="66"/>
        <v>19.807194333824715</v>
      </c>
      <c r="I284" s="2325">
        <f t="shared" si="67"/>
        <v>328.14938141288957</v>
      </c>
      <c r="J284" s="29">
        <v>512761.25</v>
      </c>
    </row>
    <row r="285" spans="1:10" x14ac:dyDescent="0.2">
      <c r="A285" s="2326">
        <v>3639</v>
      </c>
      <c r="B285" s="963" t="s">
        <v>313</v>
      </c>
      <c r="C285" s="984">
        <f>SUM(C286:C292)</f>
        <v>5120000</v>
      </c>
      <c r="D285" s="984">
        <f>SUM(D286:D292)</f>
        <v>8495008.6400000006</v>
      </c>
      <c r="E285" s="984">
        <v>1682622.87</v>
      </c>
      <c r="F285" s="2338"/>
      <c r="G285" s="1663">
        <f t="shared" si="71"/>
        <v>32.863727929687499</v>
      </c>
      <c r="H285" s="1663">
        <f t="shared" si="66"/>
        <v>19.807194333824715</v>
      </c>
      <c r="I285" s="1662">
        <f t="shared" si="67"/>
        <v>328.14938141288957</v>
      </c>
      <c r="J285" s="29">
        <v>512761.25</v>
      </c>
    </row>
    <row r="286" spans="1:10" x14ac:dyDescent="0.2">
      <c r="A286" s="2328" t="s">
        <v>314</v>
      </c>
      <c r="B286" s="1852" t="s">
        <v>2693</v>
      </c>
      <c r="C286" s="767">
        <v>4400000</v>
      </c>
      <c r="D286" s="767">
        <f>4400000+3375008.64</f>
        <v>7775008.6400000006</v>
      </c>
      <c r="E286" s="990">
        <v>1428042.45</v>
      </c>
      <c r="F286" s="794"/>
      <c r="G286" s="2200">
        <f t="shared" si="71"/>
        <v>32.455510227272725</v>
      </c>
      <c r="H286" s="2200">
        <f t="shared" si="66"/>
        <v>18.367085055740851</v>
      </c>
      <c r="I286" s="2201">
        <f t="shared" si="67"/>
        <v>466.01806255812812</v>
      </c>
      <c r="J286" s="29">
        <v>306435</v>
      </c>
    </row>
    <row r="287" spans="1:10" x14ac:dyDescent="0.2">
      <c r="A287" s="2332" t="s">
        <v>316</v>
      </c>
      <c r="B287" s="818" t="s">
        <v>2694</v>
      </c>
      <c r="C287" s="820">
        <v>40000</v>
      </c>
      <c r="D287" s="820">
        <v>40000</v>
      </c>
      <c r="E287" s="829">
        <v>0</v>
      </c>
      <c r="F287" s="829"/>
      <c r="G287" s="2200">
        <f t="shared" si="71"/>
        <v>0</v>
      </c>
      <c r="H287" s="2200">
        <f t="shared" si="66"/>
        <v>0</v>
      </c>
      <c r="I287" s="2201">
        <f t="shared" si="67"/>
        <v>0</v>
      </c>
      <c r="J287" s="29">
        <v>3025</v>
      </c>
    </row>
    <row r="288" spans="1:10" x14ac:dyDescent="0.2">
      <c r="A288" s="2350" t="s">
        <v>316</v>
      </c>
      <c r="B288" s="939" t="s">
        <v>2695</v>
      </c>
      <c r="C288" s="890">
        <v>30000</v>
      </c>
      <c r="D288" s="890">
        <v>30000</v>
      </c>
      <c r="E288" s="1011">
        <v>5228</v>
      </c>
      <c r="F288" s="891"/>
      <c r="G288" s="2200">
        <f t="shared" si="71"/>
        <v>17.426666666666666</v>
      </c>
      <c r="H288" s="2200">
        <f t="shared" si="66"/>
        <v>17.426666666666666</v>
      </c>
      <c r="I288" s="2201">
        <f t="shared" si="67"/>
        <v>17.366462928514483</v>
      </c>
      <c r="J288" s="29">
        <v>30104</v>
      </c>
    </row>
    <row r="289" spans="1:10" x14ac:dyDescent="0.2">
      <c r="A289" s="2328" t="s">
        <v>325</v>
      </c>
      <c r="B289" s="778" t="s">
        <v>2696</v>
      </c>
      <c r="C289" s="767">
        <v>200000</v>
      </c>
      <c r="D289" s="767">
        <v>200000</v>
      </c>
      <c r="E289" s="893">
        <v>113480.42</v>
      </c>
      <c r="F289" s="772"/>
      <c r="G289" s="2200">
        <f t="shared" si="71"/>
        <v>56.740210000000005</v>
      </c>
      <c r="H289" s="2200">
        <f t="shared" si="66"/>
        <v>56.740210000000005</v>
      </c>
      <c r="I289" s="2201">
        <f t="shared" si="67"/>
        <v>153.12171903725817</v>
      </c>
      <c r="J289" s="29">
        <v>74111.25</v>
      </c>
    </row>
    <row r="290" spans="1:10" x14ac:dyDescent="0.2">
      <c r="A290" s="2328" t="s">
        <v>321</v>
      </c>
      <c r="B290" s="778" t="s">
        <v>2697</v>
      </c>
      <c r="C290" s="767">
        <v>150000</v>
      </c>
      <c r="D290" s="767">
        <v>150000</v>
      </c>
      <c r="E290" s="893">
        <v>69568</v>
      </c>
      <c r="F290" s="772"/>
      <c r="G290" s="2200">
        <f t="shared" si="71"/>
        <v>46.378666666666668</v>
      </c>
      <c r="H290" s="2200">
        <f t="shared" si="66"/>
        <v>46.378666666666668</v>
      </c>
      <c r="I290" s="2201">
        <f t="shared" si="67"/>
        <v>230.9847931469553</v>
      </c>
      <c r="J290" s="29">
        <v>30118</v>
      </c>
    </row>
    <row r="291" spans="1:10" x14ac:dyDescent="0.2">
      <c r="A291" s="2328" t="s">
        <v>323</v>
      </c>
      <c r="B291" s="778" t="s">
        <v>2698</v>
      </c>
      <c r="C291" s="767">
        <v>210000</v>
      </c>
      <c r="D291" s="767">
        <v>210000</v>
      </c>
      <c r="E291" s="893">
        <v>40800</v>
      </c>
      <c r="F291" s="772"/>
      <c r="G291" s="2200">
        <f t="shared" si="71"/>
        <v>19.428571428571427</v>
      </c>
      <c r="H291" s="2200">
        <f t="shared" si="66"/>
        <v>19.428571428571427</v>
      </c>
      <c r="I291" s="2201">
        <f t="shared" si="67"/>
        <v>124.01215805471124</v>
      </c>
      <c r="J291" s="29">
        <v>32900</v>
      </c>
    </row>
    <row r="292" spans="1:10" x14ac:dyDescent="0.2">
      <c r="A292" s="2347" t="s">
        <v>333</v>
      </c>
      <c r="B292" s="1012" t="s">
        <v>2699</v>
      </c>
      <c r="C292" s="767">
        <v>90000</v>
      </c>
      <c r="D292" s="767">
        <v>90000</v>
      </c>
      <c r="E292" s="893">
        <v>25504</v>
      </c>
      <c r="F292" s="772"/>
      <c r="G292" s="2200">
        <f t="shared" si="71"/>
        <v>28.337777777777777</v>
      </c>
      <c r="H292" s="2200">
        <f t="shared" si="66"/>
        <v>28.337777777777777</v>
      </c>
      <c r="I292" s="2201">
        <f t="shared" si="67"/>
        <v>70.710879449927916</v>
      </c>
      <c r="J292" s="29">
        <v>36068</v>
      </c>
    </row>
    <row r="293" spans="1:10" ht="15.75" x14ac:dyDescent="0.25">
      <c r="A293" s="2335"/>
      <c r="B293" s="925" t="s">
        <v>335</v>
      </c>
      <c r="C293" s="1013">
        <f>SUM(C294+C302+C299+C310+C314+C321+C331+C334+C336)</f>
        <v>27965000</v>
      </c>
      <c r="D293" s="1013">
        <f>SUM(D294+D302+D299+D310+D314+D321+D331+D334+D336)</f>
        <v>28295799</v>
      </c>
      <c r="E293" s="1013">
        <v>7243593.2300000004</v>
      </c>
      <c r="F293" s="2351">
        <f>SUM(E294,E299,E302,E310,E314,E321,E331,E334,E336)</f>
        <v>7243593.2300000004</v>
      </c>
      <c r="G293" s="2325">
        <f t="shared" si="71"/>
        <v>25.902353763633112</v>
      </c>
      <c r="H293" s="2325">
        <f t="shared" si="66"/>
        <v>25.599535924043003</v>
      </c>
      <c r="I293" s="2325">
        <f t="shared" si="67"/>
        <v>73.662923686451592</v>
      </c>
      <c r="J293" s="29">
        <v>9833431.6199999992</v>
      </c>
    </row>
    <row r="294" spans="1:10" x14ac:dyDescent="0.2">
      <c r="A294" s="2326">
        <v>3341</v>
      </c>
      <c r="B294" s="963" t="s">
        <v>1363</v>
      </c>
      <c r="C294" s="844">
        <f t="shared" ref="C294:D294" si="75">SUM(C295:C298)</f>
        <v>1205000</v>
      </c>
      <c r="D294" s="844">
        <f t="shared" si="75"/>
        <v>1205000</v>
      </c>
      <c r="E294" s="844">
        <v>3875</v>
      </c>
      <c r="F294" s="2220">
        <f>SUM(E295:E298)</f>
        <v>3875</v>
      </c>
      <c r="G294" s="1663">
        <f t="shared" si="71"/>
        <v>0.32157676348547715</v>
      </c>
      <c r="H294" s="1663">
        <f t="shared" si="66"/>
        <v>0.32157676348547715</v>
      </c>
      <c r="I294" s="1662">
        <f t="shared" si="67"/>
        <v>0.70110246779926844</v>
      </c>
      <c r="J294" s="29">
        <v>552700.94999999995</v>
      </c>
    </row>
    <row r="295" spans="1:10" x14ac:dyDescent="0.2">
      <c r="A295" s="2328" t="s">
        <v>337</v>
      </c>
      <c r="B295" s="796" t="s">
        <v>2700</v>
      </c>
      <c r="C295" s="1828">
        <v>300000</v>
      </c>
      <c r="D295" s="1828">
        <v>300000</v>
      </c>
      <c r="E295" s="990">
        <v>0</v>
      </c>
      <c r="F295" s="794"/>
      <c r="G295" s="2200">
        <f t="shared" si="71"/>
        <v>0</v>
      </c>
      <c r="H295" s="2200">
        <f t="shared" si="66"/>
        <v>0</v>
      </c>
      <c r="I295" s="2201">
        <f t="shared" si="67"/>
        <v>0</v>
      </c>
      <c r="J295" s="29">
        <v>19612.89</v>
      </c>
    </row>
    <row r="296" spans="1:10" x14ac:dyDescent="0.2">
      <c r="A296" s="2328" t="s">
        <v>339</v>
      </c>
      <c r="B296" s="796" t="s">
        <v>2701</v>
      </c>
      <c r="C296" s="1828">
        <v>5000</v>
      </c>
      <c r="D296" s="1828">
        <v>5000</v>
      </c>
      <c r="E296" s="990">
        <v>3875</v>
      </c>
      <c r="F296" s="794"/>
      <c r="G296" s="2200">
        <f t="shared" si="71"/>
        <v>77.5</v>
      </c>
      <c r="H296" s="2200">
        <f t="shared" si="66"/>
        <v>77.5</v>
      </c>
      <c r="I296" s="2201">
        <f t="shared" si="67"/>
        <v>62.199036918138042</v>
      </c>
      <c r="J296" s="29">
        <v>6230</v>
      </c>
    </row>
    <row r="297" spans="1:10" x14ac:dyDescent="0.2">
      <c r="A297" s="2328" t="s">
        <v>2256</v>
      </c>
      <c r="B297" s="901" t="s">
        <v>2702</v>
      </c>
      <c r="C297" s="1828">
        <v>300000</v>
      </c>
      <c r="D297" s="1828">
        <v>300000</v>
      </c>
      <c r="E297" s="990">
        <v>0</v>
      </c>
      <c r="F297" s="794"/>
      <c r="G297" s="2200">
        <f t="shared" si="71"/>
        <v>0</v>
      </c>
      <c r="H297" s="2200">
        <f t="shared" si="66"/>
        <v>0</v>
      </c>
      <c r="I297" s="2201">
        <v>0</v>
      </c>
      <c r="J297" s="29">
        <v>0</v>
      </c>
    </row>
    <row r="298" spans="1:10" x14ac:dyDescent="0.2">
      <c r="A298" s="2328" t="s">
        <v>1365</v>
      </c>
      <c r="B298" s="1852" t="s">
        <v>2258</v>
      </c>
      <c r="C298" s="1828">
        <v>600000</v>
      </c>
      <c r="D298" s="1828">
        <v>600000</v>
      </c>
      <c r="E298" s="794">
        <v>0</v>
      </c>
      <c r="F298" s="794"/>
      <c r="G298" s="2200">
        <f t="shared" si="71"/>
        <v>0</v>
      </c>
      <c r="H298" s="2200">
        <f t="shared" si="66"/>
        <v>0</v>
      </c>
      <c r="I298" s="2201">
        <f t="shared" si="67"/>
        <v>0</v>
      </c>
      <c r="J298" s="29">
        <v>526858.06000000006</v>
      </c>
    </row>
    <row r="299" spans="1:10" x14ac:dyDescent="0.2">
      <c r="A299" s="2288">
        <v>3412</v>
      </c>
      <c r="B299" s="787" t="s">
        <v>2264</v>
      </c>
      <c r="C299" s="785">
        <f t="shared" ref="C299:D299" si="76">SUM(C300:C301)</f>
        <v>150000</v>
      </c>
      <c r="D299" s="785">
        <f t="shared" si="76"/>
        <v>150000</v>
      </c>
      <c r="E299" s="734">
        <v>0</v>
      </c>
      <c r="F299" s="772">
        <f>SUM(E300:E301)</f>
        <v>0</v>
      </c>
      <c r="G299" s="1663">
        <f t="shared" si="71"/>
        <v>0</v>
      </c>
      <c r="H299" s="1663">
        <f t="shared" si="66"/>
        <v>0</v>
      </c>
      <c r="I299" s="1662">
        <v>0</v>
      </c>
      <c r="J299" s="29">
        <v>0</v>
      </c>
    </row>
    <row r="300" spans="1:10" x14ac:dyDescent="0.2">
      <c r="A300" s="2328" t="s">
        <v>2265</v>
      </c>
      <c r="B300" s="1018" t="s">
        <v>2703</v>
      </c>
      <c r="C300" s="1828">
        <v>50000</v>
      </c>
      <c r="D300" s="1828">
        <v>50000</v>
      </c>
      <c r="E300" s="990">
        <v>0</v>
      </c>
      <c r="F300" s="794"/>
      <c r="G300" s="2200">
        <f t="shared" si="71"/>
        <v>0</v>
      </c>
      <c r="H300" s="2200">
        <f t="shared" ref="H300:H363" si="77">E300/D300*100</f>
        <v>0</v>
      </c>
      <c r="I300" s="2201">
        <v>0</v>
      </c>
      <c r="J300" s="29">
        <v>0</v>
      </c>
    </row>
    <row r="301" spans="1:10" x14ac:dyDescent="0.2">
      <c r="A301" s="2328" t="s">
        <v>2267</v>
      </c>
      <c r="B301" s="1018" t="s">
        <v>2704</v>
      </c>
      <c r="C301" s="1828">
        <v>100000</v>
      </c>
      <c r="D301" s="1828">
        <v>100000</v>
      </c>
      <c r="E301" s="990">
        <v>0</v>
      </c>
      <c r="F301" s="794"/>
      <c r="G301" s="2200">
        <f t="shared" si="71"/>
        <v>0</v>
      </c>
      <c r="H301" s="2200">
        <f t="shared" si="77"/>
        <v>0</v>
      </c>
      <c r="I301" s="2201">
        <v>0</v>
      </c>
      <c r="J301" s="29">
        <v>0</v>
      </c>
    </row>
    <row r="302" spans="1:10" x14ac:dyDescent="0.2">
      <c r="A302" s="2288">
        <v>3421</v>
      </c>
      <c r="B302" s="787" t="s">
        <v>1368</v>
      </c>
      <c r="C302" s="785">
        <f>SUM(C303:C309)</f>
        <v>3970000</v>
      </c>
      <c r="D302" s="785">
        <f>SUM(D303:D309)</f>
        <v>3970000</v>
      </c>
      <c r="E302" s="734">
        <v>1131283.6200000001</v>
      </c>
      <c r="F302" s="772">
        <f>SUM(E303:E309)</f>
        <v>1131283.6199999999</v>
      </c>
      <c r="G302" s="1663">
        <f t="shared" si="71"/>
        <v>28.495809068010082</v>
      </c>
      <c r="H302" s="1663">
        <f t="shared" si="77"/>
        <v>28.495809068010082</v>
      </c>
      <c r="I302" s="1662">
        <f t="shared" ref="I302:I360" si="78">E302/J302*100</f>
        <v>200.2974530180322</v>
      </c>
      <c r="J302" s="29">
        <v>564801.80000000005</v>
      </c>
    </row>
    <row r="303" spans="1:10" x14ac:dyDescent="0.2">
      <c r="A303" s="2328" t="s">
        <v>350</v>
      </c>
      <c r="B303" s="1017" t="s">
        <v>2705</v>
      </c>
      <c r="C303" s="1856">
        <v>550000</v>
      </c>
      <c r="D303" s="1856">
        <v>550000</v>
      </c>
      <c r="E303" s="990">
        <v>213072.91</v>
      </c>
      <c r="F303" s="794"/>
      <c r="G303" s="2200">
        <f t="shared" si="71"/>
        <v>38.740529090909092</v>
      </c>
      <c r="H303" s="2200">
        <f t="shared" si="77"/>
        <v>38.740529090909092</v>
      </c>
      <c r="I303" s="2201">
        <f t="shared" si="78"/>
        <v>169.00467149912797</v>
      </c>
      <c r="J303" s="29">
        <v>126075.16</v>
      </c>
    </row>
    <row r="304" spans="1:10" x14ac:dyDescent="0.2">
      <c r="A304" s="2328" t="s">
        <v>342</v>
      </c>
      <c r="B304" s="1018" t="s">
        <v>2706</v>
      </c>
      <c r="C304" s="1828">
        <v>300000</v>
      </c>
      <c r="D304" s="1828">
        <v>300000</v>
      </c>
      <c r="E304" s="990">
        <v>0</v>
      </c>
      <c r="F304" s="794"/>
      <c r="G304" s="2200">
        <f t="shared" si="71"/>
        <v>0</v>
      </c>
      <c r="H304" s="2200">
        <f t="shared" si="77"/>
        <v>0</v>
      </c>
      <c r="I304" s="2201">
        <v>0</v>
      </c>
      <c r="J304" s="29">
        <v>0</v>
      </c>
    </row>
    <row r="305" spans="1:11" ht="14.25" customHeight="1" x14ac:dyDescent="0.2">
      <c r="A305" s="2328" t="s">
        <v>344</v>
      </c>
      <c r="B305" s="1018" t="s">
        <v>2707</v>
      </c>
      <c r="C305" s="1828">
        <v>20000</v>
      </c>
      <c r="D305" s="1828">
        <f>20000</f>
        <v>20000</v>
      </c>
      <c r="E305" s="990">
        <v>0</v>
      </c>
      <c r="F305" s="794"/>
      <c r="G305" s="2200">
        <f t="shared" si="71"/>
        <v>0</v>
      </c>
      <c r="H305" s="2200">
        <f t="shared" si="77"/>
        <v>0</v>
      </c>
      <c r="I305" s="2201">
        <v>0</v>
      </c>
      <c r="J305" s="29">
        <v>0</v>
      </c>
    </row>
    <row r="306" spans="1:11" x14ac:dyDescent="0.2">
      <c r="A306" s="2328" t="s">
        <v>346</v>
      </c>
      <c r="B306" s="1018" t="s">
        <v>2708</v>
      </c>
      <c r="C306" s="1828">
        <v>100000</v>
      </c>
      <c r="D306" s="1828">
        <f>100000+199650</f>
        <v>299650</v>
      </c>
      <c r="E306" s="990">
        <v>0</v>
      </c>
      <c r="F306" s="794"/>
      <c r="G306" s="2200">
        <f t="shared" si="71"/>
        <v>0</v>
      </c>
      <c r="H306" s="2200">
        <f t="shared" si="77"/>
        <v>0</v>
      </c>
      <c r="I306" s="2201">
        <v>0</v>
      </c>
      <c r="J306" s="29">
        <v>0</v>
      </c>
      <c r="K306" s="1858"/>
    </row>
    <row r="307" spans="1:11" x14ac:dyDescent="0.2">
      <c r="A307" s="2328" t="s">
        <v>348</v>
      </c>
      <c r="B307" s="1017" t="s">
        <v>2709</v>
      </c>
      <c r="C307" s="1828">
        <v>2500000</v>
      </c>
      <c r="D307" s="1828">
        <f>2500000-96485.4-199650</f>
        <v>2203864.6</v>
      </c>
      <c r="E307" s="990">
        <v>330462.89</v>
      </c>
      <c r="F307" s="794"/>
      <c r="G307" s="2200">
        <f t="shared" si="71"/>
        <v>13.2185156</v>
      </c>
      <c r="H307" s="2200">
        <f t="shared" si="77"/>
        <v>14.994700218879146</v>
      </c>
      <c r="I307" s="2201">
        <f t="shared" si="78"/>
        <v>75.323187577576775</v>
      </c>
      <c r="J307" s="29">
        <v>438726.64</v>
      </c>
    </row>
    <row r="308" spans="1:11" x14ac:dyDescent="0.2">
      <c r="A308" s="2328" t="s">
        <v>1374</v>
      </c>
      <c r="B308" s="1859" t="s">
        <v>2710</v>
      </c>
      <c r="C308" s="1828">
        <v>500000</v>
      </c>
      <c r="D308" s="1828">
        <v>500000</v>
      </c>
      <c r="E308" s="990">
        <v>491262.42</v>
      </c>
      <c r="F308" s="794"/>
      <c r="G308" s="2200">
        <f t="shared" si="71"/>
        <v>98.252483999999995</v>
      </c>
      <c r="H308" s="2200">
        <f t="shared" si="77"/>
        <v>98.252483999999995</v>
      </c>
      <c r="I308" s="2201">
        <v>0</v>
      </c>
      <c r="J308" s="29">
        <v>0</v>
      </c>
      <c r="K308" s="1858"/>
    </row>
    <row r="309" spans="1:11" x14ac:dyDescent="0.2">
      <c r="A309" s="2328" t="s">
        <v>1374</v>
      </c>
      <c r="B309" s="1859" t="s">
        <v>2711</v>
      </c>
      <c r="C309" s="1828">
        <v>0</v>
      </c>
      <c r="D309" s="1828">
        <v>96485.4</v>
      </c>
      <c r="E309" s="990">
        <v>96485.4</v>
      </c>
      <c r="F309" s="794"/>
      <c r="G309" s="2200">
        <v>0</v>
      </c>
      <c r="H309" s="2200">
        <f t="shared" si="77"/>
        <v>100</v>
      </c>
      <c r="I309" s="2201">
        <v>0</v>
      </c>
      <c r="J309" s="29">
        <v>0</v>
      </c>
      <c r="K309" s="1858"/>
    </row>
    <row r="310" spans="1:11" x14ac:dyDescent="0.2">
      <c r="A310" s="2288">
        <v>3429</v>
      </c>
      <c r="B310" s="787" t="s">
        <v>2269</v>
      </c>
      <c r="C310" s="785">
        <f>SUM(C311:C313)</f>
        <v>140000</v>
      </c>
      <c r="D310" s="785">
        <f>SUM(D311:D313)</f>
        <v>140000</v>
      </c>
      <c r="E310" s="734">
        <v>0</v>
      </c>
      <c r="F310" s="772">
        <f>SUM(E311:E313)</f>
        <v>0</v>
      </c>
      <c r="G310" s="1663">
        <f t="shared" si="71"/>
        <v>0</v>
      </c>
      <c r="H310" s="1663">
        <f t="shared" si="77"/>
        <v>0</v>
      </c>
      <c r="I310" s="1662">
        <f t="shared" si="78"/>
        <v>0</v>
      </c>
      <c r="J310" s="29">
        <v>327087.2</v>
      </c>
    </row>
    <row r="311" spans="1:11" x14ac:dyDescent="0.2">
      <c r="A311" s="2328" t="s">
        <v>2270</v>
      </c>
      <c r="B311" s="1018" t="s">
        <v>2712</v>
      </c>
      <c r="C311" s="1828">
        <v>20000</v>
      </c>
      <c r="D311" s="1828">
        <v>20000</v>
      </c>
      <c r="E311" s="990">
        <v>0</v>
      </c>
      <c r="F311" s="794"/>
      <c r="G311" s="2200">
        <f t="shared" si="71"/>
        <v>0</v>
      </c>
      <c r="H311" s="2200">
        <f t="shared" si="77"/>
        <v>0</v>
      </c>
      <c r="I311" s="2201">
        <v>0</v>
      </c>
      <c r="J311" s="29">
        <v>0</v>
      </c>
    </row>
    <row r="312" spans="1:11" x14ac:dyDescent="0.2">
      <c r="A312" s="2328" t="s">
        <v>2272</v>
      </c>
      <c r="B312" s="1018" t="s">
        <v>2713</v>
      </c>
      <c r="C312" s="1828">
        <v>20000</v>
      </c>
      <c r="D312" s="1828">
        <v>20000</v>
      </c>
      <c r="E312" s="990">
        <v>0</v>
      </c>
      <c r="F312" s="794"/>
      <c r="G312" s="2200">
        <f t="shared" si="71"/>
        <v>0</v>
      </c>
      <c r="H312" s="2200">
        <f t="shared" si="77"/>
        <v>0</v>
      </c>
      <c r="I312" s="2201">
        <v>0</v>
      </c>
      <c r="J312" s="29">
        <v>0</v>
      </c>
    </row>
    <row r="313" spans="1:11" x14ac:dyDescent="0.2">
      <c r="A313" s="2328" t="s">
        <v>2274</v>
      </c>
      <c r="B313" s="1018" t="s">
        <v>2714</v>
      </c>
      <c r="C313" s="1828">
        <v>100000</v>
      </c>
      <c r="D313" s="1828">
        <v>100000</v>
      </c>
      <c r="E313" s="990">
        <v>0</v>
      </c>
      <c r="F313" s="794"/>
      <c r="G313" s="2200">
        <f t="shared" si="71"/>
        <v>0</v>
      </c>
      <c r="H313" s="2200">
        <f t="shared" si="77"/>
        <v>0</v>
      </c>
      <c r="I313" s="2201">
        <v>0</v>
      </c>
      <c r="J313" s="29">
        <v>0</v>
      </c>
    </row>
    <row r="314" spans="1:11" x14ac:dyDescent="0.2">
      <c r="A314" s="2237">
        <v>3613</v>
      </c>
      <c r="B314" s="787" t="s">
        <v>1379</v>
      </c>
      <c r="C314" s="785">
        <f t="shared" ref="C314:D314" si="79">SUM(C315:C320)</f>
        <v>2380000</v>
      </c>
      <c r="D314" s="785">
        <f t="shared" si="79"/>
        <v>2606282</v>
      </c>
      <c r="E314" s="734">
        <v>261638.36</v>
      </c>
      <c r="F314" s="772">
        <f>SUM(E315:E320)</f>
        <v>261638.36</v>
      </c>
      <c r="G314" s="1663">
        <f t="shared" ref="G314:G377" si="80">E314/C314*100</f>
        <v>10.993208403361345</v>
      </c>
      <c r="H314" s="1663">
        <f t="shared" si="77"/>
        <v>10.038758660804932</v>
      </c>
      <c r="I314" s="1662">
        <f t="shared" si="78"/>
        <v>31.083522378227034</v>
      </c>
      <c r="J314" s="29">
        <v>841726.87</v>
      </c>
    </row>
    <row r="315" spans="1:11" ht="14.25" customHeight="1" x14ac:dyDescent="0.2">
      <c r="A315" s="2347" t="s">
        <v>353</v>
      </c>
      <c r="B315" s="889" t="s">
        <v>2715</v>
      </c>
      <c r="C315" s="1828">
        <v>5000</v>
      </c>
      <c r="D315" s="1828">
        <v>5000</v>
      </c>
      <c r="E315" s="990">
        <v>0</v>
      </c>
      <c r="F315" s="794"/>
      <c r="G315" s="2200">
        <f t="shared" si="80"/>
        <v>0</v>
      </c>
      <c r="H315" s="2200">
        <f t="shared" si="77"/>
        <v>0</v>
      </c>
      <c r="I315" s="2201">
        <v>0</v>
      </c>
      <c r="J315" s="29">
        <v>0</v>
      </c>
    </row>
    <row r="316" spans="1:11" x14ac:dyDescent="0.2">
      <c r="A316" s="2347" t="s">
        <v>355</v>
      </c>
      <c r="B316" s="889" t="s">
        <v>2677</v>
      </c>
      <c r="C316" s="1828">
        <v>15000</v>
      </c>
      <c r="D316" s="1828">
        <v>15000</v>
      </c>
      <c r="E316" s="990">
        <v>0</v>
      </c>
      <c r="F316" s="794"/>
      <c r="G316" s="2200">
        <f t="shared" si="80"/>
        <v>0</v>
      </c>
      <c r="H316" s="2200">
        <f t="shared" si="77"/>
        <v>0</v>
      </c>
      <c r="I316" s="2201">
        <v>0</v>
      </c>
      <c r="J316" s="29">
        <v>0</v>
      </c>
    </row>
    <row r="317" spans="1:11" x14ac:dyDescent="0.2">
      <c r="A317" s="2347" t="s">
        <v>357</v>
      </c>
      <c r="B317" s="796" t="s">
        <v>2716</v>
      </c>
      <c r="C317" s="1828">
        <v>200000</v>
      </c>
      <c r="D317" s="1828">
        <v>200000</v>
      </c>
      <c r="E317" s="1023">
        <v>13909</v>
      </c>
      <c r="F317" s="810"/>
      <c r="G317" s="2200">
        <f t="shared" si="80"/>
        <v>6.9544999999999995</v>
      </c>
      <c r="H317" s="2200">
        <f t="shared" si="77"/>
        <v>6.9544999999999995</v>
      </c>
      <c r="I317" s="2201">
        <f t="shared" si="78"/>
        <v>58.687763713080166</v>
      </c>
      <c r="J317" s="29">
        <v>23700</v>
      </c>
    </row>
    <row r="318" spans="1:11" x14ac:dyDescent="0.2">
      <c r="A318" s="2347" t="s">
        <v>359</v>
      </c>
      <c r="B318" s="796" t="s">
        <v>2717</v>
      </c>
      <c r="C318" s="767">
        <v>560000</v>
      </c>
      <c r="D318" s="767">
        <v>560000</v>
      </c>
      <c r="E318" s="894">
        <v>247729.36</v>
      </c>
      <c r="F318" s="767"/>
      <c r="G318" s="2200">
        <f t="shared" si="80"/>
        <v>44.237385714285708</v>
      </c>
      <c r="H318" s="2200">
        <f t="shared" si="77"/>
        <v>44.237385714285708</v>
      </c>
      <c r="I318" s="2201">
        <f t="shared" si="78"/>
        <v>66.851098420652548</v>
      </c>
      <c r="J318" s="29">
        <v>370568.87</v>
      </c>
    </row>
    <row r="319" spans="1:11" x14ac:dyDescent="0.2">
      <c r="A319" s="2347" t="s">
        <v>361</v>
      </c>
      <c r="B319" s="796" t="s">
        <v>2718</v>
      </c>
      <c r="C319" s="767">
        <v>100000</v>
      </c>
      <c r="D319" s="767">
        <v>100000</v>
      </c>
      <c r="E319" s="894">
        <v>0</v>
      </c>
      <c r="F319" s="767"/>
      <c r="G319" s="2200">
        <f t="shared" si="80"/>
        <v>0</v>
      </c>
      <c r="H319" s="2200">
        <f t="shared" si="77"/>
        <v>0</v>
      </c>
      <c r="I319" s="2201">
        <v>0</v>
      </c>
      <c r="J319" s="29">
        <v>0</v>
      </c>
    </row>
    <row r="320" spans="1:11" ht="24.75" x14ac:dyDescent="0.2">
      <c r="A320" s="2347" t="s">
        <v>364</v>
      </c>
      <c r="B320" s="1860" t="s">
        <v>2719</v>
      </c>
      <c r="C320" s="767">
        <v>1500000</v>
      </c>
      <c r="D320" s="767">
        <f>1500000+226282</f>
        <v>1726282</v>
      </c>
      <c r="E320" s="894">
        <v>0</v>
      </c>
      <c r="F320" s="767"/>
      <c r="G320" s="2200">
        <f t="shared" si="80"/>
        <v>0</v>
      </c>
      <c r="H320" s="2200">
        <f t="shared" si="77"/>
        <v>0</v>
      </c>
      <c r="I320" s="2201">
        <f t="shared" si="78"/>
        <v>0</v>
      </c>
      <c r="J320" s="1866">
        <v>447458</v>
      </c>
    </row>
    <row r="321" spans="1:10" x14ac:dyDescent="0.2">
      <c r="A321" s="2237">
        <v>3631</v>
      </c>
      <c r="B321" s="787" t="s">
        <v>1390</v>
      </c>
      <c r="C321" s="734">
        <f>SUM(C322:C326)</f>
        <v>15650000</v>
      </c>
      <c r="D321" s="734">
        <f>SUM(D322:D326)</f>
        <v>15650000</v>
      </c>
      <c r="E321" s="734">
        <v>3961045.39</v>
      </c>
      <c r="F321" s="772">
        <f>SUM(E322:E326)</f>
        <v>3961045.39</v>
      </c>
      <c r="G321" s="1663">
        <f t="shared" si="80"/>
        <v>25.310194185303516</v>
      </c>
      <c r="H321" s="1663">
        <f t="shared" si="77"/>
        <v>25.310194185303516</v>
      </c>
      <c r="I321" s="1662">
        <f t="shared" si="78"/>
        <v>67.957825215299977</v>
      </c>
      <c r="J321" s="29">
        <v>5828681.7999999998</v>
      </c>
    </row>
    <row r="322" spans="1:10" x14ac:dyDescent="0.2">
      <c r="A322" s="2328" t="s">
        <v>371</v>
      </c>
      <c r="B322" s="778" t="s">
        <v>2720</v>
      </c>
      <c r="C322" s="767">
        <v>5450000</v>
      </c>
      <c r="D322" s="767">
        <v>5450000</v>
      </c>
      <c r="E322" s="1023">
        <v>2725000.02</v>
      </c>
      <c r="F322" s="810"/>
      <c r="G322" s="2200">
        <f t="shared" si="80"/>
        <v>50.000000366972472</v>
      </c>
      <c r="H322" s="2200">
        <f t="shared" si="77"/>
        <v>50.000000366972472</v>
      </c>
      <c r="I322" s="2201">
        <f t="shared" si="78"/>
        <v>107.91498042085654</v>
      </c>
      <c r="J322" s="29">
        <v>2525136</v>
      </c>
    </row>
    <row r="323" spans="1:10" x14ac:dyDescent="0.2">
      <c r="A323" s="2347" t="s">
        <v>367</v>
      </c>
      <c r="B323" s="778" t="s">
        <v>2718</v>
      </c>
      <c r="C323" s="767">
        <v>50000</v>
      </c>
      <c r="D323" s="767">
        <v>50000</v>
      </c>
      <c r="E323" s="893">
        <v>0</v>
      </c>
      <c r="F323" s="772"/>
      <c r="G323" s="2200">
        <f t="shared" si="80"/>
        <v>0</v>
      </c>
      <c r="H323" s="2200">
        <f t="shared" si="77"/>
        <v>0</v>
      </c>
      <c r="I323" s="2201">
        <f t="shared" si="78"/>
        <v>0</v>
      </c>
      <c r="J323" s="29">
        <v>48097.5</v>
      </c>
    </row>
    <row r="324" spans="1:10" x14ac:dyDescent="0.2">
      <c r="A324" s="2347" t="s">
        <v>369</v>
      </c>
      <c r="B324" s="778" t="s">
        <v>2721</v>
      </c>
      <c r="C324" s="767">
        <v>1500000</v>
      </c>
      <c r="D324" s="767">
        <v>1500000</v>
      </c>
      <c r="E324" s="893">
        <v>775369.94</v>
      </c>
      <c r="F324" s="772"/>
      <c r="G324" s="2200">
        <f t="shared" si="80"/>
        <v>51.691329333333321</v>
      </c>
      <c r="H324" s="2200">
        <f t="shared" si="77"/>
        <v>51.691329333333321</v>
      </c>
      <c r="I324" s="2201">
        <f t="shared" si="78"/>
        <v>1243.4540367636612</v>
      </c>
      <c r="J324" s="29">
        <v>62356.14</v>
      </c>
    </row>
    <row r="325" spans="1:10" x14ac:dyDescent="0.2">
      <c r="A325" s="2328" t="s">
        <v>373</v>
      </c>
      <c r="B325" s="778" t="s">
        <v>2722</v>
      </c>
      <c r="C325" s="767">
        <v>6300000</v>
      </c>
      <c r="D325" s="767">
        <v>6300000</v>
      </c>
      <c r="E325" s="1026">
        <v>460675.43</v>
      </c>
      <c r="F325" s="767"/>
      <c r="G325" s="2200">
        <f t="shared" si="80"/>
        <v>7.3123084126984121</v>
      </c>
      <c r="H325" s="2200">
        <f t="shared" si="77"/>
        <v>7.3123084126984121</v>
      </c>
      <c r="I325" s="2201">
        <f t="shared" si="78"/>
        <v>15.158967294486608</v>
      </c>
      <c r="J325" s="29">
        <v>3038963.15</v>
      </c>
    </row>
    <row r="326" spans="1:10" x14ac:dyDescent="0.2">
      <c r="A326" s="2328"/>
      <c r="B326" s="889" t="s">
        <v>880</v>
      </c>
      <c r="C326" s="772">
        <f>SUM(C327:C330)</f>
        <v>2350000</v>
      </c>
      <c r="D326" s="772">
        <f>SUM(D327:D330)</f>
        <v>2350000</v>
      </c>
      <c r="E326" s="772">
        <v>0</v>
      </c>
      <c r="F326" s="772"/>
      <c r="G326" s="2200">
        <f t="shared" si="80"/>
        <v>0</v>
      </c>
      <c r="H326" s="2200">
        <f t="shared" si="77"/>
        <v>0</v>
      </c>
      <c r="I326" s="2201">
        <f t="shared" si="78"/>
        <v>0</v>
      </c>
      <c r="J326" s="29">
        <v>154129.01</v>
      </c>
    </row>
    <row r="327" spans="1:10" x14ac:dyDescent="0.2">
      <c r="A327" s="2328" t="s">
        <v>585</v>
      </c>
      <c r="B327" s="1018" t="s">
        <v>2723</v>
      </c>
      <c r="C327" s="767">
        <v>650000</v>
      </c>
      <c r="D327" s="767">
        <v>650000</v>
      </c>
      <c r="E327" s="990">
        <v>0</v>
      </c>
      <c r="F327" s="794"/>
      <c r="G327" s="2200">
        <f t="shared" si="80"/>
        <v>0</v>
      </c>
      <c r="H327" s="2200">
        <f t="shared" si="77"/>
        <v>0</v>
      </c>
      <c r="I327" s="2201">
        <v>0</v>
      </c>
      <c r="J327" s="29">
        <v>0</v>
      </c>
    </row>
    <row r="328" spans="1:10" x14ac:dyDescent="0.2">
      <c r="A328" s="2328" t="s">
        <v>2724</v>
      </c>
      <c r="B328" s="1018" t="s">
        <v>2725</v>
      </c>
      <c r="C328" s="767">
        <v>0</v>
      </c>
      <c r="D328" s="767">
        <v>40838</v>
      </c>
      <c r="E328" s="990">
        <v>0</v>
      </c>
      <c r="F328" s="794"/>
      <c r="G328" s="2200">
        <v>0</v>
      </c>
      <c r="H328" s="2200">
        <f t="shared" si="77"/>
        <v>0</v>
      </c>
      <c r="I328" s="2201">
        <v>0</v>
      </c>
      <c r="J328" s="29">
        <v>0</v>
      </c>
    </row>
    <row r="329" spans="1:10" x14ac:dyDescent="0.2">
      <c r="A329" s="2352" t="s">
        <v>1759</v>
      </c>
      <c r="B329" s="809" t="s">
        <v>2726</v>
      </c>
      <c r="C329" s="1077">
        <v>700000</v>
      </c>
      <c r="D329" s="1077">
        <v>700000</v>
      </c>
      <c r="E329" s="1077">
        <v>0</v>
      </c>
      <c r="F329" s="1077"/>
      <c r="G329" s="2200">
        <f t="shared" si="80"/>
        <v>0</v>
      </c>
      <c r="H329" s="2200">
        <f t="shared" si="77"/>
        <v>0</v>
      </c>
      <c r="I329" s="2201">
        <v>0</v>
      </c>
      <c r="J329" s="29">
        <v>0</v>
      </c>
    </row>
    <row r="330" spans="1:10" s="98" customFormat="1" x14ac:dyDescent="0.2">
      <c r="A330" s="2339" t="s">
        <v>591</v>
      </c>
      <c r="B330" s="1029" t="s">
        <v>2727</v>
      </c>
      <c r="C330" s="738">
        <v>1000000</v>
      </c>
      <c r="D330" s="738">
        <f>1000000-40838</f>
        <v>959162</v>
      </c>
      <c r="E330" s="1031">
        <v>0</v>
      </c>
      <c r="F330" s="1032"/>
      <c r="G330" s="2200">
        <f t="shared" si="80"/>
        <v>0</v>
      </c>
      <c r="H330" s="2200">
        <f t="shared" si="77"/>
        <v>0</v>
      </c>
      <c r="I330" s="2201">
        <v>0</v>
      </c>
      <c r="J330" s="29">
        <v>0</v>
      </c>
    </row>
    <row r="331" spans="1:10" s="98" customFormat="1" x14ac:dyDescent="0.2">
      <c r="A331" s="2221">
        <v>3632</v>
      </c>
      <c r="B331" s="717" t="s">
        <v>2293</v>
      </c>
      <c r="C331" s="726">
        <f>SUM(C332,C333)</f>
        <v>4015000</v>
      </c>
      <c r="D331" s="726">
        <f>SUM(D332:D333)</f>
        <v>4119517</v>
      </c>
      <c r="E331" s="726">
        <v>1675518.86</v>
      </c>
      <c r="F331" s="750">
        <f>SUM(E332:E333)</f>
        <v>1675518.86</v>
      </c>
      <c r="G331" s="1663">
        <f t="shared" si="80"/>
        <v>41.731478455790786</v>
      </c>
      <c r="H331" s="1663">
        <f t="shared" si="77"/>
        <v>40.672701678376377</v>
      </c>
      <c r="I331" s="1662">
        <f t="shared" si="78"/>
        <v>99.065223856505753</v>
      </c>
      <c r="J331" s="29">
        <v>1691329</v>
      </c>
    </row>
    <row r="332" spans="1:10" s="98" customFormat="1" x14ac:dyDescent="0.2">
      <c r="A332" s="2339" t="s">
        <v>383</v>
      </c>
      <c r="B332" s="737" t="s">
        <v>2728</v>
      </c>
      <c r="C332" s="1710">
        <f>50000+400000+245000+120000+3100000</f>
        <v>3915000</v>
      </c>
      <c r="D332" s="1710">
        <f>(50000+400000+245000+120000+3100000)+104517</f>
        <v>4019517</v>
      </c>
      <c r="E332" s="1710">
        <v>1654517.04</v>
      </c>
      <c r="F332" s="750"/>
      <c r="G332" s="2200">
        <f t="shared" si="80"/>
        <v>42.260971647509585</v>
      </c>
      <c r="H332" s="2200">
        <f t="shared" si="77"/>
        <v>41.162085892409465</v>
      </c>
      <c r="I332" s="2201">
        <f t="shared" si="78"/>
        <v>110.301136</v>
      </c>
      <c r="J332" s="29">
        <v>1500000</v>
      </c>
    </row>
    <row r="333" spans="1:10" s="98" customFormat="1" x14ac:dyDescent="0.2">
      <c r="A333" s="2339" t="s">
        <v>2729</v>
      </c>
      <c r="B333" s="737" t="s">
        <v>2730</v>
      </c>
      <c r="C333" s="738">
        <v>100000</v>
      </c>
      <c r="D333" s="738">
        <v>100000</v>
      </c>
      <c r="E333" s="1030">
        <v>21001.82</v>
      </c>
      <c r="F333" s="750"/>
      <c r="G333" s="2200">
        <f t="shared" si="80"/>
        <v>21.001819999999999</v>
      </c>
      <c r="H333" s="2200">
        <f t="shared" si="77"/>
        <v>21.001819999999999</v>
      </c>
      <c r="I333" s="2201">
        <v>0</v>
      </c>
      <c r="J333" s="29">
        <v>0</v>
      </c>
    </row>
    <row r="334" spans="1:10" s="98" customFormat="1" x14ac:dyDescent="0.2">
      <c r="A334" s="2221">
        <v>3639</v>
      </c>
      <c r="B334" s="717" t="s">
        <v>1418</v>
      </c>
      <c r="C334" s="726">
        <f t="shared" ref="C334:D334" si="81">SUM(C335:C335)</f>
        <v>5000</v>
      </c>
      <c r="D334" s="726">
        <f t="shared" si="81"/>
        <v>5000</v>
      </c>
      <c r="E334" s="726">
        <v>0</v>
      </c>
      <c r="F334" s="750"/>
      <c r="G334" s="1663">
        <f t="shared" si="80"/>
        <v>0</v>
      </c>
      <c r="H334" s="1663">
        <f t="shared" si="77"/>
        <v>0</v>
      </c>
      <c r="I334" s="1662">
        <v>0</v>
      </c>
      <c r="J334" s="29">
        <v>0</v>
      </c>
    </row>
    <row r="335" spans="1:10" s="98" customFormat="1" x14ac:dyDescent="0.2">
      <c r="A335" s="2353" t="s">
        <v>392</v>
      </c>
      <c r="B335" s="737" t="s">
        <v>2731</v>
      </c>
      <c r="C335" s="738">
        <v>5000</v>
      </c>
      <c r="D335" s="738">
        <v>5000</v>
      </c>
      <c r="E335" s="1030">
        <v>0</v>
      </c>
      <c r="F335" s="750"/>
      <c r="G335" s="2200">
        <f t="shared" si="80"/>
        <v>0</v>
      </c>
      <c r="H335" s="2200">
        <f t="shared" si="77"/>
        <v>0</v>
      </c>
      <c r="I335" s="2201">
        <v>0</v>
      </c>
      <c r="J335" s="29">
        <v>0</v>
      </c>
    </row>
    <row r="336" spans="1:10" s="98" customFormat="1" x14ac:dyDescent="0.2">
      <c r="A336" s="2221">
        <v>3699</v>
      </c>
      <c r="B336" s="717" t="s">
        <v>1421</v>
      </c>
      <c r="C336" s="726">
        <f t="shared" ref="C336:D336" si="82">SUM(C337:C338)</f>
        <v>450000</v>
      </c>
      <c r="D336" s="726">
        <f t="shared" si="82"/>
        <v>450000</v>
      </c>
      <c r="E336" s="726">
        <v>210232</v>
      </c>
      <c r="F336" s="750">
        <f>SUM(E337:E338)</f>
        <v>210232</v>
      </c>
      <c r="G336" s="1663">
        <f t="shared" si="80"/>
        <v>46.718222222222224</v>
      </c>
      <c r="H336" s="1663">
        <f t="shared" si="77"/>
        <v>46.718222222222224</v>
      </c>
      <c r="I336" s="1662">
        <f t="shared" si="78"/>
        <v>775.64935064935071</v>
      </c>
      <c r="J336" s="29">
        <v>27104</v>
      </c>
    </row>
    <row r="337" spans="1:10" s="98" customFormat="1" x14ac:dyDescent="0.2">
      <c r="A337" s="2354" t="s">
        <v>1422</v>
      </c>
      <c r="B337" s="1039" t="s">
        <v>2732</v>
      </c>
      <c r="C337" s="1271">
        <v>100000</v>
      </c>
      <c r="D337" s="1271">
        <v>100000</v>
      </c>
      <c r="E337" s="1041">
        <v>0</v>
      </c>
      <c r="F337" s="1042"/>
      <c r="G337" s="2200">
        <f t="shared" si="80"/>
        <v>0</v>
      </c>
      <c r="H337" s="2200">
        <f t="shared" si="77"/>
        <v>0</v>
      </c>
      <c r="I337" s="2201">
        <v>0</v>
      </c>
      <c r="J337" s="29">
        <v>0</v>
      </c>
    </row>
    <row r="338" spans="1:10" x14ac:dyDescent="0.2">
      <c r="A338" s="2355" t="s">
        <v>395</v>
      </c>
      <c r="B338" s="1044" t="s">
        <v>2733</v>
      </c>
      <c r="C338" s="1045">
        <v>350000</v>
      </c>
      <c r="D338" s="1045">
        <v>350000</v>
      </c>
      <c r="E338" s="1042">
        <v>210232</v>
      </c>
      <c r="F338" s="1045"/>
      <c r="G338" s="2200">
        <f t="shared" si="80"/>
        <v>60.066285714285719</v>
      </c>
      <c r="H338" s="2200">
        <f t="shared" si="77"/>
        <v>60.066285714285719</v>
      </c>
      <c r="I338" s="2201">
        <f t="shared" si="78"/>
        <v>775.64935064935071</v>
      </c>
      <c r="J338" s="29">
        <v>27104</v>
      </c>
    </row>
    <row r="339" spans="1:10" ht="12" customHeight="1" x14ac:dyDescent="0.2">
      <c r="A339" s="2333"/>
      <c r="B339" s="1039"/>
      <c r="C339" s="1040"/>
      <c r="D339" s="1040"/>
      <c r="E339" s="1040"/>
      <c r="F339" s="1040"/>
      <c r="G339" s="2356"/>
      <c r="H339" s="2356"/>
      <c r="I339" s="2357"/>
    </row>
    <row r="340" spans="1:10" ht="20.25" x14ac:dyDescent="0.3">
      <c r="A340" s="2358"/>
      <c r="B340" s="1051" t="s">
        <v>1031</v>
      </c>
      <c r="C340" s="1052">
        <f>C341+C354+C410+C434+C446+C456+C461+C473+C512+C529</f>
        <v>323192700</v>
      </c>
      <c r="D340" s="1052">
        <f>D341+D354+D410+D434+D446+D456+D461+D473+D512+D529</f>
        <v>329991200</v>
      </c>
      <c r="E340" s="1052">
        <v>37304207.189999998</v>
      </c>
      <c r="F340" s="2359">
        <f>SUM(E341,E354,E410,E434,E446,E456,E461,E473,E512,E529)</f>
        <v>37304207.189999998</v>
      </c>
      <c r="G340" s="949">
        <f t="shared" si="80"/>
        <v>11.542404017788767</v>
      </c>
      <c r="H340" s="949">
        <f t="shared" si="77"/>
        <v>11.304606665268649</v>
      </c>
      <c r="I340" s="949">
        <f t="shared" si="78"/>
        <v>150.01790975635089</v>
      </c>
      <c r="J340" s="29">
        <v>24866502.440000001</v>
      </c>
    </row>
    <row r="341" spans="1:10" s="98" customFormat="1" ht="15.75" x14ac:dyDescent="0.25">
      <c r="A341" s="2360"/>
      <c r="B341" s="1054" t="s">
        <v>398</v>
      </c>
      <c r="C341" s="1055">
        <f t="shared" ref="C341:D341" si="83">SUM(C342+C346)</f>
        <v>9902000</v>
      </c>
      <c r="D341" s="1055">
        <f t="shared" si="83"/>
        <v>9902000</v>
      </c>
      <c r="E341" s="1055">
        <v>554383.42000000004</v>
      </c>
      <c r="F341" s="2361">
        <f>SUM(E342,E346)</f>
        <v>554383.41999999993</v>
      </c>
      <c r="G341" s="2325">
        <f t="shared" si="80"/>
        <v>5.598701474449606</v>
      </c>
      <c r="H341" s="2325">
        <f t="shared" si="77"/>
        <v>5.598701474449606</v>
      </c>
      <c r="I341" s="2325">
        <v>0</v>
      </c>
      <c r="J341" s="29">
        <v>0</v>
      </c>
    </row>
    <row r="342" spans="1:10" s="98" customFormat="1" ht="13.5" customHeight="1" x14ac:dyDescent="0.2">
      <c r="A342" s="2362">
        <v>2310</v>
      </c>
      <c r="B342" s="2363" t="s">
        <v>1425</v>
      </c>
      <c r="C342" s="1138">
        <f t="shared" ref="C342:D342" si="84">SUM(C343:C345)</f>
        <v>4560000</v>
      </c>
      <c r="D342" s="1138">
        <f t="shared" si="84"/>
        <v>4560000</v>
      </c>
      <c r="E342" s="1138">
        <v>185130</v>
      </c>
      <c r="F342" s="2364">
        <f>SUM(E343:E345)</f>
        <v>185130</v>
      </c>
      <c r="G342" s="1663">
        <f t="shared" si="80"/>
        <v>4.0598684210526317</v>
      </c>
      <c r="H342" s="1663">
        <f t="shared" si="77"/>
        <v>4.0598684210526317</v>
      </c>
      <c r="I342" s="1662">
        <v>0</v>
      </c>
      <c r="J342" s="29">
        <v>0</v>
      </c>
    </row>
    <row r="343" spans="1:10" x14ac:dyDescent="0.2">
      <c r="A343" s="2352" t="s">
        <v>404</v>
      </c>
      <c r="B343" s="2365" t="s">
        <v>2734</v>
      </c>
      <c r="C343" s="1077">
        <v>5000</v>
      </c>
      <c r="D343" s="1077">
        <v>5000</v>
      </c>
      <c r="E343" s="2046">
        <v>0</v>
      </c>
      <c r="F343" s="1077"/>
      <c r="G343" s="2200">
        <f t="shared" si="80"/>
        <v>0</v>
      </c>
      <c r="H343" s="2200">
        <f t="shared" si="77"/>
        <v>0</v>
      </c>
      <c r="I343" s="2201">
        <v>0</v>
      </c>
      <c r="J343" s="29">
        <v>0</v>
      </c>
    </row>
    <row r="344" spans="1:10" x14ac:dyDescent="0.2">
      <c r="A344" s="2352" t="s">
        <v>1427</v>
      </c>
      <c r="B344" s="2365" t="s">
        <v>2049</v>
      </c>
      <c r="C344" s="1077">
        <v>5000</v>
      </c>
      <c r="D344" s="1077">
        <v>5000</v>
      </c>
      <c r="E344" s="2046">
        <v>0</v>
      </c>
      <c r="F344" s="1077"/>
      <c r="G344" s="2200">
        <f t="shared" si="80"/>
        <v>0</v>
      </c>
      <c r="H344" s="2200">
        <f t="shared" si="77"/>
        <v>0</v>
      </c>
      <c r="I344" s="2201">
        <v>0</v>
      </c>
      <c r="J344" s="29">
        <v>0</v>
      </c>
    </row>
    <row r="345" spans="1:10" x14ac:dyDescent="0.2">
      <c r="A345" s="2352" t="s">
        <v>2307</v>
      </c>
      <c r="B345" s="2365" t="s">
        <v>2735</v>
      </c>
      <c r="C345" s="1077">
        <v>4550000</v>
      </c>
      <c r="D345" s="1077">
        <v>4550000</v>
      </c>
      <c r="E345" s="2046">
        <v>185130</v>
      </c>
      <c r="F345" s="1077"/>
      <c r="G345" s="2200">
        <f t="shared" si="80"/>
        <v>4.0687912087912084</v>
      </c>
      <c r="H345" s="2200">
        <f t="shared" si="77"/>
        <v>4.0687912087912084</v>
      </c>
      <c r="I345" s="2201">
        <v>0</v>
      </c>
      <c r="J345" s="29">
        <v>0</v>
      </c>
    </row>
    <row r="346" spans="1:10" x14ac:dyDescent="0.2">
      <c r="A346" s="2296">
        <v>2321</v>
      </c>
      <c r="B346" s="2366" t="s">
        <v>1429</v>
      </c>
      <c r="C346" s="727">
        <f t="shared" ref="C346:D346" si="85">SUM(C347:C353)</f>
        <v>5342000</v>
      </c>
      <c r="D346" s="727">
        <f t="shared" si="85"/>
        <v>5342000</v>
      </c>
      <c r="E346" s="727">
        <v>369253.42</v>
      </c>
      <c r="F346" s="2341">
        <f>SUM(E347:E353)</f>
        <v>369253.42</v>
      </c>
      <c r="G346" s="1663">
        <f t="shared" si="80"/>
        <v>6.9122691875701987</v>
      </c>
      <c r="H346" s="1663">
        <f t="shared" si="77"/>
        <v>6.9122691875701987</v>
      </c>
      <c r="I346" s="1662">
        <v>0</v>
      </c>
      <c r="J346" s="29">
        <v>0</v>
      </c>
    </row>
    <row r="347" spans="1:10" x14ac:dyDescent="0.2">
      <c r="A347" s="2352" t="s">
        <v>1430</v>
      </c>
      <c r="B347" s="2365" t="s">
        <v>2736</v>
      </c>
      <c r="C347" s="1077">
        <v>5000</v>
      </c>
      <c r="D347" s="1077">
        <v>5000</v>
      </c>
      <c r="E347" s="2046">
        <v>0</v>
      </c>
      <c r="F347" s="1077"/>
      <c r="G347" s="2200">
        <f t="shared" si="80"/>
        <v>0</v>
      </c>
      <c r="H347" s="2200">
        <f t="shared" si="77"/>
        <v>0</v>
      </c>
      <c r="I347" s="2201">
        <v>0</v>
      </c>
      <c r="J347" s="29">
        <v>0</v>
      </c>
    </row>
    <row r="348" spans="1:10" x14ac:dyDescent="0.2">
      <c r="A348" s="2352" t="s">
        <v>1432</v>
      </c>
      <c r="B348" s="2365" t="s">
        <v>2051</v>
      </c>
      <c r="C348" s="2341">
        <v>750000</v>
      </c>
      <c r="D348" s="2341">
        <f>750000-300000-80000-20000</f>
        <v>350000</v>
      </c>
      <c r="E348" s="2367">
        <v>0</v>
      </c>
      <c r="F348" s="2341"/>
      <c r="G348" s="2200">
        <f t="shared" si="80"/>
        <v>0</v>
      </c>
      <c r="H348" s="2200">
        <f t="shared" si="77"/>
        <v>0</v>
      </c>
      <c r="I348" s="2201">
        <v>0</v>
      </c>
      <c r="J348" s="29">
        <v>0</v>
      </c>
    </row>
    <row r="349" spans="1:10" x14ac:dyDescent="0.2">
      <c r="A349" s="2352" t="s">
        <v>1434</v>
      </c>
      <c r="B349" s="2365" t="s">
        <v>2052</v>
      </c>
      <c r="C349" s="1077">
        <v>5000</v>
      </c>
      <c r="D349" s="1077">
        <v>5000</v>
      </c>
      <c r="E349" s="2046">
        <v>0</v>
      </c>
      <c r="F349" s="1077"/>
      <c r="G349" s="2200">
        <f t="shared" si="80"/>
        <v>0</v>
      </c>
      <c r="H349" s="2200">
        <f t="shared" si="77"/>
        <v>0</v>
      </c>
      <c r="I349" s="2201">
        <v>0</v>
      </c>
      <c r="J349" s="29">
        <v>0</v>
      </c>
    </row>
    <row r="350" spans="1:10" x14ac:dyDescent="0.2">
      <c r="A350" s="2352" t="s">
        <v>1436</v>
      </c>
      <c r="B350" s="2365" t="s">
        <v>2737</v>
      </c>
      <c r="C350" s="1077">
        <v>67000</v>
      </c>
      <c r="D350" s="1077">
        <f>67000+450000</f>
        <v>517000</v>
      </c>
      <c r="E350" s="2046">
        <v>0</v>
      </c>
      <c r="F350" s="1077"/>
      <c r="G350" s="2200">
        <f t="shared" si="80"/>
        <v>0</v>
      </c>
      <c r="H350" s="2200">
        <f t="shared" si="77"/>
        <v>0</v>
      </c>
      <c r="I350" s="2201">
        <v>0</v>
      </c>
      <c r="J350" s="29">
        <v>0</v>
      </c>
    </row>
    <row r="351" spans="1:10" x14ac:dyDescent="0.2">
      <c r="A351" s="2352" t="s">
        <v>413</v>
      </c>
      <c r="B351" s="2365" t="s">
        <v>2738</v>
      </c>
      <c r="C351" s="1077">
        <v>4200000</v>
      </c>
      <c r="D351" s="1077">
        <f>4200000-450000</f>
        <v>3750000</v>
      </c>
      <c r="E351" s="2046">
        <v>0</v>
      </c>
      <c r="F351" s="1077"/>
      <c r="G351" s="2200">
        <f t="shared" si="80"/>
        <v>0</v>
      </c>
      <c r="H351" s="2200">
        <f t="shared" si="77"/>
        <v>0</v>
      </c>
      <c r="I351" s="2201">
        <v>0</v>
      </c>
      <c r="J351" s="29">
        <v>0</v>
      </c>
    </row>
    <row r="352" spans="1:10" x14ac:dyDescent="0.2">
      <c r="A352" s="2352" t="s">
        <v>417</v>
      </c>
      <c r="B352" s="2365" t="s">
        <v>2739</v>
      </c>
      <c r="C352" s="1077">
        <v>0</v>
      </c>
      <c r="D352" s="1077">
        <f>300000-29900</f>
        <v>270100</v>
      </c>
      <c r="E352" s="2046">
        <v>270094.21999999997</v>
      </c>
      <c r="F352" s="1077"/>
      <c r="G352" s="2200">
        <v>0</v>
      </c>
      <c r="H352" s="2200">
        <f t="shared" si="77"/>
        <v>99.997860051832646</v>
      </c>
      <c r="I352" s="2201">
        <v>0</v>
      </c>
      <c r="J352" s="29">
        <v>0</v>
      </c>
    </row>
    <row r="353" spans="1:10" x14ac:dyDescent="0.2">
      <c r="A353" s="2368" t="s">
        <v>415</v>
      </c>
      <c r="B353" s="2369" t="s">
        <v>2740</v>
      </c>
      <c r="C353" s="1048">
        <v>315000</v>
      </c>
      <c r="D353" s="1048">
        <f>315000+80000+20000+29900</f>
        <v>444900</v>
      </c>
      <c r="E353" s="2370">
        <v>99159.2</v>
      </c>
      <c r="F353" s="1048"/>
      <c r="G353" s="2200">
        <f t="shared" si="80"/>
        <v>31.479111111111109</v>
      </c>
      <c r="H353" s="2200">
        <f t="shared" si="77"/>
        <v>22.287974825803548</v>
      </c>
      <c r="I353" s="2201">
        <v>0</v>
      </c>
      <c r="J353" s="29">
        <v>0</v>
      </c>
    </row>
    <row r="354" spans="1:10" ht="15.75" x14ac:dyDescent="0.25">
      <c r="A354" s="2371"/>
      <c r="B354" s="1062" t="s">
        <v>424</v>
      </c>
      <c r="C354" s="1055">
        <f>SUM(C355+C376+C407)</f>
        <v>53463000</v>
      </c>
      <c r="D354" s="1055">
        <f>SUM(D355+D376+D407)</f>
        <v>58791500</v>
      </c>
      <c r="E354" s="1055">
        <v>10306865.439999999</v>
      </c>
      <c r="F354" s="2361">
        <f>SUM(E355,E376,E407)</f>
        <v>10306865.440000001</v>
      </c>
      <c r="G354" s="2325">
        <f t="shared" si="80"/>
        <v>19.278501842395674</v>
      </c>
      <c r="H354" s="2325">
        <f t="shared" si="77"/>
        <v>17.531216995654134</v>
      </c>
      <c r="I354" s="2325">
        <f t="shared" si="78"/>
        <v>152.87658674178223</v>
      </c>
      <c r="J354" s="29">
        <v>6741951.5700000003</v>
      </c>
    </row>
    <row r="355" spans="1:10" x14ac:dyDescent="0.2">
      <c r="A355" s="2362">
        <v>2212</v>
      </c>
      <c r="B355" s="1137" t="s">
        <v>1440</v>
      </c>
      <c r="C355" s="1138">
        <f>SUM(C356:C375)</f>
        <v>35411000</v>
      </c>
      <c r="D355" s="1138">
        <f>SUM(D356:D375)</f>
        <v>38201000</v>
      </c>
      <c r="E355" s="1138">
        <v>5920977.75</v>
      </c>
      <c r="F355" s="2364">
        <f>SUM(E356:E375)</f>
        <v>5920977.75</v>
      </c>
      <c r="G355" s="1663">
        <f t="shared" si="80"/>
        <v>16.720730140351868</v>
      </c>
      <c r="H355" s="1663">
        <f t="shared" si="77"/>
        <v>15.499536006910814</v>
      </c>
      <c r="I355" s="1662">
        <f t="shared" si="78"/>
        <v>370.43607866517789</v>
      </c>
      <c r="J355" s="29">
        <v>1598380.42</v>
      </c>
    </row>
    <row r="356" spans="1:10" x14ac:dyDescent="0.2">
      <c r="A356" s="2352" t="s">
        <v>293</v>
      </c>
      <c r="B356" s="809" t="s">
        <v>2741</v>
      </c>
      <c r="C356" s="1077">
        <v>300000</v>
      </c>
      <c r="D356" s="1077">
        <v>300000</v>
      </c>
      <c r="E356" s="1077">
        <v>67000</v>
      </c>
      <c r="F356" s="1077"/>
      <c r="G356" s="2200">
        <f t="shared" si="80"/>
        <v>22.333333333333332</v>
      </c>
      <c r="H356" s="2200">
        <f t="shared" si="77"/>
        <v>22.333333333333332</v>
      </c>
      <c r="I356" s="2201">
        <v>0</v>
      </c>
      <c r="J356" s="29">
        <v>0</v>
      </c>
    </row>
    <row r="357" spans="1:10" x14ac:dyDescent="0.2">
      <c r="A357" s="2352" t="s">
        <v>291</v>
      </c>
      <c r="B357" s="809" t="s">
        <v>2742</v>
      </c>
      <c r="C357" s="1077">
        <v>4000000</v>
      </c>
      <c r="D357" s="1077">
        <f>4000000-210000</f>
        <v>3790000</v>
      </c>
      <c r="E357" s="1077">
        <v>0</v>
      </c>
      <c r="F357" s="1077"/>
      <c r="G357" s="2200">
        <f t="shared" si="80"/>
        <v>0</v>
      </c>
      <c r="H357" s="2200">
        <f t="shared" si="77"/>
        <v>0</v>
      </c>
      <c r="I357" s="2201">
        <v>0</v>
      </c>
      <c r="J357" s="29">
        <v>0</v>
      </c>
    </row>
    <row r="358" spans="1:10" x14ac:dyDescent="0.2">
      <c r="A358" s="2352" t="s">
        <v>1442</v>
      </c>
      <c r="B358" s="809" t="s">
        <v>2054</v>
      </c>
      <c r="C358" s="2341">
        <v>750000</v>
      </c>
      <c r="D358" s="2341">
        <v>750000</v>
      </c>
      <c r="E358" s="2341">
        <v>0</v>
      </c>
      <c r="F358" s="2341"/>
      <c r="G358" s="2200">
        <f t="shared" si="80"/>
        <v>0</v>
      </c>
      <c r="H358" s="2200">
        <f t="shared" si="77"/>
        <v>0</v>
      </c>
      <c r="I358" s="2201">
        <f t="shared" si="78"/>
        <v>0</v>
      </c>
      <c r="J358" s="29">
        <v>156543.29999999999</v>
      </c>
    </row>
    <row r="359" spans="1:10" s="98" customFormat="1" ht="13.5" customHeight="1" x14ac:dyDescent="0.2">
      <c r="A359" s="2352" t="s">
        <v>442</v>
      </c>
      <c r="B359" s="1112" t="s">
        <v>2743</v>
      </c>
      <c r="C359" s="1077">
        <v>10000</v>
      </c>
      <c r="D359" s="1077">
        <v>10000</v>
      </c>
      <c r="E359" s="1077">
        <v>0</v>
      </c>
      <c r="F359" s="1077"/>
      <c r="G359" s="2200">
        <f t="shared" si="80"/>
        <v>0</v>
      </c>
      <c r="H359" s="2200">
        <f t="shared" si="77"/>
        <v>0</v>
      </c>
      <c r="I359" s="2201">
        <v>0</v>
      </c>
      <c r="J359" s="29">
        <v>0</v>
      </c>
    </row>
    <row r="360" spans="1:10" s="98" customFormat="1" x14ac:dyDescent="0.2">
      <c r="A360" s="2352" t="s">
        <v>1450</v>
      </c>
      <c r="B360" s="809" t="s">
        <v>2744</v>
      </c>
      <c r="C360" s="1077">
        <v>10000</v>
      </c>
      <c r="D360" s="1077">
        <v>10000</v>
      </c>
      <c r="E360" s="1077">
        <v>0</v>
      </c>
      <c r="F360" s="1077"/>
      <c r="G360" s="2200">
        <f t="shared" si="80"/>
        <v>0</v>
      </c>
      <c r="H360" s="2200">
        <f t="shared" si="77"/>
        <v>0</v>
      </c>
      <c r="I360" s="2201">
        <f t="shared" si="78"/>
        <v>0</v>
      </c>
      <c r="J360" s="29">
        <v>125618</v>
      </c>
    </row>
    <row r="361" spans="1:10" s="98" customFormat="1" x14ac:dyDescent="0.2">
      <c r="A361" s="2352" t="s">
        <v>2316</v>
      </c>
      <c r="B361" s="809" t="s">
        <v>2055</v>
      </c>
      <c r="C361" s="2341">
        <v>500000</v>
      </c>
      <c r="D361" s="2341">
        <v>500000</v>
      </c>
      <c r="E361" s="2341">
        <v>0</v>
      </c>
      <c r="F361" s="2341"/>
      <c r="G361" s="2200">
        <f t="shared" si="80"/>
        <v>0</v>
      </c>
      <c r="H361" s="2200">
        <f t="shared" si="77"/>
        <v>0</v>
      </c>
      <c r="I361" s="2201">
        <v>0</v>
      </c>
      <c r="J361" s="29">
        <v>0</v>
      </c>
    </row>
    <row r="362" spans="1:10" x14ac:dyDescent="0.2">
      <c r="A362" s="2352" t="s">
        <v>1466</v>
      </c>
      <c r="B362" s="2372" t="s">
        <v>2745</v>
      </c>
      <c r="C362" s="2341">
        <v>300000</v>
      </c>
      <c r="D362" s="2341">
        <v>300000</v>
      </c>
      <c r="E362" s="2341">
        <v>0</v>
      </c>
      <c r="F362" s="2341"/>
      <c r="G362" s="2200">
        <f t="shared" si="80"/>
        <v>0</v>
      </c>
      <c r="H362" s="2200">
        <f t="shared" si="77"/>
        <v>0</v>
      </c>
      <c r="I362" s="2201">
        <v>0</v>
      </c>
      <c r="J362" s="1866">
        <v>0</v>
      </c>
    </row>
    <row r="363" spans="1:10" x14ac:dyDescent="0.2">
      <c r="A363" s="2352" t="s">
        <v>2326</v>
      </c>
      <c r="B363" s="809" t="s">
        <v>2086</v>
      </c>
      <c r="C363" s="2341">
        <v>200000</v>
      </c>
      <c r="D363" s="2341">
        <v>200000</v>
      </c>
      <c r="E363" s="2341">
        <v>0</v>
      </c>
      <c r="F363" s="2341"/>
      <c r="G363" s="2200">
        <f t="shared" si="80"/>
        <v>0</v>
      </c>
      <c r="H363" s="2200">
        <f t="shared" si="77"/>
        <v>0</v>
      </c>
      <c r="I363" s="2201">
        <v>0</v>
      </c>
      <c r="J363" s="29">
        <v>0</v>
      </c>
    </row>
    <row r="364" spans="1:10" x14ac:dyDescent="0.2">
      <c r="A364" s="2352" t="s">
        <v>2332</v>
      </c>
      <c r="B364" s="809" t="s">
        <v>2087</v>
      </c>
      <c r="C364" s="2341">
        <v>200000</v>
      </c>
      <c r="D364" s="2341">
        <v>200000</v>
      </c>
      <c r="E364" s="2341">
        <v>0</v>
      </c>
      <c r="F364" s="2341"/>
      <c r="G364" s="2200">
        <f t="shared" si="80"/>
        <v>0</v>
      </c>
      <c r="H364" s="2200">
        <f t="shared" ref="H364:H427" si="86">E364/D364*100</f>
        <v>0</v>
      </c>
      <c r="I364" s="2201">
        <v>0</v>
      </c>
      <c r="J364" s="29">
        <v>0</v>
      </c>
    </row>
    <row r="365" spans="1:10" x14ac:dyDescent="0.2">
      <c r="A365" s="2352" t="s">
        <v>2334</v>
      </c>
      <c r="B365" s="809" t="s">
        <v>2088</v>
      </c>
      <c r="C365" s="2341">
        <v>200000</v>
      </c>
      <c r="D365" s="2341">
        <v>200000</v>
      </c>
      <c r="E365" s="2341">
        <v>0</v>
      </c>
      <c r="F365" s="2341"/>
      <c r="G365" s="2200">
        <f t="shared" si="80"/>
        <v>0</v>
      </c>
      <c r="H365" s="2200">
        <f t="shared" si="86"/>
        <v>0</v>
      </c>
      <c r="I365" s="2201">
        <v>0</v>
      </c>
      <c r="J365" s="29">
        <v>0</v>
      </c>
    </row>
    <row r="366" spans="1:10" x14ac:dyDescent="0.2">
      <c r="A366" s="2352" t="s">
        <v>1458</v>
      </c>
      <c r="B366" s="809" t="s">
        <v>2746</v>
      </c>
      <c r="C366" s="1077">
        <v>91000</v>
      </c>
      <c r="D366" s="1077">
        <v>91000</v>
      </c>
      <c r="E366" s="1077">
        <v>0</v>
      </c>
      <c r="F366" s="1077"/>
      <c r="G366" s="2200">
        <f t="shared" si="80"/>
        <v>0</v>
      </c>
      <c r="H366" s="2200">
        <f t="shared" si="86"/>
        <v>0</v>
      </c>
      <c r="I366" s="2201">
        <f t="shared" ref="I366:I421" si="87">E366/J366*100</f>
        <v>0</v>
      </c>
      <c r="J366" s="29">
        <v>30250</v>
      </c>
    </row>
    <row r="367" spans="1:10" x14ac:dyDescent="0.2">
      <c r="A367" s="2352" t="s">
        <v>440</v>
      </c>
      <c r="B367" s="809" t="s">
        <v>2747</v>
      </c>
      <c r="C367" s="1077">
        <v>10000</v>
      </c>
      <c r="D367" s="1077">
        <v>10000</v>
      </c>
      <c r="E367" s="1077">
        <v>0</v>
      </c>
      <c r="F367" s="1077"/>
      <c r="G367" s="2200">
        <f t="shared" si="80"/>
        <v>0</v>
      </c>
      <c r="H367" s="2200">
        <f t="shared" si="86"/>
        <v>0</v>
      </c>
      <c r="I367" s="2201">
        <v>0</v>
      </c>
      <c r="J367" s="29">
        <v>0</v>
      </c>
    </row>
    <row r="368" spans="1:10" s="98" customFormat="1" x14ac:dyDescent="0.2">
      <c r="A368" s="2352" t="s">
        <v>1447</v>
      </c>
      <c r="B368" s="809" t="s">
        <v>2748</v>
      </c>
      <c r="C368" s="1077">
        <v>2400000</v>
      </c>
      <c r="D368" s="1077">
        <v>2400000</v>
      </c>
      <c r="E368" s="1077">
        <v>48400</v>
      </c>
      <c r="F368" s="1077"/>
      <c r="G368" s="2200">
        <f t="shared" si="80"/>
        <v>2.0166666666666666</v>
      </c>
      <c r="H368" s="2200">
        <f t="shared" si="86"/>
        <v>2.0166666666666666</v>
      </c>
      <c r="I368" s="2201">
        <v>0</v>
      </c>
      <c r="J368" s="29">
        <v>0</v>
      </c>
    </row>
    <row r="369" spans="1:10" s="98" customFormat="1" x14ac:dyDescent="0.2">
      <c r="A369" s="2352" t="s">
        <v>1452</v>
      </c>
      <c r="B369" s="809" t="s">
        <v>2749</v>
      </c>
      <c r="C369" s="1077">
        <v>6080000</v>
      </c>
      <c r="D369" s="1077">
        <f>6080000-80000-35000</f>
        <v>5965000</v>
      </c>
      <c r="E369" s="1077">
        <v>36000</v>
      </c>
      <c r="F369" s="1077"/>
      <c r="G369" s="2200">
        <f t="shared" si="80"/>
        <v>0.5921052631578948</v>
      </c>
      <c r="H369" s="2200">
        <f t="shared" si="86"/>
        <v>0.6035205364626991</v>
      </c>
      <c r="I369" s="2201">
        <v>0</v>
      </c>
      <c r="J369" s="29">
        <v>0</v>
      </c>
    </row>
    <row r="370" spans="1:10" s="98" customFormat="1" x14ac:dyDescent="0.2">
      <c r="A370" s="2352" t="s">
        <v>453</v>
      </c>
      <c r="B370" s="809" t="s">
        <v>2750</v>
      </c>
      <c r="C370" s="1077">
        <v>200000</v>
      </c>
      <c r="D370" s="1077">
        <v>200000</v>
      </c>
      <c r="E370" s="1077">
        <v>0</v>
      </c>
      <c r="F370" s="1077"/>
      <c r="G370" s="2200">
        <f t="shared" si="80"/>
        <v>0</v>
      </c>
      <c r="H370" s="2200">
        <f t="shared" si="86"/>
        <v>0</v>
      </c>
      <c r="I370" s="2201">
        <v>0</v>
      </c>
      <c r="J370" s="29">
        <v>0</v>
      </c>
    </row>
    <row r="371" spans="1:10" s="98" customFormat="1" x14ac:dyDescent="0.2">
      <c r="A371" s="2352" t="s">
        <v>1336</v>
      </c>
      <c r="B371" s="809" t="s">
        <v>2751</v>
      </c>
      <c r="C371" s="1077">
        <v>250000</v>
      </c>
      <c r="D371" s="1077">
        <f>250000+35000</f>
        <v>285000</v>
      </c>
      <c r="E371" s="1077">
        <v>181500</v>
      </c>
      <c r="F371" s="1077"/>
      <c r="G371" s="2200">
        <f t="shared" si="80"/>
        <v>72.599999999999994</v>
      </c>
      <c r="H371" s="2200">
        <f t="shared" si="86"/>
        <v>63.684210526315788</v>
      </c>
      <c r="I371" s="2201">
        <v>0</v>
      </c>
      <c r="J371" s="29">
        <v>0</v>
      </c>
    </row>
    <row r="372" spans="1:10" s="98" customFormat="1" x14ac:dyDescent="0.2">
      <c r="A372" s="2352" t="s">
        <v>449</v>
      </c>
      <c r="B372" s="809" t="s">
        <v>2752</v>
      </c>
      <c r="C372" s="1077">
        <v>18000000</v>
      </c>
      <c r="D372" s="1077">
        <f>18000000+3000000</f>
        <v>21000000</v>
      </c>
      <c r="E372" s="1077">
        <v>5588077.75</v>
      </c>
      <c r="F372" s="1077"/>
      <c r="G372" s="2200">
        <f t="shared" si="80"/>
        <v>31.044876388888888</v>
      </c>
      <c r="H372" s="2200">
        <f t="shared" si="86"/>
        <v>26.609894047619047</v>
      </c>
      <c r="I372" s="2201">
        <v>0</v>
      </c>
      <c r="J372" s="29">
        <v>0</v>
      </c>
    </row>
    <row r="373" spans="1:10" ht="14.25" customHeight="1" x14ac:dyDescent="0.2">
      <c r="A373" s="2352" t="s">
        <v>1462</v>
      </c>
      <c r="B373" s="809" t="s">
        <v>2753</v>
      </c>
      <c r="C373" s="1077">
        <v>10000</v>
      </c>
      <c r="D373" s="1077">
        <v>10000</v>
      </c>
      <c r="E373" s="1077">
        <v>0</v>
      </c>
      <c r="F373" s="1077"/>
      <c r="G373" s="2200">
        <f t="shared" si="80"/>
        <v>0</v>
      </c>
      <c r="H373" s="2200">
        <f t="shared" si="86"/>
        <v>0</v>
      </c>
      <c r="I373" s="2201">
        <f t="shared" si="87"/>
        <v>0</v>
      </c>
      <c r="J373" s="29">
        <v>179080</v>
      </c>
    </row>
    <row r="374" spans="1:10" x14ac:dyDescent="0.2">
      <c r="A374" s="2352" t="s">
        <v>2754</v>
      </c>
      <c r="B374" s="809" t="s">
        <v>2755</v>
      </c>
      <c r="C374" s="1077">
        <v>1800000</v>
      </c>
      <c r="D374" s="1077">
        <v>1800000</v>
      </c>
      <c r="E374" s="1077">
        <v>0</v>
      </c>
      <c r="F374" s="1077"/>
      <c r="G374" s="2200">
        <f t="shared" si="80"/>
        <v>0</v>
      </c>
      <c r="H374" s="2200">
        <f t="shared" si="86"/>
        <v>0</v>
      </c>
      <c r="I374" s="2201">
        <v>0</v>
      </c>
      <c r="J374" s="29">
        <v>0</v>
      </c>
    </row>
    <row r="375" spans="1:10" x14ac:dyDescent="0.2">
      <c r="A375" s="2352" t="s">
        <v>436</v>
      </c>
      <c r="B375" s="809" t="s">
        <v>2756</v>
      </c>
      <c r="C375" s="2341">
        <v>100000</v>
      </c>
      <c r="D375" s="2341">
        <f>100000+80000</f>
        <v>180000</v>
      </c>
      <c r="E375" s="2341">
        <v>0</v>
      </c>
      <c r="F375" s="2341"/>
      <c r="G375" s="2200">
        <f t="shared" si="80"/>
        <v>0</v>
      </c>
      <c r="H375" s="2200">
        <f t="shared" si="86"/>
        <v>0</v>
      </c>
      <c r="I375" s="2201">
        <v>0</v>
      </c>
      <c r="J375" s="29">
        <v>0</v>
      </c>
    </row>
    <row r="376" spans="1:10" x14ac:dyDescent="0.2">
      <c r="A376" s="2296">
        <v>2219</v>
      </c>
      <c r="B376" s="1240" t="s">
        <v>1470</v>
      </c>
      <c r="C376" s="727">
        <f>SUM(C377:C405)</f>
        <v>17652000</v>
      </c>
      <c r="D376" s="727">
        <f>SUM(D377:D405)</f>
        <v>20230500</v>
      </c>
      <c r="E376" s="727">
        <v>4177670.89</v>
      </c>
      <c r="F376" s="2341">
        <f>SUM(E377:E405)</f>
        <v>4177670.8899999997</v>
      </c>
      <c r="G376" s="1663">
        <f t="shared" si="80"/>
        <v>23.666841661001587</v>
      </c>
      <c r="H376" s="1663">
        <f t="shared" si="86"/>
        <v>20.650359061812608</v>
      </c>
      <c r="I376" s="1662">
        <f t="shared" si="87"/>
        <v>82.290243633470197</v>
      </c>
      <c r="J376" s="29">
        <v>5076751.1500000004</v>
      </c>
    </row>
    <row r="377" spans="1:10" x14ac:dyDescent="0.2">
      <c r="A377" s="2352" t="s">
        <v>299</v>
      </c>
      <c r="B377" s="809" t="s">
        <v>2757</v>
      </c>
      <c r="C377" s="1077">
        <v>200000</v>
      </c>
      <c r="D377" s="1077">
        <f>200000-90000</f>
        <v>110000</v>
      </c>
      <c r="E377" s="1077">
        <v>0</v>
      </c>
      <c r="F377" s="1077"/>
      <c r="G377" s="2200">
        <f t="shared" si="80"/>
        <v>0</v>
      </c>
      <c r="H377" s="2200">
        <f t="shared" si="86"/>
        <v>0</v>
      </c>
      <c r="I377" s="2201">
        <v>0</v>
      </c>
      <c r="J377" s="29">
        <v>0</v>
      </c>
    </row>
    <row r="378" spans="1:10" x14ac:dyDescent="0.2">
      <c r="A378" s="2352" t="s">
        <v>301</v>
      </c>
      <c r="B378" s="809" t="s">
        <v>2758</v>
      </c>
      <c r="C378" s="1077">
        <v>1500000</v>
      </c>
      <c r="D378" s="1077">
        <f>1500000-32000-104000-17000</f>
        <v>1347000</v>
      </c>
      <c r="E378" s="1077">
        <v>46063.6</v>
      </c>
      <c r="F378" s="1077"/>
      <c r="G378" s="2200">
        <f t="shared" ref="G378:G441" si="88">E378/C378*100</f>
        <v>3.0709066666666667</v>
      </c>
      <c r="H378" s="2200">
        <f t="shared" si="86"/>
        <v>3.4197178916109872</v>
      </c>
      <c r="I378" s="2201">
        <v>0</v>
      </c>
      <c r="J378" s="29">
        <v>0</v>
      </c>
    </row>
    <row r="379" spans="1:10" x14ac:dyDescent="0.2">
      <c r="A379" s="2352" t="s">
        <v>467</v>
      </c>
      <c r="B379" s="809" t="s">
        <v>2759</v>
      </c>
      <c r="C379" s="1077">
        <v>130000</v>
      </c>
      <c r="D379" s="1077">
        <f>130000+104000</f>
        <v>234000</v>
      </c>
      <c r="E379" s="1077">
        <v>0</v>
      </c>
      <c r="F379" s="1077"/>
      <c r="G379" s="2200">
        <f t="shared" si="88"/>
        <v>0</v>
      </c>
      <c r="H379" s="2200">
        <f t="shared" si="86"/>
        <v>0</v>
      </c>
      <c r="I379" s="2201">
        <f t="shared" si="87"/>
        <v>0</v>
      </c>
      <c r="J379" s="29">
        <v>2351432.83</v>
      </c>
    </row>
    <row r="380" spans="1:10" ht="25.5" x14ac:dyDescent="0.2">
      <c r="A380" s="2352" t="s">
        <v>471</v>
      </c>
      <c r="B380" s="2372" t="s">
        <v>2760</v>
      </c>
      <c r="C380" s="1077">
        <v>0</v>
      </c>
      <c r="D380" s="1077">
        <f>90000</f>
        <v>90000</v>
      </c>
      <c r="E380" s="1077">
        <v>88330</v>
      </c>
      <c r="F380" s="1077"/>
      <c r="G380" s="2200">
        <v>0</v>
      </c>
      <c r="H380" s="2200">
        <f t="shared" si="86"/>
        <v>98.144444444444446</v>
      </c>
      <c r="I380" s="2201">
        <f t="shared" si="87"/>
        <v>34.761904761904759</v>
      </c>
      <c r="J380" s="1866">
        <v>254100</v>
      </c>
    </row>
    <row r="381" spans="1:10" x14ac:dyDescent="0.2">
      <c r="A381" s="2352" t="s">
        <v>1473</v>
      </c>
      <c r="B381" s="1112" t="s">
        <v>2761</v>
      </c>
      <c r="C381" s="1077">
        <v>102000</v>
      </c>
      <c r="D381" s="1077">
        <v>102000</v>
      </c>
      <c r="E381" s="1077">
        <v>0</v>
      </c>
      <c r="F381" s="1077"/>
      <c r="G381" s="2200">
        <f t="shared" si="88"/>
        <v>0</v>
      </c>
      <c r="H381" s="2200">
        <f t="shared" si="86"/>
        <v>0</v>
      </c>
      <c r="I381" s="2201">
        <f t="shared" si="87"/>
        <v>0</v>
      </c>
      <c r="J381" s="29">
        <v>993655.76</v>
      </c>
    </row>
    <row r="382" spans="1:10" x14ac:dyDescent="0.2">
      <c r="A382" s="2352" t="s">
        <v>2762</v>
      </c>
      <c r="B382" s="1112" t="s">
        <v>2763</v>
      </c>
      <c r="C382" s="1077">
        <v>150000</v>
      </c>
      <c r="D382" s="1077">
        <v>150000</v>
      </c>
      <c r="E382" s="1077">
        <v>0</v>
      </c>
      <c r="F382" s="1077"/>
      <c r="G382" s="2200">
        <f t="shared" si="88"/>
        <v>0</v>
      </c>
      <c r="H382" s="2200">
        <f t="shared" si="86"/>
        <v>0</v>
      </c>
      <c r="I382" s="2201">
        <v>0</v>
      </c>
      <c r="J382" s="29">
        <v>0</v>
      </c>
    </row>
    <row r="383" spans="1:10" x14ac:dyDescent="0.2">
      <c r="A383" s="2352" t="s">
        <v>473</v>
      </c>
      <c r="B383" s="1112" t="s">
        <v>2764</v>
      </c>
      <c r="C383" s="1077">
        <v>10000</v>
      </c>
      <c r="D383" s="1077">
        <f>10000+17000</f>
        <v>27000</v>
      </c>
      <c r="E383" s="1077">
        <v>26150</v>
      </c>
      <c r="F383" s="1077"/>
      <c r="G383" s="2200">
        <f t="shared" si="88"/>
        <v>261.5</v>
      </c>
      <c r="H383" s="2200">
        <f t="shared" si="86"/>
        <v>96.851851851851862</v>
      </c>
      <c r="I383" s="2201">
        <v>0</v>
      </c>
      <c r="J383" s="29">
        <v>0</v>
      </c>
    </row>
    <row r="384" spans="1:10" x14ac:dyDescent="0.2">
      <c r="A384" s="2352" t="s">
        <v>1505</v>
      </c>
      <c r="B384" s="1112" t="s">
        <v>2765</v>
      </c>
      <c r="C384" s="1077">
        <v>64000</v>
      </c>
      <c r="D384" s="1077">
        <v>64000</v>
      </c>
      <c r="E384" s="1077">
        <v>8000</v>
      </c>
      <c r="F384" s="1077"/>
      <c r="G384" s="2200">
        <f t="shared" si="88"/>
        <v>12.5</v>
      </c>
      <c r="H384" s="2200">
        <f t="shared" si="86"/>
        <v>12.5</v>
      </c>
      <c r="I384" s="2201">
        <f t="shared" si="87"/>
        <v>19.047619047619047</v>
      </c>
      <c r="J384" s="29">
        <v>42000</v>
      </c>
    </row>
    <row r="385" spans="1:10" x14ac:dyDescent="0.2">
      <c r="A385" s="2352" t="s">
        <v>1507</v>
      </c>
      <c r="B385" s="1112" t="s">
        <v>2766</v>
      </c>
      <c r="C385" s="1077">
        <v>57000</v>
      </c>
      <c r="D385" s="1077">
        <v>57000</v>
      </c>
      <c r="E385" s="1077">
        <v>0</v>
      </c>
      <c r="F385" s="1077"/>
      <c r="G385" s="2200">
        <f t="shared" si="88"/>
        <v>0</v>
      </c>
      <c r="H385" s="2200">
        <f t="shared" si="86"/>
        <v>0</v>
      </c>
      <c r="I385" s="2201">
        <f t="shared" si="87"/>
        <v>0</v>
      </c>
      <c r="J385" s="29">
        <v>22000</v>
      </c>
    </row>
    <row r="386" spans="1:10" x14ac:dyDescent="0.2">
      <c r="A386" s="2352" t="s">
        <v>1497</v>
      </c>
      <c r="B386" s="1112" t="s">
        <v>2767</v>
      </c>
      <c r="C386" s="1077">
        <v>5000</v>
      </c>
      <c r="D386" s="1077">
        <v>5000</v>
      </c>
      <c r="E386" s="1077">
        <v>0</v>
      </c>
      <c r="F386" s="1077"/>
      <c r="G386" s="2200">
        <f t="shared" si="88"/>
        <v>0</v>
      </c>
      <c r="H386" s="2200">
        <f t="shared" si="86"/>
        <v>0</v>
      </c>
      <c r="I386" s="2201">
        <f t="shared" si="87"/>
        <v>0</v>
      </c>
      <c r="J386" s="29">
        <v>71390</v>
      </c>
    </row>
    <row r="387" spans="1:10" x14ac:dyDescent="0.2">
      <c r="A387" s="2352" t="s">
        <v>1501</v>
      </c>
      <c r="B387" s="1112" t="s">
        <v>2768</v>
      </c>
      <c r="C387" s="1077">
        <v>370000</v>
      </c>
      <c r="D387" s="1077">
        <f>370000-32000-21000</f>
        <v>317000</v>
      </c>
      <c r="E387" s="1077">
        <v>0</v>
      </c>
      <c r="F387" s="1077"/>
      <c r="G387" s="2200">
        <f t="shared" si="88"/>
        <v>0</v>
      </c>
      <c r="H387" s="2200">
        <f t="shared" si="86"/>
        <v>0</v>
      </c>
      <c r="I387" s="2201">
        <v>0</v>
      </c>
      <c r="J387" s="29">
        <v>0</v>
      </c>
    </row>
    <row r="388" spans="1:10" x14ac:dyDescent="0.2">
      <c r="A388" s="2352" t="s">
        <v>1503</v>
      </c>
      <c r="B388" s="1112" t="s">
        <v>2769</v>
      </c>
      <c r="C388" s="1077">
        <v>5000</v>
      </c>
      <c r="D388" s="1077">
        <v>5000</v>
      </c>
      <c r="E388" s="1077">
        <v>0</v>
      </c>
      <c r="F388" s="1077"/>
      <c r="G388" s="2200">
        <f t="shared" si="88"/>
        <v>0</v>
      </c>
      <c r="H388" s="2200">
        <f t="shared" si="86"/>
        <v>0</v>
      </c>
      <c r="I388" s="2201">
        <f t="shared" si="87"/>
        <v>0</v>
      </c>
      <c r="J388" s="29">
        <v>191180</v>
      </c>
    </row>
    <row r="389" spans="1:10" x14ac:dyDescent="0.2">
      <c r="A389" s="2352" t="s">
        <v>1480</v>
      </c>
      <c r="B389" s="1112" t="s">
        <v>2770</v>
      </c>
      <c r="C389" s="1077">
        <v>10000</v>
      </c>
      <c r="D389" s="1077">
        <f>10000+32000+21000</f>
        <v>63000</v>
      </c>
      <c r="E389" s="1077">
        <v>20812</v>
      </c>
      <c r="F389" s="1077"/>
      <c r="G389" s="2200">
        <f t="shared" si="88"/>
        <v>208.12</v>
      </c>
      <c r="H389" s="2200">
        <f t="shared" si="86"/>
        <v>33.034920634920631</v>
      </c>
      <c r="I389" s="2201">
        <f t="shared" si="87"/>
        <v>231.24444444444444</v>
      </c>
      <c r="J389" s="29">
        <v>9000</v>
      </c>
    </row>
    <row r="390" spans="1:10" x14ac:dyDescent="0.2">
      <c r="A390" s="2352" t="s">
        <v>1478</v>
      </c>
      <c r="B390" s="1112" t="s">
        <v>2771</v>
      </c>
      <c r="C390" s="1077">
        <v>0</v>
      </c>
      <c r="D390" s="1077">
        <f>685000</f>
        <v>685000</v>
      </c>
      <c r="E390" s="1077">
        <v>684885.57</v>
      </c>
      <c r="F390" s="1077"/>
      <c r="G390" s="2200">
        <v>0</v>
      </c>
      <c r="H390" s="2200">
        <f t="shared" si="86"/>
        <v>99.983294890510948</v>
      </c>
      <c r="I390" s="2201">
        <f t="shared" si="87"/>
        <v>9433.685537190082</v>
      </c>
      <c r="J390" s="29">
        <v>7260</v>
      </c>
    </row>
    <row r="391" spans="1:10" x14ac:dyDescent="0.2">
      <c r="A391" s="2352" t="s">
        <v>1491</v>
      </c>
      <c r="B391" s="1112" t="s">
        <v>2772</v>
      </c>
      <c r="C391" s="1077">
        <v>0</v>
      </c>
      <c r="D391" s="1077">
        <f>472200+32000</f>
        <v>504200</v>
      </c>
      <c r="E391" s="1077">
        <v>504068.29</v>
      </c>
      <c r="F391" s="1077"/>
      <c r="G391" s="2200">
        <v>0</v>
      </c>
      <c r="H391" s="2200">
        <f t="shared" si="86"/>
        <v>99.973877429591425</v>
      </c>
      <c r="I391" s="2201">
        <f t="shared" si="87"/>
        <v>1388.6178787878787</v>
      </c>
      <c r="J391" s="29">
        <v>36300</v>
      </c>
    </row>
    <row r="392" spans="1:10" x14ac:dyDescent="0.2">
      <c r="A392" s="2352" t="s">
        <v>1495</v>
      </c>
      <c r="B392" s="1112" t="s">
        <v>2773</v>
      </c>
      <c r="C392" s="1077">
        <v>20000</v>
      </c>
      <c r="D392" s="1077">
        <v>20000</v>
      </c>
      <c r="E392" s="1077">
        <v>0</v>
      </c>
      <c r="F392" s="1077"/>
      <c r="G392" s="2200">
        <f t="shared" si="88"/>
        <v>0</v>
      </c>
      <c r="H392" s="2200">
        <f t="shared" si="86"/>
        <v>0</v>
      </c>
      <c r="I392" s="2201">
        <v>0</v>
      </c>
      <c r="J392" s="29">
        <v>0</v>
      </c>
    </row>
    <row r="393" spans="1:10" x14ac:dyDescent="0.2">
      <c r="A393" s="2352" t="s">
        <v>1527</v>
      </c>
      <c r="B393" s="1112" t="s">
        <v>2774</v>
      </c>
      <c r="C393" s="1077">
        <v>0</v>
      </c>
      <c r="D393" s="1077">
        <f>2021300</f>
        <v>2021300</v>
      </c>
      <c r="E393" s="1077">
        <v>2021299.43</v>
      </c>
      <c r="F393" s="1077"/>
      <c r="G393" s="2200">
        <v>0</v>
      </c>
      <c r="H393" s="2200">
        <f t="shared" si="86"/>
        <v>99.99997180032652</v>
      </c>
      <c r="I393" s="2201">
        <f t="shared" si="87"/>
        <v>3082.0948278491051</v>
      </c>
      <c r="J393" s="29">
        <v>65582</v>
      </c>
    </row>
    <row r="394" spans="1:10" x14ac:dyDescent="0.2">
      <c r="A394" s="2352" t="s">
        <v>503</v>
      </c>
      <c r="B394" s="1112" t="s">
        <v>2775</v>
      </c>
      <c r="C394" s="1077">
        <v>5000</v>
      </c>
      <c r="D394" s="1077">
        <v>5000</v>
      </c>
      <c r="E394" s="1077">
        <v>0</v>
      </c>
      <c r="F394" s="1077"/>
      <c r="G394" s="2200">
        <f t="shared" si="88"/>
        <v>0</v>
      </c>
      <c r="H394" s="2200">
        <f t="shared" si="86"/>
        <v>0</v>
      </c>
      <c r="I394" s="2201">
        <v>0</v>
      </c>
      <c r="J394" s="29">
        <v>0</v>
      </c>
    </row>
    <row r="395" spans="1:10" x14ac:dyDescent="0.2">
      <c r="A395" s="2352" t="s">
        <v>1513</v>
      </c>
      <c r="B395" s="1112" t="s">
        <v>2776</v>
      </c>
      <c r="C395" s="1077">
        <v>9300000</v>
      </c>
      <c r="D395" s="1077">
        <f>9300000-1000000</f>
        <v>8300000</v>
      </c>
      <c r="E395" s="1077">
        <v>295875.45</v>
      </c>
      <c r="F395" s="1077"/>
      <c r="G395" s="2200">
        <f t="shared" si="88"/>
        <v>3.1814564516129034</v>
      </c>
      <c r="H395" s="2200">
        <f t="shared" si="86"/>
        <v>3.5647644578313256</v>
      </c>
      <c r="I395" s="2201">
        <v>0</v>
      </c>
      <c r="J395" s="29">
        <v>0</v>
      </c>
    </row>
    <row r="396" spans="1:10" x14ac:dyDescent="0.2">
      <c r="A396" s="2352" t="s">
        <v>1515</v>
      </c>
      <c r="B396" s="1112" t="s">
        <v>2777</v>
      </c>
      <c r="C396" s="1077">
        <v>350000</v>
      </c>
      <c r="D396" s="1077">
        <f>350000+437000</f>
        <v>787000</v>
      </c>
      <c r="E396" s="1077">
        <v>0</v>
      </c>
      <c r="F396" s="1077"/>
      <c r="G396" s="2200">
        <f t="shared" si="88"/>
        <v>0</v>
      </c>
      <c r="H396" s="2200">
        <f t="shared" si="86"/>
        <v>0</v>
      </c>
      <c r="I396" s="2201">
        <f t="shared" si="87"/>
        <v>0</v>
      </c>
      <c r="J396" s="29">
        <v>496000</v>
      </c>
    </row>
    <row r="397" spans="1:10" x14ac:dyDescent="0.2">
      <c r="A397" s="2352" t="s">
        <v>1517</v>
      </c>
      <c r="B397" s="1112" t="s">
        <v>2778</v>
      </c>
      <c r="C397" s="1077">
        <v>10000</v>
      </c>
      <c r="D397" s="1077">
        <v>10000</v>
      </c>
      <c r="E397" s="1077">
        <v>0</v>
      </c>
      <c r="F397" s="1077"/>
      <c r="G397" s="2200">
        <f t="shared" si="88"/>
        <v>0</v>
      </c>
      <c r="H397" s="2200">
        <f t="shared" si="86"/>
        <v>0</v>
      </c>
      <c r="I397" s="2201">
        <v>0</v>
      </c>
      <c r="J397" s="29">
        <v>0</v>
      </c>
    </row>
    <row r="398" spans="1:10" x14ac:dyDescent="0.2">
      <c r="A398" s="2352" t="s">
        <v>1519</v>
      </c>
      <c r="B398" s="1112" t="s">
        <v>2779</v>
      </c>
      <c r="C398" s="1077">
        <v>79000</v>
      </c>
      <c r="D398" s="1077">
        <v>79000</v>
      </c>
      <c r="E398" s="1077">
        <v>0</v>
      </c>
      <c r="F398" s="1077"/>
      <c r="G398" s="2200">
        <f t="shared" si="88"/>
        <v>0</v>
      </c>
      <c r="H398" s="2200">
        <f t="shared" si="86"/>
        <v>0</v>
      </c>
      <c r="I398" s="2201">
        <v>0</v>
      </c>
      <c r="J398" s="29">
        <v>0</v>
      </c>
    </row>
    <row r="399" spans="1:10" x14ac:dyDescent="0.2">
      <c r="A399" s="2352" t="s">
        <v>1521</v>
      </c>
      <c r="B399" s="1112" t="s">
        <v>2780</v>
      </c>
      <c r="C399" s="1077">
        <v>1000</v>
      </c>
      <c r="D399" s="1077">
        <v>1000</v>
      </c>
      <c r="E399" s="1077">
        <v>0</v>
      </c>
      <c r="F399" s="1077"/>
      <c r="G399" s="2200">
        <f t="shared" si="88"/>
        <v>0</v>
      </c>
      <c r="H399" s="2200">
        <f t="shared" si="86"/>
        <v>0</v>
      </c>
      <c r="I399" s="2201">
        <v>0</v>
      </c>
      <c r="J399" s="29">
        <v>0</v>
      </c>
    </row>
    <row r="400" spans="1:10" x14ac:dyDescent="0.2">
      <c r="A400" s="2352" t="s">
        <v>1531</v>
      </c>
      <c r="B400" s="1112" t="s">
        <v>2781</v>
      </c>
      <c r="C400" s="1077">
        <v>50000</v>
      </c>
      <c r="D400" s="1077">
        <v>50000</v>
      </c>
      <c r="E400" s="1077">
        <v>0</v>
      </c>
      <c r="F400" s="1077"/>
      <c r="G400" s="2200">
        <f t="shared" si="88"/>
        <v>0</v>
      </c>
      <c r="H400" s="2200">
        <f t="shared" si="86"/>
        <v>0</v>
      </c>
      <c r="I400" s="2201">
        <f t="shared" si="87"/>
        <v>0</v>
      </c>
      <c r="J400" s="29">
        <v>14520</v>
      </c>
    </row>
    <row r="401" spans="1:10" x14ac:dyDescent="0.2">
      <c r="A401" s="2352" t="s">
        <v>1523</v>
      </c>
      <c r="B401" s="1112" t="s">
        <v>2782</v>
      </c>
      <c r="C401" s="1077">
        <v>3600000</v>
      </c>
      <c r="D401" s="1077">
        <f>3600000+400000</f>
        <v>4000000</v>
      </c>
      <c r="E401" s="1077">
        <v>240186.55</v>
      </c>
      <c r="F401" s="1077"/>
      <c r="G401" s="2200">
        <f t="shared" si="88"/>
        <v>6.6718486111111117</v>
      </c>
      <c r="H401" s="2200">
        <f t="shared" si="86"/>
        <v>6.0046637499999997</v>
      </c>
      <c r="I401" s="2201">
        <f t="shared" si="87"/>
        <v>61.265827466585044</v>
      </c>
      <c r="J401" s="29">
        <v>392040</v>
      </c>
    </row>
    <row r="402" spans="1:10" x14ac:dyDescent="0.2">
      <c r="A402" s="2352" t="s">
        <v>2356</v>
      </c>
      <c r="B402" s="809" t="s">
        <v>2783</v>
      </c>
      <c r="C402" s="2341">
        <v>740000</v>
      </c>
      <c r="D402" s="2341">
        <v>740000</v>
      </c>
      <c r="E402" s="2341">
        <v>242000</v>
      </c>
      <c r="F402" s="2341"/>
      <c r="G402" s="2200">
        <f t="shared" si="88"/>
        <v>32.702702702702702</v>
      </c>
      <c r="H402" s="2200">
        <f t="shared" si="86"/>
        <v>32.702702702702702</v>
      </c>
      <c r="I402" s="2201">
        <v>0</v>
      </c>
      <c r="J402" s="29">
        <v>0</v>
      </c>
    </row>
    <row r="403" spans="1:10" x14ac:dyDescent="0.2">
      <c r="A403" s="2352" t="s">
        <v>2784</v>
      </c>
      <c r="B403" s="1112" t="s">
        <v>2785</v>
      </c>
      <c r="C403" s="1077">
        <v>441000</v>
      </c>
      <c r="D403" s="1077">
        <f>441000-437000</f>
        <v>4000</v>
      </c>
      <c r="E403" s="1077">
        <v>0</v>
      </c>
      <c r="F403" s="1077"/>
      <c r="G403" s="2200">
        <f t="shared" si="88"/>
        <v>0</v>
      </c>
      <c r="H403" s="2200">
        <f t="shared" si="86"/>
        <v>0</v>
      </c>
      <c r="I403" s="2201">
        <v>0</v>
      </c>
      <c r="J403" s="29">
        <v>0</v>
      </c>
    </row>
    <row r="404" spans="1:10" x14ac:dyDescent="0.2">
      <c r="A404" s="2352" t="s">
        <v>2786</v>
      </c>
      <c r="B404" s="1112" t="s">
        <v>2787</v>
      </c>
      <c r="C404" s="1077">
        <v>303000</v>
      </c>
      <c r="D404" s="1077">
        <v>303000</v>
      </c>
      <c r="E404" s="1077">
        <v>0</v>
      </c>
      <c r="F404" s="1077"/>
      <c r="G404" s="2200">
        <f t="shared" si="88"/>
        <v>0</v>
      </c>
      <c r="H404" s="2200">
        <f t="shared" si="86"/>
        <v>0</v>
      </c>
      <c r="I404" s="2201">
        <v>0</v>
      </c>
      <c r="J404" s="29">
        <v>0</v>
      </c>
    </row>
    <row r="405" spans="1:10" x14ac:dyDescent="0.2">
      <c r="A405" s="2352" t="s">
        <v>2788</v>
      </c>
      <c r="B405" s="809" t="s">
        <v>2089</v>
      </c>
      <c r="C405" s="2341">
        <v>150000</v>
      </c>
      <c r="D405" s="2341">
        <v>150000</v>
      </c>
      <c r="E405" s="2341">
        <v>0</v>
      </c>
      <c r="F405" s="2341"/>
      <c r="G405" s="2200">
        <f t="shared" si="88"/>
        <v>0</v>
      </c>
      <c r="H405" s="2200">
        <f t="shared" si="86"/>
        <v>0</v>
      </c>
      <c r="I405" s="2201">
        <v>0</v>
      </c>
      <c r="J405" s="29">
        <v>0</v>
      </c>
    </row>
    <row r="406" spans="1:10" x14ac:dyDescent="0.2">
      <c r="A406" s="2352" t="s">
        <v>1499</v>
      </c>
      <c r="B406" s="1112" t="s">
        <v>2789</v>
      </c>
      <c r="C406" s="1077">
        <v>327000</v>
      </c>
      <c r="D406" s="1077">
        <v>327000</v>
      </c>
      <c r="E406" s="1077">
        <v>0</v>
      </c>
      <c r="F406" s="1077"/>
      <c r="G406" s="2200">
        <f t="shared" si="88"/>
        <v>0</v>
      </c>
      <c r="H406" s="2200">
        <f t="shared" si="86"/>
        <v>0</v>
      </c>
      <c r="I406" s="2201">
        <v>0</v>
      </c>
      <c r="J406" s="29">
        <v>0</v>
      </c>
    </row>
    <row r="407" spans="1:10" x14ac:dyDescent="0.2">
      <c r="A407" s="2296">
        <v>2221</v>
      </c>
      <c r="B407" s="1240" t="s">
        <v>1534</v>
      </c>
      <c r="C407" s="727">
        <f>SUM(C408:C409)</f>
        <v>400000</v>
      </c>
      <c r="D407" s="727">
        <f>SUM(D408:D409)</f>
        <v>360000</v>
      </c>
      <c r="E407" s="727">
        <v>208216.8</v>
      </c>
      <c r="F407" s="2341">
        <f>SUM(E408:E409)</f>
        <v>208216.8</v>
      </c>
      <c r="G407" s="1663">
        <f t="shared" si="88"/>
        <v>52.054199999999994</v>
      </c>
      <c r="H407" s="1663">
        <f t="shared" si="86"/>
        <v>57.838000000000001</v>
      </c>
      <c r="I407" s="1662">
        <f t="shared" si="87"/>
        <v>311.60850044896733</v>
      </c>
      <c r="J407" s="29">
        <v>66820</v>
      </c>
    </row>
    <row r="408" spans="1:10" x14ac:dyDescent="0.2">
      <c r="A408" s="2352" t="s">
        <v>1538</v>
      </c>
      <c r="B408" s="1112" t="s">
        <v>2790</v>
      </c>
      <c r="C408" s="1077">
        <v>150000</v>
      </c>
      <c r="D408" s="1077">
        <f>150000+210000</f>
        <v>360000</v>
      </c>
      <c r="E408" s="1077">
        <v>208216.8</v>
      </c>
      <c r="F408" s="1077"/>
      <c r="G408" s="2200">
        <f t="shared" si="88"/>
        <v>138.81120000000001</v>
      </c>
      <c r="H408" s="2200">
        <f t="shared" si="86"/>
        <v>57.838000000000001</v>
      </c>
      <c r="I408" s="2201">
        <v>0</v>
      </c>
      <c r="J408" s="29">
        <v>0</v>
      </c>
    </row>
    <row r="409" spans="1:10" x14ac:dyDescent="0.2">
      <c r="A409" s="2346" t="s">
        <v>2688</v>
      </c>
      <c r="B409" s="1078" t="s">
        <v>2791</v>
      </c>
      <c r="C409" s="1048">
        <v>250000</v>
      </c>
      <c r="D409" s="1048">
        <f>250000-250000</f>
        <v>0</v>
      </c>
      <c r="E409" s="1048">
        <v>0</v>
      </c>
      <c r="F409" s="1048"/>
      <c r="G409" s="2200">
        <f t="shared" si="88"/>
        <v>0</v>
      </c>
      <c r="H409" s="2200">
        <v>0</v>
      </c>
      <c r="I409" s="2201">
        <v>0</v>
      </c>
      <c r="J409" s="29">
        <v>0</v>
      </c>
    </row>
    <row r="410" spans="1:10" ht="15.75" x14ac:dyDescent="0.25">
      <c r="A410" s="2373"/>
      <c r="B410" s="1195" t="s">
        <v>1540</v>
      </c>
      <c r="C410" s="1916">
        <f>SUM(C411,C421,C432)</f>
        <v>48595000</v>
      </c>
      <c r="D410" s="1916">
        <f>SUM(D411,D421,D432)</f>
        <v>61698000</v>
      </c>
      <c r="E410" s="1916">
        <v>1940355.46</v>
      </c>
      <c r="F410" s="2374">
        <f>SUM(E411,E421,E432)</f>
        <v>1940355.46</v>
      </c>
      <c r="G410" s="2325">
        <f t="shared" si="88"/>
        <v>3.9929117398909351</v>
      </c>
      <c r="H410" s="2325">
        <f t="shared" si="86"/>
        <v>3.1449244059775032</v>
      </c>
      <c r="I410" s="2325">
        <f t="shared" si="87"/>
        <v>188.16482965775424</v>
      </c>
      <c r="J410" s="29">
        <v>1031199.86</v>
      </c>
    </row>
    <row r="411" spans="1:10" x14ac:dyDescent="0.2">
      <c r="A411" s="2375">
        <v>3111</v>
      </c>
      <c r="B411" s="1953" t="s">
        <v>1541</v>
      </c>
      <c r="C411" s="1138">
        <f>SUM(C412:C420)</f>
        <v>3730000</v>
      </c>
      <c r="D411" s="1138">
        <f>SUM(D412:D420)</f>
        <v>3730000</v>
      </c>
      <c r="E411" s="1138">
        <v>16577</v>
      </c>
      <c r="F411" s="2364">
        <f>SUM(E412:E420)</f>
        <v>16577</v>
      </c>
      <c r="G411" s="1663">
        <f t="shared" si="88"/>
        <v>0.4444235924932976</v>
      </c>
      <c r="H411" s="1663">
        <f t="shared" si="86"/>
        <v>0.4444235924932976</v>
      </c>
      <c r="I411" s="1662">
        <f t="shared" si="87"/>
        <v>15.568181818181817</v>
      </c>
      <c r="J411" s="29">
        <v>106480</v>
      </c>
    </row>
    <row r="412" spans="1:10" x14ac:dyDescent="0.2">
      <c r="A412" s="2352" t="s">
        <v>1550</v>
      </c>
      <c r="B412" s="2376" t="s">
        <v>2792</v>
      </c>
      <c r="C412" s="1077">
        <v>5000</v>
      </c>
      <c r="D412" s="1077">
        <v>5000</v>
      </c>
      <c r="E412" s="854">
        <v>0</v>
      </c>
      <c r="F412" s="854"/>
      <c r="G412" s="2200">
        <f t="shared" si="88"/>
        <v>0</v>
      </c>
      <c r="H412" s="2200">
        <f t="shared" si="86"/>
        <v>0</v>
      </c>
      <c r="I412" s="2201">
        <v>0</v>
      </c>
      <c r="J412" s="29">
        <v>0</v>
      </c>
    </row>
    <row r="413" spans="1:10" x14ac:dyDescent="0.2">
      <c r="A413" s="2352" t="s">
        <v>1552</v>
      </c>
      <c r="B413" s="2376" t="s">
        <v>2793</v>
      </c>
      <c r="C413" s="1077">
        <v>3000000</v>
      </c>
      <c r="D413" s="1077">
        <v>3000000</v>
      </c>
      <c r="E413" s="854">
        <v>16577</v>
      </c>
      <c r="F413" s="854"/>
      <c r="G413" s="2200">
        <f t="shared" si="88"/>
        <v>0.55256666666666665</v>
      </c>
      <c r="H413" s="2200">
        <f t="shared" si="86"/>
        <v>0.55256666666666665</v>
      </c>
      <c r="I413" s="2201">
        <v>0</v>
      </c>
      <c r="J413" s="29">
        <v>0</v>
      </c>
    </row>
    <row r="414" spans="1:10" x14ac:dyDescent="0.2">
      <c r="A414" s="2352" t="s">
        <v>2794</v>
      </c>
      <c r="B414" s="2376" t="s">
        <v>2795</v>
      </c>
      <c r="C414" s="1077">
        <v>300000</v>
      </c>
      <c r="D414" s="1077">
        <f>300000-25000-9000</f>
        <v>266000</v>
      </c>
      <c r="E414" s="854">
        <v>0</v>
      </c>
      <c r="F414" s="854"/>
      <c r="G414" s="2200">
        <f t="shared" si="88"/>
        <v>0</v>
      </c>
      <c r="H414" s="2200">
        <f t="shared" si="86"/>
        <v>0</v>
      </c>
      <c r="I414" s="2201">
        <v>0</v>
      </c>
      <c r="J414" s="29">
        <v>0</v>
      </c>
    </row>
    <row r="415" spans="1:10" x14ac:dyDescent="0.2">
      <c r="A415" s="2352" t="s">
        <v>1546</v>
      </c>
      <c r="B415" s="809" t="s">
        <v>2796</v>
      </c>
      <c r="C415" s="1077">
        <v>10000</v>
      </c>
      <c r="D415" s="1077">
        <v>10000</v>
      </c>
      <c r="E415" s="1077">
        <v>0</v>
      </c>
      <c r="F415" s="1077"/>
      <c r="G415" s="2200">
        <f t="shared" si="88"/>
        <v>0</v>
      </c>
      <c r="H415" s="2200">
        <f t="shared" si="86"/>
        <v>0</v>
      </c>
      <c r="I415" s="2201">
        <f t="shared" si="87"/>
        <v>0</v>
      </c>
      <c r="J415" s="29">
        <v>9680</v>
      </c>
    </row>
    <row r="416" spans="1:10" x14ac:dyDescent="0.2">
      <c r="A416" s="2352" t="s">
        <v>2797</v>
      </c>
      <c r="B416" s="2376" t="s">
        <v>2798</v>
      </c>
      <c r="C416" s="854">
        <v>100000</v>
      </c>
      <c r="D416" s="854">
        <f>100000-18000</f>
        <v>82000</v>
      </c>
      <c r="E416" s="854">
        <v>0</v>
      </c>
      <c r="F416" s="854"/>
      <c r="G416" s="2200">
        <f t="shared" si="88"/>
        <v>0</v>
      </c>
      <c r="H416" s="2200">
        <f t="shared" si="86"/>
        <v>0</v>
      </c>
      <c r="I416" s="2201">
        <v>0</v>
      </c>
      <c r="J416" s="29">
        <v>0</v>
      </c>
    </row>
    <row r="417" spans="1:10" x14ac:dyDescent="0.2">
      <c r="A417" s="2352" t="s">
        <v>1548</v>
      </c>
      <c r="B417" s="809" t="s">
        <v>2799</v>
      </c>
      <c r="C417" s="1077">
        <v>5000</v>
      </c>
      <c r="D417" s="1077">
        <v>5000</v>
      </c>
      <c r="E417" s="1077">
        <v>0</v>
      </c>
      <c r="F417" s="1077"/>
      <c r="G417" s="2200">
        <f t="shared" si="88"/>
        <v>0</v>
      </c>
      <c r="H417" s="2200">
        <f t="shared" si="86"/>
        <v>0</v>
      </c>
      <c r="I417" s="2201">
        <v>0</v>
      </c>
      <c r="J417" s="29">
        <v>0</v>
      </c>
    </row>
    <row r="418" spans="1:10" x14ac:dyDescent="0.2">
      <c r="A418" s="2352" t="s">
        <v>1558</v>
      </c>
      <c r="B418" s="2376" t="s">
        <v>2800</v>
      </c>
      <c r="C418" s="854">
        <v>200000</v>
      </c>
      <c r="D418" s="854">
        <f>200000+25000</f>
        <v>225000</v>
      </c>
      <c r="E418" s="854">
        <v>0</v>
      </c>
      <c r="F418" s="854"/>
      <c r="G418" s="2200">
        <f t="shared" si="88"/>
        <v>0</v>
      </c>
      <c r="H418" s="2200">
        <f t="shared" si="86"/>
        <v>0</v>
      </c>
      <c r="I418" s="2201">
        <v>0</v>
      </c>
      <c r="J418" s="29">
        <v>0</v>
      </c>
    </row>
    <row r="419" spans="1:10" x14ac:dyDescent="0.2">
      <c r="A419" s="2352" t="s">
        <v>1556</v>
      </c>
      <c r="B419" s="2376" t="s">
        <v>2801</v>
      </c>
      <c r="C419" s="1077">
        <v>100000</v>
      </c>
      <c r="D419" s="1077">
        <f>100000+27000</f>
        <v>127000</v>
      </c>
      <c r="E419" s="854">
        <v>0</v>
      </c>
      <c r="F419" s="854"/>
      <c r="G419" s="2200">
        <f t="shared" si="88"/>
        <v>0</v>
      </c>
      <c r="H419" s="2200">
        <f t="shared" si="86"/>
        <v>0</v>
      </c>
      <c r="I419" s="2201">
        <v>0</v>
      </c>
      <c r="J419" s="29">
        <v>0</v>
      </c>
    </row>
    <row r="420" spans="1:10" x14ac:dyDescent="0.2">
      <c r="A420" s="2352" t="s">
        <v>1554</v>
      </c>
      <c r="B420" s="2376" t="s">
        <v>2802</v>
      </c>
      <c r="C420" s="1077">
        <v>10000</v>
      </c>
      <c r="D420" s="1077">
        <v>10000</v>
      </c>
      <c r="E420" s="854">
        <v>0</v>
      </c>
      <c r="F420" s="854"/>
      <c r="G420" s="2200">
        <f t="shared" si="88"/>
        <v>0</v>
      </c>
      <c r="H420" s="2200">
        <f t="shared" si="86"/>
        <v>0</v>
      </c>
      <c r="I420" s="2201">
        <v>0</v>
      </c>
      <c r="J420" s="29">
        <v>0</v>
      </c>
    </row>
    <row r="421" spans="1:10" x14ac:dyDescent="0.2">
      <c r="A421" s="2276">
        <v>3113</v>
      </c>
      <c r="B421" s="903" t="s">
        <v>1560</v>
      </c>
      <c r="C421" s="1671">
        <f>SUM(C422:C431)</f>
        <v>44850000</v>
      </c>
      <c r="D421" s="1671">
        <f>SUM(D422:D431)</f>
        <v>57949850</v>
      </c>
      <c r="E421" s="1671">
        <v>1905628.46</v>
      </c>
      <c r="F421" s="854">
        <f>SUM(E422:E431)</f>
        <v>1905628.46</v>
      </c>
      <c r="G421" s="1663">
        <f t="shared" si="88"/>
        <v>4.2488928874024525</v>
      </c>
      <c r="H421" s="1663">
        <f t="shared" si="86"/>
        <v>3.2884096507583713</v>
      </c>
      <c r="I421" s="1662">
        <f t="shared" si="87"/>
        <v>790.80908155304348</v>
      </c>
      <c r="J421" s="29">
        <v>240972</v>
      </c>
    </row>
    <row r="422" spans="1:10" x14ac:dyDescent="0.2">
      <c r="A422" s="2377" t="s">
        <v>1561</v>
      </c>
      <c r="B422" s="2376" t="s">
        <v>2803</v>
      </c>
      <c r="C422" s="854">
        <v>34700000</v>
      </c>
      <c r="D422" s="854">
        <f>34700000+14800000</f>
        <v>49500000</v>
      </c>
      <c r="E422" s="854">
        <v>483214</v>
      </c>
      <c r="F422" s="854"/>
      <c r="G422" s="2200">
        <f t="shared" si="88"/>
        <v>1.3925475504322766</v>
      </c>
      <c r="H422" s="2200">
        <f t="shared" si="86"/>
        <v>0.97618989898989905</v>
      </c>
      <c r="I422" s="2201">
        <v>0</v>
      </c>
      <c r="J422" s="29">
        <v>0</v>
      </c>
    </row>
    <row r="423" spans="1:10" x14ac:dyDescent="0.2">
      <c r="A423" s="2352" t="s">
        <v>1571</v>
      </c>
      <c r="B423" s="809" t="s">
        <v>2804</v>
      </c>
      <c r="C423" s="1077">
        <v>220000</v>
      </c>
      <c r="D423" s="1077">
        <f>220000+10000</f>
        <v>230000</v>
      </c>
      <c r="E423" s="854">
        <v>0</v>
      </c>
      <c r="F423" s="1077"/>
      <c r="G423" s="2200">
        <f t="shared" si="88"/>
        <v>0</v>
      </c>
      <c r="H423" s="2200">
        <f t="shared" si="86"/>
        <v>0</v>
      </c>
      <c r="I423" s="2201">
        <v>0</v>
      </c>
      <c r="J423" s="29">
        <v>0</v>
      </c>
    </row>
    <row r="424" spans="1:10" x14ac:dyDescent="0.2">
      <c r="A424" s="2378" t="s">
        <v>2805</v>
      </c>
      <c r="B424" s="809" t="s">
        <v>2806</v>
      </c>
      <c r="C424" s="1077">
        <v>2100000</v>
      </c>
      <c r="D424" s="1077">
        <f>2100000+(-55000+75000)</f>
        <v>2120000</v>
      </c>
      <c r="E424" s="854">
        <v>130950</v>
      </c>
      <c r="F424" s="1077"/>
      <c r="G424" s="2200">
        <f t="shared" si="88"/>
        <v>6.2357142857142858</v>
      </c>
      <c r="H424" s="2200">
        <f t="shared" si="86"/>
        <v>6.1768867924528301</v>
      </c>
      <c r="I424" s="2201">
        <v>0</v>
      </c>
      <c r="J424" s="29">
        <v>0</v>
      </c>
    </row>
    <row r="425" spans="1:10" x14ac:dyDescent="0.2">
      <c r="A425" s="2377" t="s">
        <v>1563</v>
      </c>
      <c r="B425" s="2376" t="s">
        <v>2807</v>
      </c>
      <c r="C425" s="1077">
        <v>5000</v>
      </c>
      <c r="D425" s="1077">
        <v>5000</v>
      </c>
      <c r="E425" s="854">
        <v>0</v>
      </c>
      <c r="F425" s="854"/>
      <c r="G425" s="2200">
        <f t="shared" si="88"/>
        <v>0</v>
      </c>
      <c r="H425" s="2200">
        <f t="shared" si="86"/>
        <v>0</v>
      </c>
      <c r="I425" s="2201">
        <v>0</v>
      </c>
      <c r="J425" s="29">
        <v>0</v>
      </c>
    </row>
    <row r="426" spans="1:10" x14ac:dyDescent="0.2">
      <c r="A426" s="2352" t="s">
        <v>2808</v>
      </c>
      <c r="B426" s="2376" t="s">
        <v>2809</v>
      </c>
      <c r="C426" s="2341">
        <v>3000000</v>
      </c>
      <c r="D426" s="2341">
        <f>3000000-10000+(-1443000-254000)</f>
        <v>1293000</v>
      </c>
      <c r="E426" s="831">
        <v>1291464.46</v>
      </c>
      <c r="F426" s="831"/>
      <c r="G426" s="2200">
        <f t="shared" si="88"/>
        <v>43.048815333333337</v>
      </c>
      <c r="H426" s="2200">
        <f t="shared" si="86"/>
        <v>99.881242072699152</v>
      </c>
      <c r="I426" s="2201">
        <v>0</v>
      </c>
      <c r="J426" s="29">
        <v>0</v>
      </c>
    </row>
    <row r="427" spans="1:10" x14ac:dyDescent="0.2">
      <c r="A427" s="2352" t="s">
        <v>2810</v>
      </c>
      <c r="B427" s="2376" t="s">
        <v>2811</v>
      </c>
      <c r="C427" s="2341">
        <v>355000</v>
      </c>
      <c r="D427" s="2341">
        <v>355000</v>
      </c>
      <c r="E427" s="831">
        <v>0</v>
      </c>
      <c r="F427" s="831"/>
      <c r="G427" s="2200">
        <f t="shared" si="88"/>
        <v>0</v>
      </c>
      <c r="H427" s="2200">
        <f t="shared" si="86"/>
        <v>0</v>
      </c>
      <c r="I427" s="2201">
        <v>0</v>
      </c>
      <c r="J427" s="29">
        <v>0</v>
      </c>
    </row>
    <row r="428" spans="1:10" x14ac:dyDescent="0.2">
      <c r="A428" s="2352" t="s">
        <v>1573</v>
      </c>
      <c r="B428" s="2376" t="s">
        <v>2812</v>
      </c>
      <c r="C428" s="1077">
        <v>10000</v>
      </c>
      <c r="D428" s="1077">
        <f>10000-3150</f>
        <v>6850</v>
      </c>
      <c r="E428" s="854">
        <v>0</v>
      </c>
      <c r="F428" s="854"/>
      <c r="G428" s="2200">
        <f t="shared" si="88"/>
        <v>0</v>
      </c>
      <c r="H428" s="2200">
        <f t="shared" ref="H428:H490" si="89">E428/D428*100</f>
        <v>0</v>
      </c>
      <c r="I428" s="2201">
        <v>0</v>
      </c>
      <c r="J428" s="29">
        <v>0</v>
      </c>
    </row>
    <row r="429" spans="1:10" x14ac:dyDescent="0.2">
      <c r="A429" s="2352" t="s">
        <v>1575</v>
      </c>
      <c r="B429" s="2376" t="s">
        <v>2813</v>
      </c>
      <c r="C429" s="1077">
        <v>10000</v>
      </c>
      <c r="D429" s="1077">
        <v>10000</v>
      </c>
      <c r="E429" s="854">
        <v>0</v>
      </c>
      <c r="F429" s="854"/>
      <c r="G429" s="2200">
        <f t="shared" si="88"/>
        <v>0</v>
      </c>
      <c r="H429" s="2200">
        <f t="shared" si="89"/>
        <v>0</v>
      </c>
      <c r="I429" s="2201">
        <v>0</v>
      </c>
      <c r="J429" s="29">
        <v>0</v>
      </c>
    </row>
    <row r="430" spans="1:10" x14ac:dyDescent="0.2">
      <c r="A430" s="2352" t="s">
        <v>1579</v>
      </c>
      <c r="B430" s="2376" t="s">
        <v>2814</v>
      </c>
      <c r="C430" s="854">
        <v>150000</v>
      </c>
      <c r="D430" s="854">
        <f>150000-20000</f>
        <v>130000</v>
      </c>
      <c r="E430" s="854">
        <v>0</v>
      </c>
      <c r="F430" s="854"/>
      <c r="G430" s="2200">
        <f t="shared" si="88"/>
        <v>0</v>
      </c>
      <c r="H430" s="2200">
        <f t="shared" si="89"/>
        <v>0</v>
      </c>
      <c r="I430" s="2201">
        <v>0</v>
      </c>
      <c r="J430" s="29">
        <v>0</v>
      </c>
    </row>
    <row r="431" spans="1:10" x14ac:dyDescent="0.2">
      <c r="A431" s="2352" t="s">
        <v>2815</v>
      </c>
      <c r="B431" s="2376" t="s">
        <v>2816</v>
      </c>
      <c r="C431" s="831">
        <v>4300000</v>
      </c>
      <c r="D431" s="831">
        <v>4300000</v>
      </c>
      <c r="E431" s="831">
        <v>0</v>
      </c>
      <c r="F431" s="831"/>
      <c r="G431" s="2200">
        <f t="shared" si="88"/>
        <v>0</v>
      </c>
      <c r="H431" s="2200">
        <f t="shared" si="89"/>
        <v>0</v>
      </c>
      <c r="I431" s="2201">
        <v>0</v>
      </c>
      <c r="J431" s="29">
        <v>0</v>
      </c>
    </row>
    <row r="432" spans="1:10" x14ac:dyDescent="0.2">
      <c r="A432" s="2276">
        <v>3412</v>
      </c>
      <c r="B432" s="910" t="s">
        <v>1581</v>
      </c>
      <c r="C432" s="1671">
        <f>SUM(C433:C433)</f>
        <v>15000</v>
      </c>
      <c r="D432" s="1671">
        <f>SUM(D433:D433)</f>
        <v>18150</v>
      </c>
      <c r="E432" s="1671">
        <v>18150</v>
      </c>
      <c r="F432" s="854"/>
      <c r="G432" s="1663">
        <f t="shared" si="88"/>
        <v>121</v>
      </c>
      <c r="H432" s="1663">
        <f t="shared" si="89"/>
        <v>100</v>
      </c>
      <c r="I432" s="1662">
        <f t="shared" ref="I432:I479" si="90">E432/J432*100</f>
        <v>39.084370558594259</v>
      </c>
      <c r="J432" s="29">
        <v>46438</v>
      </c>
    </row>
    <row r="433" spans="1:10" x14ac:dyDescent="0.2">
      <c r="A433" s="2377" t="s">
        <v>1582</v>
      </c>
      <c r="B433" s="2376" t="s">
        <v>2381</v>
      </c>
      <c r="C433" s="1077">
        <v>15000</v>
      </c>
      <c r="D433" s="1077">
        <f>15000+3150</f>
        <v>18150</v>
      </c>
      <c r="E433" s="854">
        <v>18150</v>
      </c>
      <c r="F433" s="854"/>
      <c r="G433" s="2200">
        <f t="shared" si="88"/>
        <v>121</v>
      </c>
      <c r="H433" s="2200">
        <f t="shared" si="89"/>
        <v>100</v>
      </c>
      <c r="I433" s="2201">
        <f t="shared" si="90"/>
        <v>39.084370558594259</v>
      </c>
      <c r="J433" s="29">
        <v>46438</v>
      </c>
    </row>
    <row r="434" spans="1:10" ht="15.75" x14ac:dyDescent="0.25">
      <c r="A434" s="2379"/>
      <c r="B434" s="1107" t="s">
        <v>527</v>
      </c>
      <c r="C434" s="1952">
        <f t="shared" ref="C434:D434" si="91">SUM(C435+C437+C440)</f>
        <v>6871000</v>
      </c>
      <c r="D434" s="1952">
        <f t="shared" si="91"/>
        <v>6871000</v>
      </c>
      <c r="E434" s="1952">
        <v>1708219.08</v>
      </c>
      <c r="F434" s="2380">
        <f>SUM(E435,E437,E440)</f>
        <v>1708219.0799999998</v>
      </c>
      <c r="G434" s="2325">
        <f t="shared" si="88"/>
        <v>24.861287731043515</v>
      </c>
      <c r="H434" s="2325">
        <f t="shared" si="89"/>
        <v>24.861287731043515</v>
      </c>
      <c r="I434" s="2325">
        <f t="shared" si="90"/>
        <v>165.16846400507202</v>
      </c>
      <c r="J434" s="29">
        <v>1034228.35</v>
      </c>
    </row>
    <row r="435" spans="1:10" x14ac:dyDescent="0.2">
      <c r="A435" s="2381">
        <v>2219</v>
      </c>
      <c r="B435" s="1953" t="s">
        <v>1470</v>
      </c>
      <c r="C435" s="1138">
        <f t="shared" ref="C435:D435" si="92">SUM(C436)</f>
        <v>2300000</v>
      </c>
      <c r="D435" s="1138">
        <f t="shared" si="92"/>
        <v>2300000</v>
      </c>
      <c r="E435" s="2382">
        <v>273837.44</v>
      </c>
      <c r="F435" s="2364">
        <f>SUM(E436)</f>
        <v>273837.44</v>
      </c>
      <c r="G435" s="1663">
        <f t="shared" si="88"/>
        <v>11.905975652173913</v>
      </c>
      <c r="H435" s="1663">
        <f t="shared" si="89"/>
        <v>11.905975652173913</v>
      </c>
      <c r="I435" s="1662">
        <f t="shared" si="90"/>
        <v>84.325344286287091</v>
      </c>
      <c r="J435" s="29">
        <v>324739.19</v>
      </c>
    </row>
    <row r="436" spans="1:10" x14ac:dyDescent="0.2">
      <c r="A436" s="2352" t="s">
        <v>2383</v>
      </c>
      <c r="B436" s="1112" t="s">
        <v>2817</v>
      </c>
      <c r="C436" s="1077">
        <v>2300000</v>
      </c>
      <c r="D436" s="1077">
        <v>2300000</v>
      </c>
      <c r="E436" s="1077">
        <v>273837.44</v>
      </c>
      <c r="F436" s="1077"/>
      <c r="G436" s="2200">
        <f t="shared" si="88"/>
        <v>11.905975652173913</v>
      </c>
      <c r="H436" s="2200">
        <f t="shared" si="89"/>
        <v>11.905975652173913</v>
      </c>
      <c r="I436" s="2201">
        <v>0</v>
      </c>
      <c r="J436" s="29">
        <v>0</v>
      </c>
    </row>
    <row r="437" spans="1:10" x14ac:dyDescent="0.2">
      <c r="A437" s="2276">
        <v>3613</v>
      </c>
      <c r="B437" s="910" t="s">
        <v>1589</v>
      </c>
      <c r="C437" s="727">
        <f t="shared" ref="C437:D437" si="93">SUM(C438:C439)</f>
        <v>550000</v>
      </c>
      <c r="D437" s="727">
        <f t="shared" si="93"/>
        <v>550000</v>
      </c>
      <c r="E437" s="727">
        <v>0</v>
      </c>
      <c r="F437" s="2341">
        <f>SUM(E438:E439)</f>
        <v>0</v>
      </c>
      <c r="G437" s="1663">
        <f t="shared" si="88"/>
        <v>0</v>
      </c>
      <c r="H437" s="1663">
        <f t="shared" si="89"/>
        <v>0</v>
      </c>
      <c r="I437" s="1662">
        <f t="shared" si="90"/>
        <v>0</v>
      </c>
      <c r="J437" s="29">
        <v>53094</v>
      </c>
    </row>
    <row r="438" spans="1:10" x14ac:dyDescent="0.2">
      <c r="A438" s="2352" t="s">
        <v>1590</v>
      </c>
      <c r="B438" s="1958" t="s">
        <v>2818</v>
      </c>
      <c r="C438" s="1077">
        <v>150000</v>
      </c>
      <c r="D438" s="1077">
        <v>150000</v>
      </c>
      <c r="E438" s="1077">
        <v>0</v>
      </c>
      <c r="F438" s="1077"/>
      <c r="G438" s="2200">
        <f t="shared" si="88"/>
        <v>0</v>
      </c>
      <c r="H438" s="2200">
        <f t="shared" si="89"/>
        <v>0</v>
      </c>
      <c r="I438" s="2201">
        <f t="shared" si="90"/>
        <v>0</v>
      </c>
      <c r="J438" s="29">
        <v>13310</v>
      </c>
    </row>
    <row r="439" spans="1:10" x14ac:dyDescent="0.2">
      <c r="A439" s="2352" t="s">
        <v>529</v>
      </c>
      <c r="B439" s="1958" t="s">
        <v>2819</v>
      </c>
      <c r="C439" s="1077">
        <v>400000</v>
      </c>
      <c r="D439" s="1077">
        <f>400000</f>
        <v>400000</v>
      </c>
      <c r="E439" s="1077">
        <v>0</v>
      </c>
      <c r="F439" s="1077"/>
      <c r="G439" s="2200">
        <f t="shared" si="88"/>
        <v>0</v>
      </c>
      <c r="H439" s="2200">
        <f t="shared" si="89"/>
        <v>0</v>
      </c>
      <c r="I439" s="2201">
        <f t="shared" si="90"/>
        <v>0</v>
      </c>
      <c r="J439" s="29">
        <v>39784</v>
      </c>
    </row>
    <row r="440" spans="1:10" x14ac:dyDescent="0.2">
      <c r="A440" s="2296">
        <v>3639</v>
      </c>
      <c r="B440" s="1240" t="s">
        <v>1593</v>
      </c>
      <c r="C440" s="727">
        <f t="shared" ref="C440:D440" si="94">SUM(C441:C445)</f>
        <v>4021000</v>
      </c>
      <c r="D440" s="727">
        <f t="shared" si="94"/>
        <v>4021000</v>
      </c>
      <c r="E440" s="727">
        <v>1434381.64</v>
      </c>
      <c r="F440" s="2341">
        <f>SUM(E441:E445)</f>
        <v>1434381.6400000001</v>
      </c>
      <c r="G440" s="1663">
        <f t="shared" si="88"/>
        <v>35.672261626461079</v>
      </c>
      <c r="H440" s="1663">
        <f t="shared" si="89"/>
        <v>35.672261626461079</v>
      </c>
      <c r="I440" s="1662">
        <f t="shared" si="90"/>
        <v>218.52410368169072</v>
      </c>
      <c r="J440" s="29">
        <v>656395.16</v>
      </c>
    </row>
    <row r="441" spans="1:10" x14ac:dyDescent="0.2">
      <c r="A441" s="2352" t="s">
        <v>534</v>
      </c>
      <c r="B441" s="1112" t="s">
        <v>2820</v>
      </c>
      <c r="C441" s="1077">
        <v>45000</v>
      </c>
      <c r="D441" s="1077">
        <v>45000</v>
      </c>
      <c r="E441" s="1077">
        <v>7020.64</v>
      </c>
      <c r="F441" s="1077"/>
      <c r="G441" s="2200">
        <f t="shared" si="88"/>
        <v>15.601422222222222</v>
      </c>
      <c r="H441" s="2200">
        <f t="shared" si="89"/>
        <v>15.601422222222222</v>
      </c>
      <c r="I441" s="2201">
        <f t="shared" si="90"/>
        <v>36.254628886108357</v>
      </c>
      <c r="J441" s="29">
        <v>19364.810000000001</v>
      </c>
    </row>
    <row r="442" spans="1:10" x14ac:dyDescent="0.2">
      <c r="A442" s="2352" t="s">
        <v>538</v>
      </c>
      <c r="B442" s="1112" t="s">
        <v>2821</v>
      </c>
      <c r="C442" s="1077">
        <v>412500</v>
      </c>
      <c r="D442" s="1077">
        <v>412500</v>
      </c>
      <c r="E442" s="1077">
        <v>355377.2</v>
      </c>
      <c r="F442" s="1077"/>
      <c r="G442" s="2200">
        <f t="shared" ref="G442:G505" si="95">E442/C442*100</f>
        <v>86.152048484848493</v>
      </c>
      <c r="H442" s="2200">
        <f t="shared" si="89"/>
        <v>86.152048484848493</v>
      </c>
      <c r="I442" s="2201">
        <f t="shared" si="90"/>
        <v>215.10569848768694</v>
      </c>
      <c r="J442" s="29">
        <v>165210.5</v>
      </c>
    </row>
    <row r="443" spans="1:10" ht="12" customHeight="1" x14ac:dyDescent="0.2">
      <c r="A443" s="2352" t="s">
        <v>540</v>
      </c>
      <c r="B443" s="1958" t="s">
        <v>2822</v>
      </c>
      <c r="C443" s="1077">
        <v>3538500</v>
      </c>
      <c r="D443" s="1077">
        <f>3538500-50000</f>
        <v>3488500</v>
      </c>
      <c r="E443" s="1077">
        <v>1063722.5</v>
      </c>
      <c r="F443" s="1077"/>
      <c r="G443" s="2200">
        <f t="shared" si="95"/>
        <v>30.061396071781825</v>
      </c>
      <c r="H443" s="2200">
        <f t="shared" si="89"/>
        <v>30.492260283789598</v>
      </c>
      <c r="I443" s="2201">
        <f t="shared" si="90"/>
        <v>231.07197358488517</v>
      </c>
      <c r="J443" s="29">
        <v>460342.5</v>
      </c>
    </row>
    <row r="444" spans="1:10" x14ac:dyDescent="0.2">
      <c r="A444" s="2352" t="s">
        <v>542</v>
      </c>
      <c r="B444" s="1112" t="s">
        <v>2823</v>
      </c>
      <c r="C444" s="1077">
        <v>25000</v>
      </c>
      <c r="D444" s="1077">
        <v>25000</v>
      </c>
      <c r="E444" s="1077">
        <v>8261.2999999999993</v>
      </c>
      <c r="F444" s="1077"/>
      <c r="G444" s="2200">
        <f t="shared" si="95"/>
        <v>33.045199999999994</v>
      </c>
      <c r="H444" s="2200">
        <f t="shared" si="89"/>
        <v>33.045199999999994</v>
      </c>
      <c r="I444" s="2201">
        <f t="shared" si="90"/>
        <v>71.979158952197139</v>
      </c>
      <c r="J444" s="29">
        <v>11477.35</v>
      </c>
    </row>
    <row r="445" spans="1:10" x14ac:dyDescent="0.2">
      <c r="A445" s="2368" t="s">
        <v>2388</v>
      </c>
      <c r="B445" s="1078" t="s">
        <v>2824</v>
      </c>
      <c r="C445" s="1048">
        <v>0</v>
      </c>
      <c r="D445" s="1048">
        <f>50000</f>
        <v>50000</v>
      </c>
      <c r="E445" s="1048">
        <v>0</v>
      </c>
      <c r="F445" s="1048"/>
      <c r="G445" s="2200">
        <v>0</v>
      </c>
      <c r="H445" s="2200">
        <f t="shared" si="89"/>
        <v>0</v>
      </c>
      <c r="I445" s="2201">
        <v>0</v>
      </c>
      <c r="J445" s="29">
        <v>0</v>
      </c>
    </row>
    <row r="446" spans="1:10" ht="15.75" x14ac:dyDescent="0.25">
      <c r="A446" s="2383"/>
      <c r="B446" s="1115" t="s">
        <v>1603</v>
      </c>
      <c r="C446" s="1055">
        <f>SUM(C447,C452)</f>
        <v>21805000</v>
      </c>
      <c r="D446" s="1055">
        <f>SUM(D447,D452)</f>
        <v>19005000</v>
      </c>
      <c r="E446" s="1055">
        <v>1711815</v>
      </c>
      <c r="F446" s="2384">
        <f>SUM(E447,E452)</f>
        <v>1711815</v>
      </c>
      <c r="G446" s="2325">
        <f t="shared" si="95"/>
        <v>7.8505617977528086</v>
      </c>
      <c r="H446" s="2325">
        <f t="shared" si="89"/>
        <v>9.0071823204419896</v>
      </c>
      <c r="I446" s="2325">
        <f t="shared" si="90"/>
        <v>89.001489558261326</v>
      </c>
      <c r="J446" s="29">
        <v>1923355.45</v>
      </c>
    </row>
    <row r="447" spans="1:10" x14ac:dyDescent="0.2">
      <c r="A447" s="2362">
        <v>3311</v>
      </c>
      <c r="B447" s="1137" t="s">
        <v>1604</v>
      </c>
      <c r="C447" s="1138">
        <f>SUM(C448:C451)</f>
        <v>20410000</v>
      </c>
      <c r="D447" s="1138">
        <f>SUM(D448:D451)</f>
        <v>17610000</v>
      </c>
      <c r="E447" s="1138">
        <v>1264140</v>
      </c>
      <c r="F447" s="2364">
        <f>SUM(E448:E451)</f>
        <v>1264140</v>
      </c>
      <c r="G447" s="1663">
        <f t="shared" si="95"/>
        <v>6.1937285644292013</v>
      </c>
      <c r="H447" s="1663">
        <f t="shared" si="89"/>
        <v>7.1785349233390123</v>
      </c>
      <c r="I447" s="1662">
        <f t="shared" si="90"/>
        <v>6653.3684210526317</v>
      </c>
      <c r="J447" s="29">
        <v>19000</v>
      </c>
    </row>
    <row r="448" spans="1:10" x14ac:dyDescent="0.2">
      <c r="A448" s="2377" t="s">
        <v>2390</v>
      </c>
      <c r="B448" s="2376" t="s">
        <v>2825</v>
      </c>
      <c r="C448" s="1077">
        <v>14900000</v>
      </c>
      <c r="D448" s="1077">
        <f>14900000-2800000</f>
        <v>12100000</v>
      </c>
      <c r="E448" s="854">
        <v>847090</v>
      </c>
      <c r="F448" s="854"/>
      <c r="G448" s="2200">
        <f t="shared" si="95"/>
        <v>5.6851677852348992</v>
      </c>
      <c r="H448" s="2200">
        <f t="shared" si="89"/>
        <v>7.0007438016528925</v>
      </c>
      <c r="I448" s="2201">
        <f t="shared" si="90"/>
        <v>4458.3684210526317</v>
      </c>
      <c r="J448" s="29">
        <v>19000</v>
      </c>
    </row>
    <row r="449" spans="1:10" x14ac:dyDescent="0.2">
      <c r="A449" s="2377" t="s">
        <v>2392</v>
      </c>
      <c r="B449" s="2376" t="s">
        <v>2826</v>
      </c>
      <c r="C449" s="1077">
        <v>5100000</v>
      </c>
      <c r="D449" s="1077">
        <v>5100000</v>
      </c>
      <c r="E449" s="854">
        <v>417050</v>
      </c>
      <c r="F449" s="854"/>
      <c r="G449" s="2200">
        <f t="shared" si="95"/>
        <v>8.1774509803921571</v>
      </c>
      <c r="H449" s="2200">
        <f t="shared" si="89"/>
        <v>8.1774509803921571</v>
      </c>
      <c r="I449" s="2201">
        <v>0</v>
      </c>
      <c r="J449" s="29">
        <v>0</v>
      </c>
    </row>
    <row r="450" spans="1:10" x14ac:dyDescent="0.2">
      <c r="A450" s="2352" t="s">
        <v>1609</v>
      </c>
      <c r="B450" s="2376" t="s">
        <v>2827</v>
      </c>
      <c r="C450" s="1077">
        <v>210000</v>
      </c>
      <c r="D450" s="1077">
        <v>210000</v>
      </c>
      <c r="E450" s="854">
        <v>0</v>
      </c>
      <c r="F450" s="854"/>
      <c r="G450" s="2200">
        <f t="shared" si="95"/>
        <v>0</v>
      </c>
      <c r="H450" s="2200">
        <f t="shared" si="89"/>
        <v>0</v>
      </c>
      <c r="I450" s="2201">
        <v>0</v>
      </c>
      <c r="J450" s="29">
        <v>0</v>
      </c>
    </row>
    <row r="451" spans="1:10" x14ac:dyDescent="0.2">
      <c r="A451" s="2352" t="s">
        <v>2828</v>
      </c>
      <c r="B451" s="809" t="s">
        <v>2829</v>
      </c>
      <c r="C451" s="1077">
        <v>200000</v>
      </c>
      <c r="D451" s="1077">
        <v>200000</v>
      </c>
      <c r="E451" s="1077">
        <v>0</v>
      </c>
      <c r="F451" s="1077"/>
      <c r="G451" s="2200">
        <f t="shared" si="95"/>
        <v>0</v>
      </c>
      <c r="H451" s="2200">
        <f t="shared" si="89"/>
        <v>0</v>
      </c>
      <c r="I451" s="2201">
        <v>0</v>
      </c>
      <c r="J451" s="29">
        <v>0</v>
      </c>
    </row>
    <row r="452" spans="1:10" x14ac:dyDescent="0.2">
      <c r="A452" s="2276">
        <v>3392</v>
      </c>
      <c r="B452" s="910" t="s">
        <v>1611</v>
      </c>
      <c r="C452" s="1671">
        <f>SUM(C453:C455)</f>
        <v>1395000</v>
      </c>
      <c r="D452" s="1671">
        <f>SUM(D453:D455)</f>
        <v>1395000</v>
      </c>
      <c r="E452" s="1671">
        <v>447675</v>
      </c>
      <c r="F452" s="831">
        <f>SUM(E453:E455)</f>
        <v>447675</v>
      </c>
      <c r="G452" s="1663">
        <f t="shared" si="95"/>
        <v>32.091397849462368</v>
      </c>
      <c r="H452" s="1663">
        <f t="shared" si="89"/>
        <v>32.091397849462368</v>
      </c>
      <c r="I452" s="1662">
        <f t="shared" si="90"/>
        <v>64.289253171919086</v>
      </c>
      <c r="J452" s="29">
        <v>696345</v>
      </c>
    </row>
    <row r="453" spans="1:10" x14ac:dyDescent="0.2">
      <c r="A453" s="2377" t="s">
        <v>1612</v>
      </c>
      <c r="B453" s="809" t="s">
        <v>2830</v>
      </c>
      <c r="C453" s="2341">
        <v>50000</v>
      </c>
      <c r="D453" s="2341">
        <v>50000</v>
      </c>
      <c r="E453" s="2341">
        <v>0</v>
      </c>
      <c r="F453" s="2341"/>
      <c r="G453" s="2200">
        <f t="shared" si="95"/>
        <v>0</v>
      </c>
      <c r="H453" s="2200">
        <f t="shared" si="89"/>
        <v>0</v>
      </c>
      <c r="I453" s="2201">
        <f t="shared" si="90"/>
        <v>0</v>
      </c>
      <c r="J453" s="29">
        <v>486420</v>
      </c>
    </row>
    <row r="454" spans="1:10" x14ac:dyDescent="0.2">
      <c r="A454" s="2377" t="s">
        <v>1618</v>
      </c>
      <c r="B454" s="2376" t="s">
        <v>2831</v>
      </c>
      <c r="C454" s="1077">
        <v>1340000</v>
      </c>
      <c r="D454" s="1077">
        <v>1340000</v>
      </c>
      <c r="E454" s="854">
        <v>447675</v>
      </c>
      <c r="F454" s="854"/>
      <c r="G454" s="2200">
        <f t="shared" si="95"/>
        <v>33.40858208955224</v>
      </c>
      <c r="H454" s="2200">
        <f t="shared" si="89"/>
        <v>33.40858208955224</v>
      </c>
      <c r="I454" s="2201">
        <f t="shared" si="90"/>
        <v>640.22166607079009</v>
      </c>
      <c r="J454" s="29">
        <v>69925</v>
      </c>
    </row>
    <row r="455" spans="1:10" x14ac:dyDescent="0.2">
      <c r="A455" s="2368" t="s">
        <v>1620</v>
      </c>
      <c r="B455" s="2385" t="s">
        <v>2832</v>
      </c>
      <c r="C455" s="1048">
        <v>5000</v>
      </c>
      <c r="D455" s="1048">
        <v>5000</v>
      </c>
      <c r="E455" s="1508">
        <v>0</v>
      </c>
      <c r="F455" s="1508"/>
      <c r="G455" s="2200">
        <f t="shared" si="95"/>
        <v>0</v>
      </c>
      <c r="H455" s="2200">
        <f t="shared" si="89"/>
        <v>0</v>
      </c>
      <c r="I455" s="2201">
        <f t="shared" si="90"/>
        <v>0</v>
      </c>
      <c r="J455" s="29">
        <v>140000</v>
      </c>
    </row>
    <row r="456" spans="1:10" ht="15.75" x14ac:dyDescent="0.25">
      <c r="A456" s="2386"/>
      <c r="B456" s="1123" t="s">
        <v>1624</v>
      </c>
      <c r="C456" s="1109">
        <f t="shared" ref="C456:D456" si="96">SUM(C457)</f>
        <v>4105000</v>
      </c>
      <c r="D456" s="1109">
        <f t="shared" si="96"/>
        <v>13675000</v>
      </c>
      <c r="E456" s="1109">
        <v>8195672.04</v>
      </c>
      <c r="F456" s="2387"/>
      <c r="G456" s="2325">
        <f t="shared" si="95"/>
        <v>199.65096321559074</v>
      </c>
      <c r="H456" s="2325">
        <f t="shared" si="89"/>
        <v>59.93178822669104</v>
      </c>
      <c r="I456" s="2325">
        <f t="shared" si="90"/>
        <v>2262.6227265197949</v>
      </c>
      <c r="J456" s="29">
        <v>362220</v>
      </c>
    </row>
    <row r="457" spans="1:10" x14ac:dyDescent="0.2">
      <c r="A457" s="2388">
        <v>6171</v>
      </c>
      <c r="B457" s="2389" t="s">
        <v>1625</v>
      </c>
      <c r="C457" s="1815">
        <f>SUM(C458:C460)</f>
        <v>4105000</v>
      </c>
      <c r="D457" s="1815">
        <f>SUM(D458:D460)</f>
        <v>13675000</v>
      </c>
      <c r="E457" s="1815">
        <v>8195672.04</v>
      </c>
      <c r="F457" s="2390">
        <f>SUM(E458:E460)</f>
        <v>8195672.04</v>
      </c>
      <c r="G457" s="1663">
        <f t="shared" si="95"/>
        <v>199.65096321559074</v>
      </c>
      <c r="H457" s="1663">
        <f t="shared" si="89"/>
        <v>59.93178822669104</v>
      </c>
      <c r="I457" s="1662">
        <f t="shared" si="90"/>
        <v>2262.6227265197949</v>
      </c>
      <c r="J457" s="29">
        <v>362220</v>
      </c>
    </row>
    <row r="458" spans="1:10" x14ac:dyDescent="0.2">
      <c r="A458" s="2352" t="s">
        <v>2833</v>
      </c>
      <c r="B458" s="809" t="s">
        <v>2834</v>
      </c>
      <c r="C458" s="1077">
        <v>4100000</v>
      </c>
      <c r="D458" s="1077">
        <f>4100000+6020000+500000</f>
        <v>10620000</v>
      </c>
      <c r="E458" s="1077">
        <v>8195672.04</v>
      </c>
      <c r="F458" s="1077"/>
      <c r="G458" s="2200">
        <f t="shared" si="95"/>
        <v>199.89444</v>
      </c>
      <c r="H458" s="2200">
        <f t="shared" si="89"/>
        <v>77.172053107344624</v>
      </c>
      <c r="I458" s="2201">
        <f t="shared" si="90"/>
        <v>5446.7149863760224</v>
      </c>
      <c r="J458" s="29">
        <v>150470</v>
      </c>
    </row>
    <row r="459" spans="1:10" x14ac:dyDescent="0.2">
      <c r="A459" s="2352" t="s">
        <v>1634</v>
      </c>
      <c r="B459" s="809" t="s">
        <v>2835</v>
      </c>
      <c r="C459" s="1077">
        <v>5000</v>
      </c>
      <c r="D459" s="1077">
        <v>5000</v>
      </c>
      <c r="E459" s="1077">
        <v>0</v>
      </c>
      <c r="F459" s="1077"/>
      <c r="G459" s="2200">
        <f t="shared" si="95"/>
        <v>0</v>
      </c>
      <c r="H459" s="2200">
        <f t="shared" si="89"/>
        <v>0</v>
      </c>
      <c r="I459" s="2201">
        <f t="shared" si="90"/>
        <v>0</v>
      </c>
      <c r="J459" s="29">
        <v>72600</v>
      </c>
    </row>
    <row r="460" spans="1:10" x14ac:dyDescent="0.2">
      <c r="A460" s="2368" t="s">
        <v>2836</v>
      </c>
      <c r="B460" s="1047" t="s">
        <v>2837</v>
      </c>
      <c r="C460" s="1048">
        <v>0</v>
      </c>
      <c r="D460" s="1048">
        <v>3050000</v>
      </c>
      <c r="E460" s="1048">
        <v>0</v>
      </c>
      <c r="F460" s="1048"/>
      <c r="G460" s="2200">
        <v>0</v>
      </c>
      <c r="H460" s="2200">
        <f t="shared" si="89"/>
        <v>0</v>
      </c>
      <c r="I460" s="2201">
        <v>0</v>
      </c>
      <c r="J460" s="29">
        <v>0</v>
      </c>
    </row>
    <row r="461" spans="1:10" ht="15.75" x14ac:dyDescent="0.25">
      <c r="A461" s="2383"/>
      <c r="B461" s="1134" t="s">
        <v>1636</v>
      </c>
      <c r="C461" s="1055">
        <f>SUM(C462,C464,C466,C468,C471)</f>
        <v>5921000</v>
      </c>
      <c r="D461" s="1055">
        <f>SUM(D462,D464,D466,D468,D471)</f>
        <v>7991000</v>
      </c>
      <c r="E461" s="1055">
        <v>685920.47</v>
      </c>
      <c r="F461" s="2384">
        <f>SUM(E461,E462,E464,E466,E468,E471)</f>
        <v>1371840.94</v>
      </c>
      <c r="G461" s="2325">
        <f t="shared" si="95"/>
        <v>11.584537578111805</v>
      </c>
      <c r="H461" s="2325">
        <f t="shared" si="89"/>
        <v>8.5836624953072196</v>
      </c>
      <c r="I461" s="2325">
        <f t="shared" si="90"/>
        <v>219.78994809023328</v>
      </c>
      <c r="J461" s="29">
        <v>312080</v>
      </c>
    </row>
    <row r="462" spans="1:10" x14ac:dyDescent="0.2">
      <c r="A462" s="2362">
        <v>3745</v>
      </c>
      <c r="B462" s="1137" t="s">
        <v>1637</v>
      </c>
      <c r="C462" s="1138">
        <f t="shared" ref="C462:D466" si="97">SUM(C463:C463)</f>
        <v>5000</v>
      </c>
      <c r="D462" s="1138">
        <f t="shared" si="97"/>
        <v>5000</v>
      </c>
      <c r="E462" s="1138">
        <v>0</v>
      </c>
      <c r="F462" s="2364"/>
      <c r="G462" s="1663">
        <f t="shared" si="95"/>
        <v>0</v>
      </c>
      <c r="H462" s="1663">
        <f t="shared" si="89"/>
        <v>0</v>
      </c>
      <c r="I462" s="1662">
        <v>0</v>
      </c>
      <c r="J462" s="29">
        <v>0</v>
      </c>
    </row>
    <row r="463" spans="1:10" x14ac:dyDescent="0.2">
      <c r="A463" s="2352" t="s">
        <v>1638</v>
      </c>
      <c r="B463" s="809" t="s">
        <v>2838</v>
      </c>
      <c r="C463" s="1077">
        <v>5000</v>
      </c>
      <c r="D463" s="1077">
        <v>5000</v>
      </c>
      <c r="E463" s="1077">
        <v>0</v>
      </c>
      <c r="F463" s="1077"/>
      <c r="G463" s="2200">
        <f t="shared" si="95"/>
        <v>0</v>
      </c>
      <c r="H463" s="2200">
        <f t="shared" si="89"/>
        <v>0</v>
      </c>
      <c r="I463" s="2201">
        <v>0</v>
      </c>
      <c r="J463" s="29">
        <v>0</v>
      </c>
    </row>
    <row r="464" spans="1:10" x14ac:dyDescent="0.2">
      <c r="A464" s="2296">
        <v>2321</v>
      </c>
      <c r="B464" s="1240" t="s">
        <v>1429</v>
      </c>
      <c r="C464" s="727">
        <f t="shared" si="97"/>
        <v>250000</v>
      </c>
      <c r="D464" s="727">
        <f t="shared" si="97"/>
        <v>250000</v>
      </c>
      <c r="E464" s="727">
        <v>0</v>
      </c>
      <c r="F464" s="2341"/>
      <c r="G464" s="1663">
        <f t="shared" si="95"/>
        <v>0</v>
      </c>
      <c r="H464" s="1663">
        <f t="shared" si="89"/>
        <v>0</v>
      </c>
      <c r="I464" s="1662">
        <v>0</v>
      </c>
      <c r="J464" s="29">
        <v>0</v>
      </c>
    </row>
    <row r="465" spans="1:10" x14ac:dyDescent="0.2">
      <c r="A465" s="2352" t="s">
        <v>1642</v>
      </c>
      <c r="B465" s="809" t="s">
        <v>2839</v>
      </c>
      <c r="C465" s="1077">
        <v>250000</v>
      </c>
      <c r="D465" s="1077">
        <v>250000</v>
      </c>
      <c r="E465" s="1077">
        <v>0</v>
      </c>
      <c r="F465" s="1077"/>
      <c r="G465" s="2200">
        <f t="shared" si="95"/>
        <v>0</v>
      </c>
      <c r="H465" s="2200">
        <f t="shared" si="89"/>
        <v>0</v>
      </c>
      <c r="I465" s="2201">
        <v>0</v>
      </c>
      <c r="J465" s="29">
        <v>0</v>
      </c>
    </row>
    <row r="466" spans="1:10" x14ac:dyDescent="0.2">
      <c r="A466" s="2296">
        <v>3612</v>
      </c>
      <c r="B466" s="1240" t="s">
        <v>1644</v>
      </c>
      <c r="C466" s="727">
        <f t="shared" si="97"/>
        <v>5000</v>
      </c>
      <c r="D466" s="727">
        <f t="shared" si="97"/>
        <v>5000</v>
      </c>
      <c r="E466" s="727">
        <v>0</v>
      </c>
      <c r="F466" s="2341"/>
      <c r="G466" s="1663">
        <f t="shared" si="95"/>
        <v>0</v>
      </c>
      <c r="H466" s="1663">
        <f t="shared" si="89"/>
        <v>0</v>
      </c>
      <c r="I466" s="1662">
        <f t="shared" si="90"/>
        <v>0</v>
      </c>
      <c r="J466" s="29">
        <v>12000</v>
      </c>
    </row>
    <row r="467" spans="1:10" x14ac:dyDescent="0.2">
      <c r="A467" s="2352" t="s">
        <v>2401</v>
      </c>
      <c r="B467" s="809" t="s">
        <v>2840</v>
      </c>
      <c r="C467" s="1077">
        <v>5000</v>
      </c>
      <c r="D467" s="1077">
        <v>5000</v>
      </c>
      <c r="E467" s="1077">
        <v>0</v>
      </c>
      <c r="F467" s="1077"/>
      <c r="G467" s="2200">
        <f t="shared" si="95"/>
        <v>0</v>
      </c>
      <c r="H467" s="2200">
        <f t="shared" si="89"/>
        <v>0</v>
      </c>
      <c r="I467" s="2201">
        <f t="shared" si="90"/>
        <v>0</v>
      </c>
      <c r="J467" s="29">
        <v>12000</v>
      </c>
    </row>
    <row r="468" spans="1:10" x14ac:dyDescent="0.2">
      <c r="A468" s="2391">
        <v>3613</v>
      </c>
      <c r="B468" s="1240" t="s">
        <v>1646</v>
      </c>
      <c r="C468" s="727">
        <f t="shared" ref="C468:D468" si="98">SUM(C469:C470)</f>
        <v>11000</v>
      </c>
      <c r="D468" s="727">
        <f t="shared" si="98"/>
        <v>31000</v>
      </c>
      <c r="E468" s="727">
        <v>30000</v>
      </c>
      <c r="F468" s="2341">
        <f>SUM(E469:E470)</f>
        <v>30000</v>
      </c>
      <c r="G468" s="1663">
        <f t="shared" si="95"/>
        <v>272.72727272727269</v>
      </c>
      <c r="H468" s="1663">
        <f t="shared" si="89"/>
        <v>96.774193548387103</v>
      </c>
      <c r="I468" s="1662">
        <v>0</v>
      </c>
      <c r="J468" s="29">
        <v>0</v>
      </c>
    </row>
    <row r="469" spans="1:10" x14ac:dyDescent="0.2">
      <c r="A469" s="2352" t="s">
        <v>1647</v>
      </c>
      <c r="B469" s="809" t="s">
        <v>2841</v>
      </c>
      <c r="C469" s="1077">
        <v>10000</v>
      </c>
      <c r="D469" s="1077">
        <f>10000+20000</f>
        <v>30000</v>
      </c>
      <c r="E469" s="1077">
        <v>30000</v>
      </c>
      <c r="F469" s="1077"/>
      <c r="G469" s="2200">
        <f t="shared" si="95"/>
        <v>300</v>
      </c>
      <c r="H469" s="2200">
        <f t="shared" si="89"/>
        <v>100</v>
      </c>
      <c r="I469" s="2201">
        <v>0</v>
      </c>
      <c r="J469" s="29">
        <v>0</v>
      </c>
    </row>
    <row r="470" spans="1:10" x14ac:dyDescent="0.2">
      <c r="A470" s="2352" t="s">
        <v>1649</v>
      </c>
      <c r="B470" s="809" t="s">
        <v>2842</v>
      </c>
      <c r="C470" s="1077">
        <v>1000</v>
      </c>
      <c r="D470" s="1077">
        <v>1000</v>
      </c>
      <c r="E470" s="1077">
        <v>0</v>
      </c>
      <c r="F470" s="1077"/>
      <c r="G470" s="2200">
        <f t="shared" si="95"/>
        <v>0</v>
      </c>
      <c r="H470" s="2200">
        <f t="shared" si="89"/>
        <v>0</v>
      </c>
      <c r="I470" s="2201">
        <v>0</v>
      </c>
      <c r="J470" s="29">
        <v>0</v>
      </c>
    </row>
    <row r="471" spans="1:10" x14ac:dyDescent="0.2">
      <c r="A471" s="2391">
        <v>3722</v>
      </c>
      <c r="B471" s="1240" t="s">
        <v>1651</v>
      </c>
      <c r="C471" s="727">
        <f t="shared" ref="C471:D471" si="99">SUM(C472:C472)</f>
        <v>5650000</v>
      </c>
      <c r="D471" s="727">
        <f t="shared" si="99"/>
        <v>7700000</v>
      </c>
      <c r="E471" s="727">
        <v>655920.47</v>
      </c>
      <c r="F471" s="2341"/>
      <c r="G471" s="1663">
        <f t="shared" si="95"/>
        <v>11.609211858407079</v>
      </c>
      <c r="H471" s="1663">
        <f t="shared" si="89"/>
        <v>8.5184476623376622</v>
      </c>
      <c r="I471" s="1662">
        <f t="shared" si="90"/>
        <v>218.5818681684884</v>
      </c>
      <c r="J471" s="29">
        <v>300080</v>
      </c>
    </row>
    <row r="472" spans="1:10" s="2" customFormat="1" x14ac:dyDescent="0.2">
      <c r="A472" s="2368" t="s">
        <v>2843</v>
      </c>
      <c r="B472" s="1047" t="s">
        <v>2844</v>
      </c>
      <c r="C472" s="1048">
        <v>5650000</v>
      </c>
      <c r="D472" s="1048">
        <f>5650000+(1750000+300000)</f>
        <v>7700000</v>
      </c>
      <c r="E472" s="1048">
        <v>655920.47</v>
      </c>
      <c r="F472" s="1048"/>
      <c r="G472" s="2200">
        <f t="shared" si="95"/>
        <v>11.609211858407079</v>
      </c>
      <c r="H472" s="2200">
        <f t="shared" si="89"/>
        <v>8.5184476623376622</v>
      </c>
      <c r="I472" s="2201">
        <f t="shared" si="90"/>
        <v>218.5818681684884</v>
      </c>
      <c r="J472" s="88">
        <v>300080</v>
      </c>
    </row>
    <row r="473" spans="1:10" ht="15.75" x14ac:dyDescent="0.25">
      <c r="A473" s="2371"/>
      <c r="B473" s="1062" t="s">
        <v>1654</v>
      </c>
      <c r="C473" s="1080">
        <f>SUM(C479,C474,C493,C503,C508,C510)</f>
        <v>157228000</v>
      </c>
      <c r="D473" s="1080">
        <f>SUM(D479,D474,D493,D503,D508,D510)</f>
        <v>135455000</v>
      </c>
      <c r="E473" s="1080">
        <v>7797995.7300000004</v>
      </c>
      <c r="F473" s="2392">
        <f>SUM(E474,E479,E493,E503,E508,E510)</f>
        <v>7797995.7300000004</v>
      </c>
      <c r="G473" s="2325">
        <f t="shared" si="95"/>
        <v>4.9596736777164381</v>
      </c>
      <c r="H473" s="2325">
        <f t="shared" si="89"/>
        <v>5.7568902809050977</v>
      </c>
      <c r="I473" s="2325">
        <f t="shared" si="90"/>
        <v>218.39581959589128</v>
      </c>
      <c r="J473" s="29">
        <v>3570579.21</v>
      </c>
    </row>
    <row r="474" spans="1:10" x14ac:dyDescent="0.2">
      <c r="A474" s="2393">
        <v>3412</v>
      </c>
      <c r="B474" s="987" t="s">
        <v>1655</v>
      </c>
      <c r="C474" s="715">
        <f t="shared" ref="C474:D474" si="100">SUM(C475:C478)</f>
        <v>102310000</v>
      </c>
      <c r="D474" s="715">
        <f t="shared" si="100"/>
        <v>75680000</v>
      </c>
      <c r="E474" s="715">
        <v>1443741.28</v>
      </c>
      <c r="F474" s="2394">
        <f>SUM(E475:E478)</f>
        <v>1443741.28</v>
      </c>
      <c r="G474" s="1663">
        <f t="shared" si="95"/>
        <v>1.4111438569054833</v>
      </c>
      <c r="H474" s="1663">
        <f t="shared" si="89"/>
        <v>1.9076919661733618</v>
      </c>
      <c r="I474" s="1662">
        <f t="shared" si="90"/>
        <v>411.43952123111995</v>
      </c>
      <c r="J474" s="29">
        <v>350900</v>
      </c>
    </row>
    <row r="475" spans="1:10" x14ac:dyDescent="0.2">
      <c r="A475" s="2352" t="s">
        <v>1656</v>
      </c>
      <c r="B475" s="815" t="s">
        <v>2063</v>
      </c>
      <c r="C475" s="1864">
        <v>102000000</v>
      </c>
      <c r="D475" s="1864">
        <f>102000000-500000-500000-450000-25000000-630000</f>
        <v>74920000</v>
      </c>
      <c r="E475" s="1864">
        <v>989991.28</v>
      </c>
      <c r="F475" s="1864"/>
      <c r="G475" s="2200">
        <f t="shared" si="95"/>
        <v>0.97057968627450986</v>
      </c>
      <c r="H475" s="2200">
        <f t="shared" si="89"/>
        <v>1.3213978643886812</v>
      </c>
      <c r="I475" s="2201">
        <f t="shared" si="90"/>
        <v>282.12917640353379</v>
      </c>
      <c r="J475" s="29">
        <v>350900</v>
      </c>
    </row>
    <row r="476" spans="1:10" x14ac:dyDescent="0.2">
      <c r="A476" s="2352" t="s">
        <v>1658</v>
      </c>
      <c r="B476" s="815" t="s">
        <v>2845</v>
      </c>
      <c r="C476" s="1864">
        <v>5000</v>
      </c>
      <c r="D476" s="1864">
        <f>5000+450000</f>
        <v>455000</v>
      </c>
      <c r="E476" s="1864">
        <v>453750</v>
      </c>
      <c r="F476" s="1864"/>
      <c r="G476" s="2200">
        <f t="shared" si="95"/>
        <v>9075</v>
      </c>
      <c r="H476" s="2200">
        <f t="shared" si="89"/>
        <v>99.72527472527473</v>
      </c>
      <c r="I476" s="2201">
        <v>0</v>
      </c>
      <c r="J476" s="29">
        <v>0</v>
      </c>
    </row>
    <row r="477" spans="1:10" x14ac:dyDescent="0.2">
      <c r="A477" s="2352" t="s">
        <v>1660</v>
      </c>
      <c r="B477" s="815" t="s">
        <v>2846</v>
      </c>
      <c r="C477" s="1864">
        <v>5000</v>
      </c>
      <c r="D477" s="1864">
        <v>5000</v>
      </c>
      <c r="E477" s="1864">
        <v>0</v>
      </c>
      <c r="F477" s="1864"/>
      <c r="G477" s="2200">
        <f t="shared" si="95"/>
        <v>0</v>
      </c>
      <c r="H477" s="2200">
        <f t="shared" si="89"/>
        <v>0</v>
      </c>
      <c r="I477" s="2201">
        <v>0</v>
      </c>
      <c r="J477" s="29">
        <v>0</v>
      </c>
    </row>
    <row r="478" spans="1:10" x14ac:dyDescent="0.2">
      <c r="A478" s="2352" t="s">
        <v>1662</v>
      </c>
      <c r="B478" s="815" t="s">
        <v>2847</v>
      </c>
      <c r="C478" s="1864">
        <v>300000</v>
      </c>
      <c r="D478" s="1864">
        <v>300000</v>
      </c>
      <c r="E478" s="1864">
        <v>0</v>
      </c>
      <c r="F478" s="1864"/>
      <c r="G478" s="2200">
        <f t="shared" si="95"/>
        <v>0</v>
      </c>
      <c r="H478" s="2200">
        <f t="shared" si="89"/>
        <v>0</v>
      </c>
      <c r="I478" s="2201">
        <v>0</v>
      </c>
      <c r="J478" s="29">
        <v>0</v>
      </c>
    </row>
    <row r="479" spans="1:10" x14ac:dyDescent="0.2">
      <c r="A479" s="2296">
        <v>3612</v>
      </c>
      <c r="B479" s="1240" t="s">
        <v>1644</v>
      </c>
      <c r="C479" s="722">
        <f>SUM(C480:C492)</f>
        <v>32440000</v>
      </c>
      <c r="D479" s="722">
        <f>SUM(D480:D492)</f>
        <v>22627000</v>
      </c>
      <c r="E479" s="722">
        <v>2504621</v>
      </c>
      <c r="F479" s="1864">
        <f>SUM(E480:E492)</f>
        <v>2504621</v>
      </c>
      <c r="G479" s="1663">
        <f t="shared" si="95"/>
        <v>7.7207799013563507</v>
      </c>
      <c r="H479" s="1663">
        <f t="shared" si="89"/>
        <v>11.069169576170063</v>
      </c>
      <c r="I479" s="1662">
        <f t="shared" si="90"/>
        <v>88.517328136006199</v>
      </c>
      <c r="J479" s="29">
        <v>2829526.21</v>
      </c>
    </row>
    <row r="480" spans="1:10" x14ac:dyDescent="0.2">
      <c r="A480" s="2352" t="s">
        <v>1666</v>
      </c>
      <c r="B480" s="1112" t="s">
        <v>2848</v>
      </c>
      <c r="C480" s="1077">
        <v>10100000</v>
      </c>
      <c r="D480" s="1077">
        <f>10100000+10000-503000</f>
        <v>9607000</v>
      </c>
      <c r="E480" s="1077">
        <v>0</v>
      </c>
      <c r="F480" s="1077"/>
      <c r="G480" s="2200">
        <f t="shared" si="95"/>
        <v>0</v>
      </c>
      <c r="H480" s="2200">
        <f t="shared" si="89"/>
        <v>0</v>
      </c>
      <c r="I480" s="2201">
        <v>0</v>
      </c>
      <c r="J480" s="29">
        <v>0</v>
      </c>
    </row>
    <row r="481" spans="1:10" ht="12.75" customHeight="1" x14ac:dyDescent="0.2">
      <c r="A481" s="2352" t="s">
        <v>2849</v>
      </c>
      <c r="B481" s="2372" t="s">
        <v>2850</v>
      </c>
      <c r="C481" s="1077">
        <v>5000000</v>
      </c>
      <c r="D481" s="1077">
        <f>5000000-20000-550000-2050000</f>
        <v>2380000</v>
      </c>
      <c r="E481" s="1077">
        <v>0</v>
      </c>
      <c r="F481" s="1077"/>
      <c r="G481" s="2200">
        <f t="shared" si="95"/>
        <v>0</v>
      </c>
      <c r="H481" s="2200">
        <f t="shared" si="89"/>
        <v>0</v>
      </c>
      <c r="I481" s="2201">
        <v>0</v>
      </c>
      <c r="J481" s="29">
        <v>0</v>
      </c>
    </row>
    <row r="482" spans="1:10" ht="12" customHeight="1" x14ac:dyDescent="0.2">
      <c r="A482" s="2352" t="s">
        <v>1678</v>
      </c>
      <c r="B482" s="1958" t="s">
        <v>2851</v>
      </c>
      <c r="C482" s="1077">
        <v>550000</v>
      </c>
      <c r="D482" s="1077">
        <v>550000</v>
      </c>
      <c r="E482" s="1077">
        <v>0</v>
      </c>
      <c r="F482" s="1077"/>
      <c r="G482" s="2200">
        <f t="shared" si="95"/>
        <v>0</v>
      </c>
      <c r="H482" s="2200">
        <f t="shared" si="89"/>
        <v>0</v>
      </c>
      <c r="I482" s="2201">
        <v>0</v>
      </c>
      <c r="J482" s="29">
        <v>0</v>
      </c>
    </row>
    <row r="483" spans="1:10" x14ac:dyDescent="0.2">
      <c r="A483" s="2352" t="s">
        <v>1680</v>
      </c>
      <c r="B483" s="2395" t="s">
        <v>2852</v>
      </c>
      <c r="C483" s="1077">
        <v>2750000</v>
      </c>
      <c r="D483" s="1077">
        <v>2750000</v>
      </c>
      <c r="E483" s="1077">
        <v>1815</v>
      </c>
      <c r="F483" s="1077"/>
      <c r="G483" s="2200">
        <f t="shared" si="95"/>
        <v>6.6000000000000003E-2</v>
      </c>
      <c r="H483" s="2200">
        <f t="shared" si="89"/>
        <v>6.6000000000000003E-2</v>
      </c>
      <c r="I483" s="2201">
        <v>0</v>
      </c>
      <c r="J483" s="29">
        <v>0</v>
      </c>
    </row>
    <row r="484" spans="1:10" x14ac:dyDescent="0.2">
      <c r="A484" s="2352" t="s">
        <v>1682</v>
      </c>
      <c r="B484" s="1112" t="s">
        <v>2853</v>
      </c>
      <c r="C484" s="1077">
        <v>250000</v>
      </c>
      <c r="D484" s="1077">
        <f>250000+460000</f>
        <v>710000</v>
      </c>
      <c r="E484" s="1077">
        <v>0</v>
      </c>
      <c r="F484" s="1077"/>
      <c r="G484" s="2200">
        <f t="shared" si="95"/>
        <v>0</v>
      </c>
      <c r="H484" s="2200">
        <f t="shared" si="89"/>
        <v>0</v>
      </c>
      <c r="I484" s="2201">
        <v>0</v>
      </c>
      <c r="J484" s="29">
        <v>0</v>
      </c>
    </row>
    <row r="485" spans="1:10" x14ac:dyDescent="0.2">
      <c r="A485" s="2352" t="s">
        <v>2854</v>
      </c>
      <c r="B485" s="1958" t="s">
        <v>2855</v>
      </c>
      <c r="C485" s="1077">
        <v>5750000</v>
      </c>
      <c r="D485" s="1077">
        <f>5750000-290000-5450000-10000</f>
        <v>0</v>
      </c>
      <c r="E485" s="1077">
        <v>0</v>
      </c>
      <c r="F485" s="1077"/>
      <c r="G485" s="2200">
        <f t="shared" si="95"/>
        <v>0</v>
      </c>
      <c r="H485" s="2200">
        <v>0</v>
      </c>
      <c r="I485" s="2201">
        <v>0</v>
      </c>
      <c r="J485" s="29">
        <v>0</v>
      </c>
    </row>
    <row r="486" spans="1:10" x14ac:dyDescent="0.2">
      <c r="A486" s="2352" t="s">
        <v>1686</v>
      </c>
      <c r="B486" s="1958" t="s">
        <v>2856</v>
      </c>
      <c r="C486" s="1077">
        <v>400000</v>
      </c>
      <c r="D486" s="1077">
        <f>400000-400000</f>
        <v>0</v>
      </c>
      <c r="E486" s="1077">
        <v>0</v>
      </c>
      <c r="F486" s="1077"/>
      <c r="G486" s="2200">
        <f t="shared" si="95"/>
        <v>0</v>
      </c>
      <c r="H486" s="2200">
        <v>0</v>
      </c>
      <c r="I486" s="2201">
        <v>0</v>
      </c>
      <c r="J486" s="29">
        <v>235000</v>
      </c>
    </row>
    <row r="487" spans="1:10" x14ac:dyDescent="0.2">
      <c r="A487" s="2352" t="s">
        <v>1688</v>
      </c>
      <c r="B487" s="1958" t="s">
        <v>2857</v>
      </c>
      <c r="C487" s="1077">
        <v>300000</v>
      </c>
      <c r="D487" s="1077">
        <v>300000</v>
      </c>
      <c r="E487" s="1077">
        <v>0</v>
      </c>
      <c r="F487" s="1077"/>
      <c r="G487" s="2200">
        <f t="shared" si="95"/>
        <v>0</v>
      </c>
      <c r="H487" s="2200">
        <f t="shared" si="89"/>
        <v>0</v>
      </c>
      <c r="I487" s="2201">
        <v>0</v>
      </c>
      <c r="J487" s="29">
        <v>0</v>
      </c>
    </row>
    <row r="488" spans="1:10" s="2" customFormat="1" x14ac:dyDescent="0.2">
      <c r="A488" s="2352" t="s">
        <v>2416</v>
      </c>
      <c r="B488" s="1958" t="s">
        <v>2858</v>
      </c>
      <c r="C488" s="1077">
        <v>300000</v>
      </c>
      <c r="D488" s="1077">
        <v>300000</v>
      </c>
      <c r="E488" s="1077">
        <v>0</v>
      </c>
      <c r="F488" s="1077"/>
      <c r="G488" s="2200">
        <f t="shared" si="95"/>
        <v>0</v>
      </c>
      <c r="H488" s="2200">
        <f t="shared" si="89"/>
        <v>0</v>
      </c>
      <c r="I488" s="2201">
        <v>0</v>
      </c>
      <c r="J488" s="88">
        <v>0</v>
      </c>
    </row>
    <row r="489" spans="1:10" x14ac:dyDescent="0.2">
      <c r="A489" s="2352" t="s">
        <v>2859</v>
      </c>
      <c r="B489" s="1958" t="s">
        <v>2101</v>
      </c>
      <c r="C489" s="1077">
        <v>3500000</v>
      </c>
      <c r="D489" s="1077">
        <v>3500000</v>
      </c>
      <c r="E489" s="1077">
        <v>6050</v>
      </c>
      <c r="F489" s="1077"/>
      <c r="G489" s="2200">
        <f t="shared" si="95"/>
        <v>0.17285714285714285</v>
      </c>
      <c r="H489" s="2200">
        <f t="shared" si="89"/>
        <v>0.17285714285714285</v>
      </c>
      <c r="I489" s="2201">
        <v>0</v>
      </c>
      <c r="J489" s="29">
        <v>0</v>
      </c>
    </row>
    <row r="490" spans="1:10" x14ac:dyDescent="0.2">
      <c r="A490" s="2352" t="s">
        <v>1690</v>
      </c>
      <c r="B490" s="2372" t="s">
        <v>2860</v>
      </c>
      <c r="C490" s="1077">
        <v>2240000</v>
      </c>
      <c r="D490" s="1077">
        <f>2240000+290000</f>
        <v>2530000</v>
      </c>
      <c r="E490" s="1077">
        <v>2496756</v>
      </c>
      <c r="F490" s="1077"/>
      <c r="G490" s="2200">
        <f t="shared" si="95"/>
        <v>111.46232142857141</v>
      </c>
      <c r="H490" s="2200">
        <f t="shared" si="89"/>
        <v>98.686007905138339</v>
      </c>
      <c r="I490" s="2201">
        <v>0</v>
      </c>
      <c r="J490" s="29">
        <v>0</v>
      </c>
    </row>
    <row r="491" spans="1:10" ht="25.5" x14ac:dyDescent="0.2">
      <c r="A491" s="2352" t="s">
        <v>2861</v>
      </c>
      <c r="B491" s="2372" t="s">
        <v>2862</v>
      </c>
      <c r="C491" s="2341">
        <v>500000</v>
      </c>
      <c r="D491" s="2341">
        <f>500000-500000</f>
        <v>0</v>
      </c>
      <c r="E491" s="2341">
        <v>0</v>
      </c>
      <c r="F491" s="2341"/>
      <c r="G491" s="2200">
        <f t="shared" si="95"/>
        <v>0</v>
      </c>
      <c r="H491" s="2200">
        <v>0</v>
      </c>
      <c r="I491" s="2201">
        <v>0</v>
      </c>
      <c r="J491" s="29">
        <v>0</v>
      </c>
    </row>
    <row r="492" spans="1:10" ht="25.5" x14ac:dyDescent="0.2">
      <c r="A492" s="2352" t="s">
        <v>2863</v>
      </c>
      <c r="B492" s="2372" t="s">
        <v>2864</v>
      </c>
      <c r="C492" s="2341">
        <v>800000</v>
      </c>
      <c r="D492" s="2341">
        <f>800000-800000</f>
        <v>0</v>
      </c>
      <c r="E492" s="2341">
        <v>0</v>
      </c>
      <c r="F492" s="2341"/>
      <c r="G492" s="2200">
        <f t="shared" si="95"/>
        <v>0</v>
      </c>
      <c r="H492" s="2200">
        <v>0</v>
      </c>
      <c r="I492" s="2201">
        <v>0</v>
      </c>
      <c r="J492" s="29">
        <v>0</v>
      </c>
    </row>
    <row r="493" spans="1:10" ht="12" customHeight="1" x14ac:dyDescent="0.2">
      <c r="A493" s="2391">
        <v>3613</v>
      </c>
      <c r="B493" s="1240" t="s">
        <v>1646</v>
      </c>
      <c r="C493" s="727">
        <f>SUM(C494:C502)</f>
        <v>11470000</v>
      </c>
      <c r="D493" s="727">
        <f>SUM(D494:D502)</f>
        <v>25640000</v>
      </c>
      <c r="E493" s="727">
        <v>3595339.95</v>
      </c>
      <c r="F493" s="2341">
        <f>SUM(E494:E502)</f>
        <v>3595339.9499999997</v>
      </c>
      <c r="G493" s="1663">
        <f t="shared" si="95"/>
        <v>31.345596774193552</v>
      </c>
      <c r="H493" s="1663">
        <f t="shared" ref="H493:H555" si="101">E493/D493*100</f>
        <v>14.02238670046802</v>
      </c>
      <c r="I493" s="1662">
        <f t="shared" ref="I493:I554" si="102">E493/J493*100</f>
        <v>1047.5779636077564</v>
      </c>
      <c r="J493" s="29">
        <v>343205</v>
      </c>
    </row>
    <row r="494" spans="1:10" ht="12" customHeight="1" x14ac:dyDescent="0.2">
      <c r="A494" s="2352" t="s">
        <v>1694</v>
      </c>
      <c r="B494" s="1112" t="s">
        <v>2865</v>
      </c>
      <c r="C494" s="1077">
        <v>1000000</v>
      </c>
      <c r="D494" s="1077">
        <v>1000000</v>
      </c>
      <c r="E494" s="1077">
        <v>0</v>
      </c>
      <c r="F494" s="1077"/>
      <c r="G494" s="2200">
        <f t="shared" si="95"/>
        <v>0</v>
      </c>
      <c r="H494" s="2200">
        <f t="shared" si="101"/>
        <v>0</v>
      </c>
      <c r="I494" s="2201">
        <v>0</v>
      </c>
      <c r="J494" s="29">
        <v>0</v>
      </c>
    </row>
    <row r="495" spans="1:10" ht="12" customHeight="1" x14ac:dyDescent="0.2">
      <c r="A495" s="2352" t="s">
        <v>1698</v>
      </c>
      <c r="B495" s="1112" t="s">
        <v>2866</v>
      </c>
      <c r="C495" s="1077">
        <v>5000000</v>
      </c>
      <c r="D495" s="1077">
        <f>5000000+6000000</f>
        <v>11000000</v>
      </c>
      <c r="E495" s="1077">
        <v>2254867.5699999998</v>
      </c>
      <c r="F495" s="1077"/>
      <c r="G495" s="2200">
        <f t="shared" si="95"/>
        <v>45.097351399999994</v>
      </c>
      <c r="H495" s="2200">
        <f t="shared" si="101"/>
        <v>20.498796090909089</v>
      </c>
      <c r="I495" s="2201">
        <f t="shared" si="102"/>
        <v>759.96952191570745</v>
      </c>
      <c r="J495" s="29">
        <v>296705</v>
      </c>
    </row>
    <row r="496" spans="1:10" x14ac:dyDescent="0.2">
      <c r="A496" s="2352" t="s">
        <v>2867</v>
      </c>
      <c r="B496" s="1958" t="s">
        <v>2855</v>
      </c>
      <c r="C496" s="1077">
        <v>0</v>
      </c>
      <c r="D496" s="1077">
        <f>5450000</f>
        <v>5450000</v>
      </c>
      <c r="E496" s="1077">
        <v>0</v>
      </c>
      <c r="F496" s="1077"/>
      <c r="G496" s="2200">
        <v>0</v>
      </c>
      <c r="H496" s="2200">
        <f t="shared" si="101"/>
        <v>0</v>
      </c>
      <c r="I496" s="2201">
        <v>0</v>
      </c>
      <c r="J496" s="29">
        <v>0</v>
      </c>
    </row>
    <row r="497" spans="1:10" x14ac:dyDescent="0.2">
      <c r="A497" s="2396" t="s">
        <v>2868</v>
      </c>
      <c r="B497" s="1112" t="s">
        <v>2869</v>
      </c>
      <c r="C497" s="1077">
        <v>3200000</v>
      </c>
      <c r="D497" s="1077">
        <f>3200000+2000000+550000</f>
        <v>5750000</v>
      </c>
      <c r="E497" s="1077">
        <v>339284</v>
      </c>
      <c r="F497" s="1077"/>
      <c r="G497" s="2200">
        <f t="shared" si="95"/>
        <v>10.602625</v>
      </c>
      <c r="H497" s="2200">
        <f t="shared" si="101"/>
        <v>5.9005913043478264</v>
      </c>
      <c r="I497" s="2201">
        <v>0</v>
      </c>
      <c r="J497" s="29">
        <v>0</v>
      </c>
    </row>
    <row r="498" spans="1:10" x14ac:dyDescent="0.2">
      <c r="A498" s="2352" t="s">
        <v>1712</v>
      </c>
      <c r="B498" s="1112" t="s">
        <v>2870</v>
      </c>
      <c r="C498" s="1864">
        <v>10000</v>
      </c>
      <c r="D498" s="1864">
        <f>10000+170000</f>
        <v>180000</v>
      </c>
      <c r="E498" s="1077">
        <v>0</v>
      </c>
      <c r="F498" s="1077"/>
      <c r="G498" s="2200">
        <f t="shared" si="95"/>
        <v>0</v>
      </c>
      <c r="H498" s="2200">
        <f t="shared" si="101"/>
        <v>0</v>
      </c>
      <c r="I498" s="2201">
        <v>0</v>
      </c>
      <c r="J498" s="29">
        <v>0</v>
      </c>
    </row>
    <row r="499" spans="1:10" x14ac:dyDescent="0.2">
      <c r="A499" s="2352" t="s">
        <v>2871</v>
      </c>
      <c r="B499" s="1112" t="s">
        <v>2872</v>
      </c>
      <c r="C499" s="1077">
        <v>750000</v>
      </c>
      <c r="D499" s="1077">
        <v>750000</v>
      </c>
      <c r="E499" s="1077">
        <v>0</v>
      </c>
      <c r="F499" s="1077"/>
      <c r="G499" s="2200">
        <f t="shared" si="95"/>
        <v>0</v>
      </c>
      <c r="H499" s="2200">
        <f t="shared" si="101"/>
        <v>0</v>
      </c>
      <c r="I499" s="2201">
        <v>0</v>
      </c>
      <c r="J499" s="29">
        <v>0</v>
      </c>
    </row>
    <row r="500" spans="1:10" x14ac:dyDescent="0.2">
      <c r="A500" s="2352" t="s">
        <v>2873</v>
      </c>
      <c r="B500" s="1112" t="s">
        <v>2106</v>
      </c>
      <c r="C500" s="1077">
        <v>400000</v>
      </c>
      <c r="D500" s="1077">
        <v>400000</v>
      </c>
      <c r="E500" s="1077">
        <v>0</v>
      </c>
      <c r="F500" s="1077"/>
      <c r="G500" s="2200">
        <f t="shared" si="95"/>
        <v>0</v>
      </c>
      <c r="H500" s="2200">
        <f t="shared" si="101"/>
        <v>0</v>
      </c>
      <c r="I500" s="2201">
        <v>0</v>
      </c>
      <c r="J500" s="29">
        <v>0</v>
      </c>
    </row>
    <row r="501" spans="1:10" x14ac:dyDescent="0.2">
      <c r="A501" s="2352" t="s">
        <v>2874</v>
      </c>
      <c r="B501" s="1112" t="s">
        <v>2875</v>
      </c>
      <c r="C501" s="1077">
        <v>10000</v>
      </c>
      <c r="D501" s="1077">
        <v>10000</v>
      </c>
      <c r="E501" s="1077">
        <v>0</v>
      </c>
      <c r="F501" s="1077"/>
      <c r="G501" s="2200">
        <f t="shared" si="95"/>
        <v>0</v>
      </c>
      <c r="H501" s="2200">
        <f t="shared" si="101"/>
        <v>0</v>
      </c>
      <c r="I501" s="2201">
        <v>0</v>
      </c>
      <c r="J501" s="29">
        <v>0</v>
      </c>
    </row>
    <row r="502" spans="1:10" x14ac:dyDescent="0.2">
      <c r="A502" s="2352" t="s">
        <v>2876</v>
      </c>
      <c r="B502" s="809" t="s">
        <v>2877</v>
      </c>
      <c r="C502" s="1077">
        <v>1100000</v>
      </c>
      <c r="D502" s="1077">
        <v>1100000</v>
      </c>
      <c r="E502" s="1077">
        <v>1001188.38</v>
      </c>
      <c r="F502" s="1077"/>
      <c r="G502" s="2200">
        <f t="shared" si="95"/>
        <v>91.01712545454545</v>
      </c>
      <c r="H502" s="2200">
        <f t="shared" si="101"/>
        <v>91.01712545454545</v>
      </c>
      <c r="I502" s="2201">
        <v>0</v>
      </c>
      <c r="J502" s="29">
        <v>0</v>
      </c>
    </row>
    <row r="503" spans="1:10" x14ac:dyDescent="0.2">
      <c r="A503" s="2296">
        <v>3634</v>
      </c>
      <c r="B503" s="1240" t="s">
        <v>1716</v>
      </c>
      <c r="C503" s="727">
        <f>SUM(C504:C507)</f>
        <v>7105000</v>
      </c>
      <c r="D503" s="727">
        <f>SUM(D504:D507)</f>
        <v>7605000</v>
      </c>
      <c r="E503" s="727">
        <v>47287.59</v>
      </c>
      <c r="F503" s="2341">
        <f>SUM(E504:E507)</f>
        <v>47287.59</v>
      </c>
      <c r="G503" s="1663">
        <f t="shared" si="95"/>
        <v>0.66555369458128077</v>
      </c>
      <c r="H503" s="1663">
        <f t="shared" si="101"/>
        <v>0.62179605522682435</v>
      </c>
      <c r="I503" s="1662">
        <f t="shared" si="102"/>
        <v>100.72333219732469</v>
      </c>
      <c r="J503" s="29">
        <v>46948</v>
      </c>
    </row>
    <row r="504" spans="1:10" x14ac:dyDescent="0.2">
      <c r="A504" s="2352" t="s">
        <v>1721</v>
      </c>
      <c r="B504" s="809" t="s">
        <v>2108</v>
      </c>
      <c r="C504" s="2341">
        <v>800000</v>
      </c>
      <c r="D504" s="2341">
        <v>800000</v>
      </c>
      <c r="E504" s="2341">
        <v>0</v>
      </c>
      <c r="F504" s="2341"/>
      <c r="G504" s="2200">
        <f t="shared" si="95"/>
        <v>0</v>
      </c>
      <c r="H504" s="2200">
        <f t="shared" si="101"/>
        <v>0</v>
      </c>
      <c r="I504" s="2201">
        <v>0</v>
      </c>
      <c r="J504" s="29">
        <v>0</v>
      </c>
    </row>
    <row r="505" spans="1:10" x14ac:dyDescent="0.2">
      <c r="A505" s="2352" t="s">
        <v>1723</v>
      </c>
      <c r="B505" s="809" t="s">
        <v>2878</v>
      </c>
      <c r="C505" s="1077">
        <v>2000000</v>
      </c>
      <c r="D505" s="1077">
        <v>2000000</v>
      </c>
      <c r="E505" s="1077">
        <v>0</v>
      </c>
      <c r="F505" s="1077"/>
      <c r="G505" s="2200">
        <f t="shared" si="95"/>
        <v>0</v>
      </c>
      <c r="H505" s="2200">
        <f t="shared" si="101"/>
        <v>0</v>
      </c>
      <c r="I505" s="2201">
        <v>0</v>
      </c>
      <c r="J505" s="29">
        <v>0</v>
      </c>
    </row>
    <row r="506" spans="1:10" x14ac:dyDescent="0.2">
      <c r="A506" s="2352" t="s">
        <v>1725</v>
      </c>
      <c r="B506" s="809" t="s">
        <v>2879</v>
      </c>
      <c r="C506" s="1077">
        <v>5000</v>
      </c>
      <c r="D506" s="1077">
        <v>5000</v>
      </c>
      <c r="E506" s="1077">
        <v>0</v>
      </c>
      <c r="F506" s="1077"/>
      <c r="G506" s="2200">
        <f t="shared" ref="G506:G569" si="103">E506/C506*100</f>
        <v>0</v>
      </c>
      <c r="H506" s="2200">
        <f t="shared" si="101"/>
        <v>0</v>
      </c>
      <c r="I506" s="2201">
        <v>0</v>
      </c>
      <c r="J506" s="29">
        <v>0</v>
      </c>
    </row>
    <row r="507" spans="1:10" s="2" customFormat="1" x14ac:dyDescent="0.2">
      <c r="A507" s="2352" t="s">
        <v>2880</v>
      </c>
      <c r="B507" s="809" t="s">
        <v>2881</v>
      </c>
      <c r="C507" s="1077">
        <v>4300000</v>
      </c>
      <c r="D507" s="1077">
        <f>4300000+500000</f>
        <v>4800000</v>
      </c>
      <c r="E507" s="1077">
        <v>47287.59</v>
      </c>
      <c r="F507" s="1077"/>
      <c r="G507" s="2200">
        <f t="shared" si="103"/>
        <v>1.0997113953488371</v>
      </c>
      <c r="H507" s="2200">
        <f t="shared" si="101"/>
        <v>0.985158125</v>
      </c>
      <c r="I507" s="2201">
        <v>0</v>
      </c>
      <c r="J507" s="88">
        <v>0</v>
      </c>
    </row>
    <row r="508" spans="1:10" x14ac:dyDescent="0.2">
      <c r="A508" s="2296">
        <v>4351</v>
      </c>
      <c r="B508" s="1240" t="s">
        <v>2434</v>
      </c>
      <c r="C508" s="727">
        <f t="shared" ref="C508:D510" si="104">SUM(C509)</f>
        <v>3850000</v>
      </c>
      <c r="D508" s="727">
        <f t="shared" si="104"/>
        <v>3850000</v>
      </c>
      <c r="E508" s="727">
        <v>207005.91</v>
      </c>
      <c r="F508" s="2341"/>
      <c r="G508" s="1663">
        <f t="shared" si="103"/>
        <v>5.3767768831168832</v>
      </c>
      <c r="H508" s="1663">
        <f t="shared" si="101"/>
        <v>5.3767768831168832</v>
      </c>
      <c r="I508" s="1662">
        <v>0</v>
      </c>
      <c r="J508" s="29">
        <v>0</v>
      </c>
    </row>
    <row r="509" spans="1:10" x14ac:dyDescent="0.2">
      <c r="A509" s="2352" t="s">
        <v>2882</v>
      </c>
      <c r="B509" s="1112" t="s">
        <v>2107</v>
      </c>
      <c r="C509" s="1077">
        <v>3850000</v>
      </c>
      <c r="D509" s="1077">
        <v>3850000</v>
      </c>
      <c r="E509" s="1077">
        <v>207005.91</v>
      </c>
      <c r="F509" s="1077"/>
      <c r="G509" s="2200">
        <f t="shared" si="103"/>
        <v>5.3767768831168832</v>
      </c>
      <c r="H509" s="2200">
        <f t="shared" si="101"/>
        <v>5.3767768831168832</v>
      </c>
      <c r="I509" s="2201">
        <v>0</v>
      </c>
      <c r="J509" s="29">
        <v>0</v>
      </c>
    </row>
    <row r="510" spans="1:10" x14ac:dyDescent="0.2">
      <c r="A510" s="2296">
        <v>4374</v>
      </c>
      <c r="B510" s="1240" t="s">
        <v>2437</v>
      </c>
      <c r="C510" s="727">
        <f t="shared" si="104"/>
        <v>53000</v>
      </c>
      <c r="D510" s="727">
        <f t="shared" si="104"/>
        <v>53000</v>
      </c>
      <c r="E510" s="727">
        <v>0</v>
      </c>
      <c r="F510" s="2341"/>
      <c r="G510" s="1663">
        <f t="shared" si="103"/>
        <v>0</v>
      </c>
      <c r="H510" s="1663">
        <f t="shared" si="101"/>
        <v>0</v>
      </c>
      <c r="I510" s="1662">
        <v>0</v>
      </c>
      <c r="J510" s="29">
        <v>0</v>
      </c>
    </row>
    <row r="511" spans="1:10" x14ac:dyDescent="0.2">
      <c r="A511" s="2397" t="s">
        <v>2438</v>
      </c>
      <c r="B511" s="2398" t="s">
        <v>2883</v>
      </c>
      <c r="C511" s="1189">
        <v>53000</v>
      </c>
      <c r="D511" s="1189">
        <v>53000</v>
      </c>
      <c r="E511" s="1189">
        <v>0</v>
      </c>
      <c r="F511" s="1189"/>
      <c r="G511" s="2200">
        <f t="shared" si="103"/>
        <v>0</v>
      </c>
      <c r="H511" s="2200">
        <f t="shared" si="101"/>
        <v>0</v>
      </c>
      <c r="I511" s="2201">
        <v>0</v>
      </c>
      <c r="J511" s="29">
        <v>0</v>
      </c>
    </row>
    <row r="512" spans="1:10" ht="15.75" x14ac:dyDescent="0.25">
      <c r="A512" s="2373"/>
      <c r="B512" s="1998" t="s">
        <v>2439</v>
      </c>
      <c r="C512" s="2001">
        <f>C513+C519+C521+C523+C527</f>
        <v>15102700</v>
      </c>
      <c r="D512" s="2001">
        <f>D513+D519+D521+D523+D527</f>
        <v>16402700</v>
      </c>
      <c r="E512" s="1197">
        <v>4335480.55</v>
      </c>
      <c r="F512" s="2399">
        <f>SUM(E513,E519,E521,E523,E527)</f>
        <v>4335480.55</v>
      </c>
      <c r="G512" s="2325">
        <f t="shared" si="103"/>
        <v>28.70665874313864</v>
      </c>
      <c r="H512" s="2325">
        <f t="shared" si="101"/>
        <v>26.431505483853268</v>
      </c>
      <c r="I512" s="2325">
        <f t="shared" si="102"/>
        <v>43.987870129327248</v>
      </c>
      <c r="J512" s="29">
        <v>9856082</v>
      </c>
    </row>
    <row r="513" spans="1:10" x14ac:dyDescent="0.2">
      <c r="A513" s="2375">
        <v>3412</v>
      </c>
      <c r="B513" s="1137" t="s">
        <v>1739</v>
      </c>
      <c r="C513" s="1138">
        <f t="shared" ref="C513:D513" si="105">SUM(C514:C518)</f>
        <v>14527700</v>
      </c>
      <c r="D513" s="1138">
        <f t="shared" si="105"/>
        <v>15827700</v>
      </c>
      <c r="E513" s="2029">
        <v>4335480.55</v>
      </c>
      <c r="F513" s="2042">
        <f>SUM(E514:E518)</f>
        <v>4335480.55</v>
      </c>
      <c r="G513" s="1663">
        <f t="shared" si="103"/>
        <v>29.842855717009577</v>
      </c>
      <c r="H513" s="1663">
        <f t="shared" si="101"/>
        <v>27.391728109580036</v>
      </c>
      <c r="I513" s="1662">
        <f t="shared" si="102"/>
        <v>274.70437228929785</v>
      </c>
      <c r="J513" s="29">
        <v>1578235</v>
      </c>
    </row>
    <row r="514" spans="1:10" x14ac:dyDescent="0.2">
      <c r="A514" s="2352" t="s">
        <v>1744</v>
      </c>
      <c r="B514" s="809" t="s">
        <v>2884</v>
      </c>
      <c r="C514" s="1077">
        <v>622000</v>
      </c>
      <c r="D514" s="1077">
        <f>622000+363000</f>
        <v>985000</v>
      </c>
      <c r="E514" s="1077">
        <v>544500</v>
      </c>
      <c r="F514" s="1077"/>
      <c r="G514" s="2200">
        <f t="shared" si="103"/>
        <v>87.540192926045009</v>
      </c>
      <c r="H514" s="2200">
        <f t="shared" si="101"/>
        <v>55.27918781725888</v>
      </c>
      <c r="I514" s="2201">
        <f t="shared" si="102"/>
        <v>1728.5714285714284</v>
      </c>
      <c r="J514" s="29">
        <v>31500</v>
      </c>
    </row>
    <row r="515" spans="1:10" x14ac:dyDescent="0.2">
      <c r="A515" s="2352" t="s">
        <v>1746</v>
      </c>
      <c r="B515" s="809" t="s">
        <v>2885</v>
      </c>
      <c r="C515" s="1077">
        <v>205700</v>
      </c>
      <c r="D515" s="1077">
        <f>205700+121000</f>
        <v>326700</v>
      </c>
      <c r="E515" s="1077">
        <v>157300</v>
      </c>
      <c r="F515" s="1077"/>
      <c r="G515" s="2200">
        <f t="shared" si="103"/>
        <v>76.470588235294116</v>
      </c>
      <c r="H515" s="2200">
        <f t="shared" si="101"/>
        <v>48.148148148148145</v>
      </c>
      <c r="I515" s="2201">
        <f t="shared" si="102"/>
        <v>780.25793650793651</v>
      </c>
      <c r="J515" s="29">
        <v>20160</v>
      </c>
    </row>
    <row r="516" spans="1:10" x14ac:dyDescent="0.2">
      <c r="A516" s="2352" t="s">
        <v>1748</v>
      </c>
      <c r="B516" s="1112" t="s">
        <v>2886</v>
      </c>
      <c r="C516" s="1077">
        <v>6200000</v>
      </c>
      <c r="D516" s="1077">
        <f>6200000+1300000</f>
        <v>7500000</v>
      </c>
      <c r="E516" s="1077">
        <v>309205.55</v>
      </c>
      <c r="F516" s="1077"/>
      <c r="G516" s="2200">
        <f t="shared" si="103"/>
        <v>4.9871862903225805</v>
      </c>
      <c r="H516" s="2200">
        <f t="shared" si="101"/>
        <v>4.1227406666666671</v>
      </c>
      <c r="I516" s="2201">
        <f t="shared" si="102"/>
        <v>319.42722107438016</v>
      </c>
      <c r="J516" s="29">
        <v>96800</v>
      </c>
    </row>
    <row r="517" spans="1:10" x14ac:dyDescent="0.2">
      <c r="A517" s="2352" t="s">
        <v>1750</v>
      </c>
      <c r="B517" s="1112" t="s">
        <v>2071</v>
      </c>
      <c r="C517" s="1077">
        <v>4000000</v>
      </c>
      <c r="D517" s="1077">
        <f>4000000-3000000+3000000-321000</f>
        <v>3679000</v>
      </c>
      <c r="E517" s="1077">
        <v>0</v>
      </c>
      <c r="F517" s="1077"/>
      <c r="G517" s="2200">
        <f t="shared" si="103"/>
        <v>0</v>
      </c>
      <c r="H517" s="2200">
        <f t="shared" si="101"/>
        <v>0</v>
      </c>
      <c r="I517" s="2201">
        <v>0</v>
      </c>
      <c r="J517" s="29">
        <v>0</v>
      </c>
    </row>
    <row r="518" spans="1:10" x14ac:dyDescent="0.2">
      <c r="A518" s="2352" t="s">
        <v>2887</v>
      </c>
      <c r="B518" s="1112" t="s">
        <v>2073</v>
      </c>
      <c r="C518" s="1077">
        <v>3500000</v>
      </c>
      <c r="D518" s="1077">
        <f>3500000-163000</f>
        <v>3337000</v>
      </c>
      <c r="E518" s="1077">
        <v>3324475</v>
      </c>
      <c r="F518" s="1077"/>
      <c r="G518" s="2200">
        <f t="shared" si="103"/>
        <v>94.984999999999999</v>
      </c>
      <c r="H518" s="2200">
        <f t="shared" si="101"/>
        <v>99.624662870842073</v>
      </c>
      <c r="I518" s="2201">
        <f t="shared" si="102"/>
        <v>232.51735412914618</v>
      </c>
      <c r="J518" s="29">
        <v>1429775</v>
      </c>
    </row>
    <row r="519" spans="1:10" x14ac:dyDescent="0.2">
      <c r="A519" s="2296">
        <v>3613</v>
      </c>
      <c r="B519" s="1240" t="s">
        <v>1646</v>
      </c>
      <c r="C519" s="727">
        <f t="shared" ref="C519:D521" si="106">SUM(C520:C520)</f>
        <v>300000</v>
      </c>
      <c r="D519" s="727">
        <f t="shared" si="106"/>
        <v>300000</v>
      </c>
      <c r="E519" s="727">
        <v>0</v>
      </c>
      <c r="F519" s="2341"/>
      <c r="G519" s="1663">
        <f t="shared" si="103"/>
        <v>0</v>
      </c>
      <c r="H519" s="1663">
        <f t="shared" si="101"/>
        <v>0</v>
      </c>
      <c r="I519" s="1662">
        <v>0</v>
      </c>
      <c r="J519" s="29">
        <v>0</v>
      </c>
    </row>
    <row r="520" spans="1:10" s="2" customFormat="1" x14ac:dyDescent="0.2">
      <c r="A520" s="2352" t="s">
        <v>558</v>
      </c>
      <c r="B520" s="809" t="s">
        <v>2888</v>
      </c>
      <c r="C520" s="1077">
        <v>300000</v>
      </c>
      <c r="D520" s="1077">
        <v>300000</v>
      </c>
      <c r="E520" s="1077">
        <v>0</v>
      </c>
      <c r="F520" s="1077"/>
      <c r="G520" s="2200">
        <f t="shared" si="103"/>
        <v>0</v>
      </c>
      <c r="H520" s="2200">
        <f t="shared" si="101"/>
        <v>0</v>
      </c>
      <c r="I520" s="2201">
        <v>0</v>
      </c>
      <c r="J520" s="88">
        <v>0</v>
      </c>
    </row>
    <row r="521" spans="1:10" x14ac:dyDescent="0.2">
      <c r="A521" s="2296">
        <v>3631</v>
      </c>
      <c r="B521" s="1240" t="s">
        <v>1755</v>
      </c>
      <c r="C521" s="727">
        <f t="shared" si="106"/>
        <v>5000</v>
      </c>
      <c r="D521" s="727">
        <f>SUM(D522:D522)</f>
        <v>5000</v>
      </c>
      <c r="E521" s="727">
        <v>0</v>
      </c>
      <c r="F521" s="2341"/>
      <c r="G521" s="1663">
        <f t="shared" si="103"/>
        <v>0</v>
      </c>
      <c r="H521" s="1663">
        <f t="shared" si="101"/>
        <v>0</v>
      </c>
      <c r="I521" s="1662">
        <f t="shared" si="102"/>
        <v>0</v>
      </c>
      <c r="J521" s="29">
        <v>7569917.4000000004</v>
      </c>
    </row>
    <row r="522" spans="1:10" s="2" customFormat="1" ht="12.75" customHeight="1" x14ac:dyDescent="0.2">
      <c r="A522" s="2352"/>
      <c r="B522" s="809" t="s">
        <v>2889</v>
      </c>
      <c r="C522" s="1077">
        <v>5000</v>
      </c>
      <c r="D522" s="1077">
        <v>5000</v>
      </c>
      <c r="E522" s="1077">
        <v>0</v>
      </c>
      <c r="F522" s="1077"/>
      <c r="G522" s="2200">
        <f t="shared" si="103"/>
        <v>0</v>
      </c>
      <c r="H522" s="2200">
        <f t="shared" si="101"/>
        <v>0</v>
      </c>
      <c r="I522" s="2201">
        <v>0</v>
      </c>
      <c r="J522" s="88">
        <v>0</v>
      </c>
    </row>
    <row r="523" spans="1:10" x14ac:dyDescent="0.2">
      <c r="A523" s="2296">
        <v>3632</v>
      </c>
      <c r="B523" s="1240" t="s">
        <v>1410</v>
      </c>
      <c r="C523" s="727">
        <f>SUM(C524:C526)</f>
        <v>20000</v>
      </c>
      <c r="D523" s="727">
        <f>SUM(D524:D526)</f>
        <v>20000</v>
      </c>
      <c r="E523" s="727">
        <v>0</v>
      </c>
      <c r="F523" s="2341"/>
      <c r="G523" s="1663">
        <f t="shared" si="103"/>
        <v>0</v>
      </c>
      <c r="H523" s="1663">
        <f t="shared" si="101"/>
        <v>0</v>
      </c>
      <c r="I523" s="1662">
        <f t="shared" si="102"/>
        <v>0</v>
      </c>
      <c r="J523" s="29">
        <v>707929.59999999998</v>
      </c>
    </row>
    <row r="524" spans="1:10" x14ac:dyDescent="0.2">
      <c r="A524" s="2352" t="s">
        <v>1762</v>
      </c>
      <c r="B524" s="809" t="s">
        <v>2890</v>
      </c>
      <c r="C524" s="1077">
        <v>10000</v>
      </c>
      <c r="D524" s="1077">
        <v>10000</v>
      </c>
      <c r="E524" s="1077">
        <v>0</v>
      </c>
      <c r="F524" s="1077"/>
      <c r="G524" s="2200">
        <f t="shared" si="103"/>
        <v>0</v>
      </c>
      <c r="H524" s="2200">
        <f t="shared" si="101"/>
        <v>0</v>
      </c>
      <c r="I524" s="2201">
        <v>0</v>
      </c>
      <c r="J524" s="29">
        <v>0</v>
      </c>
    </row>
    <row r="525" spans="1:10" x14ac:dyDescent="0.2">
      <c r="A525" s="2352" t="s">
        <v>1762</v>
      </c>
      <c r="B525" s="1112" t="s">
        <v>2891</v>
      </c>
      <c r="C525" s="1077">
        <v>5000</v>
      </c>
      <c r="D525" s="1077">
        <v>5000</v>
      </c>
      <c r="E525" s="1077">
        <v>0</v>
      </c>
      <c r="F525" s="1077"/>
      <c r="G525" s="2200">
        <f t="shared" si="103"/>
        <v>0</v>
      </c>
      <c r="H525" s="2200">
        <f t="shared" si="101"/>
        <v>0</v>
      </c>
      <c r="I525" s="2201">
        <v>0</v>
      </c>
      <c r="J525" s="29">
        <v>0</v>
      </c>
    </row>
    <row r="526" spans="1:10" x14ac:dyDescent="0.2">
      <c r="A526" s="2352" t="s">
        <v>1766</v>
      </c>
      <c r="B526" s="1112" t="s">
        <v>2892</v>
      </c>
      <c r="C526" s="1077">
        <v>5000</v>
      </c>
      <c r="D526" s="1077">
        <v>5000</v>
      </c>
      <c r="E526" s="1077">
        <v>0</v>
      </c>
      <c r="F526" s="1077"/>
      <c r="G526" s="2200">
        <f t="shared" si="103"/>
        <v>0</v>
      </c>
      <c r="H526" s="2200">
        <f t="shared" si="101"/>
        <v>0</v>
      </c>
      <c r="I526" s="2201">
        <v>0</v>
      </c>
      <c r="J526" s="29">
        <v>0</v>
      </c>
    </row>
    <row r="527" spans="1:10" s="2" customFormat="1" x14ac:dyDescent="0.2">
      <c r="A527" s="2296">
        <v>3633</v>
      </c>
      <c r="B527" s="1240" t="s">
        <v>1416</v>
      </c>
      <c r="C527" s="727">
        <f t="shared" ref="C527:D532" si="107">SUM(C528:C528)</f>
        <v>250000</v>
      </c>
      <c r="D527" s="727">
        <f t="shared" si="107"/>
        <v>250000</v>
      </c>
      <c r="E527" s="727">
        <v>0</v>
      </c>
      <c r="F527" s="2341"/>
      <c r="G527" s="1663">
        <f t="shared" si="103"/>
        <v>0</v>
      </c>
      <c r="H527" s="1663">
        <f t="shared" si="101"/>
        <v>0</v>
      </c>
      <c r="I527" s="1662">
        <v>0</v>
      </c>
      <c r="J527" s="88">
        <v>0</v>
      </c>
    </row>
    <row r="528" spans="1:10" s="2" customFormat="1" x14ac:dyDescent="0.2">
      <c r="A528" s="2400" t="s">
        <v>1768</v>
      </c>
      <c r="B528" s="1075" t="s">
        <v>2893</v>
      </c>
      <c r="C528" s="1048">
        <v>250000</v>
      </c>
      <c r="D528" s="1048">
        <v>250000</v>
      </c>
      <c r="E528" s="1048">
        <v>0</v>
      </c>
      <c r="F528" s="1048"/>
      <c r="G528" s="2200">
        <f t="shared" si="103"/>
        <v>0</v>
      </c>
      <c r="H528" s="2200">
        <f t="shared" si="101"/>
        <v>0</v>
      </c>
      <c r="I528" s="2201">
        <v>0</v>
      </c>
      <c r="J528" s="88">
        <v>0</v>
      </c>
    </row>
    <row r="529" spans="1:241" s="2" customFormat="1" ht="15.75" x14ac:dyDescent="0.25">
      <c r="A529" s="2373"/>
      <c r="B529" s="1998" t="s">
        <v>1770</v>
      </c>
      <c r="C529" s="1055">
        <f t="shared" si="107"/>
        <v>200000</v>
      </c>
      <c r="D529" s="1055">
        <f t="shared" si="107"/>
        <v>200000</v>
      </c>
      <c r="E529" s="2401">
        <v>67500</v>
      </c>
      <c r="F529" s="2402"/>
      <c r="G529" s="2325">
        <f t="shared" si="103"/>
        <v>33.75</v>
      </c>
      <c r="H529" s="2325">
        <f t="shared" si="101"/>
        <v>33.75</v>
      </c>
      <c r="I529" s="2325">
        <f t="shared" si="102"/>
        <v>193.93208067574557</v>
      </c>
      <c r="J529" s="88">
        <v>34806</v>
      </c>
    </row>
    <row r="530" spans="1:241" x14ac:dyDescent="0.2">
      <c r="A530" s="2403" t="s">
        <v>609</v>
      </c>
      <c r="B530" s="1200" t="s">
        <v>2894</v>
      </c>
      <c r="C530" s="1809">
        <v>200000</v>
      </c>
      <c r="D530" s="1809">
        <v>200000</v>
      </c>
      <c r="E530" s="1201">
        <v>67500</v>
      </c>
      <c r="F530" s="1201"/>
      <c r="G530" s="2200">
        <f t="shared" si="103"/>
        <v>33.75</v>
      </c>
      <c r="H530" s="2200">
        <f t="shared" si="101"/>
        <v>33.75</v>
      </c>
      <c r="I530" s="2201">
        <f t="shared" si="102"/>
        <v>193.93208067574557</v>
      </c>
      <c r="J530" s="29">
        <v>34806</v>
      </c>
    </row>
    <row r="531" spans="1:241" s="1973" customFormat="1" ht="12.75" customHeight="1" x14ac:dyDescent="0.2">
      <c r="A531" s="2404"/>
      <c r="B531" s="1988"/>
      <c r="C531" s="1190"/>
      <c r="D531" s="1190"/>
      <c r="E531" s="1190"/>
      <c r="F531" s="1048"/>
      <c r="G531" s="1048"/>
      <c r="H531" s="1048"/>
      <c r="I531" s="1190"/>
      <c r="J531" s="88"/>
      <c r="K531" s="2"/>
      <c r="L531" s="2"/>
      <c r="M531" s="2"/>
      <c r="N531" s="2"/>
      <c r="O531" s="2"/>
      <c r="P531" s="2"/>
      <c r="Q531" s="2"/>
      <c r="R531" s="2"/>
      <c r="S531" s="2"/>
      <c r="T531" s="2"/>
      <c r="U531" s="2"/>
      <c r="V531" s="2"/>
      <c r="W531" s="2"/>
      <c r="X531" s="2"/>
      <c r="Y531" s="2"/>
      <c r="Z531" s="2"/>
      <c r="AA531" s="2"/>
      <c r="AB531" s="2"/>
      <c r="AC531" s="2"/>
      <c r="AD531" s="2"/>
      <c r="AE531" s="2"/>
      <c r="AF531" s="2"/>
      <c r="AG531" s="2"/>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c r="FL531" s="2"/>
      <c r="FM531" s="2"/>
      <c r="FN531" s="2"/>
      <c r="FO531" s="2"/>
      <c r="FP531" s="2"/>
      <c r="FQ531" s="2"/>
      <c r="FR531" s="2"/>
      <c r="FS531" s="2"/>
      <c r="FT531" s="2"/>
      <c r="FU531" s="2"/>
      <c r="FV531" s="2"/>
      <c r="FW531" s="2"/>
      <c r="FX531" s="2"/>
      <c r="FY531" s="2"/>
      <c r="FZ531" s="2"/>
      <c r="GA531" s="2"/>
      <c r="GB531" s="2"/>
      <c r="GC531" s="2"/>
      <c r="GD531" s="2"/>
      <c r="GE531" s="2"/>
      <c r="GF531" s="2"/>
      <c r="GG531" s="2"/>
      <c r="GH531" s="2"/>
      <c r="GI531" s="2"/>
      <c r="GJ531" s="2"/>
      <c r="GK531" s="2"/>
      <c r="GL531" s="2"/>
      <c r="GM531" s="2"/>
      <c r="GN531" s="2"/>
      <c r="GO531" s="2"/>
      <c r="GP531" s="2"/>
      <c r="GQ531" s="2"/>
      <c r="GR531" s="2"/>
      <c r="GS531" s="2"/>
      <c r="GT531" s="2"/>
      <c r="GU531" s="2"/>
      <c r="GV531" s="2"/>
      <c r="GW531" s="2"/>
      <c r="GX531" s="2"/>
      <c r="GY531" s="2"/>
      <c r="GZ531" s="2"/>
      <c r="HA531" s="2"/>
      <c r="HB531" s="2"/>
      <c r="HC531" s="2"/>
      <c r="HD531" s="2"/>
      <c r="HE531" s="2"/>
      <c r="HF531" s="2"/>
      <c r="HG531" s="2"/>
      <c r="HH531" s="2"/>
      <c r="HI531" s="2"/>
      <c r="HJ531" s="2"/>
      <c r="HK531" s="2"/>
      <c r="HL531" s="2"/>
      <c r="HM531" s="2"/>
      <c r="HN531" s="2"/>
      <c r="HO531" s="2"/>
      <c r="HP531" s="2"/>
      <c r="HQ531" s="2"/>
      <c r="HR531" s="2"/>
      <c r="HS531" s="2"/>
      <c r="HT531" s="2"/>
      <c r="HU531" s="2"/>
      <c r="HV531" s="2"/>
      <c r="HW531" s="2"/>
      <c r="HX531" s="2"/>
      <c r="HY531" s="2"/>
      <c r="HZ531" s="2"/>
      <c r="IA531" s="2"/>
      <c r="IB531" s="2"/>
      <c r="IC531" s="2"/>
      <c r="ID531" s="2"/>
      <c r="IE531" s="2"/>
      <c r="IF531" s="2"/>
      <c r="IG531" s="2"/>
    </row>
    <row r="532" spans="1:241" ht="20.25" x14ac:dyDescent="0.3">
      <c r="A532" s="2405"/>
      <c r="B532" s="1204" t="s">
        <v>31</v>
      </c>
      <c r="C532" s="1403">
        <f t="shared" si="107"/>
        <v>15000</v>
      </c>
      <c r="D532" s="1403">
        <f t="shared" si="107"/>
        <v>15000</v>
      </c>
      <c r="E532" s="1403">
        <v>7500</v>
      </c>
      <c r="F532" s="2384"/>
      <c r="G532" s="949">
        <f t="shared" si="103"/>
        <v>50</v>
      </c>
      <c r="H532" s="949">
        <f t="shared" si="101"/>
        <v>50</v>
      </c>
      <c r="I532" s="949">
        <v>0</v>
      </c>
      <c r="J532" s="29">
        <v>0</v>
      </c>
    </row>
    <row r="533" spans="1:241" x14ac:dyDescent="0.2">
      <c r="A533" s="2406">
        <v>2141</v>
      </c>
      <c r="B533" s="1208" t="s">
        <v>1773</v>
      </c>
      <c r="C533" s="731">
        <v>15000</v>
      </c>
      <c r="D533" s="731">
        <v>15000</v>
      </c>
      <c r="E533" s="731">
        <v>7500</v>
      </c>
      <c r="F533" s="2407"/>
      <c r="G533" s="1663">
        <f t="shared" si="103"/>
        <v>50</v>
      </c>
      <c r="H533" s="1663">
        <f t="shared" si="101"/>
        <v>50</v>
      </c>
      <c r="I533" s="1662">
        <v>0</v>
      </c>
      <c r="J533" s="29">
        <v>0</v>
      </c>
    </row>
    <row r="534" spans="1:241" s="244" customFormat="1" ht="12.75" customHeight="1" x14ac:dyDescent="0.25">
      <c r="A534" s="2408"/>
      <c r="B534" s="1213"/>
      <c r="C534" s="2026"/>
      <c r="D534" s="2026"/>
      <c r="E534" s="1042"/>
      <c r="F534" s="2409"/>
      <c r="G534" s="2409"/>
      <c r="H534" s="2409"/>
      <c r="I534" s="2026"/>
      <c r="J534" s="29"/>
    </row>
    <row r="535" spans="1:241" s="98" customFormat="1" ht="20.25" x14ac:dyDescent="0.3">
      <c r="A535" s="2373"/>
      <c r="B535" s="701" t="s">
        <v>614</v>
      </c>
      <c r="C535" s="2410">
        <f>SUM(C536:C539)</f>
        <v>17594633</v>
      </c>
      <c r="D535" s="2410">
        <f>SUM(D536:D539)</f>
        <v>17974633</v>
      </c>
      <c r="E535" s="2410">
        <v>6495985.4800000004</v>
      </c>
      <c r="F535" s="2411">
        <f>SUM(E536:E539)</f>
        <v>6495985.4800000004</v>
      </c>
      <c r="G535" s="949">
        <f t="shared" si="103"/>
        <v>36.920266992781272</v>
      </c>
      <c r="H535" s="949">
        <f t="shared" si="101"/>
        <v>36.139739153505943</v>
      </c>
      <c r="I535" s="949">
        <f t="shared" si="102"/>
        <v>113.49134408354307</v>
      </c>
      <c r="J535" s="29">
        <v>5723771.7400000002</v>
      </c>
    </row>
    <row r="536" spans="1:241" s="98" customFormat="1" ht="26.25" customHeight="1" x14ac:dyDescent="0.2">
      <c r="A536" s="2219">
        <v>2141</v>
      </c>
      <c r="B536" s="1977" t="s">
        <v>2445</v>
      </c>
      <c r="C536" s="2028">
        <f>(15+50+129+1264.741+6.5+100)*1000</f>
        <v>1565241</v>
      </c>
      <c r="D536" s="2028">
        <f>(15+50+129+1264.741+6.5+100)*1000</f>
        <v>1565241</v>
      </c>
      <c r="E536" s="731">
        <v>247378.7</v>
      </c>
      <c r="F536" s="2364"/>
      <c r="G536" s="1663">
        <f t="shared" si="103"/>
        <v>15.804511893056725</v>
      </c>
      <c r="H536" s="1663">
        <f t="shared" si="101"/>
        <v>15.804511893056725</v>
      </c>
      <c r="I536" s="1662">
        <f t="shared" si="102"/>
        <v>155.88913072479502</v>
      </c>
      <c r="J536" s="29">
        <v>158688.87</v>
      </c>
    </row>
    <row r="537" spans="1:241" s="98" customFormat="1" ht="72" customHeight="1" x14ac:dyDescent="0.2">
      <c r="A537" s="2221">
        <v>2143</v>
      </c>
      <c r="B537" s="725" t="s">
        <v>2895</v>
      </c>
      <c r="C537" s="727">
        <f>(4610+230+600+1143.28+57.04+414.9+20.7+10+1300+1130+400+1+7.5+10+50+900+130+2050+235.972+130+15+200+5+50+5+200+490)*1000</f>
        <v>14395391.999999998</v>
      </c>
      <c r="D537" s="727">
        <f>((4610+230+600+1143.28+57.04+414.9+20.7+10+1300+1130+400+1+7.5+10+50+900+130+2050+235.972+130+15+200+5+50+5+200+490)*1000)+300000+80000</f>
        <v>14775391.999999998</v>
      </c>
      <c r="E537" s="731">
        <v>5375007.8700000001</v>
      </c>
      <c r="F537" s="2341"/>
      <c r="G537" s="1663">
        <f t="shared" si="103"/>
        <v>37.338391827051325</v>
      </c>
      <c r="H537" s="1663">
        <f t="shared" si="101"/>
        <v>36.378106719605142</v>
      </c>
      <c r="I537" s="1662">
        <f t="shared" si="102"/>
        <v>115.1428901680849</v>
      </c>
      <c r="J537" s="1866">
        <v>4668119.6399999997</v>
      </c>
    </row>
    <row r="538" spans="1:241" s="98" customFormat="1" ht="25.5" customHeight="1" x14ac:dyDescent="0.2">
      <c r="A538" s="2221">
        <v>3399</v>
      </c>
      <c r="B538" s="725" t="s">
        <v>1776</v>
      </c>
      <c r="C538" s="727">
        <v>130000</v>
      </c>
      <c r="D538" s="727">
        <v>130000</v>
      </c>
      <c r="E538" s="731">
        <v>14212.17</v>
      </c>
      <c r="F538" s="2042"/>
      <c r="G538" s="1663">
        <f t="shared" si="103"/>
        <v>10.932438461538462</v>
      </c>
      <c r="H538" s="1663">
        <f t="shared" si="101"/>
        <v>10.932438461538462</v>
      </c>
      <c r="I538" s="1662">
        <f t="shared" si="102"/>
        <v>50.154003273451799</v>
      </c>
      <c r="J538" s="1866">
        <v>28337.06</v>
      </c>
    </row>
    <row r="539" spans="1:241" s="98" customFormat="1" ht="26.25" customHeight="1" x14ac:dyDescent="0.2">
      <c r="A539" s="2221">
        <v>6223</v>
      </c>
      <c r="B539" s="725" t="s">
        <v>2448</v>
      </c>
      <c r="C539" s="727">
        <f>(150+50+15+40+900+77+250+5.5+5.5+5.5+5.5)*1000</f>
        <v>1504000</v>
      </c>
      <c r="D539" s="727">
        <f>(150+50+15+40+900+77+250+5.5+5.5+5.5+5.5)*1000</f>
        <v>1504000</v>
      </c>
      <c r="E539" s="731">
        <v>859386.74</v>
      </c>
      <c r="F539" s="2042"/>
      <c r="G539" s="1663">
        <f t="shared" si="103"/>
        <v>57.140075797872335</v>
      </c>
      <c r="H539" s="1663">
        <f t="shared" si="101"/>
        <v>57.140075797872335</v>
      </c>
      <c r="I539" s="1662">
        <f t="shared" si="102"/>
        <v>98.936316873805438</v>
      </c>
      <c r="J539" s="1866">
        <v>868626.17</v>
      </c>
    </row>
    <row r="540" spans="1:241" s="98" customFormat="1" ht="12" customHeight="1" x14ac:dyDescent="0.2">
      <c r="A540" s="2412"/>
      <c r="B540" s="1221"/>
      <c r="C540" s="899"/>
      <c r="D540" s="899"/>
      <c r="E540" s="1042"/>
      <c r="F540" s="979"/>
      <c r="G540" s="979"/>
      <c r="H540" s="979"/>
      <c r="I540" s="899"/>
      <c r="J540" s="29"/>
    </row>
    <row r="541" spans="1:241" s="98" customFormat="1" ht="20.25" x14ac:dyDescent="0.3">
      <c r="A541" s="2413"/>
      <c r="B541" s="1226" t="s">
        <v>33</v>
      </c>
      <c r="C541" s="1403">
        <f t="shared" ref="C541:D541" si="108">SUM(C542,C543)</f>
        <v>11914064</v>
      </c>
      <c r="D541" s="1403">
        <f t="shared" si="108"/>
        <v>11914064</v>
      </c>
      <c r="E541" s="2414">
        <v>6075000.75</v>
      </c>
      <c r="F541" s="2384">
        <f>SUM(E542:E543)</f>
        <v>6075000.75</v>
      </c>
      <c r="G541" s="949">
        <f t="shared" si="103"/>
        <v>50.990163809762976</v>
      </c>
      <c r="H541" s="949">
        <f t="shared" si="101"/>
        <v>50.990163809762976</v>
      </c>
      <c r="I541" s="949">
        <f t="shared" si="102"/>
        <v>110.04539550431629</v>
      </c>
      <c r="J541" s="29">
        <v>5520449.7400000002</v>
      </c>
    </row>
    <row r="542" spans="1:241" s="98" customFormat="1" ht="24.75" x14ac:dyDescent="0.2">
      <c r="A542" s="2221">
        <v>2223</v>
      </c>
      <c r="B542" s="725" t="s">
        <v>1778</v>
      </c>
      <c r="C542" s="1138">
        <v>110000</v>
      </c>
      <c r="D542" s="1138">
        <v>110000</v>
      </c>
      <c r="E542" s="765">
        <v>88723.1</v>
      </c>
      <c r="F542" s="2364"/>
      <c r="G542" s="1663">
        <f t="shared" si="103"/>
        <v>80.657363636363641</v>
      </c>
      <c r="H542" s="1663">
        <f t="shared" si="101"/>
        <v>80.657363636363641</v>
      </c>
      <c r="I542" s="1662">
        <f t="shared" si="102"/>
        <v>105.23774335081303</v>
      </c>
      <c r="J542" s="1866">
        <v>84307.3</v>
      </c>
    </row>
    <row r="543" spans="1:241" s="98" customFormat="1" x14ac:dyDescent="0.2">
      <c r="A543" s="2221">
        <v>2292</v>
      </c>
      <c r="B543" s="717" t="s">
        <v>2449</v>
      </c>
      <c r="C543" s="731">
        <f t="shared" ref="C543:D543" si="109">SUM(C544:C548)</f>
        <v>11804064</v>
      </c>
      <c r="D543" s="731">
        <f t="shared" si="109"/>
        <v>11804064</v>
      </c>
      <c r="E543" s="731">
        <v>5986277.6500000004</v>
      </c>
      <c r="F543" s="738">
        <f>SUM(E544:E548)</f>
        <v>5986277.6500000004</v>
      </c>
      <c r="G543" s="1663">
        <f t="shared" si="103"/>
        <v>50.713700383190066</v>
      </c>
      <c r="H543" s="1663">
        <f t="shared" si="101"/>
        <v>50.713700383190066</v>
      </c>
      <c r="I543" s="1662">
        <f t="shared" si="102"/>
        <v>110.11995576039395</v>
      </c>
      <c r="J543" s="29">
        <v>5436142.4400000004</v>
      </c>
    </row>
    <row r="544" spans="1:241" s="98" customFormat="1" x14ac:dyDescent="0.2">
      <c r="A544" s="2221"/>
      <c r="B544" s="737" t="s">
        <v>623</v>
      </c>
      <c r="C544" s="1232">
        <v>2234064</v>
      </c>
      <c r="D544" s="1232">
        <v>2234064</v>
      </c>
      <c r="E544" s="738">
        <v>1117032</v>
      </c>
      <c r="F544" s="1232"/>
      <c r="G544" s="2200">
        <f t="shared" si="103"/>
        <v>50</v>
      </c>
      <c r="H544" s="2200">
        <f t="shared" si="101"/>
        <v>50</v>
      </c>
      <c r="I544" s="2201">
        <f t="shared" si="102"/>
        <v>160.72333500718702</v>
      </c>
      <c r="J544" s="29">
        <v>695003</v>
      </c>
    </row>
    <row r="545" spans="1:11" s="98" customFormat="1" x14ac:dyDescent="0.2">
      <c r="A545" s="2221"/>
      <c r="B545" s="737" t="s">
        <v>2450</v>
      </c>
      <c r="C545" s="1900">
        <v>8800000</v>
      </c>
      <c r="D545" s="1900">
        <v>8800000</v>
      </c>
      <c r="E545" s="738">
        <v>4400452</v>
      </c>
      <c r="F545" s="1864"/>
      <c r="G545" s="2200">
        <f t="shared" si="103"/>
        <v>50.00513636363636</v>
      </c>
      <c r="H545" s="2200">
        <f t="shared" si="101"/>
        <v>50.00513636363636</v>
      </c>
      <c r="I545" s="2201">
        <f t="shared" si="102"/>
        <v>105.39189423189535</v>
      </c>
      <c r="J545" s="29">
        <v>4175323</v>
      </c>
    </row>
    <row r="546" spans="1:11" s="98" customFormat="1" x14ac:dyDescent="0.2">
      <c r="A546" s="2221"/>
      <c r="B546" s="749" t="s">
        <v>2451</v>
      </c>
      <c r="C546" s="1900">
        <v>350000</v>
      </c>
      <c r="D546" s="1900">
        <v>350000</v>
      </c>
      <c r="E546" s="738">
        <v>194652</v>
      </c>
      <c r="F546" s="1864"/>
      <c r="G546" s="2200">
        <f t="shared" si="103"/>
        <v>55.614857142857147</v>
      </c>
      <c r="H546" s="2200">
        <f t="shared" si="101"/>
        <v>55.614857142857147</v>
      </c>
      <c r="I546" s="2201">
        <f t="shared" si="102"/>
        <v>65.123437170664147</v>
      </c>
      <c r="J546" s="88">
        <v>298897</v>
      </c>
    </row>
    <row r="547" spans="1:11" s="98" customFormat="1" x14ac:dyDescent="0.2">
      <c r="A547" s="2415"/>
      <c r="B547" s="1229" t="s">
        <v>2452</v>
      </c>
      <c r="C547" s="1900">
        <v>400000</v>
      </c>
      <c r="D547" s="1900">
        <v>400000</v>
      </c>
      <c r="E547" s="750">
        <v>270508</v>
      </c>
      <c r="F547" s="1864"/>
      <c r="G547" s="2200">
        <f t="shared" si="103"/>
        <v>67.62700000000001</v>
      </c>
      <c r="H547" s="2200">
        <f t="shared" si="101"/>
        <v>67.62700000000001</v>
      </c>
      <c r="I547" s="2201">
        <f t="shared" si="102"/>
        <v>102.60623508839805</v>
      </c>
      <c r="J547" s="29">
        <v>263637</v>
      </c>
    </row>
    <row r="548" spans="1:11" s="98" customFormat="1" x14ac:dyDescent="0.2">
      <c r="A548" s="2416"/>
      <c r="B548" s="1231" t="s">
        <v>2453</v>
      </c>
      <c r="C548" s="1900">
        <v>20000</v>
      </c>
      <c r="D548" s="1900">
        <v>20000</v>
      </c>
      <c r="E548" s="1045">
        <v>3633.65</v>
      </c>
      <c r="F548" s="1864"/>
      <c r="G548" s="2200">
        <f t="shared" si="103"/>
        <v>18.16825</v>
      </c>
      <c r="H548" s="2200">
        <f t="shared" si="101"/>
        <v>18.16825</v>
      </c>
      <c r="I548" s="2201">
        <f t="shared" si="102"/>
        <v>30.280416666666664</v>
      </c>
      <c r="J548" s="29">
        <v>12000</v>
      </c>
    </row>
    <row r="549" spans="1:11" s="98" customFormat="1" ht="12" customHeight="1" x14ac:dyDescent="0.2">
      <c r="A549" s="2417"/>
      <c r="B549" s="1231"/>
      <c r="C549" s="899"/>
      <c r="D549" s="899"/>
      <c r="E549" s="1158"/>
      <c r="F549" s="838"/>
      <c r="G549" s="979"/>
      <c r="H549" s="979"/>
      <c r="I549" s="899"/>
      <c r="J549" s="29"/>
    </row>
    <row r="550" spans="1:11" s="98" customFormat="1" ht="20.25" x14ac:dyDescent="0.3">
      <c r="A550" s="2373"/>
      <c r="B550" s="701" t="s">
        <v>34</v>
      </c>
      <c r="C550" s="652">
        <f t="shared" ref="C550:D550" si="110">SUM(C551:C552)</f>
        <v>162000</v>
      </c>
      <c r="D550" s="652">
        <f t="shared" si="110"/>
        <v>162000</v>
      </c>
      <c r="E550" s="652">
        <v>11720</v>
      </c>
      <c r="F550" s="2270"/>
      <c r="G550" s="949">
        <f t="shared" si="103"/>
        <v>7.2345679012345681</v>
      </c>
      <c r="H550" s="949">
        <f t="shared" si="101"/>
        <v>7.2345679012345681</v>
      </c>
      <c r="I550" s="949">
        <f t="shared" si="102"/>
        <v>171.59439302143758</v>
      </c>
      <c r="J550" s="29">
        <v>6830.06</v>
      </c>
    </row>
    <row r="551" spans="1:11" s="98" customFormat="1" ht="12.75" customHeight="1" x14ac:dyDescent="0.2">
      <c r="A551" s="2221">
        <v>2223</v>
      </c>
      <c r="B551" s="717" t="s">
        <v>1784</v>
      </c>
      <c r="C551" s="715">
        <v>150000</v>
      </c>
      <c r="D551" s="715">
        <v>150000</v>
      </c>
      <c r="E551" s="731">
        <v>11720</v>
      </c>
      <c r="F551" s="2418"/>
      <c r="G551" s="1663">
        <f t="shared" si="103"/>
        <v>7.8133333333333335</v>
      </c>
      <c r="H551" s="1663">
        <f t="shared" si="101"/>
        <v>7.8133333333333335</v>
      </c>
      <c r="I551" s="1662">
        <f t="shared" si="102"/>
        <v>183.23780577417972</v>
      </c>
      <c r="J551" s="29">
        <v>6396.06</v>
      </c>
    </row>
    <row r="552" spans="1:11" s="98" customFormat="1" x14ac:dyDescent="0.2">
      <c r="A552" s="2221">
        <v>6171</v>
      </c>
      <c r="B552" s="717" t="s">
        <v>1785</v>
      </c>
      <c r="C552" s="722">
        <v>12000</v>
      </c>
      <c r="D552" s="722">
        <v>12000</v>
      </c>
      <c r="E552" s="731">
        <v>0</v>
      </c>
      <c r="F552" s="740"/>
      <c r="G552" s="1663">
        <f t="shared" si="103"/>
        <v>0</v>
      </c>
      <c r="H552" s="1663">
        <f t="shared" si="101"/>
        <v>0</v>
      </c>
      <c r="I552" s="1662">
        <f t="shared" si="102"/>
        <v>0</v>
      </c>
      <c r="J552" s="29">
        <v>434</v>
      </c>
    </row>
    <row r="553" spans="1:11" s="98" customFormat="1" ht="12" customHeight="1" x14ac:dyDescent="0.2">
      <c r="A553" s="2419"/>
      <c r="B553" s="1236"/>
      <c r="C553" s="899"/>
      <c r="D553" s="899"/>
      <c r="E553" s="1517"/>
      <c r="F553" s="838"/>
      <c r="G553" s="2420"/>
      <c r="H553" s="2420"/>
      <c r="I553" s="899"/>
      <c r="J553" s="29"/>
    </row>
    <row r="554" spans="1:11" s="98" customFormat="1" ht="20.25" x14ac:dyDescent="0.3">
      <c r="A554" s="2413"/>
      <c r="B554" s="1238" t="s">
        <v>630</v>
      </c>
      <c r="C554" s="1239">
        <f>SUM(C555:C555)</f>
        <v>500000</v>
      </c>
      <c r="D554" s="1239">
        <f>SUM(D555:D555)</f>
        <v>500000</v>
      </c>
      <c r="E554" s="1239">
        <v>0</v>
      </c>
      <c r="F554" s="2421"/>
      <c r="G554" s="949">
        <f t="shared" si="103"/>
        <v>0</v>
      </c>
      <c r="H554" s="949">
        <f t="shared" si="101"/>
        <v>0</v>
      </c>
      <c r="I554" s="949">
        <f t="shared" si="102"/>
        <v>0</v>
      </c>
      <c r="J554" s="1866">
        <v>355497.35</v>
      </c>
    </row>
    <row r="555" spans="1:11" s="98" customFormat="1" x14ac:dyDescent="0.2">
      <c r="A555" s="2422">
        <v>6114</v>
      </c>
      <c r="B555" s="842" t="s">
        <v>2896</v>
      </c>
      <c r="C555" s="998">
        <v>500000</v>
      </c>
      <c r="D555" s="984">
        <v>500000</v>
      </c>
      <c r="E555" s="984">
        <v>0</v>
      </c>
      <c r="F555" s="772"/>
      <c r="G555" s="1663">
        <f t="shared" si="103"/>
        <v>0</v>
      </c>
      <c r="H555" s="1663">
        <f t="shared" si="101"/>
        <v>0</v>
      </c>
      <c r="I555" s="1662">
        <v>0</v>
      </c>
      <c r="J555" s="1994">
        <v>0</v>
      </c>
    </row>
    <row r="556" spans="1:11" s="98" customFormat="1" ht="12" customHeight="1" x14ac:dyDescent="0.2">
      <c r="A556" s="2337"/>
      <c r="B556" s="2034"/>
      <c r="C556" s="1006"/>
      <c r="D556" s="869"/>
      <c r="E556" s="869"/>
      <c r="F556" s="779"/>
      <c r="G556" s="1102"/>
      <c r="H556" s="1102"/>
      <c r="I556" s="1359"/>
      <c r="J556" s="1994"/>
    </row>
    <row r="557" spans="1:11" customFormat="1" ht="20.25" x14ac:dyDescent="0.3">
      <c r="A557" s="2405"/>
      <c r="B557" s="1246" t="s">
        <v>36</v>
      </c>
      <c r="C557" s="1247">
        <f>C558+C603+C630+C633</f>
        <v>125656247</v>
      </c>
      <c r="D557" s="1247">
        <f>D558+D603+D630+D633</f>
        <v>140482051.32999998</v>
      </c>
      <c r="E557" s="1247">
        <v>72645632.400000006</v>
      </c>
      <c r="F557" s="2270">
        <f>SUM(E558,E603,E630,E633)</f>
        <v>72645632.400000006</v>
      </c>
      <c r="G557" s="2325">
        <f t="shared" si="103"/>
        <v>57.812989114659786</v>
      </c>
      <c r="H557" s="2325">
        <f t="shared" ref="H557:H619" si="111">E557/D557*100</f>
        <v>51.71168253327356</v>
      </c>
      <c r="I557" s="2325">
        <f t="shared" ref="I557:I619" si="112">E557/J557*100</f>
        <v>99.280043396195396</v>
      </c>
      <c r="J557" s="88">
        <v>73172442.230000004</v>
      </c>
      <c r="K557" s="2"/>
    </row>
    <row r="558" spans="1:11" customFormat="1" ht="15.75" x14ac:dyDescent="0.25">
      <c r="A558" s="2371"/>
      <c r="B558" s="1249" t="s">
        <v>633</v>
      </c>
      <c r="C558" s="1080">
        <f>SUM(C559,C575,C601,C596)</f>
        <v>47677600</v>
      </c>
      <c r="D558" s="1080">
        <f>SUM(D559,D575,D601,D596)</f>
        <v>51568795.189999998</v>
      </c>
      <c r="E558" s="1080">
        <v>26074348.16</v>
      </c>
      <c r="F558" s="2270">
        <f>SUM(E559,E575,E596,E601)</f>
        <v>26074348.16</v>
      </c>
      <c r="G558" s="2325">
        <f t="shared" si="103"/>
        <v>54.688885682165214</v>
      </c>
      <c r="H558" s="2325">
        <f t="shared" si="111"/>
        <v>50.56225972301992</v>
      </c>
      <c r="I558" s="2325">
        <f t="shared" si="112"/>
        <v>83.273166133704706</v>
      </c>
      <c r="J558" s="88">
        <v>31311825.129999999</v>
      </c>
      <c r="K558" s="2"/>
    </row>
    <row r="559" spans="1:11" customFormat="1" x14ac:dyDescent="0.2">
      <c r="A559" s="2423">
        <v>3111</v>
      </c>
      <c r="B559" s="1251" t="s">
        <v>2455</v>
      </c>
      <c r="C559" s="1138">
        <f t="shared" ref="C559:D559" si="113">SUM(C560:C562)</f>
        <v>11790900</v>
      </c>
      <c r="D559" s="1138">
        <f t="shared" si="113"/>
        <v>13806013.699999999</v>
      </c>
      <c r="E559" s="1138">
        <v>7300362.9299999997</v>
      </c>
      <c r="F559" s="2424">
        <f>SUM(E563,E567,E571)</f>
        <v>7300362.9299999997</v>
      </c>
      <c r="G559" s="1663">
        <f t="shared" si="103"/>
        <v>61.915230643971199</v>
      </c>
      <c r="H559" s="1663">
        <f t="shared" si="111"/>
        <v>52.878137662575263</v>
      </c>
      <c r="I559" s="1662">
        <f t="shared" si="112"/>
        <v>165.47308170133229</v>
      </c>
      <c r="J559" s="88">
        <v>4411813</v>
      </c>
      <c r="K559" s="2"/>
    </row>
    <row r="560" spans="1:11" customFormat="1" x14ac:dyDescent="0.2">
      <c r="A560" s="2425"/>
      <c r="B560" s="1255" t="s">
        <v>635</v>
      </c>
      <c r="C560" s="1256">
        <f t="shared" ref="C560:D562" si="114">+C564+C568+C572</f>
        <v>10198900</v>
      </c>
      <c r="D560" s="1256">
        <f>+D564+D568+D572</f>
        <v>12214013.699999999</v>
      </c>
      <c r="E560" s="1256">
        <f t="shared" ref="E560:E562" si="115">SUM(E564,E568,E572)</f>
        <v>7139103.6999999993</v>
      </c>
      <c r="F560" s="1256">
        <f>SUM(E560:E562)</f>
        <v>7300362.9299999997</v>
      </c>
      <c r="G560" s="2200">
        <f t="shared" si="103"/>
        <v>69.998761631156299</v>
      </c>
      <c r="H560" s="2200">
        <f t="shared" si="111"/>
        <v>58.450103916290843</v>
      </c>
      <c r="I560" s="2201">
        <f t="shared" si="112"/>
        <v>162.7305627674051</v>
      </c>
      <c r="J560" s="88">
        <v>4387070</v>
      </c>
      <c r="K560" s="2"/>
    </row>
    <row r="561" spans="1:11" customFormat="1" x14ac:dyDescent="0.2">
      <c r="A561" s="2425"/>
      <c r="B561" s="1255" t="s">
        <v>1788</v>
      </c>
      <c r="C561" s="1256">
        <f t="shared" si="114"/>
        <v>1462000</v>
      </c>
      <c r="D561" s="1256">
        <f t="shared" si="114"/>
        <v>1462000</v>
      </c>
      <c r="E561" s="1256">
        <f t="shared" si="115"/>
        <v>161259.23000000001</v>
      </c>
      <c r="F561" s="1256"/>
      <c r="G561" s="2200">
        <f t="shared" si="103"/>
        <v>11.030043091655267</v>
      </c>
      <c r="H561" s="2200">
        <f t="shared" si="111"/>
        <v>11.030043091655267</v>
      </c>
      <c r="I561" s="2201">
        <f t="shared" si="112"/>
        <v>651.73677403710144</v>
      </c>
      <c r="J561" s="88">
        <v>24743</v>
      </c>
      <c r="K561" s="2"/>
    </row>
    <row r="562" spans="1:11" customFormat="1" x14ac:dyDescent="0.2">
      <c r="A562" s="2425"/>
      <c r="B562" s="1255" t="s">
        <v>1789</v>
      </c>
      <c r="C562" s="1256">
        <f t="shared" si="114"/>
        <v>130000</v>
      </c>
      <c r="D562" s="1256">
        <f t="shared" si="114"/>
        <v>130000</v>
      </c>
      <c r="E562" s="1256">
        <f t="shared" si="115"/>
        <v>0</v>
      </c>
      <c r="F562" s="1256"/>
      <c r="G562" s="2200">
        <f t="shared" si="103"/>
        <v>0</v>
      </c>
      <c r="H562" s="2200">
        <f t="shared" si="111"/>
        <v>0</v>
      </c>
      <c r="I562" s="2201">
        <v>0</v>
      </c>
      <c r="J562" s="88">
        <v>0</v>
      </c>
      <c r="K562" s="2"/>
    </row>
    <row r="563" spans="1:11" customFormat="1" x14ac:dyDescent="0.2">
      <c r="A563" s="2425"/>
      <c r="B563" s="1258" t="s">
        <v>2897</v>
      </c>
      <c r="C563" s="727">
        <f t="shared" ref="C563:D563" si="116">C564+C565+C566</f>
        <v>3361300</v>
      </c>
      <c r="D563" s="727">
        <f t="shared" si="116"/>
        <v>3963818.1</v>
      </c>
      <c r="E563" s="727">
        <v>2143508.1</v>
      </c>
      <c r="F563" s="1077">
        <f>SUM(E564:E566)</f>
        <v>2143508.1</v>
      </c>
      <c r="G563" s="1663">
        <f t="shared" si="103"/>
        <v>63.770210930294823</v>
      </c>
      <c r="H563" s="1663">
        <f t="shared" si="111"/>
        <v>54.076853324828399</v>
      </c>
      <c r="I563" s="1662">
        <f t="shared" si="112"/>
        <v>162.01875283446711</v>
      </c>
      <c r="J563" s="88">
        <v>1323000</v>
      </c>
      <c r="K563" s="2"/>
    </row>
    <row r="564" spans="1:11" customFormat="1" x14ac:dyDescent="0.2">
      <c r="A564" s="2425"/>
      <c r="B564" s="1258" t="s">
        <v>2898</v>
      </c>
      <c r="C564" s="1864">
        <f>2997000+32300</f>
        <v>3029300</v>
      </c>
      <c r="D564" s="1864">
        <f>2997000+32300-10990+(117955.01+495553.09)</f>
        <v>3631818.1</v>
      </c>
      <c r="E564" s="1077">
        <v>2143508.1</v>
      </c>
      <c r="F564" s="1864"/>
      <c r="G564" s="2200">
        <f t="shared" si="103"/>
        <v>70.759188591423765</v>
      </c>
      <c r="H564" s="2200">
        <f t="shared" si="111"/>
        <v>59.020249389692722</v>
      </c>
      <c r="I564" s="2201">
        <f t="shared" si="112"/>
        <v>162.01875283446711</v>
      </c>
      <c r="J564" s="88">
        <v>1323000</v>
      </c>
      <c r="K564" s="2"/>
    </row>
    <row r="565" spans="1:11" customFormat="1" ht="24.75" x14ac:dyDescent="0.2">
      <c r="A565" s="2425" t="s">
        <v>640</v>
      </c>
      <c r="B565" s="1258" t="s">
        <v>2899</v>
      </c>
      <c r="C565" s="1864">
        <v>332000</v>
      </c>
      <c r="D565" s="1864">
        <v>332000</v>
      </c>
      <c r="E565" s="1809">
        <v>0</v>
      </c>
      <c r="F565" s="1864"/>
      <c r="G565" s="2200">
        <f t="shared" si="103"/>
        <v>0</v>
      </c>
      <c r="H565" s="2200">
        <f t="shared" si="111"/>
        <v>0</v>
      </c>
      <c r="I565" s="2201">
        <v>0</v>
      </c>
      <c r="J565" s="32">
        <v>0</v>
      </c>
      <c r="K565" s="2"/>
    </row>
    <row r="566" spans="1:11" customFormat="1" x14ac:dyDescent="0.2">
      <c r="A566" s="2425"/>
      <c r="B566" s="1258" t="s">
        <v>2900</v>
      </c>
      <c r="C566" s="1864">
        <v>0</v>
      </c>
      <c r="D566" s="1864">
        <v>0</v>
      </c>
      <c r="E566" s="1809">
        <v>0</v>
      </c>
      <c r="F566" s="815"/>
      <c r="G566" s="2200">
        <v>0</v>
      </c>
      <c r="H566" s="2200">
        <v>0</v>
      </c>
      <c r="I566" s="2201">
        <v>0</v>
      </c>
      <c r="J566" s="88">
        <v>0</v>
      </c>
      <c r="K566" s="2"/>
    </row>
    <row r="567" spans="1:11" customFormat="1" ht="15" x14ac:dyDescent="0.2">
      <c r="A567" s="2425"/>
      <c r="B567" s="1261" t="s">
        <v>2901</v>
      </c>
      <c r="C567" s="1262">
        <f t="shared" ref="C567:D567" si="117">SUM(C568:C570)</f>
        <v>4337900</v>
      </c>
      <c r="D567" s="1262">
        <f t="shared" si="117"/>
        <v>5057945.84</v>
      </c>
      <c r="E567" s="1262">
        <v>2635045.84</v>
      </c>
      <c r="F567" s="1256">
        <f>SUM(E568:E570)</f>
        <v>2635045.84</v>
      </c>
      <c r="G567" s="1663">
        <f t="shared" si="103"/>
        <v>60.744734548975309</v>
      </c>
      <c r="H567" s="1663">
        <f t="shared" si="111"/>
        <v>52.097154128483112</v>
      </c>
      <c r="I567" s="1662">
        <f t="shared" si="112"/>
        <v>165.71124986872249</v>
      </c>
      <c r="J567" s="88">
        <v>1590143</v>
      </c>
      <c r="K567" s="2"/>
    </row>
    <row r="568" spans="1:11" customFormat="1" x14ac:dyDescent="0.2">
      <c r="A568" s="2425"/>
      <c r="B568" s="1258" t="s">
        <v>2902</v>
      </c>
      <c r="C568" s="1864">
        <f>3579000+37900+21000</f>
        <v>3637900</v>
      </c>
      <c r="D568" s="1864">
        <f>3579000+37900+21000+(138438.27+581607.57)</f>
        <v>4357945.84</v>
      </c>
      <c r="E568" s="1077">
        <v>2538045.84</v>
      </c>
      <c r="F568" s="1864"/>
      <c r="G568" s="2200">
        <f t="shared" si="103"/>
        <v>69.76678413370351</v>
      </c>
      <c r="H568" s="2200">
        <f t="shared" si="111"/>
        <v>58.239499369271641</v>
      </c>
      <c r="I568" s="2201">
        <f t="shared" si="112"/>
        <v>161.45329770992365</v>
      </c>
      <c r="J568" s="88">
        <v>1572000</v>
      </c>
      <c r="K568" s="2"/>
    </row>
    <row r="569" spans="1:11" customFormat="1" x14ac:dyDescent="0.2">
      <c r="A569" s="2425"/>
      <c r="B569" s="1258" t="s">
        <v>2903</v>
      </c>
      <c r="C569" s="2035">
        <v>700000</v>
      </c>
      <c r="D569" s="2035">
        <v>700000</v>
      </c>
      <c r="E569" s="1077">
        <v>97000</v>
      </c>
      <c r="F569" s="2035"/>
      <c r="G569" s="2200">
        <f t="shared" si="103"/>
        <v>13.857142857142858</v>
      </c>
      <c r="H569" s="2200">
        <f t="shared" si="111"/>
        <v>13.857142857142858</v>
      </c>
      <c r="I569" s="2201">
        <f t="shared" si="112"/>
        <v>534.64145951606679</v>
      </c>
      <c r="J569" s="88">
        <v>18143</v>
      </c>
      <c r="K569" s="2"/>
    </row>
    <row r="570" spans="1:11" customFormat="1" x14ac:dyDescent="0.2">
      <c r="A570" s="2425"/>
      <c r="B570" s="1258" t="s">
        <v>2904</v>
      </c>
      <c r="C570" s="1234">
        <v>0</v>
      </c>
      <c r="D570" s="1234">
        <v>0</v>
      </c>
      <c r="E570" s="1809">
        <v>0</v>
      </c>
      <c r="F570" s="1864"/>
      <c r="G570" s="2200">
        <v>0</v>
      </c>
      <c r="H570" s="2200">
        <v>0</v>
      </c>
      <c r="I570" s="2201">
        <v>0</v>
      </c>
      <c r="J570" s="88">
        <v>0</v>
      </c>
      <c r="K570" s="2"/>
    </row>
    <row r="571" spans="1:11" customFormat="1" x14ac:dyDescent="0.2">
      <c r="A571" s="2425"/>
      <c r="B571" s="1258" t="s">
        <v>2905</v>
      </c>
      <c r="C571" s="1262">
        <f t="shared" ref="C571:D571" si="118">SUM(C572:C574)</f>
        <v>4091700</v>
      </c>
      <c r="D571" s="1262">
        <f t="shared" si="118"/>
        <v>4784249.76</v>
      </c>
      <c r="E571" s="1262">
        <v>2521808.9900000002</v>
      </c>
      <c r="F571" s="1256">
        <f>SUM(E572:E574)</f>
        <v>2521808.9899999998</v>
      </c>
      <c r="G571" s="1663">
        <f t="shared" ref="G571:G633" si="119">E571/C571*100</f>
        <v>61.63230417674805</v>
      </c>
      <c r="H571" s="1663">
        <f t="shared" si="111"/>
        <v>52.710646736804144</v>
      </c>
      <c r="I571" s="1662">
        <f t="shared" si="112"/>
        <v>168.26979855471853</v>
      </c>
      <c r="J571" s="88">
        <v>1498670</v>
      </c>
      <c r="K571" s="2"/>
    </row>
    <row r="572" spans="1:11" customFormat="1" x14ac:dyDescent="0.2">
      <c r="A572" s="2425"/>
      <c r="B572" s="1258" t="s">
        <v>2906</v>
      </c>
      <c r="C572" s="1864">
        <f>3502000+29700</f>
        <v>3531700</v>
      </c>
      <c r="D572" s="1864">
        <f>3502000+29700+(12834+115506)+(108476.76+455733)</f>
        <v>4224249.76</v>
      </c>
      <c r="E572" s="1809">
        <v>2457549.7599999998</v>
      </c>
      <c r="F572" s="1864"/>
      <c r="G572" s="2200">
        <f t="shared" si="119"/>
        <v>69.585461958830024</v>
      </c>
      <c r="H572" s="2200">
        <f t="shared" si="111"/>
        <v>58.177188841220406</v>
      </c>
      <c r="I572" s="2201">
        <f t="shared" si="112"/>
        <v>164.70740380813231</v>
      </c>
      <c r="J572" s="88">
        <v>1492070</v>
      </c>
      <c r="K572" s="2"/>
    </row>
    <row r="573" spans="1:11" customFormat="1" ht="24.75" x14ac:dyDescent="0.2">
      <c r="A573" s="2425"/>
      <c r="B573" s="1258" t="s">
        <v>2907</v>
      </c>
      <c r="C573" s="1077">
        <v>430000</v>
      </c>
      <c r="D573" s="1077">
        <v>430000</v>
      </c>
      <c r="E573" s="1809">
        <v>64259.23</v>
      </c>
      <c r="F573" s="1077"/>
      <c r="G573" s="2200">
        <f t="shared" si="119"/>
        <v>14.944006976744188</v>
      </c>
      <c r="H573" s="2200">
        <f t="shared" si="111"/>
        <v>14.944006976744188</v>
      </c>
      <c r="I573" s="2201">
        <f t="shared" si="112"/>
        <v>973.62469696969697</v>
      </c>
      <c r="J573" s="32">
        <v>6600</v>
      </c>
      <c r="K573" s="2"/>
    </row>
    <row r="574" spans="1:11" customFormat="1" x14ac:dyDescent="0.2">
      <c r="A574" s="2425"/>
      <c r="B574" s="1258" t="s">
        <v>2908</v>
      </c>
      <c r="C574" s="1234">
        <v>130000</v>
      </c>
      <c r="D574" s="1234">
        <v>130000</v>
      </c>
      <c r="E574" s="1077">
        <v>0</v>
      </c>
      <c r="F574" s="1864"/>
      <c r="G574" s="2200">
        <f t="shared" si="119"/>
        <v>0</v>
      </c>
      <c r="H574" s="2200">
        <f t="shared" si="111"/>
        <v>0</v>
      </c>
      <c r="I574" s="2201">
        <v>0</v>
      </c>
      <c r="J574" s="88">
        <v>0</v>
      </c>
      <c r="K574" s="2"/>
    </row>
    <row r="575" spans="1:11" customFormat="1" x14ac:dyDescent="0.2">
      <c r="A575" s="2296">
        <v>3113</v>
      </c>
      <c r="B575" s="1266" t="s">
        <v>650</v>
      </c>
      <c r="C575" s="1262">
        <f>SUM(C576:C579)</f>
        <v>32723700</v>
      </c>
      <c r="D575" s="1262">
        <f>SUM(D576:D579)</f>
        <v>34359981.490000002</v>
      </c>
      <c r="E575" s="1262">
        <v>16644456.99</v>
      </c>
      <c r="F575" s="1256">
        <f>SUM(E576,E580,E584,E588,E592)</f>
        <v>16644456.99</v>
      </c>
      <c r="G575" s="1663">
        <f t="shared" si="119"/>
        <v>50.863615636373638</v>
      </c>
      <c r="H575" s="1663">
        <f t="shared" si="111"/>
        <v>48.441402667356328</v>
      </c>
      <c r="I575" s="1662">
        <f t="shared" si="112"/>
        <v>65.895273827792494</v>
      </c>
      <c r="J575" s="88">
        <v>25258954.129999999</v>
      </c>
      <c r="K575" s="2"/>
    </row>
    <row r="576" spans="1:11" customFormat="1" x14ac:dyDescent="0.2">
      <c r="A576" s="2296"/>
      <c r="B576" s="1258" t="s">
        <v>651</v>
      </c>
      <c r="C576" s="1234">
        <v>400000</v>
      </c>
      <c r="D576" s="1234">
        <v>400000</v>
      </c>
      <c r="E576" s="1809">
        <v>40885.699999999997</v>
      </c>
      <c r="F576" s="1864">
        <f>SUM(E576:E579)</f>
        <v>16644456.99</v>
      </c>
      <c r="G576" s="2200">
        <f t="shared" si="119"/>
        <v>10.221425</v>
      </c>
      <c r="H576" s="2200">
        <f t="shared" si="111"/>
        <v>10.221425</v>
      </c>
      <c r="I576" s="2201">
        <f t="shared" si="112"/>
        <v>21.779107117174224</v>
      </c>
      <c r="J576" s="88">
        <v>187729</v>
      </c>
      <c r="K576" s="2"/>
    </row>
    <row r="577" spans="1:11" customFormat="1" x14ac:dyDescent="0.2">
      <c r="A577" s="2425"/>
      <c r="B577" s="1258" t="s">
        <v>652</v>
      </c>
      <c r="C577" s="1256">
        <f t="shared" ref="C577:D578" si="120">+C581+C585+C589+C593</f>
        <v>28271700</v>
      </c>
      <c r="D577" s="1256">
        <f t="shared" si="120"/>
        <v>29907981.490000002</v>
      </c>
      <c r="E577" s="1256">
        <f t="shared" ref="E577:E579" si="121">SUM(E581,E585,E589,E593)</f>
        <v>16202073.49</v>
      </c>
      <c r="F577" s="1256"/>
      <c r="G577" s="2200">
        <f t="shared" si="119"/>
        <v>57.308451525730675</v>
      </c>
      <c r="H577" s="2200">
        <f t="shared" si="111"/>
        <v>54.173075823981321</v>
      </c>
      <c r="I577" s="2201">
        <f t="shared" si="112"/>
        <v>86.589020617140307</v>
      </c>
      <c r="J577" s="88">
        <v>18711464.079999998</v>
      </c>
      <c r="K577" s="2"/>
    </row>
    <row r="578" spans="1:11" customFormat="1" x14ac:dyDescent="0.2">
      <c r="A578" s="2425"/>
      <c r="B578" s="1258" t="s">
        <v>1802</v>
      </c>
      <c r="C578" s="1256">
        <f t="shared" si="120"/>
        <v>3453000</v>
      </c>
      <c r="D578" s="1256">
        <f t="shared" si="120"/>
        <v>3453000</v>
      </c>
      <c r="E578" s="1256">
        <f t="shared" si="121"/>
        <v>331317.8</v>
      </c>
      <c r="F578" s="1256"/>
      <c r="G578" s="2200">
        <f t="shared" si="119"/>
        <v>9.5950709527946714</v>
      </c>
      <c r="H578" s="2200">
        <f t="shared" si="111"/>
        <v>9.5950709527946714</v>
      </c>
      <c r="I578" s="2201">
        <f t="shared" si="112"/>
        <v>292.28593609400639</v>
      </c>
      <c r="J578" s="88">
        <v>113354</v>
      </c>
      <c r="K578" s="2"/>
    </row>
    <row r="579" spans="1:11" customFormat="1" x14ac:dyDescent="0.2">
      <c r="A579" s="2425"/>
      <c r="B579" s="1258" t="s">
        <v>1803</v>
      </c>
      <c r="C579" s="1256">
        <f>+C583+C591+C595+C587</f>
        <v>599000</v>
      </c>
      <c r="D579" s="1256">
        <f>+D583+D591+D595+D587</f>
        <v>599000</v>
      </c>
      <c r="E579" s="1256">
        <f t="shared" si="121"/>
        <v>70180</v>
      </c>
      <c r="F579" s="1256"/>
      <c r="G579" s="2200">
        <f t="shared" si="119"/>
        <v>11.716193656093489</v>
      </c>
      <c r="H579" s="2200">
        <f t="shared" si="111"/>
        <v>11.716193656093489</v>
      </c>
      <c r="I579" s="2201">
        <f t="shared" si="112"/>
        <v>1.1235258835717405</v>
      </c>
      <c r="J579" s="88">
        <v>6246407.0499999998</v>
      </c>
      <c r="K579" s="2"/>
    </row>
    <row r="580" spans="1:11" customFormat="1" x14ac:dyDescent="0.2">
      <c r="A580" s="2425"/>
      <c r="B580" s="1258" t="s">
        <v>2909</v>
      </c>
      <c r="C580" s="1262">
        <f t="shared" ref="C580:D580" si="122">SUM(C581:C583)</f>
        <v>11483000</v>
      </c>
      <c r="D580" s="1262">
        <f t="shared" si="122"/>
        <v>11581500</v>
      </c>
      <c r="E580" s="1262">
        <v>4942440</v>
      </c>
      <c r="F580" s="1256">
        <f>SUM(E581:E583)</f>
        <v>4942440</v>
      </c>
      <c r="G580" s="1663">
        <f t="shared" si="119"/>
        <v>43.041365496821385</v>
      </c>
      <c r="H580" s="1663">
        <f t="shared" si="111"/>
        <v>42.675301126797052</v>
      </c>
      <c r="I580" s="1662">
        <f t="shared" si="112"/>
        <v>101.42274704357055</v>
      </c>
      <c r="J580" s="88">
        <v>4873108</v>
      </c>
      <c r="K580" s="2"/>
    </row>
    <row r="581" spans="1:11" customFormat="1" x14ac:dyDescent="0.2">
      <c r="A581" s="2425"/>
      <c r="B581" s="1258" t="s">
        <v>2910</v>
      </c>
      <c r="C581" s="1864">
        <f>10280000-612000</f>
        <v>9668000</v>
      </c>
      <c r="D581" s="1864">
        <f>10280000-612000+(9850+88650)</f>
        <v>9766500</v>
      </c>
      <c r="E581" s="1077">
        <v>4928500</v>
      </c>
      <c r="F581" s="1864"/>
      <c r="G581" s="2200">
        <f t="shared" si="119"/>
        <v>50.97745138601573</v>
      </c>
      <c r="H581" s="2200">
        <f t="shared" si="111"/>
        <v>50.463318486663603</v>
      </c>
      <c r="I581" s="2201">
        <f t="shared" si="112"/>
        <v>101.13668730510386</v>
      </c>
      <c r="J581" s="88">
        <v>4873108</v>
      </c>
      <c r="K581" s="2"/>
    </row>
    <row r="582" spans="1:11" customFormat="1" ht="36.75" customHeight="1" x14ac:dyDescent="0.2">
      <c r="A582" s="2425"/>
      <c r="B582" s="1258" t="s">
        <v>2911</v>
      </c>
      <c r="C582" s="1077">
        <v>1815000</v>
      </c>
      <c r="D582" s="1077">
        <v>1815000</v>
      </c>
      <c r="E582" s="1077">
        <v>13940</v>
      </c>
      <c r="F582" s="1077"/>
      <c r="G582" s="2200">
        <f t="shared" si="119"/>
        <v>0.76804407713498624</v>
      </c>
      <c r="H582" s="2200">
        <f t="shared" si="111"/>
        <v>0.76804407713498624</v>
      </c>
      <c r="I582" s="2201">
        <v>0</v>
      </c>
      <c r="J582" s="32">
        <v>0</v>
      </c>
      <c r="K582" s="2"/>
    </row>
    <row r="583" spans="1:11" customFormat="1" x14ac:dyDescent="0.2">
      <c r="A583" s="2425"/>
      <c r="B583" s="1258" t="s">
        <v>2912</v>
      </c>
      <c r="C583" s="1234">
        <v>0</v>
      </c>
      <c r="D583" s="1234">
        <v>0</v>
      </c>
      <c r="E583" s="1256">
        <v>0</v>
      </c>
      <c r="F583" s="1271"/>
      <c r="G583" s="2200">
        <v>0</v>
      </c>
      <c r="H583" s="2200">
        <v>0</v>
      </c>
      <c r="I583" s="2201">
        <v>0</v>
      </c>
      <c r="J583" s="88">
        <v>0</v>
      </c>
      <c r="K583" s="2"/>
    </row>
    <row r="584" spans="1:11" customFormat="1" x14ac:dyDescent="0.2">
      <c r="A584" s="2425"/>
      <c r="B584" s="1258" t="s">
        <v>2913</v>
      </c>
      <c r="C584" s="1262">
        <f>SUM(C585:C587)</f>
        <v>7010000</v>
      </c>
      <c r="D584" s="1262">
        <f>SUM(D585:D587)</f>
        <v>6883190</v>
      </c>
      <c r="E584" s="1262">
        <v>3170982</v>
      </c>
      <c r="F584" s="1256">
        <f>SUM(E585:E587)</f>
        <v>3170982</v>
      </c>
      <c r="G584" s="1663">
        <f t="shared" si="119"/>
        <v>45.235121255349505</v>
      </c>
      <c r="H584" s="1663">
        <f t="shared" si="111"/>
        <v>46.068494404483964</v>
      </c>
      <c r="I584" s="1662">
        <f t="shared" si="112"/>
        <v>114.13841385938326</v>
      </c>
      <c r="J584" s="88">
        <v>2778190</v>
      </c>
      <c r="K584" s="2"/>
    </row>
    <row r="585" spans="1:11" customFormat="1" x14ac:dyDescent="0.2">
      <c r="A585" s="2425"/>
      <c r="B585" s="1258" t="s">
        <v>2914</v>
      </c>
      <c r="C585" s="1864">
        <v>6033000</v>
      </c>
      <c r="D585" s="1864">
        <f>6033000-297792+(17098.2+153883.8)</f>
        <v>5906190</v>
      </c>
      <c r="E585" s="1077">
        <v>3170982</v>
      </c>
      <c r="F585" s="1864"/>
      <c r="G585" s="2200">
        <f t="shared" si="119"/>
        <v>52.56061660865241</v>
      </c>
      <c r="H585" s="2200">
        <f t="shared" si="111"/>
        <v>53.689129540363588</v>
      </c>
      <c r="I585" s="2201">
        <f t="shared" si="112"/>
        <v>114.13841385938326</v>
      </c>
      <c r="J585" s="88">
        <v>2778190</v>
      </c>
      <c r="K585" s="2"/>
    </row>
    <row r="586" spans="1:11" customFormat="1" x14ac:dyDescent="0.2">
      <c r="A586" s="2425"/>
      <c r="B586" s="1258" t="s">
        <v>2915</v>
      </c>
      <c r="C586" s="1077">
        <v>828000</v>
      </c>
      <c r="D586" s="1077">
        <v>828000</v>
      </c>
      <c r="E586" s="1809">
        <v>0</v>
      </c>
      <c r="F586" s="1077"/>
      <c r="G586" s="2200">
        <f t="shared" si="119"/>
        <v>0</v>
      </c>
      <c r="H586" s="2200">
        <f t="shared" si="111"/>
        <v>0</v>
      </c>
      <c r="I586" s="2201">
        <v>0</v>
      </c>
      <c r="J586" s="32">
        <v>0</v>
      </c>
      <c r="K586" s="2"/>
    </row>
    <row r="587" spans="1:11" customFormat="1" ht="12" customHeight="1" x14ac:dyDescent="0.2">
      <c r="A587" s="2425"/>
      <c r="B587" s="1258" t="s">
        <v>2916</v>
      </c>
      <c r="C587" s="1040">
        <v>149000</v>
      </c>
      <c r="D587" s="1040">
        <v>149000</v>
      </c>
      <c r="E587" s="1809">
        <v>0</v>
      </c>
      <c r="F587" s="1864"/>
      <c r="G587" s="2200">
        <f t="shared" si="119"/>
        <v>0</v>
      </c>
      <c r="H587" s="2200">
        <f t="shared" si="111"/>
        <v>0</v>
      </c>
      <c r="I587" s="2201">
        <v>0</v>
      </c>
      <c r="J587" s="32">
        <v>0</v>
      </c>
      <c r="K587" s="2"/>
    </row>
    <row r="588" spans="1:11" customFormat="1" x14ac:dyDescent="0.2">
      <c r="A588" s="2425"/>
      <c r="B588" s="1258" t="s">
        <v>2917</v>
      </c>
      <c r="C588" s="1262">
        <f t="shared" ref="C588:D592" si="123">SUM(C589:C591)</f>
        <v>6230000</v>
      </c>
      <c r="D588" s="1262">
        <f t="shared" si="123"/>
        <v>6321597.5</v>
      </c>
      <c r="E588" s="1262">
        <v>3179155.3</v>
      </c>
      <c r="F588" s="1256">
        <f>SUM(E589:E591)</f>
        <v>3179155.3</v>
      </c>
      <c r="G588" s="1663">
        <f t="shared" si="119"/>
        <v>51.029780096308187</v>
      </c>
      <c r="H588" s="1663">
        <f t="shared" si="111"/>
        <v>50.290378341866905</v>
      </c>
      <c r="I588" s="1662">
        <f t="shared" si="112"/>
        <v>23.255386385707901</v>
      </c>
      <c r="J588" s="88">
        <v>13670619.130000001</v>
      </c>
      <c r="K588" s="2"/>
    </row>
    <row r="589" spans="1:11" customFormat="1" x14ac:dyDescent="0.2">
      <c r="A589" s="2425"/>
      <c r="B589" s="1258" t="s">
        <v>2918</v>
      </c>
      <c r="C589" s="1864">
        <v>5090000</v>
      </c>
      <c r="D589" s="1864">
        <f>5090000+(9159.75+82437.75)</f>
        <v>5181597.5</v>
      </c>
      <c r="E589" s="1809">
        <v>2791597.5</v>
      </c>
      <c r="F589" s="1864"/>
      <c r="G589" s="2200">
        <f t="shared" si="119"/>
        <v>54.844744597249509</v>
      </c>
      <c r="H589" s="2200">
        <f t="shared" si="111"/>
        <v>53.875228633640489</v>
      </c>
      <c r="I589" s="2201">
        <f t="shared" si="112"/>
        <v>37.03284685391278</v>
      </c>
      <c r="J589" s="88">
        <v>7538166.0800000001</v>
      </c>
      <c r="K589" s="2"/>
    </row>
    <row r="590" spans="1:11" customFormat="1" ht="22.5" customHeight="1" x14ac:dyDescent="0.2">
      <c r="A590" s="2425"/>
      <c r="B590" s="1258" t="s">
        <v>2919</v>
      </c>
      <c r="C590" s="1809">
        <v>690000</v>
      </c>
      <c r="D590" s="1809">
        <v>690000</v>
      </c>
      <c r="E590" s="1077">
        <v>317377.8</v>
      </c>
      <c r="F590" s="1077"/>
      <c r="G590" s="2200">
        <f t="shared" si="119"/>
        <v>45.996782608695653</v>
      </c>
      <c r="H590" s="2200">
        <f t="shared" si="111"/>
        <v>45.996782608695653</v>
      </c>
      <c r="I590" s="2201">
        <f t="shared" si="112"/>
        <v>432.66597595223163</v>
      </c>
      <c r="J590" s="32">
        <v>73354</v>
      </c>
      <c r="K590" s="2"/>
    </row>
    <row r="591" spans="1:11" customFormat="1" ht="24" customHeight="1" x14ac:dyDescent="0.2">
      <c r="A591" s="2425"/>
      <c r="B591" s="1258" t="s">
        <v>2920</v>
      </c>
      <c r="C591" s="1040">
        <v>450000</v>
      </c>
      <c r="D591" s="1040">
        <v>450000</v>
      </c>
      <c r="E591" s="1077">
        <v>70180</v>
      </c>
      <c r="F591" s="1077"/>
      <c r="G591" s="2200">
        <f t="shared" si="119"/>
        <v>15.595555555555555</v>
      </c>
      <c r="H591" s="2200">
        <f t="shared" si="111"/>
        <v>15.595555555555555</v>
      </c>
      <c r="I591" s="2201">
        <f t="shared" si="112"/>
        <v>1.1582580086720979</v>
      </c>
      <c r="J591" s="88">
        <v>6059099.0499999998</v>
      </c>
      <c r="K591" s="2"/>
    </row>
    <row r="592" spans="1:11" customFormat="1" x14ac:dyDescent="0.2">
      <c r="A592" s="2425"/>
      <c r="B592" s="1258" t="s">
        <v>2921</v>
      </c>
      <c r="C592" s="1262">
        <f t="shared" si="123"/>
        <v>7600700</v>
      </c>
      <c r="D592" s="1262">
        <f t="shared" si="123"/>
        <v>9173693.9900000002</v>
      </c>
      <c r="E592" s="1262">
        <v>5310993.99</v>
      </c>
      <c r="F592" s="1256">
        <f>SUM(E593:E595)</f>
        <v>5310993.99</v>
      </c>
      <c r="G592" s="1663">
        <f t="shared" si="119"/>
        <v>69.875064007262495</v>
      </c>
      <c r="H592" s="1663">
        <f t="shared" si="111"/>
        <v>57.893733928659195</v>
      </c>
      <c r="I592" s="1662">
        <f t="shared" si="112"/>
        <v>141.6526460349483</v>
      </c>
      <c r="J592" s="88">
        <v>3749308</v>
      </c>
      <c r="K592" s="2"/>
    </row>
    <row r="593" spans="1:11" customFormat="1" x14ac:dyDescent="0.2">
      <c r="A593" s="2425"/>
      <c r="B593" s="1258" t="s">
        <v>2922</v>
      </c>
      <c r="C593" s="1864">
        <f>7404000+76700</f>
        <v>7480700</v>
      </c>
      <c r="D593" s="1864">
        <f>7404000+76700+(11663.45+104971.05)+(280004.26+1176355.23)</f>
        <v>9053693.9900000002</v>
      </c>
      <c r="E593" s="1809">
        <v>5310993.99</v>
      </c>
      <c r="F593" s="1864"/>
      <c r="G593" s="2200">
        <f t="shared" si="119"/>
        <v>70.995949443233926</v>
      </c>
      <c r="H593" s="2200">
        <f t="shared" si="111"/>
        <v>58.661072440333271</v>
      </c>
      <c r="I593" s="2201">
        <f t="shared" si="112"/>
        <v>150.79483219761499</v>
      </c>
      <c r="J593" s="88">
        <v>3522000</v>
      </c>
      <c r="K593" s="2"/>
    </row>
    <row r="594" spans="1:11" customFormat="1" ht="36.75" customHeight="1" x14ac:dyDescent="0.2">
      <c r="A594" s="2425"/>
      <c r="B594" s="1258" t="s">
        <v>2923</v>
      </c>
      <c r="C594" s="1077">
        <v>120000</v>
      </c>
      <c r="D594" s="1077">
        <v>120000</v>
      </c>
      <c r="E594" s="1809">
        <v>0</v>
      </c>
      <c r="F594" s="1077"/>
      <c r="G594" s="2200">
        <f t="shared" si="119"/>
        <v>0</v>
      </c>
      <c r="H594" s="2200">
        <f t="shared" si="111"/>
        <v>0</v>
      </c>
      <c r="I594" s="2201">
        <f t="shared" si="112"/>
        <v>0</v>
      </c>
      <c r="J594" s="32">
        <v>40000</v>
      </c>
      <c r="K594" s="2"/>
    </row>
    <row r="595" spans="1:11" customFormat="1" x14ac:dyDescent="0.2">
      <c r="A595" s="2425"/>
      <c r="B595" s="1258" t="s">
        <v>2924</v>
      </c>
      <c r="C595" s="1234">
        <v>0</v>
      </c>
      <c r="D595" s="1234">
        <v>0</v>
      </c>
      <c r="E595" s="1077">
        <v>0</v>
      </c>
      <c r="F595" s="1864"/>
      <c r="G595" s="2200">
        <v>0</v>
      </c>
      <c r="H595" s="2200">
        <v>0</v>
      </c>
      <c r="I595" s="2201">
        <f t="shared" si="112"/>
        <v>0</v>
      </c>
      <c r="J595" s="88">
        <v>187308</v>
      </c>
      <c r="K595" s="2"/>
    </row>
    <row r="596" spans="1:11" customFormat="1" x14ac:dyDescent="0.2">
      <c r="A596" s="2296">
        <v>3233</v>
      </c>
      <c r="B596" s="1266" t="s">
        <v>671</v>
      </c>
      <c r="C596" s="1262">
        <f t="shared" ref="C596:D596" si="124">C597</f>
        <v>3023000</v>
      </c>
      <c r="D596" s="1262">
        <f t="shared" si="124"/>
        <v>3262800</v>
      </c>
      <c r="E596" s="1262">
        <v>2066748.24</v>
      </c>
      <c r="F596" s="1256"/>
      <c r="G596" s="1663">
        <f t="shared" si="119"/>
        <v>68.367457492557065</v>
      </c>
      <c r="H596" s="1663">
        <f t="shared" si="111"/>
        <v>63.34278043398308</v>
      </c>
      <c r="I596" s="1662">
        <f t="shared" si="112"/>
        <v>143.50425218719622</v>
      </c>
      <c r="J596" s="88">
        <v>1440200</v>
      </c>
      <c r="K596" s="2"/>
    </row>
    <row r="597" spans="1:11" customFormat="1" x14ac:dyDescent="0.2">
      <c r="A597" s="2296"/>
      <c r="B597" s="1258" t="s">
        <v>1819</v>
      </c>
      <c r="C597" s="1256">
        <f t="shared" ref="C597:D597" si="125">SUM(C598:C600)</f>
        <v>3023000</v>
      </c>
      <c r="D597" s="1256">
        <f t="shared" si="125"/>
        <v>3262800</v>
      </c>
      <c r="E597" s="1256">
        <v>2066748.24</v>
      </c>
      <c r="F597" s="1256">
        <f>SUM(E598:E600)</f>
        <v>2066748.24</v>
      </c>
      <c r="G597" s="2200">
        <f t="shared" si="119"/>
        <v>68.367457492557065</v>
      </c>
      <c r="H597" s="2200">
        <f t="shared" si="111"/>
        <v>63.34278043398308</v>
      </c>
      <c r="I597" s="2201">
        <f t="shared" si="112"/>
        <v>143.50425218719622</v>
      </c>
      <c r="J597" s="88">
        <v>1440200</v>
      </c>
      <c r="K597" s="2"/>
    </row>
    <row r="598" spans="1:11" customFormat="1" x14ac:dyDescent="0.2">
      <c r="A598" s="2296"/>
      <c r="B598" s="1258" t="s">
        <v>2925</v>
      </c>
      <c r="C598" s="1864">
        <v>2554000</v>
      </c>
      <c r="D598" s="1864">
        <f>2554000+239800+300000-300000</f>
        <v>2793800</v>
      </c>
      <c r="E598" s="1809">
        <v>1639800</v>
      </c>
      <c r="F598" s="1864"/>
      <c r="G598" s="2200">
        <f t="shared" si="119"/>
        <v>64.205168363351603</v>
      </c>
      <c r="H598" s="2200">
        <f t="shared" si="111"/>
        <v>58.694251557019115</v>
      </c>
      <c r="I598" s="2201">
        <f t="shared" si="112"/>
        <v>113.85918622413553</v>
      </c>
      <c r="J598" s="88">
        <v>1440200</v>
      </c>
      <c r="K598" s="2"/>
    </row>
    <row r="599" spans="1:11" customFormat="1" ht="25.5" x14ac:dyDescent="0.2">
      <c r="A599" s="2296"/>
      <c r="B599" s="1258" t="s">
        <v>2926</v>
      </c>
      <c r="C599" s="1077">
        <v>219000</v>
      </c>
      <c r="D599" s="1077">
        <v>219000</v>
      </c>
      <c r="E599" s="1809">
        <v>176948.24</v>
      </c>
      <c r="F599" s="1077"/>
      <c r="G599" s="2200">
        <f t="shared" si="119"/>
        <v>80.798283105022833</v>
      </c>
      <c r="H599" s="2200">
        <f t="shared" si="111"/>
        <v>80.798283105022833</v>
      </c>
      <c r="I599" s="2201">
        <v>0</v>
      </c>
      <c r="J599" s="32">
        <v>0</v>
      </c>
      <c r="K599" s="2"/>
    </row>
    <row r="600" spans="1:11" customFormat="1" x14ac:dyDescent="0.2">
      <c r="A600" s="2296"/>
      <c r="B600" s="1258" t="s">
        <v>2927</v>
      </c>
      <c r="C600" s="1864">
        <v>250000</v>
      </c>
      <c r="D600" s="1864">
        <v>250000</v>
      </c>
      <c r="E600" s="1809">
        <v>250000</v>
      </c>
      <c r="F600" s="1864"/>
      <c r="G600" s="2200">
        <f t="shared" si="119"/>
        <v>100</v>
      </c>
      <c r="H600" s="2200">
        <f t="shared" si="111"/>
        <v>100</v>
      </c>
      <c r="I600" s="2201">
        <v>0</v>
      </c>
      <c r="J600" s="88">
        <v>0</v>
      </c>
      <c r="K600" s="2"/>
    </row>
    <row r="601" spans="1:11" customFormat="1" x14ac:dyDescent="0.2">
      <c r="A601" s="2296">
        <v>3419</v>
      </c>
      <c r="B601" s="1266" t="s">
        <v>2477</v>
      </c>
      <c r="C601" s="722">
        <f>40000+100000</f>
        <v>140000</v>
      </c>
      <c r="D601" s="722">
        <f>40000+100000</f>
        <v>140000</v>
      </c>
      <c r="E601" s="2029">
        <v>62780</v>
      </c>
      <c r="F601" s="1864"/>
      <c r="G601" s="1663">
        <f t="shared" si="119"/>
        <v>44.842857142857149</v>
      </c>
      <c r="H601" s="1663">
        <f t="shared" si="111"/>
        <v>44.842857142857149</v>
      </c>
      <c r="I601" s="1662">
        <f t="shared" si="112"/>
        <v>31.255912136932562</v>
      </c>
      <c r="J601" s="88">
        <v>200858</v>
      </c>
      <c r="K601" s="2"/>
    </row>
    <row r="602" spans="1:11" customFormat="1" ht="12" customHeight="1" x14ac:dyDescent="0.2">
      <c r="A602" s="2275"/>
      <c r="B602" s="1275"/>
      <c r="C602" s="1234"/>
      <c r="D602" s="1234"/>
      <c r="E602" s="2029"/>
      <c r="F602" s="1950"/>
      <c r="G602" s="1950"/>
      <c r="H602" s="1950"/>
      <c r="I602" s="1234"/>
      <c r="J602" s="88"/>
      <c r="K602" s="2"/>
    </row>
    <row r="603" spans="1:11" customFormat="1" ht="15.75" x14ac:dyDescent="0.25">
      <c r="A603" s="2371"/>
      <c r="B603" s="1249" t="s">
        <v>677</v>
      </c>
      <c r="C603" s="1280">
        <f t="shared" ref="C603:D603" si="126">SUM(C604,C608,C611,C617,C620,C627)</f>
        <v>49380647</v>
      </c>
      <c r="D603" s="1280">
        <f t="shared" si="126"/>
        <v>54440252</v>
      </c>
      <c r="E603" s="1280">
        <v>22146780.100000001</v>
      </c>
      <c r="F603" s="2426">
        <f>SUM(E604,E608,E611,E617,E620,E627)</f>
        <v>22146780.100000001</v>
      </c>
      <c r="G603" s="2325">
        <f t="shared" si="119"/>
        <v>44.849108801672855</v>
      </c>
      <c r="H603" s="2325">
        <f t="shared" si="111"/>
        <v>40.680891962072479</v>
      </c>
      <c r="I603" s="2325">
        <f t="shared" si="112"/>
        <v>106.62496173653497</v>
      </c>
      <c r="J603" s="88">
        <v>20770727.359999999</v>
      </c>
      <c r="K603" s="2"/>
    </row>
    <row r="604" spans="1:11" customFormat="1" x14ac:dyDescent="0.2">
      <c r="A604" s="2427">
        <v>3311</v>
      </c>
      <c r="B604" s="1284" t="s">
        <v>1824</v>
      </c>
      <c r="C604" s="1273">
        <f t="shared" ref="C604:D604" si="127">SUM(C605:C607)</f>
        <v>15881220</v>
      </c>
      <c r="D604" s="1273">
        <f t="shared" si="127"/>
        <v>15796205</v>
      </c>
      <c r="E604" s="1273">
        <v>7250000</v>
      </c>
      <c r="F604" s="1260"/>
      <c r="G604" s="1663">
        <f t="shared" si="119"/>
        <v>45.651404615010691</v>
      </c>
      <c r="H604" s="1663">
        <f t="shared" si="111"/>
        <v>45.897099967998642</v>
      </c>
      <c r="I604" s="1662">
        <f t="shared" si="112"/>
        <v>103.57142857142858</v>
      </c>
      <c r="J604" s="88">
        <v>7000000</v>
      </c>
      <c r="K604" s="2"/>
    </row>
    <row r="605" spans="1:11" customFormat="1" x14ac:dyDescent="0.2">
      <c r="A605" s="2428"/>
      <c r="B605" s="1287" t="s">
        <v>2478</v>
      </c>
      <c r="C605" s="1864">
        <f>14369000+35000+292220</f>
        <v>14696220</v>
      </c>
      <c r="D605" s="1864">
        <f>14369000+35000+292220-85015</f>
        <v>14611205</v>
      </c>
      <c r="E605" s="1809">
        <v>7250000</v>
      </c>
      <c r="F605" s="1864"/>
      <c r="G605" s="2200">
        <f t="shared" si="119"/>
        <v>49.332413368879891</v>
      </c>
      <c r="H605" s="2200">
        <f t="shared" si="111"/>
        <v>49.61945301568214</v>
      </c>
      <c r="I605" s="2201">
        <f t="shared" si="112"/>
        <v>103.57142857142858</v>
      </c>
      <c r="J605" s="88">
        <v>7000000</v>
      </c>
      <c r="K605" s="2"/>
    </row>
    <row r="606" spans="1:11" customFormat="1" x14ac:dyDescent="0.2">
      <c r="A606" s="2428"/>
      <c r="B606" s="1287" t="s">
        <v>2479</v>
      </c>
      <c r="C606" s="1900">
        <v>847000</v>
      </c>
      <c r="D606" s="1900">
        <v>847000</v>
      </c>
      <c r="E606" s="1809">
        <v>0</v>
      </c>
      <c r="F606" s="1864"/>
      <c r="G606" s="2200">
        <f t="shared" si="119"/>
        <v>0</v>
      </c>
      <c r="H606" s="2200">
        <f t="shared" si="111"/>
        <v>0</v>
      </c>
      <c r="I606" s="2201">
        <v>0</v>
      </c>
      <c r="J606" s="88">
        <v>0</v>
      </c>
      <c r="K606" s="2"/>
    </row>
    <row r="607" spans="1:11" customFormat="1" ht="25.5" x14ac:dyDescent="0.2">
      <c r="A607" s="2428"/>
      <c r="B607" s="1258" t="s">
        <v>2928</v>
      </c>
      <c r="C607" s="1040">
        <v>338000</v>
      </c>
      <c r="D607" s="1040">
        <v>338000</v>
      </c>
      <c r="E607" s="1077">
        <v>0</v>
      </c>
      <c r="F607" s="1077"/>
      <c r="G607" s="2200">
        <f t="shared" si="119"/>
        <v>0</v>
      </c>
      <c r="H607" s="2200">
        <f t="shared" si="111"/>
        <v>0</v>
      </c>
      <c r="I607" s="2201">
        <v>0</v>
      </c>
      <c r="J607" s="32">
        <v>0</v>
      </c>
      <c r="K607" s="2"/>
    </row>
    <row r="608" spans="1:11" customFormat="1" x14ac:dyDescent="0.2">
      <c r="A608" s="2429">
        <v>3319</v>
      </c>
      <c r="B608" s="1290" t="s">
        <v>682</v>
      </c>
      <c r="C608" s="1262">
        <f t="shared" ref="C608:D608" si="128">SUM(C609:C610)</f>
        <v>1520000</v>
      </c>
      <c r="D608" s="1262">
        <f t="shared" si="128"/>
        <v>1520000</v>
      </c>
      <c r="E608" s="1262">
        <v>778717.02</v>
      </c>
      <c r="F608" s="1256"/>
      <c r="G608" s="1663">
        <f t="shared" si="119"/>
        <v>51.231382894736846</v>
      </c>
      <c r="H608" s="1663">
        <f t="shared" si="111"/>
        <v>51.231382894736846</v>
      </c>
      <c r="I608" s="1662">
        <f t="shared" si="112"/>
        <v>133.67622615902627</v>
      </c>
      <c r="J608" s="88">
        <v>582539.65</v>
      </c>
      <c r="K608" s="2"/>
    </row>
    <row r="609" spans="1:11" customFormat="1" x14ac:dyDescent="0.2">
      <c r="A609" s="2429"/>
      <c r="B609" s="1287" t="s">
        <v>2481</v>
      </c>
      <c r="C609" s="1864">
        <f>920000+(565000+35000)</f>
        <v>1520000</v>
      </c>
      <c r="D609" s="1864">
        <f>920000+(565000+35000)</f>
        <v>1520000</v>
      </c>
      <c r="E609" s="1809">
        <v>778717.02</v>
      </c>
      <c r="F609" s="1864"/>
      <c r="G609" s="2200">
        <f t="shared" si="119"/>
        <v>51.231382894736846</v>
      </c>
      <c r="H609" s="2200">
        <f t="shared" si="111"/>
        <v>51.231382894736846</v>
      </c>
      <c r="I609" s="2201">
        <f t="shared" si="112"/>
        <v>315.31855913055449</v>
      </c>
      <c r="J609" s="88">
        <v>246962</v>
      </c>
      <c r="K609" s="2"/>
    </row>
    <row r="610" spans="1:11" customFormat="1" x14ac:dyDescent="0.2">
      <c r="A610" s="2429"/>
      <c r="B610" s="1287" t="s">
        <v>2482</v>
      </c>
      <c r="C610" s="1234">
        <v>0</v>
      </c>
      <c r="D610" s="1234">
        <v>0</v>
      </c>
      <c r="E610" s="1077">
        <v>0</v>
      </c>
      <c r="F610" s="1864"/>
      <c r="G610" s="2200">
        <v>0</v>
      </c>
      <c r="H610" s="2200">
        <v>0</v>
      </c>
      <c r="I610" s="2201">
        <f t="shared" si="112"/>
        <v>0</v>
      </c>
      <c r="J610" s="88">
        <v>335577.65</v>
      </c>
      <c r="K610" s="2"/>
    </row>
    <row r="611" spans="1:11" customFormat="1" x14ac:dyDescent="0.2">
      <c r="A611" s="2429" t="s">
        <v>1829</v>
      </c>
      <c r="B611" s="1290" t="s">
        <v>685</v>
      </c>
      <c r="C611" s="1262">
        <f t="shared" ref="C611:D611" si="129">C612+C614+C615+C616+C613</f>
        <v>360000</v>
      </c>
      <c r="D611" s="1262">
        <f t="shared" si="129"/>
        <v>360000</v>
      </c>
      <c r="E611" s="1262">
        <v>13318</v>
      </c>
      <c r="F611" s="1256"/>
      <c r="G611" s="1663">
        <f t="shared" si="119"/>
        <v>3.699444444444445</v>
      </c>
      <c r="H611" s="1663">
        <f t="shared" si="111"/>
        <v>3.699444444444445</v>
      </c>
      <c r="I611" s="1662">
        <f t="shared" si="112"/>
        <v>49.642164902340838</v>
      </c>
      <c r="J611" s="88">
        <v>26828</v>
      </c>
      <c r="K611" s="2"/>
    </row>
    <row r="612" spans="1:11" customFormat="1" x14ac:dyDescent="0.2">
      <c r="A612" s="2428"/>
      <c r="B612" s="1287" t="s">
        <v>2483</v>
      </c>
      <c r="C612" s="1864">
        <v>120000</v>
      </c>
      <c r="D612" s="1864">
        <v>120000</v>
      </c>
      <c r="E612" s="1809">
        <v>0</v>
      </c>
      <c r="F612" s="1864"/>
      <c r="G612" s="2200">
        <f t="shared" si="119"/>
        <v>0</v>
      </c>
      <c r="H612" s="2200">
        <f t="shared" si="111"/>
        <v>0</v>
      </c>
      <c r="I612" s="2201">
        <v>0</v>
      </c>
      <c r="J612" s="88">
        <v>0</v>
      </c>
      <c r="K612" s="2"/>
    </row>
    <row r="613" spans="1:11" customFormat="1" x14ac:dyDescent="0.2">
      <c r="A613" s="2428"/>
      <c r="B613" s="1287" t="s">
        <v>2929</v>
      </c>
      <c r="C613" s="1864">
        <v>10000</v>
      </c>
      <c r="D613" s="1864">
        <v>10000</v>
      </c>
      <c r="E613" s="1809">
        <v>0</v>
      </c>
      <c r="F613" s="1864"/>
      <c r="G613" s="2200">
        <f t="shared" si="119"/>
        <v>0</v>
      </c>
      <c r="H613" s="2200">
        <f t="shared" si="111"/>
        <v>0</v>
      </c>
      <c r="I613" s="2201">
        <v>0</v>
      </c>
      <c r="J613" s="88">
        <v>0</v>
      </c>
      <c r="K613" s="2"/>
    </row>
    <row r="614" spans="1:11" customFormat="1" x14ac:dyDescent="0.2">
      <c r="A614" s="2428"/>
      <c r="B614" s="1287" t="s">
        <v>2930</v>
      </c>
      <c r="C614" s="1864">
        <v>70000</v>
      </c>
      <c r="D614" s="1864">
        <v>70000</v>
      </c>
      <c r="E614" s="1809">
        <v>13068</v>
      </c>
      <c r="F614" s="1864"/>
      <c r="G614" s="2200">
        <f t="shared" si="119"/>
        <v>18.668571428571429</v>
      </c>
      <c r="H614" s="2200">
        <f t="shared" si="111"/>
        <v>18.668571428571429</v>
      </c>
      <c r="I614" s="2201">
        <f t="shared" si="112"/>
        <v>100</v>
      </c>
      <c r="J614" s="88">
        <v>13068</v>
      </c>
      <c r="K614" s="2"/>
    </row>
    <row r="615" spans="1:11" customFormat="1" ht="25.5" x14ac:dyDescent="0.2">
      <c r="A615" s="2428"/>
      <c r="B615" s="1287" t="s">
        <v>2931</v>
      </c>
      <c r="C615" s="1077">
        <v>110000</v>
      </c>
      <c r="D615" s="1077">
        <v>110000</v>
      </c>
      <c r="E615" s="1077">
        <v>250</v>
      </c>
      <c r="F615" s="1077"/>
      <c r="G615" s="2200">
        <f t="shared" si="119"/>
        <v>0.22727272727272727</v>
      </c>
      <c r="H615" s="2200">
        <f t="shared" si="111"/>
        <v>0.22727272727272727</v>
      </c>
      <c r="I615" s="2201">
        <f t="shared" si="112"/>
        <v>55.555555555555557</v>
      </c>
      <c r="J615" s="32">
        <v>450</v>
      </c>
      <c r="K615" s="2"/>
    </row>
    <row r="616" spans="1:11" customFormat="1" x14ac:dyDescent="0.2">
      <c r="A616" s="2428"/>
      <c r="B616" s="1287" t="s">
        <v>2932</v>
      </c>
      <c r="C616" s="1234">
        <v>50000</v>
      </c>
      <c r="D616" s="1234">
        <v>50000</v>
      </c>
      <c r="E616" s="1809">
        <v>0</v>
      </c>
      <c r="F616" s="1864"/>
      <c r="G616" s="2200">
        <f t="shared" si="119"/>
        <v>0</v>
      </c>
      <c r="H616" s="2200">
        <f t="shared" si="111"/>
        <v>0</v>
      </c>
      <c r="I616" s="2201">
        <f t="shared" si="112"/>
        <v>0</v>
      </c>
      <c r="J616" s="88">
        <v>13310</v>
      </c>
      <c r="K616" s="2"/>
    </row>
    <row r="617" spans="1:11" customFormat="1" x14ac:dyDescent="0.2">
      <c r="A617" s="2429" t="s">
        <v>1835</v>
      </c>
      <c r="B617" s="1290" t="s">
        <v>2487</v>
      </c>
      <c r="C617" s="1262">
        <f t="shared" ref="C617:D617" si="130">C618+C619</f>
        <v>375000</v>
      </c>
      <c r="D617" s="1262">
        <f t="shared" si="130"/>
        <v>375000</v>
      </c>
      <c r="E617" s="1262">
        <v>7364.08</v>
      </c>
      <c r="F617" s="1256"/>
      <c r="G617" s="1663">
        <f t="shared" si="119"/>
        <v>1.9637546666666665</v>
      </c>
      <c r="H617" s="1663">
        <f t="shared" si="111"/>
        <v>1.9637546666666665</v>
      </c>
      <c r="I617" s="1662">
        <f t="shared" si="112"/>
        <v>102.9119402547057</v>
      </c>
      <c r="J617" s="88">
        <v>7155.71</v>
      </c>
      <c r="K617" s="2"/>
    </row>
    <row r="618" spans="1:11" customFormat="1" ht="25.5" x14ac:dyDescent="0.2">
      <c r="A618" s="2428"/>
      <c r="B618" s="1287" t="s">
        <v>2488</v>
      </c>
      <c r="C618" s="1077">
        <f>1170000-550000-260000</f>
        <v>360000</v>
      </c>
      <c r="D618" s="1077">
        <f>1170000-550000-260000</f>
        <v>360000</v>
      </c>
      <c r="E618" s="1809">
        <v>0</v>
      </c>
      <c r="F618" s="1077"/>
      <c r="G618" s="2200">
        <f t="shared" si="119"/>
        <v>0</v>
      </c>
      <c r="H618" s="2200">
        <f t="shared" si="111"/>
        <v>0</v>
      </c>
      <c r="I618" s="2201">
        <v>0</v>
      </c>
      <c r="J618" s="32">
        <v>0</v>
      </c>
      <c r="K618" s="2"/>
    </row>
    <row r="619" spans="1:11" customFormat="1" x14ac:dyDescent="0.2">
      <c r="A619" s="2428"/>
      <c r="B619" s="1287" t="s">
        <v>1837</v>
      </c>
      <c r="C619" s="1234">
        <v>15000</v>
      </c>
      <c r="D619" s="1234">
        <v>15000</v>
      </c>
      <c r="E619" s="1077">
        <v>7364.08</v>
      </c>
      <c r="F619" s="1864"/>
      <c r="G619" s="2200">
        <f t="shared" si="119"/>
        <v>49.093866666666663</v>
      </c>
      <c r="H619" s="2200">
        <f t="shared" si="111"/>
        <v>49.093866666666663</v>
      </c>
      <c r="I619" s="2201">
        <f t="shared" si="112"/>
        <v>102.9119402547057</v>
      </c>
      <c r="J619" s="88">
        <v>7155.71</v>
      </c>
      <c r="K619" s="2"/>
    </row>
    <row r="620" spans="1:11" customFormat="1" x14ac:dyDescent="0.2">
      <c r="A620" s="2429">
        <v>3392</v>
      </c>
      <c r="B620" s="1290" t="s">
        <v>693</v>
      </c>
      <c r="C620" s="1262">
        <f t="shared" ref="C620:D620" si="131">C622+C621</f>
        <v>30954427</v>
      </c>
      <c r="D620" s="1262">
        <f t="shared" si="131"/>
        <v>36099047</v>
      </c>
      <c r="E620" s="1262">
        <v>13968500</v>
      </c>
      <c r="F620" s="1256"/>
      <c r="G620" s="1663">
        <f t="shared" si="119"/>
        <v>45.126017031424944</v>
      </c>
      <c r="H620" s="1663">
        <f t="shared" ref="H620:H683" si="132">E620/D620*100</f>
        <v>38.694927320380508</v>
      </c>
      <c r="I620" s="1662">
        <f t="shared" ref="I620:I683" si="133">E620/J620*100</f>
        <v>106.83627490969376</v>
      </c>
      <c r="J620" s="88">
        <v>13074679</v>
      </c>
      <c r="K620" s="2"/>
    </row>
    <row r="621" spans="1:11" customFormat="1" x14ac:dyDescent="0.2">
      <c r="A621" s="2429"/>
      <c r="B621" s="1287" t="s">
        <v>2489</v>
      </c>
      <c r="C621" s="1234">
        <v>26000</v>
      </c>
      <c r="D621" s="1234">
        <v>26000</v>
      </c>
      <c r="E621" s="1077">
        <v>0</v>
      </c>
      <c r="F621" s="1864"/>
      <c r="G621" s="2200">
        <f t="shared" si="119"/>
        <v>0</v>
      </c>
      <c r="H621" s="2200">
        <f t="shared" si="132"/>
        <v>0</v>
      </c>
      <c r="I621" s="2201">
        <f t="shared" si="133"/>
        <v>0</v>
      </c>
      <c r="J621" s="88">
        <v>3179</v>
      </c>
      <c r="K621" s="2"/>
    </row>
    <row r="622" spans="1:11" customFormat="1" x14ac:dyDescent="0.2">
      <c r="A622" s="2428"/>
      <c r="B622" s="1287" t="s">
        <v>1838</v>
      </c>
      <c r="C622" s="1262">
        <f t="shared" ref="C622:D622" si="134">SUM(C623+C626+C625)</f>
        <v>30928427</v>
      </c>
      <c r="D622" s="1262">
        <f t="shared" si="134"/>
        <v>36073047</v>
      </c>
      <c r="E622" s="1262">
        <v>13968500</v>
      </c>
      <c r="F622" s="1256"/>
      <c r="G622" s="1663">
        <f t="shared" si="119"/>
        <v>45.163952243675375</v>
      </c>
      <c r="H622" s="1663">
        <f t="shared" si="132"/>
        <v>38.722817066160225</v>
      </c>
      <c r="I622" s="1662">
        <f t="shared" si="133"/>
        <v>106.86225758329189</v>
      </c>
      <c r="J622" s="88">
        <v>13071500</v>
      </c>
      <c r="K622" s="2"/>
    </row>
    <row r="623" spans="1:11" customFormat="1" x14ac:dyDescent="0.2">
      <c r="A623" s="2428"/>
      <c r="B623" s="1287" t="s">
        <v>2933</v>
      </c>
      <c r="C623" s="1864">
        <f>27770000+12000+622427</f>
        <v>28404427</v>
      </c>
      <c r="D623" s="1864">
        <f>(27770000+12000+622427)+4737000+400000-472380+370000+110000</f>
        <v>33549047</v>
      </c>
      <c r="E623" s="1809">
        <v>13968500</v>
      </c>
      <c r="F623" s="1077"/>
      <c r="G623" s="2200">
        <f t="shared" si="119"/>
        <v>49.177193400169628</v>
      </c>
      <c r="H623" s="2200">
        <f t="shared" si="132"/>
        <v>41.636056010771334</v>
      </c>
      <c r="I623" s="2201">
        <f t="shared" si="133"/>
        <v>106.86225758329189</v>
      </c>
      <c r="J623" s="88">
        <v>13071500</v>
      </c>
      <c r="K623" s="2"/>
    </row>
    <row r="624" spans="1:11" customFormat="1" x14ac:dyDescent="0.2">
      <c r="A624" s="2428"/>
      <c r="B624" s="1287" t="s">
        <v>697</v>
      </c>
      <c r="C624" s="1864">
        <v>4360000</v>
      </c>
      <c r="D624" s="1864">
        <f>4360000+400000</f>
        <v>4760000</v>
      </c>
      <c r="E624" s="1809">
        <v>13968500</v>
      </c>
      <c r="F624" s="815"/>
      <c r="G624" s="2200">
        <f t="shared" si="119"/>
        <v>320.37844036697248</v>
      </c>
      <c r="H624" s="2200">
        <f t="shared" si="132"/>
        <v>293.45588235294116</v>
      </c>
      <c r="I624" s="2201">
        <v>0</v>
      </c>
      <c r="J624" s="88"/>
      <c r="K624" s="2"/>
    </row>
    <row r="625" spans="1:11" customFormat="1" ht="38.25" x14ac:dyDescent="0.2">
      <c r="A625" s="2428"/>
      <c r="B625" s="1287" t="s">
        <v>2491</v>
      </c>
      <c r="C625" s="1077">
        <f>3800000-1600000</f>
        <v>2200000</v>
      </c>
      <c r="D625" s="1077">
        <f>3800000-1600000</f>
        <v>2200000</v>
      </c>
      <c r="E625" s="1809">
        <v>0</v>
      </c>
      <c r="F625" s="1077"/>
      <c r="G625" s="2200">
        <f t="shared" si="119"/>
        <v>0</v>
      </c>
      <c r="H625" s="2200">
        <f t="shared" si="132"/>
        <v>0</v>
      </c>
      <c r="I625" s="2201">
        <v>0</v>
      </c>
      <c r="J625" s="32">
        <v>0</v>
      </c>
      <c r="K625" s="2"/>
    </row>
    <row r="626" spans="1:11" customFormat="1" x14ac:dyDescent="0.2">
      <c r="A626" s="2428"/>
      <c r="B626" s="1287" t="s">
        <v>2492</v>
      </c>
      <c r="C626" s="1864">
        <v>324000</v>
      </c>
      <c r="D626" s="1864">
        <v>324000</v>
      </c>
      <c r="E626" s="1809">
        <v>0</v>
      </c>
      <c r="F626" s="1077"/>
      <c r="G626" s="2200">
        <f t="shared" si="119"/>
        <v>0</v>
      </c>
      <c r="H626" s="2200">
        <f t="shared" si="132"/>
        <v>0</v>
      </c>
      <c r="I626" s="2201">
        <v>0</v>
      </c>
      <c r="J626" s="88">
        <v>0</v>
      </c>
      <c r="K626" s="2"/>
    </row>
    <row r="627" spans="1:11" customFormat="1" x14ac:dyDescent="0.2">
      <c r="A627" s="2429">
        <v>3399</v>
      </c>
      <c r="B627" s="1290" t="s">
        <v>700</v>
      </c>
      <c r="C627" s="1262">
        <f t="shared" ref="C627:D627" si="135">C628</f>
        <v>290000</v>
      </c>
      <c r="D627" s="1262">
        <f t="shared" si="135"/>
        <v>290000</v>
      </c>
      <c r="E627" s="1262">
        <v>128881</v>
      </c>
      <c r="F627" s="1256"/>
      <c r="G627" s="1663">
        <f t="shared" si="119"/>
        <v>44.441724137931033</v>
      </c>
      <c r="H627" s="1663">
        <f t="shared" si="132"/>
        <v>44.441724137931033</v>
      </c>
      <c r="I627" s="1662">
        <f t="shared" si="133"/>
        <v>162.06350204338258</v>
      </c>
      <c r="J627" s="88">
        <v>79525</v>
      </c>
      <c r="K627" s="2"/>
    </row>
    <row r="628" spans="1:11" customFormat="1" x14ac:dyDescent="0.2">
      <c r="A628" s="2428"/>
      <c r="B628" s="1287" t="s">
        <v>701</v>
      </c>
      <c r="C628" s="1864">
        <v>290000</v>
      </c>
      <c r="D628" s="1864">
        <v>290000</v>
      </c>
      <c r="E628" s="1077">
        <v>128881</v>
      </c>
      <c r="F628" s="1077"/>
      <c r="G628" s="2200">
        <f t="shared" si="119"/>
        <v>44.441724137931033</v>
      </c>
      <c r="H628" s="2200">
        <f t="shared" si="132"/>
        <v>44.441724137931033</v>
      </c>
      <c r="I628" s="2201">
        <f t="shared" si="133"/>
        <v>162.06350204338258</v>
      </c>
      <c r="J628" s="88">
        <v>79525</v>
      </c>
      <c r="K628" s="2"/>
    </row>
    <row r="629" spans="1:11" customFormat="1" ht="12.75" customHeight="1" x14ac:dyDescent="0.2">
      <c r="A629" s="2430"/>
      <c r="B629" s="1296"/>
      <c r="C629" s="1950"/>
      <c r="D629" s="1950"/>
      <c r="E629" s="1809"/>
      <c r="F629" s="2431"/>
      <c r="G629" s="2431"/>
      <c r="H629" s="2431"/>
      <c r="I629" s="1234"/>
      <c r="J629" s="88"/>
      <c r="K629" s="2"/>
    </row>
    <row r="630" spans="1:11" customFormat="1" ht="15.75" x14ac:dyDescent="0.25">
      <c r="A630" s="2371"/>
      <c r="B630" s="1249" t="s">
        <v>2934</v>
      </c>
      <c r="C630" s="1280">
        <f>SUM(C631)</f>
        <v>0</v>
      </c>
      <c r="D630" s="1280">
        <f>SUM(D631)</f>
        <v>5000000</v>
      </c>
      <c r="E630" s="1280">
        <v>0</v>
      </c>
      <c r="F630" s="2426"/>
      <c r="G630" s="2325">
        <v>0</v>
      </c>
      <c r="H630" s="2325">
        <f t="shared" si="132"/>
        <v>0</v>
      </c>
      <c r="I630" s="2325">
        <v>0</v>
      </c>
      <c r="J630" s="88">
        <v>0</v>
      </c>
      <c r="K630" s="2"/>
    </row>
    <row r="631" spans="1:11" customFormat="1" x14ac:dyDescent="0.2">
      <c r="A631" s="2427" t="s">
        <v>2935</v>
      </c>
      <c r="B631" s="1284" t="s">
        <v>2936</v>
      </c>
      <c r="C631" s="1273">
        <v>0</v>
      </c>
      <c r="D631" s="1273">
        <v>5000000</v>
      </c>
      <c r="E631" s="1273">
        <v>0</v>
      </c>
      <c r="F631" s="1260"/>
      <c r="G631" s="1663">
        <v>0</v>
      </c>
      <c r="H631" s="1663">
        <f t="shared" si="132"/>
        <v>0</v>
      </c>
      <c r="I631" s="1662">
        <v>0</v>
      </c>
      <c r="J631" s="88">
        <v>0</v>
      </c>
      <c r="K631" s="2"/>
    </row>
    <row r="632" spans="1:11" customFormat="1" ht="12" customHeight="1" x14ac:dyDescent="0.2">
      <c r="A632" s="2430"/>
      <c r="B632" s="1296"/>
      <c r="C632" s="1234"/>
      <c r="D632" s="1234"/>
      <c r="E632" s="1809"/>
      <c r="F632" s="2431"/>
      <c r="G632" s="2431"/>
      <c r="H632" s="2431"/>
      <c r="I632" s="1234"/>
      <c r="J632" s="88"/>
      <c r="K632" s="2"/>
    </row>
    <row r="633" spans="1:11" customFormat="1" ht="15.75" x14ac:dyDescent="0.25">
      <c r="A633" s="2371"/>
      <c r="B633" s="1062" t="s">
        <v>702</v>
      </c>
      <c r="C633" s="1299">
        <f t="shared" ref="C633:D633" si="136">C634</f>
        <v>28598000</v>
      </c>
      <c r="D633" s="1299">
        <f t="shared" si="136"/>
        <v>29473004.140000001</v>
      </c>
      <c r="E633" s="1299">
        <v>24424504.140000001</v>
      </c>
      <c r="F633" s="2432"/>
      <c r="G633" s="2325">
        <f t="shared" si="119"/>
        <v>85.40633659696482</v>
      </c>
      <c r="H633" s="2325">
        <f t="shared" si="132"/>
        <v>82.870765477387138</v>
      </c>
      <c r="I633" s="2325">
        <f t="shared" si="133"/>
        <v>115.81143591128136</v>
      </c>
      <c r="J633" s="88">
        <v>21089889.739999998</v>
      </c>
      <c r="K633" s="2"/>
    </row>
    <row r="634" spans="1:11" customFormat="1" x14ac:dyDescent="0.2">
      <c r="A634" s="2296"/>
      <c r="B634" s="1251" t="s">
        <v>703</v>
      </c>
      <c r="C634" s="1301">
        <f>SUM(C635:C644)</f>
        <v>28598000</v>
      </c>
      <c r="D634" s="1301">
        <f>SUM(D635:D644)</f>
        <v>29473004.140000001</v>
      </c>
      <c r="E634" s="1301">
        <v>24424504.140000001</v>
      </c>
      <c r="F634" s="2433">
        <f>SUM(E635:E644)</f>
        <v>24424504.140000001</v>
      </c>
      <c r="G634" s="1663">
        <f t="shared" ref="G634:G697" si="137">E634/C634*100</f>
        <v>85.40633659696482</v>
      </c>
      <c r="H634" s="1663">
        <f t="shared" si="132"/>
        <v>82.870765477387138</v>
      </c>
      <c r="I634" s="1662">
        <f t="shared" si="133"/>
        <v>115.81143591128136</v>
      </c>
      <c r="J634" s="88">
        <v>21089889.739999998</v>
      </c>
      <c r="K634" s="2"/>
    </row>
    <row r="635" spans="1:11" customFormat="1" x14ac:dyDescent="0.2">
      <c r="A635" s="2425"/>
      <c r="B635" s="1258" t="s">
        <v>704</v>
      </c>
      <c r="C635" s="1864">
        <v>1500000</v>
      </c>
      <c r="D635" s="1864">
        <v>1500000</v>
      </c>
      <c r="E635" s="1809">
        <v>1466000</v>
      </c>
      <c r="F635" s="1864"/>
      <c r="G635" s="2200">
        <f t="shared" si="137"/>
        <v>97.733333333333334</v>
      </c>
      <c r="H635" s="2200">
        <f t="shared" si="132"/>
        <v>97.733333333333334</v>
      </c>
      <c r="I635" s="2201">
        <f t="shared" si="133"/>
        <v>140.96153846153848</v>
      </c>
      <c r="J635" s="88">
        <v>1040000</v>
      </c>
      <c r="K635" s="2"/>
    </row>
    <row r="636" spans="1:11" customFormat="1" x14ac:dyDescent="0.2">
      <c r="A636" s="2425"/>
      <c r="B636" s="1258" t="s">
        <v>705</v>
      </c>
      <c r="C636" s="1900">
        <v>300000</v>
      </c>
      <c r="D636" s="1900">
        <v>300000</v>
      </c>
      <c r="E636" s="1809">
        <v>182100</v>
      </c>
      <c r="F636" s="1864"/>
      <c r="G636" s="2200">
        <f t="shared" si="137"/>
        <v>60.699999999999996</v>
      </c>
      <c r="H636" s="2200">
        <f t="shared" si="132"/>
        <v>60.699999999999996</v>
      </c>
      <c r="I636" s="2201">
        <f t="shared" si="133"/>
        <v>94.511483067341373</v>
      </c>
      <c r="J636" s="88">
        <v>192675</v>
      </c>
      <c r="K636" s="2"/>
    </row>
    <row r="637" spans="1:11" customFormat="1" x14ac:dyDescent="0.2">
      <c r="A637" s="2425"/>
      <c r="B637" s="1258" t="s">
        <v>706</v>
      </c>
      <c r="C637" s="1900">
        <v>4800000</v>
      </c>
      <c r="D637" s="1900">
        <v>4800000</v>
      </c>
      <c r="E637" s="1809">
        <v>4735000</v>
      </c>
      <c r="F637" s="1864"/>
      <c r="G637" s="2200">
        <f t="shared" si="137"/>
        <v>98.645833333333329</v>
      </c>
      <c r="H637" s="2200">
        <f t="shared" si="132"/>
        <v>98.645833333333329</v>
      </c>
      <c r="I637" s="2201">
        <f t="shared" si="133"/>
        <v>94.889779559118239</v>
      </c>
      <c r="J637" s="88">
        <v>4990000</v>
      </c>
      <c r="K637" s="2"/>
    </row>
    <row r="638" spans="1:11" customFormat="1" x14ac:dyDescent="0.2">
      <c r="A638" s="2425"/>
      <c r="B638" s="1258" t="s">
        <v>707</v>
      </c>
      <c r="C638" s="1900">
        <v>7250000</v>
      </c>
      <c r="D638" s="1900">
        <v>7250000</v>
      </c>
      <c r="E638" s="1809">
        <v>7150000</v>
      </c>
      <c r="F638" s="1864"/>
      <c r="G638" s="2200">
        <f t="shared" si="137"/>
        <v>98.620689655172413</v>
      </c>
      <c r="H638" s="2200">
        <f t="shared" si="132"/>
        <v>98.620689655172413</v>
      </c>
      <c r="I638" s="2201">
        <f t="shared" si="133"/>
        <v>98.620689655172413</v>
      </c>
      <c r="J638" s="88">
        <v>7250000</v>
      </c>
      <c r="K638" s="2"/>
    </row>
    <row r="639" spans="1:11" customFormat="1" x14ac:dyDescent="0.2">
      <c r="A639" s="2425"/>
      <c r="B639" s="1258" t="s">
        <v>708</v>
      </c>
      <c r="C639" s="1900">
        <v>250000</v>
      </c>
      <c r="D639" s="1900">
        <f>250000-30000-70000-40000-30000</f>
        <v>80000</v>
      </c>
      <c r="E639" s="1809">
        <v>14000</v>
      </c>
      <c r="F639" s="1864"/>
      <c r="G639" s="2200">
        <f t="shared" si="137"/>
        <v>5.6000000000000005</v>
      </c>
      <c r="H639" s="2200">
        <f t="shared" si="132"/>
        <v>17.5</v>
      </c>
      <c r="I639" s="2201">
        <f t="shared" si="133"/>
        <v>34.146341463414636</v>
      </c>
      <c r="J639" s="88">
        <v>41000</v>
      </c>
      <c r="K639" s="2"/>
    </row>
    <row r="640" spans="1:11" customFormat="1" x14ac:dyDescent="0.2">
      <c r="A640" s="2425"/>
      <c r="B640" s="1258" t="s">
        <v>709</v>
      </c>
      <c r="C640" s="1900">
        <v>1000000</v>
      </c>
      <c r="D640" s="1900">
        <v>1000000</v>
      </c>
      <c r="E640" s="1809">
        <v>840000</v>
      </c>
      <c r="F640" s="1864"/>
      <c r="G640" s="2200">
        <f t="shared" si="137"/>
        <v>84</v>
      </c>
      <c r="H640" s="2200">
        <f t="shared" si="132"/>
        <v>84</v>
      </c>
      <c r="I640" s="2201">
        <f t="shared" si="133"/>
        <v>19.570772238954635</v>
      </c>
      <c r="J640" s="88">
        <v>4292114.74</v>
      </c>
      <c r="K640" s="2"/>
    </row>
    <row r="641" spans="1:11" customFormat="1" x14ac:dyDescent="0.2">
      <c r="A641" s="2425"/>
      <c r="B641" s="1258" t="s">
        <v>712</v>
      </c>
      <c r="C641" s="1900">
        <v>1342000</v>
      </c>
      <c r="D641" s="1900">
        <v>1342000</v>
      </c>
      <c r="E641" s="1809">
        <v>1117000</v>
      </c>
      <c r="F641" s="1864"/>
      <c r="G641" s="2200">
        <f t="shared" si="137"/>
        <v>83.233979135618469</v>
      </c>
      <c r="H641" s="2200">
        <f t="shared" si="132"/>
        <v>83.233979135618469</v>
      </c>
      <c r="I641" s="2201">
        <f t="shared" si="133"/>
        <v>115.99169262720666</v>
      </c>
      <c r="J641" s="88">
        <v>963000</v>
      </c>
      <c r="K641" s="2"/>
    </row>
    <row r="642" spans="1:11" customFormat="1" x14ac:dyDescent="0.2">
      <c r="A642" s="2425"/>
      <c r="B642" s="1258" t="s">
        <v>713</v>
      </c>
      <c r="C642" s="1900">
        <v>158000</v>
      </c>
      <c r="D642" s="1900">
        <v>158000</v>
      </c>
      <c r="E642" s="1809">
        <v>72000</v>
      </c>
      <c r="F642" s="1864"/>
      <c r="G642" s="2200">
        <f t="shared" si="137"/>
        <v>45.569620253164558</v>
      </c>
      <c r="H642" s="2200">
        <f t="shared" si="132"/>
        <v>45.569620253164558</v>
      </c>
      <c r="I642" s="2201">
        <f t="shared" si="133"/>
        <v>50.349650349650354</v>
      </c>
      <c r="J642" s="88">
        <v>143000</v>
      </c>
      <c r="K642" s="2"/>
    </row>
    <row r="643" spans="1:11" customFormat="1" x14ac:dyDescent="0.2">
      <c r="A643" s="2425"/>
      <c r="B643" s="1258" t="s">
        <v>714</v>
      </c>
      <c r="C643" s="1900">
        <v>1300000</v>
      </c>
      <c r="D643" s="1900">
        <v>1300000</v>
      </c>
      <c r="E643" s="1809">
        <v>1105800</v>
      </c>
      <c r="F643" s="1864"/>
      <c r="G643" s="2200">
        <f t="shared" si="137"/>
        <v>85.061538461538461</v>
      </c>
      <c r="H643" s="2200">
        <f t="shared" si="132"/>
        <v>85.061538461538461</v>
      </c>
      <c r="I643" s="2201">
        <f t="shared" si="133"/>
        <v>114.41282979824108</v>
      </c>
      <c r="J643" s="88">
        <v>966500</v>
      </c>
      <c r="K643" s="2"/>
    </row>
    <row r="644" spans="1:11" customFormat="1" ht="42" customHeight="1" x14ac:dyDescent="0.2">
      <c r="A644" s="2296"/>
      <c r="B644" s="1258" t="s">
        <v>2493</v>
      </c>
      <c r="C644" s="1809">
        <f>296000+644000+63000+90000+15000+200000+7600000-210000+2000000</f>
        <v>10698000</v>
      </c>
      <c r="D644" s="1809">
        <f>(296000+644000+63000+90000+15000+200000+7600000-210000+2000000)+595004.14+7500+15000+30000+30000+7500+80000+60000+30000+70000+40000+30000+30000+10000+10000</f>
        <v>11743004.140000001</v>
      </c>
      <c r="E644" s="1809">
        <v>7742604.1399999997</v>
      </c>
      <c r="F644" s="1077"/>
      <c r="G644" s="2200">
        <f t="shared" si="137"/>
        <v>72.37431426434847</v>
      </c>
      <c r="H644" s="2200">
        <f t="shared" si="132"/>
        <v>65.933759774694238</v>
      </c>
      <c r="I644" s="2201">
        <f t="shared" si="133"/>
        <v>639.03962859029377</v>
      </c>
      <c r="J644" s="32">
        <v>1211600</v>
      </c>
      <c r="K644" s="2"/>
    </row>
    <row r="645" spans="1:11" ht="12.75" customHeight="1" x14ac:dyDescent="0.2">
      <c r="A645" s="2221"/>
      <c r="B645" s="1303"/>
      <c r="C645" s="742"/>
      <c r="D645" s="742"/>
      <c r="E645" s="1040"/>
      <c r="F645" s="743"/>
      <c r="G645" s="743"/>
      <c r="H645" s="743"/>
      <c r="I645" s="743"/>
    </row>
    <row r="646" spans="1:11" ht="21" customHeight="1" x14ac:dyDescent="0.3">
      <c r="A646" s="2373"/>
      <c r="B646" s="701" t="s">
        <v>716</v>
      </c>
      <c r="C646" s="2434">
        <f>C647</f>
        <v>30378980</v>
      </c>
      <c r="D646" s="2434">
        <f>D647</f>
        <v>31548124.350000001</v>
      </c>
      <c r="E646" s="2435">
        <v>13641982.65</v>
      </c>
      <c r="F646" s="2436"/>
      <c r="G646" s="949">
        <f t="shared" si="137"/>
        <v>44.905993058358121</v>
      </c>
      <c r="H646" s="949">
        <f t="shared" si="132"/>
        <v>43.241818431592435</v>
      </c>
      <c r="I646" s="949">
        <f t="shared" si="133"/>
        <v>106.64507178608878</v>
      </c>
      <c r="J646" s="29">
        <v>12791948.49</v>
      </c>
    </row>
    <row r="647" spans="1:11" x14ac:dyDescent="0.2">
      <c r="A647" s="2221">
        <v>5311</v>
      </c>
      <c r="B647" s="717" t="s">
        <v>717</v>
      </c>
      <c r="C647" s="2040">
        <f>SUM(C648)</f>
        <v>30378980</v>
      </c>
      <c r="D647" s="2040">
        <f>SUM(D648)</f>
        <v>31548124.350000001</v>
      </c>
      <c r="E647" s="1311">
        <v>13641982.65</v>
      </c>
      <c r="F647" s="2045"/>
      <c r="G647" s="1663">
        <f t="shared" si="137"/>
        <v>44.905993058358121</v>
      </c>
      <c r="H647" s="1663">
        <f t="shared" si="132"/>
        <v>43.241818431592435</v>
      </c>
      <c r="I647" s="1662">
        <f t="shared" si="133"/>
        <v>106.64507178608878</v>
      </c>
      <c r="J647" s="29">
        <v>12791948.49</v>
      </c>
    </row>
    <row r="648" spans="1:11" ht="64.5" customHeight="1" x14ac:dyDescent="0.2">
      <c r="A648" s="2221"/>
      <c r="B648" s="749" t="s">
        <v>2937</v>
      </c>
      <c r="C648" s="2042">
        <f>(19370+840+4803.76+208.32+1743.3+75.6+5+350+2+348+143+35+264+1+245+30+3+149+3+747+275+200+45+17+50+10+6+170+150+90)*1000</f>
        <v>30378980</v>
      </c>
      <c r="D648" s="2042">
        <f>((19370+840+4803.76+208.32+1743.3+75.6+5+350+2+348+143+35+264+1+245+30+3+149+3+747+275+200+45+17+50+10+6+170+150+90)*1000)+1169144.35</f>
        <v>31548124.350000001</v>
      </c>
      <c r="E648" s="2041">
        <v>13641982.65</v>
      </c>
      <c r="F648" s="2042"/>
      <c r="G648" s="2200">
        <f t="shared" si="137"/>
        <v>44.905993058358121</v>
      </c>
      <c r="H648" s="2200">
        <f t="shared" si="132"/>
        <v>43.241818431592435</v>
      </c>
      <c r="I648" s="2201">
        <f t="shared" si="133"/>
        <v>106.64507178608878</v>
      </c>
      <c r="J648" s="1866">
        <v>12791948.49</v>
      </c>
    </row>
    <row r="649" spans="1:11" ht="12.75" customHeight="1" x14ac:dyDescent="0.2">
      <c r="A649" s="2419"/>
      <c r="B649" s="1318"/>
      <c r="C649" s="945"/>
      <c r="D649" s="945"/>
      <c r="E649" s="1158"/>
      <c r="F649" s="945"/>
      <c r="G649" s="945"/>
      <c r="H649" s="945"/>
      <c r="I649" s="945"/>
    </row>
    <row r="650" spans="1:11" ht="20.25" x14ac:dyDescent="0.3">
      <c r="A650" s="2373"/>
      <c r="B650" s="701" t="s">
        <v>41</v>
      </c>
      <c r="C650" s="2437">
        <f>SUM(C651:C658)+C670</f>
        <v>37939410</v>
      </c>
      <c r="D650" s="2437">
        <f>SUM(D651:D658)+D670</f>
        <v>37126500.399999999</v>
      </c>
      <c r="E650" s="2437">
        <v>15909779.07</v>
      </c>
      <c r="F650" s="2426">
        <f>SUM(E651:E658,E670)</f>
        <v>15909779.07</v>
      </c>
      <c r="G650" s="949">
        <f t="shared" si="137"/>
        <v>41.934703438983369</v>
      </c>
      <c r="H650" s="949">
        <f t="shared" si="132"/>
        <v>42.852891865886718</v>
      </c>
      <c r="I650" s="949">
        <f t="shared" si="133"/>
        <v>95.583519227836319</v>
      </c>
      <c r="J650" s="29">
        <v>16644897.779999999</v>
      </c>
    </row>
    <row r="651" spans="1:11" ht="40.5" customHeight="1" x14ac:dyDescent="0.2">
      <c r="A651" s="2438">
        <v>3429</v>
      </c>
      <c r="B651" s="1525" t="s">
        <v>2938</v>
      </c>
      <c r="C651" s="1138">
        <f>SUM(80+20+11+200+12.3+1+30+120+20+500)*1000-500000</f>
        <v>494300</v>
      </c>
      <c r="D651" s="1138">
        <f>SUM(80+20+11+200+12.3+1+30+120+20+500)*1000-500000</f>
        <v>494300</v>
      </c>
      <c r="E651" s="765">
        <v>102952</v>
      </c>
      <c r="F651" s="2439"/>
      <c r="G651" s="1663">
        <f t="shared" si="137"/>
        <v>20.82783734574145</v>
      </c>
      <c r="H651" s="1663">
        <f t="shared" si="132"/>
        <v>20.82783734574145</v>
      </c>
      <c r="I651" s="1662">
        <f t="shared" si="133"/>
        <v>20.556801552406714</v>
      </c>
      <c r="J651" s="1866">
        <v>500817.21</v>
      </c>
    </row>
    <row r="652" spans="1:11" s="98" customFormat="1" ht="36.75" x14ac:dyDescent="0.2">
      <c r="A652" s="2440">
        <v>5212</v>
      </c>
      <c r="B652" s="1208" t="s">
        <v>2496</v>
      </c>
      <c r="C652" s="727">
        <f>SUM(1+20+35+40+30)*1000</f>
        <v>126000</v>
      </c>
      <c r="D652" s="727">
        <f>SUM(1+20+35+40+30)*1000</f>
        <v>126000</v>
      </c>
      <c r="E652" s="731">
        <v>34448.699999999997</v>
      </c>
      <c r="F652" s="1256"/>
      <c r="G652" s="1663">
        <f t="shared" si="137"/>
        <v>27.340238095238096</v>
      </c>
      <c r="H652" s="1663">
        <f t="shared" si="132"/>
        <v>27.340238095238096</v>
      </c>
      <c r="I652" s="1662">
        <f t="shared" si="133"/>
        <v>53.696718219539797</v>
      </c>
      <c r="J652" s="1866">
        <v>64154.2</v>
      </c>
    </row>
    <row r="653" spans="1:11" s="244" customFormat="1" ht="24.75" x14ac:dyDescent="0.25">
      <c r="A653" s="2221">
        <v>5213</v>
      </c>
      <c r="B653" s="725" t="s">
        <v>2939</v>
      </c>
      <c r="C653" s="1262">
        <v>200000</v>
      </c>
      <c r="D653" s="1262">
        <v>200000</v>
      </c>
      <c r="E653" s="731">
        <v>0</v>
      </c>
      <c r="F653" s="1256"/>
      <c r="G653" s="1663">
        <f t="shared" si="137"/>
        <v>0</v>
      </c>
      <c r="H653" s="1663">
        <f t="shared" si="132"/>
        <v>0</v>
      </c>
      <c r="I653" s="1662">
        <v>0</v>
      </c>
      <c r="J653" s="1866">
        <v>0</v>
      </c>
    </row>
    <row r="654" spans="1:11" s="98" customFormat="1" ht="24.75" x14ac:dyDescent="0.2">
      <c r="A654" s="2221">
        <v>5273</v>
      </c>
      <c r="B654" s="725" t="s">
        <v>1847</v>
      </c>
      <c r="C654" s="1262">
        <v>5000</v>
      </c>
      <c r="D654" s="1262">
        <v>5000</v>
      </c>
      <c r="E654" s="731">
        <v>0</v>
      </c>
      <c r="F654" s="1256"/>
      <c r="G654" s="1663">
        <f t="shared" si="137"/>
        <v>0</v>
      </c>
      <c r="H654" s="1663">
        <f t="shared" si="132"/>
        <v>0</v>
      </c>
      <c r="I654" s="1662">
        <v>0</v>
      </c>
      <c r="J654" s="1866">
        <v>0</v>
      </c>
    </row>
    <row r="655" spans="1:11" s="98" customFormat="1" ht="25.5" x14ac:dyDescent="0.2">
      <c r="A655" s="2221">
        <v>5299</v>
      </c>
      <c r="B655" s="725" t="s">
        <v>2940</v>
      </c>
      <c r="C655" s="1262">
        <v>0</v>
      </c>
      <c r="D655" s="1262">
        <v>440000</v>
      </c>
      <c r="E655" s="731">
        <v>400000</v>
      </c>
      <c r="F655" s="1256"/>
      <c r="G655" s="1663">
        <v>0</v>
      </c>
      <c r="H655" s="1663">
        <f t="shared" si="132"/>
        <v>90.909090909090907</v>
      </c>
      <c r="I655" s="1662">
        <v>0</v>
      </c>
      <c r="J655" s="1866">
        <v>0</v>
      </c>
    </row>
    <row r="656" spans="1:11" s="244" customFormat="1" ht="12.75" customHeight="1" x14ac:dyDescent="0.25">
      <c r="A656" s="2221">
        <v>5511</v>
      </c>
      <c r="B656" s="725" t="s">
        <v>2498</v>
      </c>
      <c r="C656" s="1262">
        <v>2500000</v>
      </c>
      <c r="D656" s="1262">
        <v>2500000</v>
      </c>
      <c r="E656" s="731">
        <v>2300504</v>
      </c>
      <c r="F656" s="1256"/>
      <c r="G656" s="1663">
        <f t="shared" si="137"/>
        <v>92.02015999999999</v>
      </c>
      <c r="H656" s="1663">
        <f t="shared" si="132"/>
        <v>92.02015999999999</v>
      </c>
      <c r="I656" s="1662">
        <f t="shared" si="133"/>
        <v>102.39999715123302</v>
      </c>
      <c r="J656" s="1866">
        <v>2246586</v>
      </c>
    </row>
    <row r="657" spans="1:11" s="244" customFormat="1" ht="51" x14ac:dyDescent="0.25">
      <c r="A657" s="2221">
        <v>5512</v>
      </c>
      <c r="B657" s="725" t="s">
        <v>2941</v>
      </c>
      <c r="C657" s="1262">
        <f>SUM(12+44+10+15+5+14+10+30)*1000</f>
        <v>140000</v>
      </c>
      <c r="D657" s="1262">
        <f>SUM(12+44+10+15+5+14+10+30)*1000</f>
        <v>140000</v>
      </c>
      <c r="E657" s="731">
        <v>12692.6</v>
      </c>
      <c r="F657" s="1256"/>
      <c r="G657" s="1663">
        <f t="shared" si="137"/>
        <v>9.0661428571428573</v>
      </c>
      <c r="H657" s="1663">
        <f t="shared" si="132"/>
        <v>9.0661428571428573</v>
      </c>
      <c r="I657" s="1662">
        <f t="shared" si="133"/>
        <v>59.134915532198406</v>
      </c>
      <c r="J657" s="1866">
        <v>21463.8</v>
      </c>
    </row>
    <row r="658" spans="1:11" s="244" customFormat="1" ht="12.75" customHeight="1" x14ac:dyDescent="0.25">
      <c r="A658" s="2221">
        <v>6171</v>
      </c>
      <c r="B658" s="717" t="s">
        <v>725</v>
      </c>
      <c r="C658" s="1262">
        <f t="shared" ref="C658:D658" si="138">SUM(C659+C660+C664+C665+C667+C668+C669)</f>
        <v>32624110</v>
      </c>
      <c r="D658" s="1262">
        <f t="shared" si="138"/>
        <v>31371200.399999999</v>
      </c>
      <c r="E658" s="1334">
        <v>12491482.68</v>
      </c>
      <c r="F658" s="1256">
        <f>SUM(E659:E669)</f>
        <v>12491482.680000002</v>
      </c>
      <c r="G658" s="1663">
        <f t="shared" si="137"/>
        <v>38.289114032536062</v>
      </c>
      <c r="H658" s="1663">
        <f t="shared" si="132"/>
        <v>39.81831272226357</v>
      </c>
      <c r="I658" s="1662">
        <f t="shared" si="133"/>
        <v>94.929021723206247</v>
      </c>
      <c r="J658" s="29">
        <v>13158760.57</v>
      </c>
    </row>
    <row r="659" spans="1:11" s="244" customFormat="1" ht="142.5" customHeight="1" x14ac:dyDescent="0.25">
      <c r="A659" s="2221"/>
      <c r="B659" s="1335" t="s">
        <v>2500</v>
      </c>
      <c r="C659" s="1077">
        <f>SUM(40+40+5+100+500+825+50+40+90+200+50+500+1075+600+3500+2550+1+170+4100+150+120+129.4+72.6+50+48+330+3900+300+20+100+450+30+1000+950+400+950+700+200+4.5+30+2)*1000</f>
        <v>24372500</v>
      </c>
      <c r="D659" s="1077">
        <f>(SUM(40+40+5+100+500+825+50+40+90+200+50+500+1075+600+3500+2550+1+170+4100+150+120+129.4+72.6+50+48+330+3900+300+20+100+450+30+1000+950+400+950+700+200+4.5+30+2)*1000)-1350000</f>
        <v>23022500</v>
      </c>
      <c r="E659" s="1316">
        <f>8195513.37+258854</f>
        <v>8454367.370000001</v>
      </c>
      <c r="F659" s="1256">
        <f>SUM(E659:E660)</f>
        <v>9503386.1800000016</v>
      </c>
      <c r="G659" s="2200">
        <f t="shared" si="137"/>
        <v>34.688141840188742</v>
      </c>
      <c r="H659" s="2200">
        <f t="shared" si="132"/>
        <v>36.722195113475955</v>
      </c>
      <c r="I659" s="2201">
        <f t="shared" si="133"/>
        <v>96.796817075171006</v>
      </c>
      <c r="J659" s="1866">
        <v>8734137.7799999993</v>
      </c>
    </row>
    <row r="660" spans="1:11" s="244" customFormat="1" ht="24" x14ac:dyDescent="0.25">
      <c r="A660" s="2221"/>
      <c r="B660" s="1335" t="s">
        <v>2942</v>
      </c>
      <c r="C660" s="1077">
        <f>SUM(50+100+1000)*1000</f>
        <v>1150000</v>
      </c>
      <c r="D660" s="1077">
        <f>SUM(50+100+1000)*1000</f>
        <v>1150000</v>
      </c>
      <c r="E660" s="1809">
        <v>1049018.81</v>
      </c>
      <c r="F660" s="1256"/>
      <c r="G660" s="2200">
        <f t="shared" si="137"/>
        <v>91.219026956521745</v>
      </c>
      <c r="H660" s="2200">
        <f t="shared" si="132"/>
        <v>91.219026956521745</v>
      </c>
      <c r="I660" s="2201">
        <f t="shared" si="133"/>
        <v>75.714206011123792</v>
      </c>
      <c r="J660" s="29">
        <v>1385498</v>
      </c>
    </row>
    <row r="661" spans="1:11" s="244" customFormat="1" ht="156" hidden="1" customHeight="1" x14ac:dyDescent="0.25">
      <c r="A661" s="2221" t="s">
        <v>2502</v>
      </c>
      <c r="B661" s="1335" t="s">
        <v>2503</v>
      </c>
      <c r="C661" s="1256">
        <v>0</v>
      </c>
      <c r="D661" s="1256">
        <v>0</v>
      </c>
      <c r="E661" s="1256"/>
      <c r="F661" s="1256"/>
      <c r="G661" s="2200" t="e">
        <f t="shared" si="137"/>
        <v>#DIV/0!</v>
      </c>
      <c r="H661" s="2200" t="e">
        <f t="shared" si="132"/>
        <v>#DIV/0!</v>
      </c>
      <c r="I661" s="2201" t="e">
        <f t="shared" si="133"/>
        <v>#DIV/0!</v>
      </c>
      <c r="J661" s="29"/>
    </row>
    <row r="662" spans="1:11" s="244" customFormat="1" ht="24" hidden="1" customHeight="1" x14ac:dyDescent="0.25">
      <c r="A662" s="2221"/>
      <c r="B662" s="1335" t="s">
        <v>2943</v>
      </c>
      <c r="C662" s="1256">
        <v>0</v>
      </c>
      <c r="D662" s="1256">
        <v>0</v>
      </c>
      <c r="E662" s="1256"/>
      <c r="F662" s="1256"/>
      <c r="G662" s="2200" t="e">
        <f t="shared" si="137"/>
        <v>#DIV/0!</v>
      </c>
      <c r="H662" s="2200" t="e">
        <f t="shared" si="132"/>
        <v>#DIV/0!</v>
      </c>
      <c r="I662" s="2201" t="e">
        <f t="shared" si="133"/>
        <v>#DIV/0!</v>
      </c>
      <c r="J662" s="29"/>
    </row>
    <row r="663" spans="1:11" s="244" customFormat="1" ht="156" hidden="1" customHeight="1" x14ac:dyDescent="0.25">
      <c r="A663" s="2221" t="s">
        <v>2505</v>
      </c>
      <c r="B663" s="1335" t="s">
        <v>2506</v>
      </c>
      <c r="C663" s="1256">
        <v>0</v>
      </c>
      <c r="D663" s="1256">
        <v>0</v>
      </c>
      <c r="E663" s="1256"/>
      <c r="F663" s="1256"/>
      <c r="G663" s="2200" t="e">
        <f t="shared" si="137"/>
        <v>#DIV/0!</v>
      </c>
      <c r="H663" s="2200" t="e">
        <f t="shared" si="132"/>
        <v>#DIV/0!</v>
      </c>
      <c r="I663" s="2201" t="e">
        <f t="shared" si="133"/>
        <v>#DIV/0!</v>
      </c>
      <c r="J663" s="29"/>
    </row>
    <row r="664" spans="1:11" s="98" customFormat="1" ht="37.5" customHeight="1" x14ac:dyDescent="0.2">
      <c r="A664" s="2221"/>
      <c r="B664" s="1337" t="s">
        <v>2507</v>
      </c>
      <c r="C664" s="1077">
        <f>SUM(200+590+225+40+20+3012.8+200+240+70)*1000</f>
        <v>4597800</v>
      </c>
      <c r="D664" s="1077">
        <f>(SUM(200+590+225+40+20+3012.8+200+240+70)*1000)+97090.4</f>
        <v>4694890.4000000004</v>
      </c>
      <c r="E664" s="738">
        <v>1375511.01</v>
      </c>
      <c r="F664" s="1256">
        <f>SUM(E664:E665)</f>
        <v>2736049.5300000003</v>
      </c>
      <c r="G664" s="2200">
        <f t="shared" si="137"/>
        <v>29.91672125799295</v>
      </c>
      <c r="H664" s="2200">
        <f t="shared" si="132"/>
        <v>29.298043038448778</v>
      </c>
      <c r="I664" s="2201">
        <f t="shared" si="133"/>
        <v>90.766609438958952</v>
      </c>
      <c r="J664" s="1866">
        <v>1515437.25</v>
      </c>
    </row>
    <row r="665" spans="1:11" ht="24" x14ac:dyDescent="0.2">
      <c r="A665" s="2223"/>
      <c r="B665" s="1337" t="s">
        <v>2508</v>
      </c>
      <c r="C665" s="1077">
        <f>SUM(200+1162.81+100+300+100)*1000</f>
        <v>1862810</v>
      </c>
      <c r="D665" s="1077">
        <f>SUM(200+1162.81+100+300+100)*1000</f>
        <v>1862810</v>
      </c>
      <c r="E665" s="738">
        <v>1360538.52</v>
      </c>
      <c r="F665" s="1077"/>
      <c r="G665" s="2200">
        <f t="shared" si="137"/>
        <v>73.036891577777666</v>
      </c>
      <c r="H665" s="2200">
        <f t="shared" si="132"/>
        <v>73.036891577777666</v>
      </c>
      <c r="I665" s="2201">
        <f t="shared" si="133"/>
        <v>111.32773860119696</v>
      </c>
      <c r="J665" s="1866">
        <v>1222102</v>
      </c>
    </row>
    <row r="666" spans="1:11" ht="48" hidden="1" customHeight="1" x14ac:dyDescent="0.2">
      <c r="A666" s="2221" t="s">
        <v>2502</v>
      </c>
      <c r="B666" s="1337" t="s">
        <v>2509</v>
      </c>
      <c r="C666" s="1256">
        <v>0</v>
      </c>
      <c r="D666" s="1256">
        <v>0</v>
      </c>
      <c r="E666" s="1256"/>
      <c r="F666" s="1256"/>
      <c r="G666" s="2200" t="e">
        <f t="shared" si="137"/>
        <v>#DIV/0!</v>
      </c>
      <c r="H666" s="2200" t="e">
        <f t="shared" si="132"/>
        <v>#DIV/0!</v>
      </c>
      <c r="I666" s="2201" t="e">
        <f t="shared" si="133"/>
        <v>#DIV/0!</v>
      </c>
      <c r="J666" s="2047"/>
      <c r="K666" s="2047"/>
    </row>
    <row r="667" spans="1:11" x14ac:dyDescent="0.2">
      <c r="A667" s="2223"/>
      <c r="B667" s="737" t="s">
        <v>1855</v>
      </c>
      <c r="C667" s="1077">
        <v>210000</v>
      </c>
      <c r="D667" s="1077">
        <v>210000</v>
      </c>
      <c r="E667" s="738">
        <v>92966.8</v>
      </c>
      <c r="F667" s="1077"/>
      <c r="G667" s="2200">
        <f t="shared" si="137"/>
        <v>44.269904761904769</v>
      </c>
      <c r="H667" s="2200">
        <f t="shared" si="132"/>
        <v>44.269904761904769</v>
      </c>
      <c r="I667" s="2201">
        <f t="shared" si="133"/>
        <v>109.27442318056291</v>
      </c>
      <c r="J667" s="2047">
        <v>85076.45</v>
      </c>
    </row>
    <row r="668" spans="1:11" x14ac:dyDescent="0.2">
      <c r="A668" s="2223"/>
      <c r="B668" s="737" t="s">
        <v>1856</v>
      </c>
      <c r="C668" s="1077">
        <v>50000</v>
      </c>
      <c r="D668" s="1077">
        <v>50000</v>
      </c>
      <c r="E668" s="738">
        <v>15767.17</v>
      </c>
      <c r="F668" s="1077"/>
      <c r="G668" s="2200">
        <f t="shared" si="137"/>
        <v>31.53434</v>
      </c>
      <c r="H668" s="2200">
        <f t="shared" si="132"/>
        <v>31.53434</v>
      </c>
      <c r="I668" s="2201">
        <f t="shared" si="133"/>
        <v>122.16059292224637</v>
      </c>
      <c r="J668" s="29">
        <v>12906.92</v>
      </c>
    </row>
    <row r="669" spans="1:11" ht="24.75" x14ac:dyDescent="0.2">
      <c r="A669" s="2223"/>
      <c r="B669" s="749" t="s">
        <v>2510</v>
      </c>
      <c r="C669" s="1077">
        <f>SUM(5+30+30+60+18+72.6+10+140.307+15.093)*1000</f>
        <v>381000</v>
      </c>
      <c r="D669" s="1077">
        <f>SUM(5+30+30+60+18+72.6+10+140.307+15.093)*1000</f>
        <v>381000</v>
      </c>
      <c r="E669" s="738">
        <f>135766.5+7546.5</f>
        <v>143313</v>
      </c>
      <c r="F669" s="1077"/>
      <c r="G669" s="2200">
        <f t="shared" si="137"/>
        <v>37.614960629921264</v>
      </c>
      <c r="H669" s="2200">
        <f t="shared" si="132"/>
        <v>37.614960629921264</v>
      </c>
      <c r="I669" s="2201">
        <f t="shared" si="133"/>
        <v>70.388738980532466</v>
      </c>
      <c r="J669" s="29">
        <v>203602.17</v>
      </c>
    </row>
    <row r="670" spans="1:11" ht="12.75" customHeight="1" x14ac:dyDescent="0.2">
      <c r="A670" s="2221">
        <v>6320</v>
      </c>
      <c r="B670" s="717" t="s">
        <v>2511</v>
      </c>
      <c r="C670" s="727">
        <f>SUM(1800+50)*1000</f>
        <v>1850000</v>
      </c>
      <c r="D670" s="727">
        <f>SUM(1800+50)*1000</f>
        <v>1850000</v>
      </c>
      <c r="E670" s="731">
        <f>575245.59-7546.5</f>
        <v>567699.09</v>
      </c>
      <c r="F670" s="1077"/>
      <c r="G670" s="2200">
        <f t="shared" si="137"/>
        <v>30.686437297297296</v>
      </c>
      <c r="H670" s="2200">
        <f t="shared" si="132"/>
        <v>30.686437297297296</v>
      </c>
      <c r="I670" s="2201">
        <f t="shared" si="133"/>
        <v>86.921632604315306</v>
      </c>
      <c r="J670" s="29">
        <v>653116</v>
      </c>
    </row>
    <row r="671" spans="1:11" ht="12.75" customHeight="1" x14ac:dyDescent="0.2">
      <c r="A671" s="2412"/>
      <c r="B671" s="2048"/>
      <c r="C671" s="1535"/>
      <c r="D671" s="1535"/>
      <c r="E671" s="1158"/>
      <c r="F671" s="1047"/>
      <c r="G671" s="1047"/>
      <c r="H671" s="1047"/>
      <c r="I671" s="1047"/>
    </row>
    <row r="672" spans="1:11" ht="20.25" x14ac:dyDescent="0.3">
      <c r="A672" s="2373"/>
      <c r="B672" s="701" t="s">
        <v>735</v>
      </c>
      <c r="C672" s="2441">
        <f>C673+C674+C675+C679</f>
        <v>190047550</v>
      </c>
      <c r="D672" s="2441">
        <f>D673+D674+D675+D679</f>
        <v>190061455</v>
      </c>
      <c r="E672" s="2442">
        <v>79698784.569999993</v>
      </c>
      <c r="F672" s="2443">
        <f>SUM(E673:E675,E679)</f>
        <v>79698784.570000008</v>
      </c>
      <c r="G672" s="949">
        <f t="shared" si="137"/>
        <v>41.936233626794973</v>
      </c>
      <c r="H672" s="949">
        <f t="shared" si="132"/>
        <v>41.933165549006233</v>
      </c>
      <c r="I672" s="949">
        <f t="shared" si="133"/>
        <v>105.03573906198775</v>
      </c>
      <c r="J672" s="1866">
        <v>75877777.680000007</v>
      </c>
    </row>
    <row r="673" spans="1:10" s="98" customFormat="1" x14ac:dyDescent="0.2">
      <c r="A673" s="2444">
        <v>3341</v>
      </c>
      <c r="B673" s="2050" t="s">
        <v>1860</v>
      </c>
      <c r="C673" s="1138">
        <v>3109200</v>
      </c>
      <c r="D673" s="1138">
        <v>3109200</v>
      </c>
      <c r="E673" s="731">
        <v>1498101</v>
      </c>
      <c r="F673" s="2364"/>
      <c r="G673" s="1663">
        <f t="shared" si="137"/>
        <v>48.182844461597838</v>
      </c>
      <c r="H673" s="1663">
        <f t="shared" si="132"/>
        <v>48.182844461597838</v>
      </c>
      <c r="I673" s="1662">
        <f t="shared" si="133"/>
        <v>96.267786330767436</v>
      </c>
      <c r="J673" s="29">
        <v>1556181</v>
      </c>
    </row>
    <row r="674" spans="1:10" s="98" customFormat="1" ht="51" x14ac:dyDescent="0.2">
      <c r="A674" s="2221">
        <v>6112</v>
      </c>
      <c r="B674" s="725" t="s">
        <v>2944</v>
      </c>
      <c r="C674" s="727">
        <f>30000+9270000+1071360+834300+12000+10000+500+20000+200000+7000+90000+30000</f>
        <v>11575160</v>
      </c>
      <c r="D674" s="727">
        <f>30000+9270000+1071360+834300+12000+10000+500+20000+200000+7000+90000+30000</f>
        <v>11575160</v>
      </c>
      <c r="E674" s="731">
        <v>5599739</v>
      </c>
      <c r="F674" s="2341"/>
      <c r="G674" s="2200">
        <f t="shared" si="137"/>
        <v>48.377206017022658</v>
      </c>
      <c r="H674" s="2200">
        <f t="shared" si="132"/>
        <v>48.377206017022658</v>
      </c>
      <c r="I674" s="2201">
        <f t="shared" si="133"/>
        <v>110.56841210199244</v>
      </c>
      <c r="J674" s="1866">
        <v>5064501.5999999996</v>
      </c>
    </row>
    <row r="675" spans="1:10" x14ac:dyDescent="0.2">
      <c r="A675" s="2221">
        <v>6171</v>
      </c>
      <c r="B675" s="717" t="s">
        <v>725</v>
      </c>
      <c r="C675" s="727">
        <f>+C676+C677+C678</f>
        <v>167563190</v>
      </c>
      <c r="D675" s="727">
        <f>+D676+D677+D678</f>
        <v>167577095</v>
      </c>
      <c r="E675" s="731">
        <v>68700705.540000007</v>
      </c>
      <c r="F675" s="1077">
        <f>SUM(E676:E678)</f>
        <v>68700705.539999992</v>
      </c>
      <c r="G675" s="1663">
        <f t="shared" si="137"/>
        <v>40.999879233619275</v>
      </c>
      <c r="H675" s="1663">
        <f t="shared" si="132"/>
        <v>40.996477197554952</v>
      </c>
      <c r="I675" s="1662">
        <f t="shared" si="133"/>
        <v>103.68833659936544</v>
      </c>
      <c r="J675" s="29">
        <v>66256927.049999997</v>
      </c>
    </row>
    <row r="676" spans="1:10" ht="48" x14ac:dyDescent="0.2">
      <c r="A676" s="2219"/>
      <c r="B676" s="1353" t="s">
        <v>2945</v>
      </c>
      <c r="C676" s="2341">
        <f>(101960000+3850000)+10000+1500000+10000+(25658080+954800)+(9311400+346500)+600000+1000+900000+150000+25000+50000+2550000+300000+15000+204000+40000</f>
        <v>148435780</v>
      </c>
      <c r="D676" s="2341">
        <f>(101960000+3850000)+10000+1500000+10000+(25658080+954800)+(9311400+346500)+600000+1000+900000+150000+25000+50000+2550000+300000+15000+204000+40000+13905</f>
        <v>148449685</v>
      </c>
      <c r="E676" s="738">
        <v>60815279.799999997</v>
      </c>
      <c r="F676" s="2341"/>
      <c r="G676" s="2200">
        <f t="shared" si="137"/>
        <v>40.970768503389138</v>
      </c>
      <c r="H676" s="2200">
        <f t="shared" si="132"/>
        <v>40.966930849331206</v>
      </c>
      <c r="I676" s="2201">
        <f t="shared" si="133"/>
        <v>104.69389062645843</v>
      </c>
      <c r="J676" s="1866">
        <v>58088661.560000002</v>
      </c>
    </row>
    <row r="677" spans="1:10" ht="23.25" customHeight="1" x14ac:dyDescent="0.25">
      <c r="A677" s="2445"/>
      <c r="B677" s="749" t="s">
        <v>2514</v>
      </c>
      <c r="C677" s="2341">
        <f>(7060000+275000)+30000+(1758320+68200)+(638100+24750)+180000+10000</f>
        <v>10044370</v>
      </c>
      <c r="D677" s="2341">
        <f>(7060000+275000)+30000+(1758320+68200)+(638100+24750)+180000+10000</f>
        <v>10044370</v>
      </c>
      <c r="E677" s="738">
        <v>3903921</v>
      </c>
      <c r="F677" s="2341"/>
      <c r="G677" s="2200">
        <f t="shared" si="137"/>
        <v>38.866758193893688</v>
      </c>
      <c r="H677" s="2200">
        <f t="shared" si="132"/>
        <v>38.866758193893688</v>
      </c>
      <c r="I677" s="2201">
        <f t="shared" si="133"/>
        <v>95.359158829217918</v>
      </c>
      <c r="J677" s="1866">
        <v>4093913</v>
      </c>
    </row>
    <row r="678" spans="1:10" ht="36.75" x14ac:dyDescent="0.25">
      <c r="A678" s="2445"/>
      <c r="B678" s="725" t="s">
        <v>2515</v>
      </c>
      <c r="C678" s="2341">
        <f>4067040+60000+21000+3140000+160000+100000+320000+1150000+30000+26000+9000</f>
        <v>9083040</v>
      </c>
      <c r="D678" s="2341">
        <f>4067040+60000+21000+3140000+160000+100000+320000+1150000+30000+26000+9000</f>
        <v>9083040</v>
      </c>
      <c r="E678" s="738">
        <v>3981504.74</v>
      </c>
      <c r="F678" s="2341"/>
      <c r="G678" s="2200">
        <f t="shared" si="137"/>
        <v>43.834495279113604</v>
      </c>
      <c r="H678" s="2200">
        <f t="shared" si="132"/>
        <v>43.834495279113604</v>
      </c>
      <c r="I678" s="2201">
        <f t="shared" si="133"/>
        <v>97.72116550475485</v>
      </c>
      <c r="J678" s="1866">
        <v>4074352.49</v>
      </c>
    </row>
    <row r="679" spans="1:10" x14ac:dyDescent="0.2">
      <c r="A679" s="2221">
        <v>6330</v>
      </c>
      <c r="B679" s="717" t="s">
        <v>740</v>
      </c>
      <c r="C679" s="727">
        <v>7800000</v>
      </c>
      <c r="D679" s="727">
        <v>7800000</v>
      </c>
      <c r="E679" s="731">
        <v>3900239.03</v>
      </c>
      <c r="F679" s="1077"/>
      <c r="G679" s="1663">
        <f t="shared" si="137"/>
        <v>50.003064487179486</v>
      </c>
      <c r="H679" s="1663">
        <f t="shared" si="132"/>
        <v>50.003064487179486</v>
      </c>
      <c r="I679" s="1662">
        <f t="shared" si="133"/>
        <v>130.00068632822544</v>
      </c>
      <c r="J679" s="29">
        <v>3000168.03</v>
      </c>
    </row>
    <row r="680" spans="1:10" ht="12" customHeight="1" x14ac:dyDescent="0.2">
      <c r="A680" s="2275"/>
      <c r="B680" s="1156"/>
      <c r="C680" s="945"/>
      <c r="D680" s="945"/>
      <c r="E680" s="1145"/>
      <c r="F680" s="2446"/>
      <c r="G680" s="2446"/>
      <c r="H680" s="2446"/>
      <c r="I680" s="945"/>
    </row>
    <row r="681" spans="1:10" ht="20.25" x14ac:dyDescent="0.3">
      <c r="A681" s="2373"/>
      <c r="B681" s="701" t="s">
        <v>43</v>
      </c>
      <c r="C681" s="2447">
        <f>C682+C697</f>
        <v>16959056</v>
      </c>
      <c r="D681" s="2447">
        <f>D682+D697</f>
        <v>17251526</v>
      </c>
      <c r="E681" s="2447">
        <v>13819909.32</v>
      </c>
      <c r="F681" s="2448">
        <f>SUM(E682,E697)</f>
        <v>13819909.32</v>
      </c>
      <c r="G681" s="949">
        <f t="shared" si="137"/>
        <v>81.489850142602279</v>
      </c>
      <c r="H681" s="949">
        <f t="shared" si="132"/>
        <v>80.108329663126611</v>
      </c>
      <c r="I681" s="949">
        <f t="shared" si="133"/>
        <v>119.76636794254193</v>
      </c>
      <c r="J681" s="29">
        <v>11539056.880000001</v>
      </c>
    </row>
    <row r="682" spans="1:10" ht="15.75" x14ac:dyDescent="0.25">
      <c r="A682" s="2373"/>
      <c r="B682" s="763" t="s">
        <v>741</v>
      </c>
      <c r="C682" s="1363">
        <f t="shared" ref="C682:D682" si="139">C683+C684+C685+C688+C690+C695+C696</f>
        <v>1192000</v>
      </c>
      <c r="D682" s="1363">
        <f t="shared" si="139"/>
        <v>1192000</v>
      </c>
      <c r="E682" s="1363">
        <v>260739.32</v>
      </c>
      <c r="F682" s="2448">
        <f>SUM(E683:E685,E688,E690,E695:E696)</f>
        <v>260739.32</v>
      </c>
      <c r="G682" s="2325">
        <f t="shared" si="137"/>
        <v>21.874104026845639</v>
      </c>
      <c r="H682" s="2325">
        <f t="shared" si="132"/>
        <v>21.874104026845639</v>
      </c>
      <c r="I682" s="2325">
        <f t="shared" si="133"/>
        <v>70.307262467397123</v>
      </c>
      <c r="J682" s="29">
        <v>370856.88</v>
      </c>
    </row>
    <row r="683" spans="1:10" x14ac:dyDescent="0.2">
      <c r="A683" s="2221">
        <v>3613</v>
      </c>
      <c r="B683" s="717" t="s">
        <v>1865</v>
      </c>
      <c r="C683" s="731">
        <v>7000</v>
      </c>
      <c r="D683" s="731">
        <v>7000</v>
      </c>
      <c r="E683" s="731">
        <v>556</v>
      </c>
      <c r="F683" s="738"/>
      <c r="G683" s="1663">
        <f t="shared" si="137"/>
        <v>7.9428571428571431</v>
      </c>
      <c r="H683" s="1663">
        <f t="shared" si="132"/>
        <v>7.9428571428571431</v>
      </c>
      <c r="I683" s="1662">
        <f t="shared" si="133"/>
        <v>506.83682771194168</v>
      </c>
      <c r="J683" s="29">
        <v>109.7</v>
      </c>
    </row>
    <row r="684" spans="1:10" s="244" customFormat="1" ht="15.75" x14ac:dyDescent="0.25">
      <c r="A684" s="2221">
        <v>3632</v>
      </c>
      <c r="B684" s="717" t="s">
        <v>1866</v>
      </c>
      <c r="C684" s="731">
        <v>270000</v>
      </c>
      <c r="D684" s="731">
        <v>270000</v>
      </c>
      <c r="E684" s="731">
        <v>96580.99</v>
      </c>
      <c r="F684" s="738"/>
      <c r="G684" s="1663">
        <f t="shared" si="137"/>
        <v>35.770737037037037</v>
      </c>
      <c r="H684" s="1663">
        <f t="shared" ref="H684:H747" si="140">E684/D684*100</f>
        <v>35.770737037037037</v>
      </c>
      <c r="I684" s="1662">
        <f t="shared" ref="I684:I744" si="141">E684/J684*100</f>
        <v>57.948867518654687</v>
      </c>
      <c r="J684" s="29">
        <v>166665.88</v>
      </c>
    </row>
    <row r="685" spans="1:10" s="244" customFormat="1" ht="12.75" customHeight="1" x14ac:dyDescent="0.25">
      <c r="A685" s="2221">
        <v>4329</v>
      </c>
      <c r="B685" s="717" t="s">
        <v>745</v>
      </c>
      <c r="C685" s="726">
        <f t="shared" ref="C685:D685" si="142">SUM(C686:C687)</f>
        <v>258000</v>
      </c>
      <c r="D685" s="726">
        <f t="shared" si="142"/>
        <v>258000</v>
      </c>
      <c r="E685" s="726">
        <v>5549.86</v>
      </c>
      <c r="F685" s="750"/>
      <c r="G685" s="1663">
        <f t="shared" si="137"/>
        <v>2.1511085271317829</v>
      </c>
      <c r="H685" s="1663">
        <f t="shared" si="140"/>
        <v>2.1511085271317829</v>
      </c>
      <c r="I685" s="1662">
        <f t="shared" si="141"/>
        <v>126.49714861396654</v>
      </c>
      <c r="J685" s="29">
        <v>4387.34</v>
      </c>
    </row>
    <row r="686" spans="1:10" s="98" customFormat="1" x14ac:dyDescent="0.2">
      <c r="A686" s="2221"/>
      <c r="B686" s="1035" t="s">
        <v>1867</v>
      </c>
      <c r="C686" s="738">
        <v>8000</v>
      </c>
      <c r="D686" s="738">
        <v>8000</v>
      </c>
      <c r="E686" s="738">
        <v>5549.86</v>
      </c>
      <c r="F686" s="738"/>
      <c r="G686" s="2200">
        <f t="shared" si="137"/>
        <v>69.373249999999999</v>
      </c>
      <c r="H686" s="2200">
        <f t="shared" si="140"/>
        <v>69.373249999999999</v>
      </c>
      <c r="I686" s="2201">
        <f t="shared" si="141"/>
        <v>126.49714861396654</v>
      </c>
      <c r="J686" s="29">
        <v>4387.34</v>
      </c>
    </row>
    <row r="687" spans="1:10" s="98" customFormat="1" x14ac:dyDescent="0.2">
      <c r="A687" s="2221"/>
      <c r="B687" s="1035" t="s">
        <v>1868</v>
      </c>
      <c r="C687" s="738">
        <v>250000</v>
      </c>
      <c r="D687" s="738">
        <v>250000</v>
      </c>
      <c r="E687" s="738">
        <v>0</v>
      </c>
      <c r="F687" s="738"/>
      <c r="G687" s="2200">
        <f t="shared" si="137"/>
        <v>0</v>
      </c>
      <c r="H687" s="2200">
        <f t="shared" si="140"/>
        <v>0</v>
      </c>
      <c r="I687" s="2201">
        <v>0</v>
      </c>
      <c r="J687" s="29">
        <v>0</v>
      </c>
    </row>
    <row r="688" spans="1:10" x14ac:dyDescent="0.2">
      <c r="A688" s="2221">
        <v>4349</v>
      </c>
      <c r="B688" s="717" t="s">
        <v>753</v>
      </c>
      <c r="C688" s="726">
        <f t="shared" ref="C688:D688" si="143">SUM(C689:C689)</f>
        <v>300000</v>
      </c>
      <c r="D688" s="726">
        <f t="shared" si="143"/>
        <v>300000</v>
      </c>
      <c r="E688" s="726">
        <v>12000</v>
      </c>
      <c r="F688" s="750"/>
      <c r="G688" s="1663">
        <f t="shared" si="137"/>
        <v>4</v>
      </c>
      <c r="H688" s="1663">
        <f t="shared" si="140"/>
        <v>4</v>
      </c>
      <c r="I688" s="1662">
        <f t="shared" si="141"/>
        <v>128.75536480686696</v>
      </c>
      <c r="J688" s="29">
        <v>9320</v>
      </c>
    </row>
    <row r="689" spans="1:10" x14ac:dyDescent="0.2">
      <c r="A689" s="2223"/>
      <c r="B689" s="737" t="s">
        <v>1869</v>
      </c>
      <c r="C689" s="738">
        <v>300000</v>
      </c>
      <c r="D689" s="738">
        <v>300000</v>
      </c>
      <c r="E689" s="738">
        <v>12000</v>
      </c>
      <c r="F689" s="738"/>
      <c r="G689" s="2200">
        <f t="shared" si="137"/>
        <v>4</v>
      </c>
      <c r="H689" s="2200">
        <f t="shared" si="140"/>
        <v>4</v>
      </c>
      <c r="I689" s="2201">
        <f t="shared" si="141"/>
        <v>128.75536480686696</v>
      </c>
      <c r="J689" s="29">
        <v>9320</v>
      </c>
    </row>
    <row r="690" spans="1:10" s="98" customFormat="1" x14ac:dyDescent="0.2">
      <c r="A690" s="2221">
        <v>4379</v>
      </c>
      <c r="B690" s="717" t="s">
        <v>760</v>
      </c>
      <c r="C690" s="726">
        <f t="shared" ref="C690:D690" si="144">SUM(C691:C694)</f>
        <v>355000</v>
      </c>
      <c r="D690" s="726">
        <f t="shared" si="144"/>
        <v>355000</v>
      </c>
      <c r="E690" s="726">
        <v>121052.47</v>
      </c>
      <c r="F690" s="750"/>
      <c r="G690" s="1663">
        <f t="shared" si="137"/>
        <v>34.099287323943663</v>
      </c>
      <c r="H690" s="1663">
        <f t="shared" si="140"/>
        <v>34.099287323943663</v>
      </c>
      <c r="I690" s="1662">
        <f t="shared" si="141"/>
        <v>73.19923281754879</v>
      </c>
      <c r="J690" s="29">
        <v>165373.96</v>
      </c>
    </row>
    <row r="691" spans="1:10" x14ac:dyDescent="0.2">
      <c r="A691" s="2223"/>
      <c r="B691" s="737" t="s">
        <v>1870</v>
      </c>
      <c r="C691" s="738">
        <v>230000</v>
      </c>
      <c r="D691" s="738">
        <v>230000</v>
      </c>
      <c r="E691" s="738">
        <v>76511.27</v>
      </c>
      <c r="F691" s="738"/>
      <c r="G691" s="2200">
        <f t="shared" si="137"/>
        <v>33.265769565217397</v>
      </c>
      <c r="H691" s="2200">
        <f t="shared" si="140"/>
        <v>33.265769565217397</v>
      </c>
      <c r="I691" s="2201">
        <f t="shared" si="141"/>
        <v>64.148457406542121</v>
      </c>
      <c r="J691" s="29">
        <v>119272.19</v>
      </c>
    </row>
    <row r="692" spans="1:10" s="419" customFormat="1" x14ac:dyDescent="0.2">
      <c r="A692" s="2223"/>
      <c r="B692" s="737" t="s">
        <v>1871</v>
      </c>
      <c r="C692" s="738">
        <v>65000</v>
      </c>
      <c r="D692" s="738">
        <v>65000</v>
      </c>
      <c r="E692" s="738">
        <v>29053.599999999999</v>
      </c>
      <c r="F692" s="738"/>
      <c r="G692" s="2200">
        <f t="shared" si="137"/>
        <v>44.69784615384615</v>
      </c>
      <c r="H692" s="2200">
        <f t="shared" si="140"/>
        <v>44.69784615384615</v>
      </c>
      <c r="I692" s="2201">
        <f t="shared" si="141"/>
        <v>94.871871901943692</v>
      </c>
      <c r="J692" s="29">
        <v>30624.04</v>
      </c>
    </row>
    <row r="693" spans="1:10" x14ac:dyDescent="0.2">
      <c r="A693" s="2223"/>
      <c r="B693" s="737" t="s">
        <v>1872</v>
      </c>
      <c r="C693" s="738">
        <v>50000</v>
      </c>
      <c r="D693" s="738">
        <v>50000</v>
      </c>
      <c r="E693" s="738">
        <v>15487.6</v>
      </c>
      <c r="F693" s="738"/>
      <c r="G693" s="2200">
        <f t="shared" si="137"/>
        <v>30.975200000000001</v>
      </c>
      <c r="H693" s="2200">
        <f t="shared" si="140"/>
        <v>30.975200000000001</v>
      </c>
      <c r="I693" s="2201">
        <f t="shared" si="141"/>
        <v>100.0637690410674</v>
      </c>
      <c r="J693" s="29">
        <v>15477.73</v>
      </c>
    </row>
    <row r="694" spans="1:10" s="98" customFormat="1" x14ac:dyDescent="0.2">
      <c r="A694" s="2223"/>
      <c r="B694" s="737" t="s">
        <v>1873</v>
      </c>
      <c r="C694" s="738">
        <v>10000</v>
      </c>
      <c r="D694" s="738">
        <v>10000</v>
      </c>
      <c r="E694" s="738">
        <v>0</v>
      </c>
      <c r="F694" s="738"/>
      <c r="G694" s="2200">
        <f t="shared" si="137"/>
        <v>0</v>
      </c>
      <c r="H694" s="2200">
        <f t="shared" si="140"/>
        <v>0</v>
      </c>
      <c r="I694" s="2201">
        <v>0</v>
      </c>
      <c r="J694" s="29">
        <v>0</v>
      </c>
    </row>
    <row r="695" spans="1:10" x14ac:dyDescent="0.2">
      <c r="A695" s="2221">
        <v>4399</v>
      </c>
      <c r="B695" s="717" t="s">
        <v>2946</v>
      </c>
      <c r="C695" s="731">
        <v>2000</v>
      </c>
      <c r="D695" s="731">
        <v>2000</v>
      </c>
      <c r="E695" s="731">
        <v>25000</v>
      </c>
      <c r="F695" s="738"/>
      <c r="G695" s="1663">
        <f t="shared" si="137"/>
        <v>1250</v>
      </c>
      <c r="H695" s="1663">
        <f t="shared" si="140"/>
        <v>1250</v>
      </c>
      <c r="I695" s="1662">
        <f t="shared" si="141"/>
        <v>100</v>
      </c>
      <c r="J695" s="29">
        <v>25000</v>
      </c>
    </row>
    <row r="696" spans="1:10" x14ac:dyDescent="0.2">
      <c r="A696" s="2275">
        <v>6409</v>
      </c>
      <c r="B696" s="1156" t="s">
        <v>1876</v>
      </c>
      <c r="C696" s="731">
        <v>0</v>
      </c>
      <c r="D696" s="731">
        <v>0</v>
      </c>
      <c r="E696" s="1145">
        <v>0</v>
      </c>
      <c r="F696" s="738"/>
      <c r="G696" s="1663">
        <v>0</v>
      </c>
      <c r="H696" s="1663">
        <v>0</v>
      </c>
      <c r="I696" s="1662">
        <v>0</v>
      </c>
      <c r="J696" s="29">
        <v>0</v>
      </c>
    </row>
    <row r="697" spans="1:10" ht="15.75" x14ac:dyDescent="0.25">
      <c r="A697" s="2373"/>
      <c r="B697" s="763" t="s">
        <v>767</v>
      </c>
      <c r="C697" s="1372">
        <f t="shared" ref="C697:D697" si="145">C698</f>
        <v>15767056</v>
      </c>
      <c r="D697" s="1372">
        <f t="shared" si="145"/>
        <v>16059526</v>
      </c>
      <c r="E697" s="1372">
        <v>13559170</v>
      </c>
      <c r="F697" s="2421"/>
      <c r="G697" s="2325">
        <f t="shared" si="137"/>
        <v>85.996840500851903</v>
      </c>
      <c r="H697" s="2325">
        <f t="shared" si="140"/>
        <v>84.430698639548879</v>
      </c>
      <c r="I697" s="2325">
        <f t="shared" si="141"/>
        <v>121.40873193531634</v>
      </c>
      <c r="J697" s="29">
        <v>11168200</v>
      </c>
    </row>
    <row r="698" spans="1:10" x14ac:dyDescent="0.2">
      <c r="A698" s="2273"/>
      <c r="B698" s="709" t="s">
        <v>768</v>
      </c>
      <c r="C698" s="1366">
        <f>SUM(C699:C708)</f>
        <v>15767056</v>
      </c>
      <c r="D698" s="1366">
        <f>SUM(D699:D708)</f>
        <v>16059526</v>
      </c>
      <c r="E698" s="1366">
        <v>13559170</v>
      </c>
      <c r="F698" s="1368">
        <f>SUM(E699:E708)</f>
        <v>13559170</v>
      </c>
      <c r="G698" s="1663">
        <f t="shared" ref="G698:G761" si="146">E698/C698*100</f>
        <v>85.996840500851903</v>
      </c>
      <c r="H698" s="1663">
        <f t="shared" si="140"/>
        <v>84.430698639548879</v>
      </c>
      <c r="I698" s="1662">
        <f t="shared" si="141"/>
        <v>121.40873193531634</v>
      </c>
      <c r="J698" s="29">
        <v>11168200</v>
      </c>
    </row>
    <row r="699" spans="1:10" s="98" customFormat="1" x14ac:dyDescent="0.2">
      <c r="A699" s="2273"/>
      <c r="B699" s="737" t="s">
        <v>769</v>
      </c>
      <c r="C699" s="1045">
        <v>190500</v>
      </c>
      <c r="D699" s="1045">
        <v>190500</v>
      </c>
      <c r="E699" s="738">
        <v>190500</v>
      </c>
      <c r="F699" s="1045"/>
      <c r="G699" s="2200">
        <f t="shared" si="146"/>
        <v>100</v>
      </c>
      <c r="H699" s="2200">
        <f t="shared" si="140"/>
        <v>100</v>
      </c>
      <c r="I699" s="2201">
        <f t="shared" si="141"/>
        <v>147.67441860465115</v>
      </c>
      <c r="J699" s="29">
        <v>129000</v>
      </c>
    </row>
    <row r="700" spans="1:10" x14ac:dyDescent="0.2">
      <c r="A700" s="2273"/>
      <c r="B700" s="737" t="s">
        <v>770</v>
      </c>
      <c r="C700" s="1077">
        <v>200000</v>
      </c>
      <c r="D700" s="1077">
        <v>200000</v>
      </c>
      <c r="E700" s="738">
        <v>158200</v>
      </c>
      <c r="F700" s="1809"/>
      <c r="G700" s="2200">
        <f t="shared" si="146"/>
        <v>79.100000000000009</v>
      </c>
      <c r="H700" s="2200">
        <f t="shared" si="140"/>
        <v>79.100000000000009</v>
      </c>
      <c r="I700" s="2201">
        <v>0</v>
      </c>
      <c r="J700" s="29">
        <v>0</v>
      </c>
    </row>
    <row r="701" spans="1:10" x14ac:dyDescent="0.2">
      <c r="A701" s="2273"/>
      <c r="B701" s="737" t="s">
        <v>2947</v>
      </c>
      <c r="C701" s="1077">
        <v>12122400</v>
      </c>
      <c r="D701" s="1077">
        <v>12122400</v>
      </c>
      <c r="E701" s="738">
        <v>12122400</v>
      </c>
      <c r="F701" s="1809"/>
      <c r="G701" s="2200">
        <f t="shared" si="146"/>
        <v>100</v>
      </c>
      <c r="H701" s="2200">
        <f t="shared" si="140"/>
        <v>100</v>
      </c>
      <c r="I701" s="2201">
        <f t="shared" si="141"/>
        <v>138.20685881065305</v>
      </c>
      <c r="J701" s="29">
        <v>8771200</v>
      </c>
    </row>
    <row r="702" spans="1:10" x14ac:dyDescent="0.2">
      <c r="A702" s="2273"/>
      <c r="B702" s="737" t="s">
        <v>2518</v>
      </c>
      <c r="C702" s="1077">
        <v>1736156</v>
      </c>
      <c r="D702" s="1077">
        <v>1736156</v>
      </c>
      <c r="E702" s="738">
        <v>387600</v>
      </c>
      <c r="F702" s="1809"/>
      <c r="G702" s="2200">
        <f t="shared" si="146"/>
        <v>22.325182760074554</v>
      </c>
      <c r="H702" s="2200">
        <f t="shared" si="140"/>
        <v>22.325182760074554</v>
      </c>
      <c r="I702" s="2201">
        <v>0</v>
      </c>
      <c r="J702" s="29">
        <v>0</v>
      </c>
    </row>
    <row r="703" spans="1:10" x14ac:dyDescent="0.2">
      <c r="A703" s="2273"/>
      <c r="B703" s="737" t="s">
        <v>773</v>
      </c>
      <c r="C703" s="1077">
        <v>135000</v>
      </c>
      <c r="D703" s="1077">
        <v>135000</v>
      </c>
      <c r="E703" s="738">
        <v>135000</v>
      </c>
      <c r="F703" s="1809"/>
      <c r="G703" s="2200">
        <f t="shared" si="146"/>
        <v>100</v>
      </c>
      <c r="H703" s="2200">
        <f t="shared" si="140"/>
        <v>100</v>
      </c>
      <c r="I703" s="2201">
        <f t="shared" si="141"/>
        <v>100</v>
      </c>
      <c r="J703" s="29">
        <v>135000</v>
      </c>
    </row>
    <row r="704" spans="1:10" x14ac:dyDescent="0.2">
      <c r="A704" s="2273"/>
      <c r="B704" s="737" t="s">
        <v>774</v>
      </c>
      <c r="C704" s="1077">
        <v>235000</v>
      </c>
      <c r="D704" s="1077">
        <v>235000</v>
      </c>
      <c r="E704" s="738">
        <v>235000</v>
      </c>
      <c r="F704" s="1809"/>
      <c r="G704" s="2200">
        <f t="shared" si="146"/>
        <v>100</v>
      </c>
      <c r="H704" s="2200">
        <f t="shared" si="140"/>
        <v>100</v>
      </c>
      <c r="I704" s="2201">
        <f t="shared" si="141"/>
        <v>100</v>
      </c>
      <c r="J704" s="29">
        <v>235000</v>
      </c>
    </row>
    <row r="705" spans="1:10" x14ac:dyDescent="0.2">
      <c r="A705" s="2273"/>
      <c r="B705" s="737" t="s">
        <v>1879</v>
      </c>
      <c r="C705" s="1077">
        <v>1000000</v>
      </c>
      <c r="D705" s="1077">
        <v>1000000</v>
      </c>
      <c r="E705" s="738">
        <v>0</v>
      </c>
      <c r="F705" s="1809"/>
      <c r="G705" s="2200">
        <f t="shared" si="146"/>
        <v>0</v>
      </c>
      <c r="H705" s="2200">
        <f t="shared" si="140"/>
        <v>0</v>
      </c>
      <c r="I705" s="2201">
        <v>0</v>
      </c>
      <c r="J705" s="29">
        <v>0</v>
      </c>
    </row>
    <row r="706" spans="1:10" x14ac:dyDescent="0.2">
      <c r="A706" s="2221"/>
      <c r="B706" s="737" t="s">
        <v>775</v>
      </c>
      <c r="C706" s="1077">
        <v>100000</v>
      </c>
      <c r="D706" s="1077">
        <v>100000</v>
      </c>
      <c r="E706" s="738">
        <v>0</v>
      </c>
      <c r="F706" s="1809"/>
      <c r="G706" s="2200">
        <f t="shared" si="146"/>
        <v>0</v>
      </c>
      <c r="H706" s="2200">
        <f t="shared" si="140"/>
        <v>0</v>
      </c>
      <c r="I706" s="2201">
        <v>0</v>
      </c>
      <c r="J706" s="29">
        <v>0</v>
      </c>
    </row>
    <row r="707" spans="1:10" x14ac:dyDescent="0.2">
      <c r="A707" s="2221"/>
      <c r="B707" s="737" t="s">
        <v>776</v>
      </c>
      <c r="C707" s="1077">
        <v>0</v>
      </c>
      <c r="D707" s="1077">
        <f>214000+23725+4745+40000+10000</f>
        <v>292470</v>
      </c>
      <c r="E707" s="738">
        <v>282470</v>
      </c>
      <c r="F707" s="1077"/>
      <c r="G707" s="2200">
        <v>0</v>
      </c>
      <c r="H707" s="2200">
        <f t="shared" si="140"/>
        <v>96.580845898724661</v>
      </c>
      <c r="I707" s="2201">
        <f t="shared" si="141"/>
        <v>153.51630434782609</v>
      </c>
      <c r="J707" s="29">
        <v>184000</v>
      </c>
    </row>
    <row r="708" spans="1:10" x14ac:dyDescent="0.2">
      <c r="A708" s="2221"/>
      <c r="B708" s="737" t="s">
        <v>2948</v>
      </c>
      <c r="C708" s="1077">
        <v>48000</v>
      </c>
      <c r="D708" s="1077">
        <v>48000</v>
      </c>
      <c r="E708" s="1077">
        <v>48000</v>
      </c>
      <c r="F708" s="1809"/>
      <c r="G708" s="2200">
        <f t="shared" si="146"/>
        <v>100</v>
      </c>
      <c r="H708" s="2200">
        <f t="shared" si="140"/>
        <v>100</v>
      </c>
      <c r="I708" s="2201">
        <f t="shared" si="141"/>
        <v>100</v>
      </c>
      <c r="J708" s="29">
        <v>48000</v>
      </c>
    </row>
    <row r="709" spans="1:10" ht="12" customHeight="1" x14ac:dyDescent="0.2">
      <c r="A709" s="2449"/>
      <c r="B709" s="1872"/>
      <c r="C709" s="2043"/>
      <c r="D709" s="2043"/>
      <c r="E709" s="1158"/>
      <c r="F709" s="979"/>
      <c r="G709" s="979"/>
      <c r="H709" s="979"/>
      <c r="I709" s="979"/>
    </row>
    <row r="710" spans="1:10" ht="20.25" x14ac:dyDescent="0.3">
      <c r="A710" s="2449"/>
      <c r="B710" s="2056" t="s">
        <v>777</v>
      </c>
      <c r="C710" s="1205">
        <f>C711</f>
        <v>18612000</v>
      </c>
      <c r="D710" s="1205">
        <f>D711</f>
        <v>23243000</v>
      </c>
      <c r="E710" s="2057">
        <v>6712562.0599999996</v>
      </c>
      <c r="F710" s="2384"/>
      <c r="G710" s="949">
        <f t="shared" si="146"/>
        <v>36.065775091338921</v>
      </c>
      <c r="H710" s="949">
        <f t="shared" si="140"/>
        <v>28.879929699264295</v>
      </c>
      <c r="I710" s="949">
        <f t="shared" si="141"/>
        <v>104.19461442428096</v>
      </c>
      <c r="J710" s="29">
        <v>6442331.1100000003</v>
      </c>
    </row>
    <row r="711" spans="1:10" x14ac:dyDescent="0.2">
      <c r="A711" s="2275">
        <v>4351</v>
      </c>
      <c r="B711" s="709" t="s">
        <v>778</v>
      </c>
      <c r="C711" s="1376">
        <f>SUM(C712:C714)</f>
        <v>18612000</v>
      </c>
      <c r="D711" s="1376">
        <f>SUM(D712:D714)</f>
        <v>23243000</v>
      </c>
      <c r="E711" s="1376">
        <v>6712562.0599999996</v>
      </c>
      <c r="F711" s="2450">
        <f>SUM(E712:E714)</f>
        <v>6712562.0599999996</v>
      </c>
      <c r="G711" s="1663">
        <f t="shared" si="146"/>
        <v>36.065775091338921</v>
      </c>
      <c r="H711" s="1663">
        <f t="shared" si="140"/>
        <v>28.879929699264295</v>
      </c>
      <c r="I711" s="1662">
        <f t="shared" si="141"/>
        <v>104.19461442428096</v>
      </c>
      <c r="J711" s="29">
        <v>6442331.1100000003</v>
      </c>
    </row>
    <row r="712" spans="1:10" ht="60.75" x14ac:dyDescent="0.2">
      <c r="A712" s="2223"/>
      <c r="B712" s="1353" t="s">
        <v>2519</v>
      </c>
      <c r="C712" s="1368">
        <f>8493500+32200+282000</f>
        <v>8807700</v>
      </c>
      <c r="D712" s="1368">
        <f>8493500+32200+282000+2980000</f>
        <v>11787700</v>
      </c>
      <c r="E712" s="750">
        <v>3175611.03</v>
      </c>
      <c r="F712" s="750"/>
      <c r="G712" s="2200">
        <f t="shared" si="146"/>
        <v>36.054940903981745</v>
      </c>
      <c r="H712" s="2200">
        <f t="shared" si="140"/>
        <v>26.940039447899078</v>
      </c>
      <c r="I712" s="2201">
        <f t="shared" si="141"/>
        <v>102.90533786857104</v>
      </c>
      <c r="J712" s="1866">
        <v>3085953.65</v>
      </c>
    </row>
    <row r="713" spans="1:10" ht="48.75" x14ac:dyDescent="0.2">
      <c r="A713" s="2223"/>
      <c r="B713" s="1353" t="s">
        <v>2520</v>
      </c>
      <c r="C713" s="1368">
        <f>2332000+16100+66900</f>
        <v>2415000</v>
      </c>
      <c r="D713" s="1368">
        <f>2332000+16100+66900+586000</f>
        <v>3001000</v>
      </c>
      <c r="E713" s="1045">
        <v>808086.07</v>
      </c>
      <c r="F713" s="1045"/>
      <c r="G713" s="2200">
        <f t="shared" si="146"/>
        <v>33.461120910973079</v>
      </c>
      <c r="H713" s="2200">
        <f t="shared" si="140"/>
        <v>26.927226591136289</v>
      </c>
      <c r="I713" s="2201">
        <f t="shared" si="141"/>
        <v>102.91310098972626</v>
      </c>
      <c r="J713" s="1866">
        <v>785212.05</v>
      </c>
    </row>
    <row r="714" spans="1:10" ht="36.75" x14ac:dyDescent="0.2">
      <c r="A714" s="2221"/>
      <c r="B714" s="1353" t="s">
        <v>2521</v>
      </c>
      <c r="C714" s="1368">
        <f>7117500+33400+238400</f>
        <v>7389300</v>
      </c>
      <c r="D714" s="1368">
        <f>7117500+33400+238400+1065000</f>
        <v>8454300</v>
      </c>
      <c r="E714" s="738">
        <v>2728864.96</v>
      </c>
      <c r="F714" s="738"/>
      <c r="G714" s="2200">
        <f t="shared" si="146"/>
        <v>36.929952228221893</v>
      </c>
      <c r="H714" s="2200">
        <f t="shared" si="140"/>
        <v>32.277834474764319</v>
      </c>
      <c r="I714" s="2201">
        <f t="shared" si="141"/>
        <v>106.13338797211027</v>
      </c>
      <c r="J714" s="1866">
        <v>2571165.41</v>
      </c>
    </row>
    <row r="715" spans="1:10" ht="12.75" customHeight="1" x14ac:dyDescent="0.2">
      <c r="A715" s="2419"/>
      <c r="B715" s="1383"/>
      <c r="C715" s="1384"/>
      <c r="D715" s="1384"/>
      <c r="E715" s="682"/>
      <c r="F715" s="2451"/>
      <c r="G715" s="2452"/>
      <c r="H715" s="2452"/>
      <c r="I715" s="1384"/>
    </row>
    <row r="716" spans="1:10" ht="20.25" x14ac:dyDescent="0.3">
      <c r="A716" s="2373"/>
      <c r="B716" s="701" t="s">
        <v>2117</v>
      </c>
      <c r="C716" s="1217">
        <f>SUM(C717,C718,C719,C720,C721,C722,C723,C724,C729,C730,C731,C736,C737)</f>
        <v>72242000</v>
      </c>
      <c r="D716" s="1217">
        <f>SUM(D717,D718,D719,D720,D721,D722,D723,D724,D729,D730,D731,D736,D737)</f>
        <v>72269427.5</v>
      </c>
      <c r="E716" s="1217">
        <v>28795509.309999999</v>
      </c>
      <c r="F716" s="2411">
        <f>SUM(E717:E724,E729:E731,E736,E737)</f>
        <v>28795509.310000002</v>
      </c>
      <c r="G716" s="949">
        <f t="shared" si="146"/>
        <v>39.85978974834584</v>
      </c>
      <c r="H716" s="949">
        <f t="shared" si="140"/>
        <v>39.844662267457423</v>
      </c>
      <c r="I716" s="949">
        <f t="shared" si="141"/>
        <v>89.532399653934405</v>
      </c>
      <c r="J716" s="29">
        <v>32162110.5</v>
      </c>
    </row>
    <row r="717" spans="1:10" x14ac:dyDescent="0.2">
      <c r="A717" s="2219">
        <v>1014</v>
      </c>
      <c r="B717" s="709" t="s">
        <v>2523</v>
      </c>
      <c r="C717" s="731">
        <v>490000</v>
      </c>
      <c r="D717" s="731">
        <v>490000</v>
      </c>
      <c r="E717" s="172">
        <v>160371</v>
      </c>
      <c r="F717" s="738"/>
      <c r="G717" s="1663">
        <f t="shared" si="146"/>
        <v>32.72877551020408</v>
      </c>
      <c r="H717" s="1663">
        <f t="shared" si="140"/>
        <v>32.72877551020408</v>
      </c>
      <c r="I717" s="1662">
        <f t="shared" si="141"/>
        <v>144.69999097717226</v>
      </c>
      <c r="J717" s="29">
        <v>110830</v>
      </c>
    </row>
    <row r="718" spans="1:10" x14ac:dyDescent="0.2">
      <c r="A718" s="2221">
        <v>1031</v>
      </c>
      <c r="B718" s="717" t="s">
        <v>2524</v>
      </c>
      <c r="C718" s="731">
        <v>750000</v>
      </c>
      <c r="D718" s="731">
        <v>750000</v>
      </c>
      <c r="E718" s="181">
        <v>30357</v>
      </c>
      <c r="F718" s="750"/>
      <c r="G718" s="1663">
        <f t="shared" si="146"/>
        <v>4.0476000000000001</v>
      </c>
      <c r="H718" s="1663">
        <f t="shared" si="140"/>
        <v>4.0476000000000001</v>
      </c>
      <c r="I718" s="1662">
        <f t="shared" si="141"/>
        <v>341.33918030021925</v>
      </c>
      <c r="J718" s="29">
        <v>8893.5</v>
      </c>
    </row>
    <row r="719" spans="1:10" x14ac:dyDescent="0.2">
      <c r="A719" s="2221">
        <v>1036</v>
      </c>
      <c r="B719" s="717" t="s">
        <v>2525</v>
      </c>
      <c r="C719" s="731">
        <v>120000</v>
      </c>
      <c r="D719" s="731">
        <v>120000</v>
      </c>
      <c r="E719" s="181">
        <v>49708</v>
      </c>
      <c r="F719" s="750"/>
      <c r="G719" s="1663">
        <f t="shared" si="146"/>
        <v>41.423333333333332</v>
      </c>
      <c r="H719" s="1663">
        <f t="shared" si="140"/>
        <v>41.423333333333332</v>
      </c>
      <c r="I719" s="1662">
        <f t="shared" si="141"/>
        <v>100</v>
      </c>
      <c r="J719" s="29">
        <v>49708</v>
      </c>
    </row>
    <row r="720" spans="1:10" s="244" customFormat="1" ht="12.75" customHeight="1" x14ac:dyDescent="0.25">
      <c r="A720" s="2221">
        <v>1037</v>
      </c>
      <c r="B720" s="717" t="s">
        <v>2526</v>
      </c>
      <c r="C720" s="731">
        <v>28000</v>
      </c>
      <c r="D720" s="731">
        <v>28000</v>
      </c>
      <c r="E720" s="181">
        <v>11697</v>
      </c>
      <c r="F720" s="1042"/>
      <c r="G720" s="1663">
        <f t="shared" si="146"/>
        <v>41.774999999999999</v>
      </c>
      <c r="H720" s="1663">
        <f t="shared" si="140"/>
        <v>41.774999999999999</v>
      </c>
      <c r="I720" s="1662">
        <f t="shared" si="141"/>
        <v>100.24854302365445</v>
      </c>
      <c r="J720" s="29">
        <v>11668</v>
      </c>
    </row>
    <row r="721" spans="1:10" s="98" customFormat="1" x14ac:dyDescent="0.2">
      <c r="A721" s="2221">
        <v>1039</v>
      </c>
      <c r="B721" s="717" t="s">
        <v>2527</v>
      </c>
      <c r="C721" s="731">
        <v>260000</v>
      </c>
      <c r="D721" s="731">
        <v>260000</v>
      </c>
      <c r="E721" s="181">
        <v>0</v>
      </c>
      <c r="F721" s="750"/>
      <c r="G721" s="1663">
        <f t="shared" si="146"/>
        <v>0</v>
      </c>
      <c r="H721" s="1663">
        <f t="shared" si="140"/>
        <v>0</v>
      </c>
      <c r="I721" s="1662">
        <f t="shared" si="141"/>
        <v>0</v>
      </c>
      <c r="J721" s="29">
        <v>38601.42</v>
      </c>
    </row>
    <row r="722" spans="1:10" s="98" customFormat="1" x14ac:dyDescent="0.2">
      <c r="A722" s="2221">
        <v>2369</v>
      </c>
      <c r="B722" s="717" t="s">
        <v>2528</v>
      </c>
      <c r="C722" s="731">
        <v>370000</v>
      </c>
      <c r="D722" s="731">
        <v>370000</v>
      </c>
      <c r="E722" s="181">
        <v>1691.58</v>
      </c>
      <c r="F722" s="738"/>
      <c r="G722" s="1663">
        <f t="shared" si="146"/>
        <v>0.45718378378378377</v>
      </c>
      <c r="H722" s="1663">
        <f t="shared" si="140"/>
        <v>0.45718378378378377</v>
      </c>
      <c r="I722" s="1662">
        <f t="shared" si="141"/>
        <v>27.519685039370078</v>
      </c>
      <c r="J722" s="29">
        <v>6146.8</v>
      </c>
    </row>
    <row r="723" spans="1:10" s="98" customFormat="1" x14ac:dyDescent="0.2">
      <c r="A723" s="2221">
        <v>3721</v>
      </c>
      <c r="B723" s="717" t="s">
        <v>2529</v>
      </c>
      <c r="C723" s="731">
        <v>50000</v>
      </c>
      <c r="D723" s="731">
        <v>50000</v>
      </c>
      <c r="E723" s="181">
        <v>25200</v>
      </c>
      <c r="F723" s="750"/>
      <c r="G723" s="1663">
        <f t="shared" si="146"/>
        <v>50.4</v>
      </c>
      <c r="H723" s="1663">
        <f t="shared" si="140"/>
        <v>50.4</v>
      </c>
      <c r="I723" s="1662">
        <f t="shared" si="141"/>
        <v>100</v>
      </c>
      <c r="J723" s="29">
        <v>25200</v>
      </c>
    </row>
    <row r="724" spans="1:10" s="98" customFormat="1" x14ac:dyDescent="0.2">
      <c r="A724" s="2221">
        <v>3722</v>
      </c>
      <c r="B724" s="717" t="s">
        <v>789</v>
      </c>
      <c r="C724" s="726">
        <f>SUM(C725:C728)</f>
        <v>46605000</v>
      </c>
      <c r="D724" s="726">
        <f>SUM(D725:D728)</f>
        <v>46605000</v>
      </c>
      <c r="E724" s="181">
        <v>17696150.260000002</v>
      </c>
      <c r="F724" s="750">
        <f>SUM(E725:E728)</f>
        <v>17696150.259999998</v>
      </c>
      <c r="G724" s="1663">
        <f t="shared" si="146"/>
        <v>37.970497285698961</v>
      </c>
      <c r="H724" s="1663">
        <f t="shared" si="140"/>
        <v>37.970497285698961</v>
      </c>
      <c r="I724" s="1662">
        <f t="shared" si="141"/>
        <v>90.219436507552032</v>
      </c>
      <c r="J724" s="29">
        <v>19614565.27</v>
      </c>
    </row>
    <row r="725" spans="1:10" s="98" customFormat="1" x14ac:dyDescent="0.2">
      <c r="A725" s="2221"/>
      <c r="B725" s="1035" t="s">
        <v>2530</v>
      </c>
      <c r="C725" s="738">
        <v>32350000</v>
      </c>
      <c r="D725" s="738">
        <v>32350000</v>
      </c>
      <c r="E725" s="178">
        <v>16174998</v>
      </c>
      <c r="F725" s="750"/>
      <c r="G725" s="2200">
        <f t="shared" si="146"/>
        <v>49.999993817619782</v>
      </c>
      <c r="H725" s="2200">
        <f t="shared" si="140"/>
        <v>49.999993817619782</v>
      </c>
      <c r="I725" s="2201">
        <f t="shared" si="141"/>
        <v>103.84564714946072</v>
      </c>
      <c r="J725" s="29">
        <v>15576000</v>
      </c>
    </row>
    <row r="726" spans="1:10" s="98" customFormat="1" x14ac:dyDescent="0.2">
      <c r="A726" s="2221"/>
      <c r="B726" s="1035" t="s">
        <v>2531</v>
      </c>
      <c r="C726" s="738">
        <v>1910000</v>
      </c>
      <c r="D726" s="738">
        <v>1910000</v>
      </c>
      <c r="E726" s="178">
        <v>639206.63</v>
      </c>
      <c r="F726" s="750"/>
      <c r="G726" s="2200">
        <f t="shared" si="146"/>
        <v>33.466315706806284</v>
      </c>
      <c r="H726" s="2200">
        <f t="shared" si="140"/>
        <v>33.466315706806284</v>
      </c>
      <c r="I726" s="2201">
        <v>0</v>
      </c>
      <c r="J726" s="29">
        <v>0</v>
      </c>
    </row>
    <row r="727" spans="1:10" s="98" customFormat="1" x14ac:dyDescent="0.2">
      <c r="A727" s="2221"/>
      <c r="B727" s="1035" t="s">
        <v>2532</v>
      </c>
      <c r="C727" s="738">
        <v>2695000</v>
      </c>
      <c r="D727" s="738">
        <v>2695000</v>
      </c>
      <c r="E727" s="178">
        <v>881945.63</v>
      </c>
      <c r="F727" s="750"/>
      <c r="G727" s="2200">
        <f t="shared" si="146"/>
        <v>32.725255287569574</v>
      </c>
      <c r="H727" s="2200">
        <f t="shared" si="140"/>
        <v>32.725255287569574</v>
      </c>
      <c r="I727" s="2201">
        <f t="shared" si="141"/>
        <v>125.78894534257472</v>
      </c>
      <c r="J727" s="29">
        <v>701131.27</v>
      </c>
    </row>
    <row r="728" spans="1:10" s="98" customFormat="1" ht="25.5" x14ac:dyDescent="0.2">
      <c r="A728" s="2221"/>
      <c r="B728" s="749" t="s">
        <v>2533</v>
      </c>
      <c r="C728" s="738">
        <v>9650000</v>
      </c>
      <c r="D728" s="738">
        <v>9650000</v>
      </c>
      <c r="E728" s="178">
        <v>0</v>
      </c>
      <c r="F728" s="750"/>
      <c r="G728" s="2200">
        <f t="shared" si="146"/>
        <v>0</v>
      </c>
      <c r="H728" s="2200">
        <f t="shared" si="140"/>
        <v>0</v>
      </c>
      <c r="I728" s="2201">
        <f t="shared" si="141"/>
        <v>0</v>
      </c>
      <c r="J728" s="1866">
        <v>3337434</v>
      </c>
    </row>
    <row r="729" spans="1:10" s="98" customFormat="1" x14ac:dyDescent="0.2">
      <c r="A729" s="2221">
        <v>3733</v>
      </c>
      <c r="B729" s="717" t="s">
        <v>2534</v>
      </c>
      <c r="C729" s="731">
        <v>65000</v>
      </c>
      <c r="D729" s="731">
        <v>65000</v>
      </c>
      <c r="E729" s="181">
        <v>0</v>
      </c>
      <c r="F729" s="750"/>
      <c r="G729" s="1663">
        <f t="shared" si="146"/>
        <v>0</v>
      </c>
      <c r="H729" s="1663">
        <f t="shared" si="140"/>
        <v>0</v>
      </c>
      <c r="I729" s="1662">
        <v>0</v>
      </c>
      <c r="J729" s="29">
        <v>0</v>
      </c>
    </row>
    <row r="730" spans="1:10" s="98" customFormat="1" x14ac:dyDescent="0.2">
      <c r="A730" s="2221">
        <v>3742</v>
      </c>
      <c r="B730" s="725" t="s">
        <v>2535</v>
      </c>
      <c r="C730" s="731">
        <v>100000</v>
      </c>
      <c r="D730" s="731">
        <v>100000</v>
      </c>
      <c r="E730" s="1387">
        <v>0</v>
      </c>
      <c r="F730" s="1042"/>
      <c r="G730" s="1663">
        <f t="shared" si="146"/>
        <v>0</v>
      </c>
      <c r="H730" s="1663">
        <f t="shared" si="140"/>
        <v>0</v>
      </c>
      <c r="I730" s="1662">
        <v>0</v>
      </c>
      <c r="J730" s="29">
        <v>0</v>
      </c>
    </row>
    <row r="731" spans="1:10" s="98" customFormat="1" x14ac:dyDescent="0.2">
      <c r="A731" s="2221">
        <v>3745</v>
      </c>
      <c r="B731" s="717" t="s">
        <v>796</v>
      </c>
      <c r="C731" s="726">
        <f>SUM(C732:C735)</f>
        <v>23089000</v>
      </c>
      <c r="D731" s="726">
        <f>SUM(D732:D735)</f>
        <v>23089000</v>
      </c>
      <c r="E731" s="181">
        <v>10777879.970000001</v>
      </c>
      <c r="F731" s="750">
        <f>SUM(E732:E735)</f>
        <v>10777879.970000001</v>
      </c>
      <c r="G731" s="1663">
        <f t="shared" si="146"/>
        <v>46.679717484516445</v>
      </c>
      <c r="H731" s="1663">
        <f t="shared" si="140"/>
        <v>46.679717484516445</v>
      </c>
      <c r="I731" s="1662">
        <f t="shared" si="141"/>
        <v>101.23993017463057</v>
      </c>
      <c r="J731" s="29">
        <v>10645878.51</v>
      </c>
    </row>
    <row r="732" spans="1:10" s="98" customFormat="1" x14ac:dyDescent="0.2">
      <c r="A732" s="2221"/>
      <c r="B732" s="1035" t="s">
        <v>1895</v>
      </c>
      <c r="C732" s="738">
        <v>260000</v>
      </c>
      <c r="D732" s="738">
        <v>260000</v>
      </c>
      <c r="E732" s="384">
        <v>0</v>
      </c>
      <c r="F732" s="738"/>
      <c r="G732" s="2200">
        <f t="shared" si="146"/>
        <v>0</v>
      </c>
      <c r="H732" s="2200">
        <f t="shared" si="140"/>
        <v>0</v>
      </c>
      <c r="I732" s="2201">
        <v>0</v>
      </c>
      <c r="J732" s="29">
        <v>0</v>
      </c>
    </row>
    <row r="733" spans="1:10" s="98" customFormat="1" x14ac:dyDescent="0.2">
      <c r="A733" s="2223"/>
      <c r="B733" s="1035" t="s">
        <v>2536</v>
      </c>
      <c r="C733" s="738">
        <v>20700000</v>
      </c>
      <c r="D733" s="738">
        <v>20700000</v>
      </c>
      <c r="E733" s="384">
        <v>10350000</v>
      </c>
      <c r="F733" s="738"/>
      <c r="G733" s="2200">
        <f t="shared" si="146"/>
        <v>50</v>
      </c>
      <c r="H733" s="2200">
        <f t="shared" si="140"/>
        <v>50</v>
      </c>
      <c r="I733" s="2201">
        <f t="shared" si="141"/>
        <v>107.25390823915197</v>
      </c>
      <c r="J733" s="29">
        <v>9649998</v>
      </c>
    </row>
    <row r="734" spans="1:10" s="98" customFormat="1" x14ac:dyDescent="0.2">
      <c r="A734" s="2223"/>
      <c r="B734" s="1035" t="s">
        <v>2537</v>
      </c>
      <c r="C734" s="738">
        <v>1979000</v>
      </c>
      <c r="D734" s="738">
        <v>1979000</v>
      </c>
      <c r="E734" s="178">
        <v>427879.97</v>
      </c>
      <c r="F734" s="750"/>
      <c r="G734" s="2200">
        <f t="shared" si="146"/>
        <v>21.621019201616974</v>
      </c>
      <c r="H734" s="2200">
        <f t="shared" si="140"/>
        <v>21.621019201616974</v>
      </c>
      <c r="I734" s="2201">
        <f t="shared" si="141"/>
        <v>42.964990850157314</v>
      </c>
      <c r="J734" s="29">
        <v>995880.51</v>
      </c>
    </row>
    <row r="735" spans="1:10" s="98" customFormat="1" x14ac:dyDescent="0.2">
      <c r="A735" s="2221"/>
      <c r="B735" s="749" t="s">
        <v>2538</v>
      </c>
      <c r="C735" s="738">
        <v>150000</v>
      </c>
      <c r="D735" s="738">
        <v>150000</v>
      </c>
      <c r="E735" s="384">
        <v>0</v>
      </c>
      <c r="F735" s="738"/>
      <c r="G735" s="2200">
        <f t="shared" si="146"/>
        <v>0</v>
      </c>
      <c r="H735" s="2200">
        <f t="shared" si="140"/>
        <v>0</v>
      </c>
      <c r="I735" s="2201">
        <v>0</v>
      </c>
      <c r="J735" s="29">
        <v>0</v>
      </c>
    </row>
    <row r="736" spans="1:10" x14ac:dyDescent="0.2">
      <c r="A736" s="2221">
        <v>3792</v>
      </c>
      <c r="B736" s="1236" t="s">
        <v>2539</v>
      </c>
      <c r="C736" s="731">
        <v>215000</v>
      </c>
      <c r="D736" s="731">
        <v>215000</v>
      </c>
      <c r="E736" s="181">
        <v>15027</v>
      </c>
      <c r="F736" s="1042"/>
      <c r="G736" s="1663">
        <f t="shared" si="146"/>
        <v>6.9893023255813951</v>
      </c>
      <c r="H736" s="1663">
        <f t="shared" si="140"/>
        <v>6.9893023255813951</v>
      </c>
      <c r="I736" s="1662">
        <f t="shared" si="141"/>
        <v>87.779660026870729</v>
      </c>
      <c r="J736" s="29">
        <v>17119</v>
      </c>
    </row>
    <row r="737" spans="1:244" ht="15.75" x14ac:dyDescent="0.25">
      <c r="A737" s="2453"/>
      <c r="B737" s="690" t="s">
        <v>1897</v>
      </c>
      <c r="C737" s="1390">
        <f t="shared" ref="C737:D737" si="147">SUM(C738:C738)</f>
        <v>100000</v>
      </c>
      <c r="D737" s="1390">
        <f t="shared" si="147"/>
        <v>127427.5</v>
      </c>
      <c r="E737" s="1390">
        <v>27427.5</v>
      </c>
      <c r="F737" s="2454"/>
      <c r="G737" s="2325">
        <f t="shared" si="146"/>
        <v>27.427499999999998</v>
      </c>
      <c r="H737" s="2325">
        <f t="shared" si="140"/>
        <v>21.524003845323811</v>
      </c>
      <c r="I737" s="2325">
        <v>0</v>
      </c>
      <c r="J737" s="29">
        <v>0</v>
      </c>
    </row>
    <row r="738" spans="1:244" x14ac:dyDescent="0.2">
      <c r="A738" s="2455" t="s">
        <v>1898</v>
      </c>
      <c r="B738" s="2061" t="s">
        <v>1899</v>
      </c>
      <c r="C738" s="765">
        <v>100000</v>
      </c>
      <c r="D738" s="765">
        <f>100000+27427.5</f>
        <v>127427.5</v>
      </c>
      <c r="E738" s="1139">
        <v>27427.5</v>
      </c>
      <c r="F738" s="2424"/>
      <c r="G738" s="1656">
        <f t="shared" si="146"/>
        <v>27.427499999999998</v>
      </c>
      <c r="H738" s="1656">
        <f t="shared" si="140"/>
        <v>21.524003845323811</v>
      </c>
      <c r="I738" s="1656">
        <v>0</v>
      </c>
      <c r="J738" s="29">
        <v>0</v>
      </c>
    </row>
    <row r="739" spans="1:244" ht="12" customHeight="1" x14ac:dyDescent="0.2">
      <c r="A739" s="2456"/>
      <c r="B739" s="2063"/>
      <c r="C739" s="758"/>
      <c r="D739" s="758"/>
      <c r="E739" s="1399"/>
      <c r="F739" s="1158"/>
      <c r="G739" s="1048"/>
      <c r="H739" s="1048"/>
      <c r="I739" s="758"/>
    </row>
    <row r="740" spans="1:244" ht="20.25" x14ac:dyDescent="0.3">
      <c r="A740" s="2457"/>
      <c r="B740" s="2056" t="s">
        <v>803</v>
      </c>
      <c r="C740" s="1403">
        <f>SUM(C741,C742,C764,C785,C823,C831,C832,C836)</f>
        <v>130474000</v>
      </c>
      <c r="D740" s="1403">
        <f>SUM(D741,D742,D764,D785,D823,D831,D832,D836)</f>
        <v>134974000</v>
      </c>
      <c r="E740" s="1403">
        <v>60300953.399999999</v>
      </c>
      <c r="F740" s="2361">
        <f>SUM(E741:E742,E764,E785,E823,E831:E832,E836)</f>
        <v>60300953.399999999</v>
      </c>
      <c r="G740" s="949">
        <f t="shared" si="146"/>
        <v>46.216835078253141</v>
      </c>
      <c r="H740" s="949">
        <f t="shared" si="140"/>
        <v>44.675977151155038</v>
      </c>
      <c r="I740" s="949">
        <f t="shared" si="141"/>
        <v>109.87926437566308</v>
      </c>
      <c r="J740" s="88">
        <v>54879283.859999999</v>
      </c>
      <c r="K740" s="2"/>
      <c r="L740"/>
      <c r="M740"/>
      <c r="N740"/>
      <c r="O740"/>
      <c r="P740"/>
      <c r="Q740"/>
      <c r="R740"/>
      <c r="S740"/>
      <c r="T740"/>
      <c r="U740"/>
      <c r="V740"/>
      <c r="W740"/>
      <c r="X740"/>
      <c r="Y740"/>
      <c r="Z740"/>
      <c r="AA740"/>
      <c r="AB740"/>
      <c r="AC740"/>
      <c r="AD740"/>
      <c r="AE740"/>
      <c r="AF740"/>
      <c r="AG740"/>
      <c r="AH740"/>
      <c r="AI740"/>
      <c r="AJ740"/>
      <c r="AK740"/>
      <c r="AL740"/>
      <c r="AM740"/>
      <c r="AN740"/>
      <c r="AO740"/>
      <c r="AP740"/>
      <c r="AQ740"/>
      <c r="AR740"/>
      <c r="AS740"/>
      <c r="AT740"/>
      <c r="AU740"/>
      <c r="AV740"/>
      <c r="AW740"/>
      <c r="AX740"/>
      <c r="AY740"/>
      <c r="AZ740"/>
      <c r="BA740"/>
      <c r="BB740"/>
      <c r="BC740"/>
      <c r="BD740"/>
      <c r="BE740"/>
      <c r="BF740"/>
      <c r="BG740"/>
      <c r="BH740"/>
      <c r="BI740"/>
      <c r="BJ740"/>
      <c r="BK740"/>
      <c r="BL740"/>
      <c r="BM740"/>
      <c r="BN740"/>
      <c r="BO740"/>
      <c r="BP740"/>
      <c r="BQ740"/>
      <c r="BR740"/>
      <c r="BS740"/>
      <c r="BT740"/>
      <c r="BU740"/>
      <c r="BV740"/>
      <c r="BW740"/>
      <c r="BX740"/>
      <c r="BY740"/>
      <c r="BZ740"/>
      <c r="CA740"/>
      <c r="CB740"/>
      <c r="CC740"/>
      <c r="CD740"/>
      <c r="CE740"/>
      <c r="CF740"/>
      <c r="CG740"/>
      <c r="CH740"/>
      <c r="CI740"/>
      <c r="CJ740"/>
      <c r="CK740"/>
      <c r="CL740"/>
      <c r="CM740"/>
      <c r="CN740"/>
      <c r="CO740"/>
      <c r="CP740"/>
      <c r="CQ740"/>
      <c r="CR740"/>
      <c r="CS740"/>
      <c r="CT740"/>
      <c r="CU740"/>
      <c r="CV740"/>
      <c r="CW740"/>
      <c r="CX740"/>
      <c r="CY740"/>
      <c r="CZ740"/>
      <c r="DA740"/>
      <c r="DB740"/>
      <c r="DC740"/>
      <c r="DD740"/>
      <c r="DE740"/>
      <c r="DF740"/>
      <c r="DG740"/>
      <c r="DH740"/>
      <c r="DI740"/>
      <c r="DJ740"/>
      <c r="DK740"/>
      <c r="DL740"/>
      <c r="DM740"/>
      <c r="DN740"/>
      <c r="DO740"/>
      <c r="DP740"/>
      <c r="DQ740"/>
      <c r="DR740"/>
      <c r="DS740"/>
      <c r="DT740"/>
      <c r="DU740"/>
      <c r="DV740"/>
      <c r="DW740"/>
      <c r="DX740"/>
      <c r="DY740"/>
      <c r="DZ740"/>
      <c r="EA740"/>
      <c r="EB740"/>
      <c r="EC740"/>
      <c r="ED740"/>
      <c r="EE740"/>
      <c r="EF740"/>
      <c r="EG740"/>
      <c r="EH740"/>
      <c r="EI740"/>
      <c r="EJ740"/>
      <c r="EK740"/>
      <c r="EL740"/>
      <c r="EM740"/>
      <c r="EN740"/>
      <c r="EO740"/>
      <c r="EP740"/>
      <c r="EQ740"/>
      <c r="ER740"/>
      <c r="ES740"/>
      <c r="ET740"/>
      <c r="EU740"/>
      <c r="EV740"/>
      <c r="EW740"/>
      <c r="EX740"/>
      <c r="EY740"/>
      <c r="EZ740"/>
      <c r="FA740"/>
      <c r="FB740"/>
      <c r="FC740"/>
      <c r="FD740"/>
      <c r="FE740"/>
      <c r="FF740"/>
      <c r="FG740"/>
      <c r="FH740"/>
      <c r="FI740"/>
      <c r="FJ740"/>
      <c r="FK740"/>
      <c r="FL740"/>
      <c r="FM740"/>
      <c r="FN740"/>
      <c r="FO740"/>
      <c r="FP740"/>
      <c r="FQ740"/>
      <c r="FR740"/>
      <c r="FS740"/>
      <c r="FT740"/>
      <c r="FU740"/>
      <c r="FV740"/>
      <c r="FW740"/>
      <c r="FX740"/>
      <c r="FY740"/>
      <c r="FZ740"/>
      <c r="GA740"/>
      <c r="GB740"/>
      <c r="GC740"/>
      <c r="GD740"/>
      <c r="GE740"/>
      <c r="GF740"/>
      <c r="GG740"/>
      <c r="GH740"/>
      <c r="GI740"/>
      <c r="GJ740"/>
      <c r="GK740"/>
      <c r="GL740"/>
      <c r="GM740"/>
      <c r="GN740"/>
      <c r="GO740"/>
      <c r="GP740"/>
      <c r="GQ740"/>
      <c r="GR740"/>
      <c r="GS740"/>
      <c r="GT740"/>
      <c r="GU740"/>
      <c r="GV740"/>
      <c r="GW740"/>
      <c r="GX740"/>
      <c r="GY740"/>
      <c r="GZ740"/>
      <c r="HA740"/>
      <c r="HB740"/>
      <c r="HC740"/>
      <c r="HD740"/>
      <c r="HE740"/>
      <c r="HF740"/>
      <c r="HG740"/>
      <c r="HH740"/>
      <c r="HI740"/>
      <c r="HJ740"/>
      <c r="HK740"/>
      <c r="HL740"/>
      <c r="HM740"/>
      <c r="HN740"/>
      <c r="HO740"/>
      <c r="HP740"/>
      <c r="HQ740"/>
      <c r="HR740"/>
      <c r="HS740"/>
      <c r="HT740"/>
      <c r="HU740"/>
      <c r="HV740"/>
      <c r="HW740"/>
      <c r="HX740"/>
      <c r="HY740"/>
      <c r="HZ740"/>
      <c r="IA740"/>
      <c r="IB740"/>
      <c r="IC740"/>
      <c r="ID740"/>
      <c r="IE740"/>
      <c r="IF740"/>
      <c r="IG740"/>
      <c r="IH740"/>
      <c r="II740"/>
      <c r="IJ740"/>
    </row>
    <row r="741" spans="1:244" ht="12.75" customHeight="1" x14ac:dyDescent="0.2">
      <c r="A741" s="2458">
        <v>3122</v>
      </c>
      <c r="B741" s="2065" t="s">
        <v>1902</v>
      </c>
      <c r="C741" s="2067">
        <v>450000</v>
      </c>
      <c r="D741" s="2067">
        <f>450000+500000</f>
        <v>950000</v>
      </c>
      <c r="E741" s="2066">
        <v>730349.2</v>
      </c>
      <c r="F741" s="1809"/>
      <c r="G741" s="1663">
        <f t="shared" si="146"/>
        <v>162.29982222222222</v>
      </c>
      <c r="H741" s="1663">
        <f t="shared" si="140"/>
        <v>76.878863157894727</v>
      </c>
      <c r="I741" s="1662">
        <f t="shared" si="141"/>
        <v>211.62845981833689</v>
      </c>
      <c r="J741" s="88">
        <v>345109.16</v>
      </c>
      <c r="K741" s="2"/>
      <c r="L741"/>
      <c r="M741"/>
      <c r="N741"/>
      <c r="O741"/>
      <c r="P741"/>
      <c r="Q741"/>
      <c r="R741"/>
      <c r="S741"/>
      <c r="T741"/>
      <c r="U741"/>
      <c r="V741"/>
      <c r="W741"/>
      <c r="X741"/>
      <c r="Y741"/>
      <c r="Z741"/>
      <c r="AA741"/>
      <c r="AB741"/>
      <c r="AC741"/>
      <c r="AD741"/>
      <c r="AE741"/>
      <c r="AF741"/>
      <c r="AG741"/>
      <c r="AH741"/>
      <c r="AI741"/>
      <c r="AJ741"/>
      <c r="AK741"/>
      <c r="AL741"/>
      <c r="AM741"/>
      <c r="AN741"/>
      <c r="AO741"/>
      <c r="AP741"/>
      <c r="AQ741"/>
      <c r="AR741"/>
      <c r="AS741"/>
      <c r="AT741"/>
      <c r="AU741"/>
      <c r="AV741"/>
      <c r="AW741"/>
      <c r="AX741"/>
      <c r="AY741"/>
      <c r="AZ741"/>
      <c r="BA741"/>
      <c r="BB741"/>
      <c r="BC741"/>
      <c r="BD741"/>
      <c r="BE741"/>
      <c r="BF741"/>
      <c r="BG741"/>
      <c r="BH741"/>
      <c r="BI741"/>
      <c r="BJ741"/>
      <c r="BK741"/>
      <c r="BL741"/>
      <c r="BM741"/>
      <c r="BN741"/>
      <c r="BO741"/>
      <c r="BP741"/>
      <c r="BQ741"/>
      <c r="BR741"/>
      <c r="BS741"/>
      <c r="BT741"/>
      <c r="BU741"/>
      <c r="BV741"/>
      <c r="BW741"/>
      <c r="BX741"/>
      <c r="BY741"/>
      <c r="BZ741"/>
      <c r="CA741"/>
      <c r="CB741"/>
      <c r="CC741"/>
      <c r="CD741"/>
      <c r="CE741"/>
      <c r="CF741"/>
      <c r="CG741"/>
      <c r="CH741"/>
      <c r="CI741"/>
      <c r="CJ741"/>
      <c r="CK741"/>
      <c r="CL741"/>
      <c r="CM741"/>
      <c r="CN741"/>
      <c r="CO741"/>
      <c r="CP741"/>
      <c r="CQ741"/>
      <c r="CR741"/>
      <c r="CS741"/>
      <c r="CT741"/>
      <c r="CU741"/>
      <c r="CV741"/>
      <c r="CW741"/>
      <c r="CX741"/>
      <c r="CY741"/>
      <c r="CZ741"/>
      <c r="DA741"/>
      <c r="DB741"/>
      <c r="DC741"/>
      <c r="DD741"/>
      <c r="DE741"/>
      <c r="DF741"/>
      <c r="DG741"/>
      <c r="DH741"/>
      <c r="DI741"/>
      <c r="DJ741"/>
      <c r="DK741"/>
      <c r="DL741"/>
      <c r="DM741"/>
      <c r="DN741"/>
      <c r="DO741"/>
      <c r="DP741"/>
      <c r="DQ741"/>
      <c r="DR741"/>
      <c r="DS741"/>
      <c r="DT741"/>
      <c r="DU741"/>
      <c r="DV741"/>
      <c r="DW741"/>
      <c r="DX741"/>
      <c r="DY741"/>
      <c r="DZ741"/>
      <c r="EA741"/>
      <c r="EB741"/>
      <c r="EC741"/>
      <c r="ED741"/>
      <c r="EE741"/>
      <c r="EF741"/>
      <c r="EG741"/>
      <c r="EH741"/>
      <c r="EI741"/>
      <c r="EJ741"/>
      <c r="EK741"/>
      <c r="EL741"/>
      <c r="EM741"/>
      <c r="EN741"/>
      <c r="EO741"/>
      <c r="EP741"/>
      <c r="EQ741"/>
      <c r="ER741"/>
      <c r="ES741"/>
      <c r="ET741"/>
      <c r="EU741"/>
      <c r="EV741"/>
      <c r="EW741"/>
      <c r="EX741"/>
      <c r="EY741"/>
      <c r="EZ741"/>
      <c r="FA741"/>
      <c r="FB741"/>
      <c r="FC741"/>
      <c r="FD741"/>
      <c r="FE741"/>
      <c r="FF741"/>
      <c r="FG741"/>
      <c r="FH741"/>
      <c r="FI741"/>
      <c r="FJ741"/>
      <c r="FK741"/>
      <c r="FL741"/>
      <c r="FM741"/>
      <c r="FN741"/>
      <c r="FO741"/>
      <c r="FP741"/>
      <c r="FQ741"/>
      <c r="FR741"/>
      <c r="FS741"/>
      <c r="FT741"/>
      <c r="FU741"/>
      <c r="FV741"/>
      <c r="FW741"/>
      <c r="FX741"/>
      <c r="FY741"/>
      <c r="FZ741"/>
      <c r="GA741"/>
      <c r="GB741"/>
      <c r="GC741"/>
      <c r="GD741"/>
      <c r="GE741"/>
      <c r="GF741"/>
      <c r="GG741"/>
      <c r="GH741"/>
      <c r="GI741"/>
      <c r="GJ741"/>
      <c r="GK741"/>
      <c r="GL741"/>
      <c r="GM741"/>
      <c r="GN741"/>
      <c r="GO741"/>
      <c r="GP741"/>
      <c r="GQ741"/>
      <c r="GR741"/>
      <c r="GS741"/>
      <c r="GT741"/>
      <c r="GU741"/>
      <c r="GV741"/>
      <c r="GW741"/>
      <c r="GX741"/>
      <c r="GY741"/>
      <c r="GZ741"/>
      <c r="HA741"/>
      <c r="HB741"/>
      <c r="HC741"/>
      <c r="HD741"/>
      <c r="HE741"/>
      <c r="HF741"/>
      <c r="HG741"/>
      <c r="HH741"/>
      <c r="HI741"/>
      <c r="HJ741"/>
      <c r="HK741"/>
      <c r="HL741"/>
      <c r="HM741"/>
      <c r="HN741"/>
      <c r="HO741"/>
      <c r="HP741"/>
      <c r="HQ741"/>
      <c r="HR741"/>
      <c r="HS741"/>
      <c r="HT741"/>
      <c r="HU741"/>
      <c r="HV741"/>
      <c r="HW741"/>
      <c r="HX741"/>
      <c r="HY741"/>
      <c r="HZ741"/>
      <c r="IA741"/>
      <c r="IB741"/>
      <c r="IC741"/>
      <c r="ID741"/>
      <c r="IE741"/>
      <c r="IF741"/>
      <c r="IG741"/>
      <c r="IH741"/>
      <c r="II741"/>
      <c r="IJ741"/>
    </row>
    <row r="742" spans="1:244" ht="12.75" customHeight="1" x14ac:dyDescent="0.2">
      <c r="A742" s="2391">
        <v>3412</v>
      </c>
      <c r="B742" s="2069" t="s">
        <v>805</v>
      </c>
      <c r="C742" s="2070">
        <f>C743+C754</f>
        <v>52960000</v>
      </c>
      <c r="D742" s="2070">
        <f>D743+D754</f>
        <v>52960000</v>
      </c>
      <c r="E742" s="2070">
        <v>27711330.75</v>
      </c>
      <c r="F742" s="1077">
        <f>SUM(E743,E754)</f>
        <v>27711330.75</v>
      </c>
      <c r="G742" s="1663">
        <f t="shared" si="146"/>
        <v>52.325020298338366</v>
      </c>
      <c r="H742" s="1663">
        <f t="shared" si="140"/>
        <v>52.325020298338366</v>
      </c>
      <c r="I742" s="1662">
        <f t="shared" si="141"/>
        <v>105.89320644550739</v>
      </c>
      <c r="J742" s="88">
        <v>26169129.899999999</v>
      </c>
      <c r="K742" s="2"/>
      <c r="L742"/>
      <c r="M742"/>
      <c r="N742"/>
      <c r="O742"/>
      <c r="P742"/>
      <c r="Q742"/>
      <c r="R742"/>
      <c r="S742"/>
      <c r="T742"/>
      <c r="U742"/>
      <c r="V742"/>
      <c r="W742"/>
      <c r="X742"/>
      <c r="Y742"/>
      <c r="Z742"/>
      <c r="AA742"/>
      <c r="AB742"/>
      <c r="AC742"/>
      <c r="AD742"/>
      <c r="AE742"/>
      <c r="AF742"/>
      <c r="AG742"/>
      <c r="AH742"/>
      <c r="AI742"/>
      <c r="AJ742"/>
      <c r="AK742"/>
      <c r="AL742"/>
      <c r="AM742"/>
      <c r="AN742"/>
      <c r="AO742"/>
      <c r="AP742"/>
      <c r="AQ742"/>
      <c r="AR742"/>
      <c r="AS742"/>
      <c r="AT742"/>
      <c r="AU742"/>
      <c r="AV742"/>
      <c r="AW742"/>
      <c r="AX742"/>
      <c r="AY742"/>
      <c r="AZ742"/>
      <c r="BA742"/>
      <c r="BB742"/>
      <c r="BC742"/>
      <c r="BD742"/>
      <c r="BE742"/>
      <c r="BF742"/>
      <c r="BG742"/>
      <c r="BH742"/>
      <c r="BI742"/>
      <c r="BJ742"/>
      <c r="BK742"/>
      <c r="BL742"/>
      <c r="BM742"/>
      <c r="BN742"/>
      <c r="BO742"/>
      <c r="BP742"/>
      <c r="BQ742"/>
      <c r="BR742"/>
      <c r="BS742"/>
      <c r="BT742"/>
      <c r="BU742"/>
      <c r="BV742"/>
      <c r="BW742"/>
      <c r="BX742"/>
      <c r="BY742"/>
      <c r="BZ742"/>
      <c r="CA742"/>
      <c r="CB742"/>
      <c r="CC742"/>
      <c r="CD742"/>
      <c r="CE742"/>
      <c r="CF742"/>
      <c r="CG742"/>
      <c r="CH742"/>
      <c r="CI742"/>
      <c r="CJ742"/>
      <c r="CK742"/>
      <c r="CL742"/>
      <c r="CM742"/>
      <c r="CN742"/>
      <c r="CO742"/>
      <c r="CP742"/>
      <c r="CQ742"/>
      <c r="CR742"/>
      <c r="CS742"/>
      <c r="CT742"/>
      <c r="CU742"/>
      <c r="CV742"/>
      <c r="CW742"/>
      <c r="CX742"/>
      <c r="CY742"/>
      <c r="CZ742"/>
      <c r="DA742"/>
      <c r="DB742"/>
      <c r="DC742"/>
      <c r="DD742"/>
      <c r="DE742"/>
      <c r="DF742"/>
      <c r="DG742"/>
      <c r="DH742"/>
      <c r="DI742"/>
      <c r="DJ742"/>
      <c r="DK742"/>
      <c r="DL742"/>
      <c r="DM742"/>
      <c r="DN742"/>
      <c r="DO742"/>
      <c r="DP742"/>
      <c r="DQ742"/>
      <c r="DR742"/>
      <c r="DS742"/>
      <c r="DT742"/>
      <c r="DU742"/>
      <c r="DV742"/>
      <c r="DW742"/>
      <c r="DX742"/>
      <c r="DY742"/>
      <c r="DZ742"/>
      <c r="EA742"/>
      <c r="EB742"/>
      <c r="EC742"/>
      <c r="ED742"/>
      <c r="EE742"/>
      <c r="EF742"/>
      <c r="EG742"/>
      <c r="EH742"/>
      <c r="EI742"/>
      <c r="EJ742"/>
      <c r="EK742"/>
      <c r="EL742"/>
      <c r="EM742"/>
      <c r="EN742"/>
      <c r="EO742"/>
      <c r="EP742"/>
      <c r="EQ742"/>
      <c r="ER742"/>
      <c r="ES742"/>
      <c r="ET742"/>
      <c r="EU742"/>
      <c r="EV742"/>
      <c r="EW742"/>
      <c r="EX742"/>
      <c r="EY742"/>
      <c r="EZ742"/>
      <c r="FA742"/>
      <c r="FB742"/>
      <c r="FC742"/>
      <c r="FD742"/>
      <c r="FE742"/>
      <c r="FF742"/>
      <c r="FG742"/>
      <c r="FH742"/>
      <c r="FI742"/>
      <c r="FJ742"/>
      <c r="FK742"/>
      <c r="FL742"/>
      <c r="FM742"/>
      <c r="FN742"/>
      <c r="FO742"/>
      <c r="FP742"/>
      <c r="FQ742"/>
      <c r="FR742"/>
      <c r="FS742"/>
      <c r="FT742"/>
      <c r="FU742"/>
      <c r="FV742"/>
      <c r="FW742"/>
      <c r="FX742"/>
      <c r="FY742"/>
      <c r="FZ742"/>
      <c r="GA742"/>
      <c r="GB742"/>
      <c r="GC742"/>
      <c r="GD742"/>
      <c r="GE742"/>
      <c r="GF742"/>
      <c r="GG742"/>
      <c r="GH742"/>
      <c r="GI742"/>
      <c r="GJ742"/>
      <c r="GK742"/>
      <c r="GL742"/>
      <c r="GM742"/>
      <c r="GN742"/>
      <c r="GO742"/>
      <c r="GP742"/>
      <c r="GQ742"/>
      <c r="GR742"/>
      <c r="GS742"/>
      <c r="GT742"/>
      <c r="GU742"/>
      <c r="GV742"/>
      <c r="GW742"/>
      <c r="GX742"/>
      <c r="GY742"/>
      <c r="GZ742"/>
      <c r="HA742"/>
      <c r="HB742"/>
      <c r="HC742"/>
      <c r="HD742"/>
      <c r="HE742"/>
      <c r="HF742"/>
      <c r="HG742"/>
      <c r="HH742"/>
      <c r="HI742"/>
      <c r="HJ742"/>
      <c r="HK742"/>
      <c r="HL742"/>
      <c r="HM742"/>
      <c r="HN742"/>
      <c r="HO742"/>
      <c r="HP742"/>
      <c r="HQ742"/>
      <c r="HR742"/>
      <c r="HS742"/>
      <c r="HT742"/>
      <c r="HU742"/>
      <c r="HV742"/>
      <c r="HW742"/>
      <c r="HX742"/>
      <c r="HY742"/>
      <c r="HZ742"/>
      <c r="IA742"/>
      <c r="IB742"/>
      <c r="IC742"/>
      <c r="ID742"/>
      <c r="IE742"/>
      <c r="IF742"/>
      <c r="IG742"/>
      <c r="IH742"/>
      <c r="II742"/>
      <c r="IJ742"/>
    </row>
    <row r="743" spans="1:244" ht="12.75" customHeight="1" x14ac:dyDescent="0.2">
      <c r="A743" s="2391"/>
      <c r="B743" s="2071" t="s">
        <v>1903</v>
      </c>
      <c r="C743" s="2070">
        <f>C744+C748+C751</f>
        <v>37650000</v>
      </c>
      <c r="D743" s="2070">
        <f>D744+D748+D751</f>
        <v>37650000</v>
      </c>
      <c r="E743" s="2070">
        <v>19591882.329999998</v>
      </c>
      <c r="F743" s="1077">
        <f>SUM(E744,E748,E751)</f>
        <v>19591882.329999998</v>
      </c>
      <c r="G743" s="1663">
        <f t="shared" si="146"/>
        <v>52.036872058432927</v>
      </c>
      <c r="H743" s="1663">
        <f t="shared" si="140"/>
        <v>52.036872058432927</v>
      </c>
      <c r="I743" s="1662">
        <f t="shared" si="141"/>
        <v>107.05946628415299</v>
      </c>
      <c r="J743" s="88">
        <v>18300000</v>
      </c>
      <c r="K743" s="2"/>
      <c r="L743"/>
      <c r="M743"/>
      <c r="N743"/>
      <c r="O743"/>
      <c r="P743"/>
      <c r="Q743"/>
      <c r="R743"/>
      <c r="S743"/>
      <c r="T743"/>
      <c r="U743"/>
      <c r="V743"/>
      <c r="W743"/>
      <c r="X743"/>
      <c r="Y743"/>
      <c r="Z743"/>
      <c r="AA743"/>
      <c r="AB743"/>
      <c r="AC743"/>
      <c r="AD743"/>
      <c r="AE743"/>
      <c r="AF743"/>
      <c r="AG743"/>
      <c r="AH743"/>
      <c r="AI743"/>
      <c r="AJ743"/>
      <c r="AK743"/>
      <c r="AL743"/>
      <c r="AM743"/>
      <c r="AN743"/>
      <c r="AO743"/>
      <c r="AP743"/>
      <c r="AQ743"/>
      <c r="AR743"/>
      <c r="AS743"/>
      <c r="AT743"/>
      <c r="AU743"/>
      <c r="AV743"/>
      <c r="AW743"/>
      <c r="AX743"/>
      <c r="AY743"/>
      <c r="AZ743"/>
      <c r="BA743"/>
      <c r="BB743"/>
      <c r="BC743"/>
      <c r="BD743"/>
      <c r="BE743"/>
      <c r="BF743"/>
      <c r="BG743"/>
      <c r="BH743"/>
      <c r="BI743"/>
      <c r="BJ743"/>
      <c r="BK743"/>
      <c r="BL743"/>
      <c r="BM743"/>
      <c r="BN743"/>
      <c r="BO743"/>
      <c r="BP743"/>
      <c r="BQ743"/>
      <c r="BR743"/>
      <c r="BS743"/>
      <c r="BT743"/>
      <c r="BU743"/>
      <c r="BV743"/>
      <c r="BW743"/>
      <c r="BX743"/>
      <c r="BY743"/>
      <c r="BZ743"/>
      <c r="CA743"/>
      <c r="CB743"/>
      <c r="CC743"/>
      <c r="CD743"/>
      <c r="CE743"/>
      <c r="CF743"/>
      <c r="CG743"/>
      <c r="CH743"/>
      <c r="CI743"/>
      <c r="CJ743"/>
      <c r="CK743"/>
      <c r="CL743"/>
      <c r="CM743"/>
      <c r="CN743"/>
      <c r="CO743"/>
      <c r="CP743"/>
      <c r="CQ743"/>
      <c r="CR743"/>
      <c r="CS743"/>
      <c r="CT743"/>
      <c r="CU743"/>
      <c r="CV743"/>
      <c r="CW743"/>
      <c r="CX743"/>
      <c r="CY743"/>
      <c r="CZ743"/>
      <c r="DA743"/>
      <c r="DB743"/>
      <c r="DC743"/>
      <c r="DD743"/>
      <c r="DE743"/>
      <c r="DF743"/>
      <c r="DG743"/>
      <c r="DH743"/>
      <c r="DI743"/>
      <c r="DJ743"/>
      <c r="DK743"/>
      <c r="DL743"/>
      <c r="DM743"/>
      <c r="DN743"/>
      <c r="DO743"/>
      <c r="DP743"/>
      <c r="DQ743"/>
      <c r="DR743"/>
      <c r="DS743"/>
      <c r="DT743"/>
      <c r="DU743"/>
      <c r="DV743"/>
      <c r="DW743"/>
      <c r="DX743"/>
      <c r="DY743"/>
      <c r="DZ743"/>
      <c r="EA743"/>
      <c r="EB743"/>
      <c r="EC743"/>
      <c r="ED743"/>
      <c r="EE743"/>
      <c r="EF743"/>
      <c r="EG743"/>
      <c r="EH743"/>
      <c r="EI743"/>
      <c r="EJ743"/>
      <c r="EK743"/>
      <c r="EL743"/>
      <c r="EM743"/>
      <c r="EN743"/>
      <c r="EO743"/>
      <c r="EP743"/>
      <c r="EQ743"/>
      <c r="ER743"/>
      <c r="ES743"/>
      <c r="ET743"/>
      <c r="EU743"/>
      <c r="EV743"/>
      <c r="EW743"/>
      <c r="EX743"/>
      <c r="EY743"/>
      <c r="EZ743"/>
      <c r="FA743"/>
      <c r="FB743"/>
      <c r="FC743"/>
      <c r="FD743"/>
      <c r="FE743"/>
      <c r="FF743"/>
      <c r="FG743"/>
      <c r="FH743"/>
      <c r="FI743"/>
      <c r="FJ743"/>
      <c r="FK743"/>
      <c r="FL743"/>
      <c r="FM743"/>
      <c r="FN743"/>
      <c r="FO743"/>
      <c r="FP743"/>
      <c r="FQ743"/>
      <c r="FR743"/>
      <c r="FS743"/>
      <c r="FT743"/>
      <c r="FU743"/>
      <c r="FV743"/>
      <c r="FW743"/>
      <c r="FX743"/>
      <c r="FY743"/>
      <c r="FZ743"/>
      <c r="GA743"/>
      <c r="GB743"/>
      <c r="GC743"/>
      <c r="GD743"/>
      <c r="GE743"/>
      <c r="GF743"/>
      <c r="GG743"/>
      <c r="GH743"/>
      <c r="GI743"/>
      <c r="GJ743"/>
      <c r="GK743"/>
      <c r="GL743"/>
      <c r="GM743"/>
      <c r="GN743"/>
      <c r="GO743"/>
      <c r="GP743"/>
      <c r="GQ743"/>
      <c r="GR743"/>
      <c r="GS743"/>
      <c r="GT743"/>
      <c r="GU743"/>
      <c r="GV743"/>
      <c r="GW743"/>
      <c r="GX743"/>
      <c r="GY743"/>
      <c r="GZ743"/>
      <c r="HA743"/>
      <c r="HB743"/>
      <c r="HC743"/>
      <c r="HD743"/>
      <c r="HE743"/>
      <c r="HF743"/>
      <c r="HG743"/>
      <c r="HH743"/>
      <c r="HI743"/>
      <c r="HJ743"/>
      <c r="HK743"/>
      <c r="HL743"/>
      <c r="HM743"/>
      <c r="HN743"/>
      <c r="HO743"/>
      <c r="HP743"/>
      <c r="HQ743"/>
      <c r="HR743"/>
      <c r="HS743"/>
      <c r="HT743"/>
      <c r="HU743"/>
      <c r="HV743"/>
      <c r="HW743"/>
      <c r="HX743"/>
      <c r="HY743"/>
      <c r="HZ743"/>
      <c r="IA743"/>
      <c r="IB743"/>
      <c r="IC743"/>
      <c r="ID743"/>
      <c r="IE743"/>
      <c r="IF743"/>
      <c r="IG743"/>
      <c r="IH743"/>
      <c r="II743"/>
      <c r="IJ743"/>
    </row>
    <row r="744" spans="1:244" ht="12.75" customHeight="1" x14ac:dyDescent="0.2">
      <c r="A744" s="2391"/>
      <c r="B744" s="2072" t="s">
        <v>807</v>
      </c>
      <c r="C744" s="2073">
        <f>SUM(C745:C747)</f>
        <v>0</v>
      </c>
      <c r="D744" s="2073">
        <f>SUM(D745:D747)</f>
        <v>1150665.3</v>
      </c>
      <c r="E744" s="2073">
        <v>1133335.3</v>
      </c>
      <c r="F744" s="2073">
        <f>SUM(E745:E747)</f>
        <v>1133335</v>
      </c>
      <c r="G744" s="2459">
        <v>0</v>
      </c>
      <c r="H744" s="2459">
        <f t="shared" si="140"/>
        <v>98.493914781300873</v>
      </c>
      <c r="I744" s="2460">
        <f t="shared" si="141"/>
        <v>1287.3543777545549</v>
      </c>
      <c r="J744" s="88">
        <v>88036</v>
      </c>
      <c r="K744" s="2"/>
      <c r="L744"/>
      <c r="M744"/>
      <c r="N744"/>
      <c r="O744"/>
      <c r="P744"/>
      <c r="Q744"/>
      <c r="R744"/>
      <c r="S744"/>
      <c r="T744"/>
      <c r="U744"/>
      <c r="V744"/>
      <c r="W744"/>
      <c r="X744"/>
      <c r="Y744"/>
      <c r="Z744"/>
      <c r="AA744"/>
      <c r="AB744"/>
      <c r="AC744"/>
      <c r="AD744"/>
      <c r="AE744"/>
      <c r="AF744"/>
      <c r="AG744"/>
      <c r="AH744"/>
      <c r="AI744"/>
      <c r="AJ744"/>
      <c r="AK744"/>
      <c r="AL744"/>
      <c r="AM744"/>
      <c r="AN744"/>
      <c r="AO744"/>
      <c r="AP744"/>
      <c r="AQ744"/>
      <c r="AR744"/>
      <c r="AS744"/>
      <c r="AT744"/>
      <c r="AU744"/>
      <c r="AV744"/>
      <c r="AW744"/>
      <c r="AX744"/>
      <c r="AY744"/>
      <c r="AZ744"/>
      <c r="BA744"/>
      <c r="BB744"/>
      <c r="BC744"/>
      <c r="BD744"/>
      <c r="BE744"/>
      <c r="BF744"/>
      <c r="BG744"/>
      <c r="BH744"/>
      <c r="BI744"/>
      <c r="BJ744"/>
      <c r="BK744"/>
      <c r="BL744"/>
      <c r="BM744"/>
      <c r="BN744"/>
      <c r="BO744"/>
      <c r="BP744"/>
      <c r="BQ744"/>
      <c r="BR744"/>
      <c r="BS744"/>
      <c r="BT744"/>
      <c r="BU744"/>
      <c r="BV744"/>
      <c r="BW744"/>
      <c r="BX744"/>
      <c r="BY744"/>
      <c r="BZ744"/>
      <c r="CA744"/>
      <c r="CB744"/>
      <c r="CC744"/>
      <c r="CD744"/>
      <c r="CE744"/>
      <c r="CF744"/>
      <c r="CG744"/>
      <c r="CH744"/>
      <c r="CI744"/>
      <c r="CJ744"/>
      <c r="CK744"/>
      <c r="CL744"/>
      <c r="CM744"/>
      <c r="CN744"/>
      <c r="CO744"/>
      <c r="CP744"/>
      <c r="CQ744"/>
      <c r="CR744"/>
      <c r="CS744"/>
      <c r="CT744"/>
      <c r="CU744"/>
      <c r="CV744"/>
      <c r="CW744"/>
      <c r="CX744"/>
      <c r="CY744"/>
      <c r="CZ744"/>
      <c r="DA744"/>
      <c r="DB744"/>
      <c r="DC744"/>
      <c r="DD744"/>
      <c r="DE744"/>
      <c r="DF744"/>
      <c r="DG744"/>
      <c r="DH744"/>
      <c r="DI744"/>
      <c r="DJ744"/>
      <c r="DK744"/>
      <c r="DL744"/>
      <c r="DM744"/>
      <c r="DN744"/>
      <c r="DO744"/>
      <c r="DP744"/>
      <c r="DQ744"/>
      <c r="DR744"/>
      <c r="DS744"/>
      <c r="DT744"/>
      <c r="DU744"/>
      <c r="DV744"/>
      <c r="DW744"/>
      <c r="DX744"/>
      <c r="DY744"/>
      <c r="DZ744"/>
      <c r="EA744"/>
      <c r="EB744"/>
      <c r="EC744"/>
      <c r="ED744"/>
      <c r="EE744"/>
      <c r="EF744"/>
      <c r="EG744"/>
      <c r="EH744"/>
      <c r="EI744"/>
      <c r="EJ744"/>
      <c r="EK744"/>
      <c r="EL744"/>
      <c r="EM744"/>
      <c r="EN744"/>
      <c r="EO744"/>
      <c r="EP744"/>
      <c r="EQ744"/>
      <c r="ER744"/>
      <c r="ES744"/>
      <c r="ET744"/>
      <c r="EU744"/>
      <c r="EV744"/>
      <c r="EW744"/>
      <c r="EX744"/>
      <c r="EY744"/>
      <c r="EZ744"/>
      <c r="FA744"/>
      <c r="FB744"/>
      <c r="FC744"/>
      <c r="FD744"/>
      <c r="FE744"/>
      <c r="FF744"/>
      <c r="FG744"/>
      <c r="FH744"/>
      <c r="FI744"/>
      <c r="FJ744"/>
      <c r="FK744"/>
      <c r="FL744"/>
      <c r="FM744"/>
      <c r="FN744"/>
      <c r="FO744"/>
      <c r="FP744"/>
      <c r="FQ744"/>
      <c r="FR744"/>
      <c r="FS744"/>
      <c r="FT744"/>
      <c r="FU744"/>
      <c r="FV744"/>
      <c r="FW744"/>
      <c r="FX744"/>
      <c r="FY744"/>
      <c r="FZ744"/>
      <c r="GA744"/>
      <c r="GB744"/>
      <c r="GC744"/>
      <c r="GD744"/>
      <c r="GE744"/>
      <c r="GF744"/>
      <c r="GG744"/>
      <c r="GH744"/>
      <c r="GI744"/>
      <c r="GJ744"/>
      <c r="GK744"/>
      <c r="GL744"/>
      <c r="GM744"/>
      <c r="GN744"/>
      <c r="GO744"/>
      <c r="GP744"/>
      <c r="GQ744"/>
      <c r="GR744"/>
      <c r="GS744"/>
      <c r="GT744"/>
      <c r="GU744"/>
      <c r="GV744"/>
      <c r="GW744"/>
      <c r="GX744"/>
      <c r="GY744"/>
      <c r="GZ744"/>
      <c r="HA744"/>
      <c r="HB744"/>
      <c r="HC744"/>
      <c r="HD744"/>
      <c r="HE744"/>
      <c r="HF744"/>
      <c r="HG744"/>
      <c r="HH744"/>
      <c r="HI744"/>
      <c r="HJ744"/>
      <c r="HK744"/>
      <c r="HL744"/>
      <c r="HM744"/>
      <c r="HN744"/>
      <c r="HO744"/>
      <c r="HP744"/>
      <c r="HQ744"/>
      <c r="HR744"/>
      <c r="HS744"/>
      <c r="HT744"/>
      <c r="HU744"/>
      <c r="HV744"/>
      <c r="HW744"/>
      <c r="HX744"/>
      <c r="HY744"/>
      <c r="HZ744"/>
      <c r="IA744"/>
      <c r="IB744"/>
      <c r="IC744"/>
      <c r="ID744"/>
      <c r="IE744"/>
      <c r="IF744"/>
      <c r="IG744"/>
      <c r="IH744"/>
      <c r="II744"/>
      <c r="IJ744"/>
    </row>
    <row r="745" spans="1:244" ht="12.75" customHeight="1" x14ac:dyDescent="0.2">
      <c r="A745" s="2391"/>
      <c r="B745" s="2074" t="s">
        <v>2949</v>
      </c>
      <c r="C745" s="2075">
        <v>0</v>
      </c>
      <c r="D745" s="2075">
        <v>302065.3</v>
      </c>
      <c r="E745" s="2075">
        <v>302065</v>
      </c>
      <c r="F745" s="2075"/>
      <c r="G745" s="2200">
        <v>0</v>
      </c>
      <c r="H745" s="2200">
        <f t="shared" si="140"/>
        <v>99.999900683726338</v>
      </c>
      <c r="I745" s="2201">
        <v>0</v>
      </c>
      <c r="J745" s="88">
        <v>0</v>
      </c>
      <c r="K745" s="2"/>
      <c r="L745"/>
      <c r="M745"/>
      <c r="N745"/>
      <c r="O745"/>
      <c r="P745"/>
      <c r="Q745"/>
      <c r="R745"/>
      <c r="S745"/>
      <c r="T745"/>
      <c r="U745"/>
      <c r="V745"/>
      <c r="W745"/>
      <c r="X745"/>
      <c r="Y745"/>
      <c r="Z745"/>
      <c r="AA745"/>
      <c r="AB745"/>
      <c r="AC745"/>
      <c r="AD745"/>
      <c r="AE745"/>
      <c r="AF745"/>
      <c r="AG745"/>
      <c r="AH745"/>
      <c r="AI745"/>
      <c r="AJ745"/>
      <c r="AK745"/>
      <c r="AL745"/>
      <c r="AM745"/>
      <c r="AN745"/>
      <c r="AO745"/>
      <c r="AP745"/>
      <c r="AQ745"/>
      <c r="AR745"/>
      <c r="AS745"/>
      <c r="AT745"/>
      <c r="AU745"/>
      <c r="AV745"/>
      <c r="AW745"/>
      <c r="AX745"/>
      <c r="AY745"/>
      <c r="AZ745"/>
      <c r="BA745"/>
      <c r="BB745"/>
      <c r="BC745"/>
      <c r="BD745"/>
      <c r="BE745"/>
      <c r="BF745"/>
      <c r="BG745"/>
      <c r="BH745"/>
      <c r="BI745"/>
      <c r="BJ745"/>
      <c r="BK745"/>
      <c r="BL745"/>
      <c r="BM745"/>
      <c r="BN745"/>
      <c r="BO745"/>
      <c r="BP745"/>
      <c r="BQ745"/>
      <c r="BR745"/>
      <c r="BS745"/>
      <c r="BT745"/>
      <c r="BU745"/>
      <c r="BV745"/>
      <c r="BW745"/>
      <c r="BX745"/>
      <c r="BY745"/>
      <c r="BZ745"/>
      <c r="CA745"/>
      <c r="CB745"/>
      <c r="CC745"/>
      <c r="CD745"/>
      <c r="CE745"/>
      <c r="CF745"/>
      <c r="CG745"/>
      <c r="CH745"/>
      <c r="CI745"/>
      <c r="CJ745"/>
      <c r="CK745"/>
      <c r="CL745"/>
      <c r="CM745"/>
      <c r="CN745"/>
      <c r="CO745"/>
      <c r="CP745"/>
      <c r="CQ745"/>
      <c r="CR745"/>
      <c r="CS745"/>
      <c r="CT745"/>
      <c r="CU745"/>
      <c r="CV745"/>
      <c r="CW745"/>
      <c r="CX745"/>
      <c r="CY745"/>
      <c r="CZ745"/>
      <c r="DA745"/>
      <c r="DB745"/>
      <c r="DC745"/>
      <c r="DD745"/>
      <c r="DE745"/>
      <c r="DF745"/>
      <c r="DG745"/>
      <c r="DH745"/>
      <c r="DI745"/>
      <c r="DJ745"/>
      <c r="DK745"/>
      <c r="DL745"/>
      <c r="DM745"/>
      <c r="DN745"/>
      <c r="DO745"/>
      <c r="DP745"/>
      <c r="DQ745"/>
      <c r="DR745"/>
      <c r="DS745"/>
      <c r="DT745"/>
      <c r="DU745"/>
      <c r="DV745"/>
      <c r="DW745"/>
      <c r="DX745"/>
      <c r="DY745"/>
      <c r="DZ745"/>
      <c r="EA745"/>
      <c r="EB745"/>
      <c r="EC745"/>
      <c r="ED745"/>
      <c r="EE745"/>
      <c r="EF745"/>
      <c r="EG745"/>
      <c r="EH745"/>
      <c r="EI745"/>
      <c r="EJ745"/>
      <c r="EK745"/>
      <c r="EL745"/>
      <c r="EM745"/>
      <c r="EN745"/>
      <c r="EO745"/>
      <c r="EP745"/>
      <c r="EQ745"/>
      <c r="ER745"/>
      <c r="ES745"/>
      <c r="ET745"/>
      <c r="EU745"/>
      <c r="EV745"/>
      <c r="EW745"/>
      <c r="EX745"/>
      <c r="EY745"/>
      <c r="EZ745"/>
      <c r="FA745"/>
      <c r="FB745"/>
      <c r="FC745"/>
      <c r="FD745"/>
      <c r="FE745"/>
      <c r="FF745"/>
      <c r="FG745"/>
      <c r="FH745"/>
      <c r="FI745"/>
      <c r="FJ745"/>
      <c r="FK745"/>
      <c r="FL745"/>
      <c r="FM745"/>
      <c r="FN745"/>
      <c r="FO745"/>
      <c r="FP745"/>
      <c r="FQ745"/>
      <c r="FR745"/>
      <c r="FS745"/>
      <c r="FT745"/>
      <c r="FU745"/>
      <c r="FV745"/>
      <c r="FW745"/>
      <c r="FX745"/>
      <c r="FY745"/>
      <c r="FZ745"/>
      <c r="GA745"/>
      <c r="GB745"/>
      <c r="GC745"/>
      <c r="GD745"/>
      <c r="GE745"/>
      <c r="GF745"/>
      <c r="GG745"/>
      <c r="GH745"/>
      <c r="GI745"/>
      <c r="GJ745"/>
      <c r="GK745"/>
      <c r="GL745"/>
      <c r="GM745"/>
      <c r="GN745"/>
      <c r="GO745"/>
      <c r="GP745"/>
      <c r="GQ745"/>
      <c r="GR745"/>
      <c r="GS745"/>
      <c r="GT745"/>
      <c r="GU745"/>
      <c r="GV745"/>
      <c r="GW745"/>
      <c r="GX745"/>
      <c r="GY745"/>
      <c r="GZ745"/>
      <c r="HA745"/>
      <c r="HB745"/>
      <c r="HC745"/>
      <c r="HD745"/>
      <c r="HE745"/>
      <c r="HF745"/>
      <c r="HG745"/>
      <c r="HH745"/>
      <c r="HI745"/>
      <c r="HJ745"/>
      <c r="HK745"/>
      <c r="HL745"/>
      <c r="HM745"/>
      <c r="HN745"/>
      <c r="HO745"/>
      <c r="HP745"/>
      <c r="HQ745"/>
      <c r="HR745"/>
      <c r="HS745"/>
      <c r="HT745"/>
      <c r="HU745"/>
      <c r="HV745"/>
      <c r="HW745"/>
      <c r="HX745"/>
      <c r="HY745"/>
      <c r="HZ745"/>
      <c r="IA745"/>
      <c r="IB745"/>
      <c r="IC745"/>
      <c r="ID745"/>
      <c r="IE745"/>
      <c r="IF745"/>
      <c r="IG745"/>
      <c r="IH745"/>
      <c r="II745"/>
      <c r="IJ745"/>
    </row>
    <row r="746" spans="1:244" ht="12.75" customHeight="1" x14ac:dyDescent="0.2">
      <c r="A746" s="2391"/>
      <c r="B746" s="2074" t="s">
        <v>2950</v>
      </c>
      <c r="C746" s="2075">
        <v>0</v>
      </c>
      <c r="D746" s="2075">
        <v>798600</v>
      </c>
      <c r="E746" s="2075">
        <v>798600</v>
      </c>
      <c r="F746" s="2075"/>
      <c r="G746" s="2200">
        <v>0</v>
      </c>
      <c r="H746" s="2200">
        <f t="shared" si="140"/>
        <v>100</v>
      </c>
      <c r="I746" s="2201">
        <v>0</v>
      </c>
      <c r="J746" s="88">
        <v>0</v>
      </c>
      <c r="K746" s="2"/>
      <c r="L746"/>
      <c r="M746"/>
      <c r="N746"/>
      <c r="O746"/>
      <c r="P746"/>
      <c r="Q746"/>
      <c r="R746"/>
      <c r="S746"/>
      <c r="T746"/>
      <c r="U746"/>
      <c r="V746"/>
      <c r="W746"/>
      <c r="X746"/>
      <c r="Y746"/>
      <c r="Z746"/>
      <c r="AA746"/>
      <c r="AB746"/>
      <c r="AC746"/>
      <c r="AD746"/>
      <c r="AE746"/>
      <c r="AF746"/>
      <c r="AG746"/>
      <c r="AH746"/>
      <c r="AI746"/>
      <c r="AJ746"/>
      <c r="AK746"/>
      <c r="AL746"/>
      <c r="AM746"/>
      <c r="AN746"/>
      <c r="AO746"/>
      <c r="AP746"/>
      <c r="AQ746"/>
      <c r="AR746"/>
      <c r="AS746"/>
      <c r="AT746"/>
      <c r="AU746"/>
      <c r="AV746"/>
      <c r="AW746"/>
      <c r="AX746"/>
      <c r="AY746"/>
      <c r="AZ746"/>
      <c r="BA746"/>
      <c r="BB746"/>
      <c r="BC746"/>
      <c r="BD746"/>
      <c r="BE746"/>
      <c r="BF746"/>
      <c r="BG746"/>
      <c r="BH746"/>
      <c r="BI746"/>
      <c r="BJ746"/>
      <c r="BK746"/>
      <c r="BL746"/>
      <c r="BM746"/>
      <c r="BN746"/>
      <c r="BO746"/>
      <c r="BP746"/>
      <c r="BQ746"/>
      <c r="BR746"/>
      <c r="BS746"/>
      <c r="BT746"/>
      <c r="BU746"/>
      <c r="BV746"/>
      <c r="BW746"/>
      <c r="BX746"/>
      <c r="BY746"/>
      <c r="BZ746"/>
      <c r="CA746"/>
      <c r="CB746"/>
      <c r="CC746"/>
      <c r="CD746"/>
      <c r="CE746"/>
      <c r="CF746"/>
      <c r="CG746"/>
      <c r="CH746"/>
      <c r="CI746"/>
      <c r="CJ746"/>
      <c r="CK746"/>
      <c r="CL746"/>
      <c r="CM746"/>
      <c r="CN746"/>
      <c r="CO746"/>
      <c r="CP746"/>
      <c r="CQ746"/>
      <c r="CR746"/>
      <c r="CS746"/>
      <c r="CT746"/>
      <c r="CU746"/>
      <c r="CV746"/>
      <c r="CW746"/>
      <c r="CX746"/>
      <c r="CY746"/>
      <c r="CZ746"/>
      <c r="DA746"/>
      <c r="DB746"/>
      <c r="DC746"/>
      <c r="DD746"/>
      <c r="DE746"/>
      <c r="DF746"/>
      <c r="DG746"/>
      <c r="DH746"/>
      <c r="DI746"/>
      <c r="DJ746"/>
      <c r="DK746"/>
      <c r="DL746"/>
      <c r="DM746"/>
      <c r="DN746"/>
      <c r="DO746"/>
      <c r="DP746"/>
      <c r="DQ746"/>
      <c r="DR746"/>
      <c r="DS746"/>
      <c r="DT746"/>
      <c r="DU746"/>
      <c r="DV746"/>
      <c r="DW746"/>
      <c r="DX746"/>
      <c r="DY746"/>
      <c r="DZ746"/>
      <c r="EA746"/>
      <c r="EB746"/>
      <c r="EC746"/>
      <c r="ED746"/>
      <c r="EE746"/>
      <c r="EF746"/>
      <c r="EG746"/>
      <c r="EH746"/>
      <c r="EI746"/>
      <c r="EJ746"/>
      <c r="EK746"/>
      <c r="EL746"/>
      <c r="EM746"/>
      <c r="EN746"/>
      <c r="EO746"/>
      <c r="EP746"/>
      <c r="EQ746"/>
      <c r="ER746"/>
      <c r="ES746"/>
      <c r="ET746"/>
      <c r="EU746"/>
      <c r="EV746"/>
      <c r="EW746"/>
      <c r="EX746"/>
      <c r="EY746"/>
      <c r="EZ746"/>
      <c r="FA746"/>
      <c r="FB746"/>
      <c r="FC746"/>
      <c r="FD746"/>
      <c r="FE746"/>
      <c r="FF746"/>
      <c r="FG746"/>
      <c r="FH746"/>
      <c r="FI746"/>
      <c r="FJ746"/>
      <c r="FK746"/>
      <c r="FL746"/>
      <c r="FM746"/>
      <c r="FN746"/>
      <c r="FO746"/>
      <c r="FP746"/>
      <c r="FQ746"/>
      <c r="FR746"/>
      <c r="FS746"/>
      <c r="FT746"/>
      <c r="FU746"/>
      <c r="FV746"/>
      <c r="FW746"/>
      <c r="FX746"/>
      <c r="FY746"/>
      <c r="FZ746"/>
      <c r="GA746"/>
      <c r="GB746"/>
      <c r="GC746"/>
      <c r="GD746"/>
      <c r="GE746"/>
      <c r="GF746"/>
      <c r="GG746"/>
      <c r="GH746"/>
      <c r="GI746"/>
      <c r="GJ746"/>
      <c r="GK746"/>
      <c r="GL746"/>
      <c r="GM746"/>
      <c r="GN746"/>
      <c r="GO746"/>
      <c r="GP746"/>
      <c r="GQ746"/>
      <c r="GR746"/>
      <c r="GS746"/>
      <c r="GT746"/>
      <c r="GU746"/>
      <c r="GV746"/>
      <c r="GW746"/>
      <c r="GX746"/>
      <c r="GY746"/>
      <c r="GZ746"/>
      <c r="HA746"/>
      <c r="HB746"/>
      <c r="HC746"/>
      <c r="HD746"/>
      <c r="HE746"/>
      <c r="HF746"/>
      <c r="HG746"/>
      <c r="HH746"/>
      <c r="HI746"/>
      <c r="HJ746"/>
      <c r="HK746"/>
      <c r="HL746"/>
      <c r="HM746"/>
      <c r="HN746"/>
      <c r="HO746"/>
      <c r="HP746"/>
      <c r="HQ746"/>
      <c r="HR746"/>
      <c r="HS746"/>
      <c r="HT746"/>
      <c r="HU746"/>
      <c r="HV746"/>
      <c r="HW746"/>
      <c r="HX746"/>
      <c r="HY746"/>
      <c r="HZ746"/>
      <c r="IA746"/>
      <c r="IB746"/>
      <c r="IC746"/>
      <c r="ID746"/>
      <c r="IE746"/>
      <c r="IF746"/>
      <c r="IG746"/>
      <c r="IH746"/>
      <c r="II746"/>
      <c r="IJ746"/>
    </row>
    <row r="747" spans="1:244" ht="12.75" customHeight="1" x14ac:dyDescent="0.2">
      <c r="A747" s="2391"/>
      <c r="B747" s="2074" t="s">
        <v>2951</v>
      </c>
      <c r="C747" s="2075">
        <v>0</v>
      </c>
      <c r="D747" s="2075">
        <v>50000</v>
      </c>
      <c r="E747" s="2075">
        <v>32670</v>
      </c>
      <c r="F747" s="2075"/>
      <c r="G747" s="2200">
        <v>0</v>
      </c>
      <c r="H747" s="2200">
        <f t="shared" si="140"/>
        <v>65.34</v>
      </c>
      <c r="I747" s="2201">
        <v>0</v>
      </c>
      <c r="J747" s="88">
        <v>0</v>
      </c>
      <c r="K747" s="2"/>
      <c r="L747"/>
      <c r="M747"/>
      <c r="N747"/>
      <c r="O747"/>
      <c r="P747"/>
      <c r="Q747"/>
      <c r="R747"/>
      <c r="S747"/>
      <c r="T747"/>
      <c r="U747"/>
      <c r="V747"/>
      <c r="W747"/>
      <c r="X747"/>
      <c r="Y747"/>
      <c r="Z747"/>
      <c r="AA747"/>
      <c r="AB747"/>
      <c r="AC747"/>
      <c r="AD747"/>
      <c r="AE747"/>
      <c r="AF747"/>
      <c r="AG747"/>
      <c r="AH747"/>
      <c r="AI747"/>
      <c r="AJ747"/>
      <c r="AK747"/>
      <c r="AL747"/>
      <c r="AM747"/>
      <c r="AN747"/>
      <c r="AO747"/>
      <c r="AP747"/>
      <c r="AQ747"/>
      <c r="AR747"/>
      <c r="AS747"/>
      <c r="AT747"/>
      <c r="AU747"/>
      <c r="AV747"/>
      <c r="AW747"/>
      <c r="AX747"/>
      <c r="AY747"/>
      <c r="AZ747"/>
      <c r="BA747"/>
      <c r="BB747"/>
      <c r="BC747"/>
      <c r="BD747"/>
      <c r="BE747"/>
      <c r="BF747"/>
      <c r="BG747"/>
      <c r="BH747"/>
      <c r="BI747"/>
      <c r="BJ747"/>
      <c r="BK747"/>
      <c r="BL747"/>
      <c r="BM747"/>
      <c r="BN747"/>
      <c r="BO747"/>
      <c r="BP747"/>
      <c r="BQ747"/>
      <c r="BR747"/>
      <c r="BS747"/>
      <c r="BT747"/>
      <c r="BU747"/>
      <c r="BV747"/>
      <c r="BW747"/>
      <c r="BX747"/>
      <c r="BY747"/>
      <c r="BZ747"/>
      <c r="CA747"/>
      <c r="CB747"/>
      <c r="CC747"/>
      <c r="CD747"/>
      <c r="CE747"/>
      <c r="CF747"/>
      <c r="CG747"/>
      <c r="CH747"/>
      <c r="CI747"/>
      <c r="CJ747"/>
      <c r="CK747"/>
      <c r="CL747"/>
      <c r="CM747"/>
      <c r="CN747"/>
      <c r="CO747"/>
      <c r="CP747"/>
      <c r="CQ747"/>
      <c r="CR747"/>
      <c r="CS747"/>
      <c r="CT747"/>
      <c r="CU747"/>
      <c r="CV747"/>
      <c r="CW747"/>
      <c r="CX747"/>
      <c r="CY747"/>
      <c r="CZ747"/>
      <c r="DA747"/>
      <c r="DB747"/>
      <c r="DC747"/>
      <c r="DD747"/>
      <c r="DE747"/>
      <c r="DF747"/>
      <c r="DG747"/>
      <c r="DH747"/>
      <c r="DI747"/>
      <c r="DJ747"/>
      <c r="DK747"/>
      <c r="DL747"/>
      <c r="DM747"/>
      <c r="DN747"/>
      <c r="DO747"/>
      <c r="DP747"/>
      <c r="DQ747"/>
      <c r="DR747"/>
      <c r="DS747"/>
      <c r="DT747"/>
      <c r="DU747"/>
      <c r="DV747"/>
      <c r="DW747"/>
      <c r="DX747"/>
      <c r="DY747"/>
      <c r="DZ747"/>
      <c r="EA747"/>
      <c r="EB747"/>
      <c r="EC747"/>
      <c r="ED747"/>
      <c r="EE747"/>
      <c r="EF747"/>
      <c r="EG747"/>
      <c r="EH747"/>
      <c r="EI747"/>
      <c r="EJ747"/>
      <c r="EK747"/>
      <c r="EL747"/>
      <c r="EM747"/>
      <c r="EN747"/>
      <c r="EO747"/>
      <c r="EP747"/>
      <c r="EQ747"/>
      <c r="ER747"/>
      <c r="ES747"/>
      <c r="ET747"/>
      <c r="EU747"/>
      <c r="EV747"/>
      <c r="EW747"/>
      <c r="EX747"/>
      <c r="EY747"/>
      <c r="EZ747"/>
      <c r="FA747"/>
      <c r="FB747"/>
      <c r="FC747"/>
      <c r="FD747"/>
      <c r="FE747"/>
      <c r="FF747"/>
      <c r="FG747"/>
      <c r="FH747"/>
      <c r="FI747"/>
      <c r="FJ747"/>
      <c r="FK747"/>
      <c r="FL747"/>
      <c r="FM747"/>
      <c r="FN747"/>
      <c r="FO747"/>
      <c r="FP747"/>
      <c r="FQ747"/>
      <c r="FR747"/>
      <c r="FS747"/>
      <c r="FT747"/>
      <c r="FU747"/>
      <c r="FV747"/>
      <c r="FW747"/>
      <c r="FX747"/>
      <c r="FY747"/>
      <c r="FZ747"/>
      <c r="GA747"/>
      <c r="GB747"/>
      <c r="GC747"/>
      <c r="GD747"/>
      <c r="GE747"/>
      <c r="GF747"/>
      <c r="GG747"/>
      <c r="GH747"/>
      <c r="GI747"/>
      <c r="GJ747"/>
      <c r="GK747"/>
      <c r="GL747"/>
      <c r="GM747"/>
      <c r="GN747"/>
      <c r="GO747"/>
      <c r="GP747"/>
      <c r="GQ747"/>
      <c r="GR747"/>
      <c r="GS747"/>
      <c r="GT747"/>
      <c r="GU747"/>
      <c r="GV747"/>
      <c r="GW747"/>
      <c r="GX747"/>
      <c r="GY747"/>
      <c r="GZ747"/>
      <c r="HA747"/>
      <c r="HB747"/>
      <c r="HC747"/>
      <c r="HD747"/>
      <c r="HE747"/>
      <c r="HF747"/>
      <c r="HG747"/>
      <c r="HH747"/>
      <c r="HI747"/>
      <c r="HJ747"/>
      <c r="HK747"/>
      <c r="HL747"/>
      <c r="HM747"/>
      <c r="HN747"/>
      <c r="HO747"/>
      <c r="HP747"/>
      <c r="HQ747"/>
      <c r="HR747"/>
      <c r="HS747"/>
      <c r="HT747"/>
      <c r="HU747"/>
      <c r="HV747"/>
      <c r="HW747"/>
      <c r="HX747"/>
      <c r="HY747"/>
      <c r="HZ747"/>
      <c r="IA747"/>
      <c r="IB747"/>
      <c r="IC747"/>
      <c r="ID747"/>
      <c r="IE747"/>
      <c r="IF747"/>
      <c r="IG747"/>
      <c r="IH747"/>
      <c r="II747"/>
      <c r="IJ747"/>
    </row>
    <row r="748" spans="1:244" x14ac:dyDescent="0.2">
      <c r="A748" s="2391"/>
      <c r="B748" s="2076" t="s">
        <v>829</v>
      </c>
      <c r="C748" s="2077">
        <f>SUM(C749:C750)</f>
        <v>750000</v>
      </c>
      <c r="D748" s="2077">
        <f>SUM(D749:D750)</f>
        <v>700000</v>
      </c>
      <c r="E748" s="2077">
        <v>9212.33</v>
      </c>
      <c r="F748" s="2077">
        <f>SUM(E749:E750)</f>
        <v>9212.33</v>
      </c>
      <c r="G748" s="2459">
        <f t="shared" si="146"/>
        <v>1.2283106666666666</v>
      </c>
      <c r="H748" s="2459">
        <f t="shared" ref="H748:H811" si="148">E748/D748*100</f>
        <v>1.3160471428571427</v>
      </c>
      <c r="I748" s="2460">
        <v>0</v>
      </c>
      <c r="J748" s="88">
        <v>0</v>
      </c>
      <c r="K748" s="2"/>
      <c r="L748"/>
      <c r="M748"/>
      <c r="N748"/>
      <c r="O748"/>
      <c r="P748"/>
      <c r="Q748"/>
      <c r="R748"/>
      <c r="S748"/>
      <c r="T748"/>
      <c r="U748"/>
      <c r="V748"/>
      <c r="W748"/>
      <c r="X748"/>
      <c r="Y748"/>
      <c r="Z748"/>
      <c r="AA748"/>
      <c r="AB748"/>
      <c r="AC748"/>
      <c r="AD748"/>
      <c r="AE748"/>
      <c r="AF748"/>
      <c r="AG748"/>
      <c r="AH748"/>
      <c r="AI748"/>
      <c r="AJ748"/>
      <c r="AK748"/>
      <c r="AL748"/>
      <c r="AM748"/>
      <c r="AN748"/>
      <c r="AO748"/>
      <c r="AP748"/>
      <c r="AQ748"/>
      <c r="AR748"/>
      <c r="AS748"/>
      <c r="AT748"/>
      <c r="AU748"/>
      <c r="AV748"/>
      <c r="AW748"/>
      <c r="AX748"/>
      <c r="AY748"/>
      <c r="AZ748"/>
      <c r="BA748"/>
      <c r="BB748"/>
      <c r="BC748"/>
      <c r="BD748"/>
      <c r="BE748"/>
      <c r="BF748"/>
      <c r="BG748"/>
      <c r="BH748"/>
      <c r="BI748"/>
      <c r="BJ748"/>
      <c r="BK748"/>
      <c r="BL748"/>
      <c r="BM748"/>
      <c r="BN748"/>
      <c r="BO748"/>
      <c r="BP748"/>
      <c r="BQ748"/>
      <c r="BR748"/>
      <c r="BS748"/>
      <c r="BT748"/>
      <c r="BU748"/>
      <c r="BV748"/>
      <c r="BW748"/>
      <c r="BX748"/>
      <c r="BY748"/>
      <c r="BZ748"/>
      <c r="CA748"/>
      <c r="CB748"/>
      <c r="CC748"/>
      <c r="CD748"/>
      <c r="CE748"/>
      <c r="CF748"/>
      <c r="CG748"/>
      <c r="CH748"/>
      <c r="CI748"/>
      <c r="CJ748"/>
      <c r="CK748"/>
      <c r="CL748"/>
      <c r="CM748"/>
      <c r="CN748"/>
      <c r="CO748"/>
      <c r="CP748"/>
      <c r="CQ748"/>
      <c r="CR748"/>
      <c r="CS748"/>
      <c r="CT748"/>
      <c r="CU748"/>
      <c r="CV748"/>
      <c r="CW748"/>
      <c r="CX748"/>
      <c r="CY748"/>
      <c r="CZ748"/>
      <c r="DA748"/>
      <c r="DB748"/>
      <c r="DC748"/>
      <c r="DD748"/>
      <c r="DE748"/>
      <c r="DF748"/>
      <c r="DG748"/>
      <c r="DH748"/>
      <c r="DI748"/>
      <c r="DJ748"/>
      <c r="DK748"/>
      <c r="DL748"/>
      <c r="DM748"/>
      <c r="DN748"/>
      <c r="DO748"/>
      <c r="DP748"/>
      <c r="DQ748"/>
      <c r="DR748"/>
      <c r="DS748"/>
      <c r="DT748"/>
      <c r="DU748"/>
      <c r="DV748"/>
      <c r="DW748"/>
      <c r="DX748"/>
      <c r="DY748"/>
      <c r="DZ748"/>
      <c r="EA748"/>
      <c r="EB748"/>
      <c r="EC748"/>
      <c r="ED748"/>
      <c r="EE748"/>
      <c r="EF748"/>
      <c r="EG748"/>
      <c r="EH748"/>
      <c r="EI748"/>
      <c r="EJ748"/>
      <c r="EK748"/>
      <c r="EL748"/>
      <c r="EM748"/>
      <c r="EN748"/>
      <c r="EO748"/>
      <c r="EP748"/>
      <c r="EQ748"/>
      <c r="ER748"/>
      <c r="ES748"/>
      <c r="ET748"/>
      <c r="EU748"/>
      <c r="EV748"/>
      <c r="EW748"/>
      <c r="EX748"/>
      <c r="EY748"/>
      <c r="EZ748"/>
      <c r="FA748"/>
      <c r="FB748"/>
      <c r="FC748"/>
      <c r="FD748"/>
      <c r="FE748"/>
      <c r="FF748"/>
      <c r="FG748"/>
      <c r="FH748"/>
      <c r="FI748"/>
      <c r="FJ748"/>
      <c r="FK748"/>
      <c r="FL748"/>
      <c r="FM748"/>
      <c r="FN748"/>
      <c r="FO748"/>
      <c r="FP748"/>
      <c r="FQ748"/>
      <c r="FR748"/>
      <c r="FS748"/>
      <c r="FT748"/>
      <c r="FU748"/>
      <c r="FV748"/>
      <c r="FW748"/>
      <c r="FX748"/>
      <c r="FY748"/>
      <c r="FZ748"/>
      <c r="GA748"/>
      <c r="GB748"/>
      <c r="GC748"/>
      <c r="GD748"/>
      <c r="GE748"/>
      <c r="GF748"/>
      <c r="GG748"/>
      <c r="GH748"/>
      <c r="GI748"/>
      <c r="GJ748"/>
      <c r="GK748"/>
      <c r="GL748"/>
      <c r="GM748"/>
      <c r="GN748"/>
      <c r="GO748"/>
      <c r="GP748"/>
      <c r="GQ748"/>
      <c r="GR748"/>
      <c r="GS748"/>
      <c r="GT748"/>
      <c r="GU748"/>
      <c r="GV748"/>
      <c r="GW748"/>
      <c r="GX748"/>
      <c r="GY748"/>
      <c r="GZ748"/>
      <c r="HA748"/>
      <c r="HB748"/>
      <c r="HC748"/>
      <c r="HD748"/>
      <c r="HE748"/>
      <c r="HF748"/>
      <c r="HG748"/>
      <c r="HH748"/>
      <c r="HI748"/>
      <c r="HJ748"/>
      <c r="HK748"/>
      <c r="HL748"/>
      <c r="HM748"/>
      <c r="HN748"/>
      <c r="HO748"/>
      <c r="HP748"/>
      <c r="HQ748"/>
      <c r="HR748"/>
      <c r="HS748"/>
      <c r="HT748"/>
      <c r="HU748"/>
      <c r="HV748"/>
      <c r="HW748"/>
      <c r="HX748"/>
      <c r="HY748"/>
      <c r="HZ748"/>
      <c r="IA748"/>
      <c r="IB748"/>
      <c r="IC748"/>
      <c r="ID748"/>
      <c r="IE748"/>
      <c r="IF748"/>
      <c r="IG748"/>
      <c r="IH748"/>
      <c r="II748"/>
      <c r="IJ748"/>
    </row>
    <row r="749" spans="1:244" s="1417" customFormat="1" ht="12.75" customHeight="1" x14ac:dyDescent="0.2">
      <c r="A749" s="2391"/>
      <c r="B749" s="2078" t="s">
        <v>2541</v>
      </c>
      <c r="C749" s="2075">
        <v>600000</v>
      </c>
      <c r="D749" s="2075">
        <v>600000</v>
      </c>
      <c r="E749" s="2075">
        <v>0</v>
      </c>
      <c r="F749" s="2075"/>
      <c r="G749" s="2200">
        <f t="shared" si="146"/>
        <v>0</v>
      </c>
      <c r="H749" s="2200">
        <f t="shared" si="148"/>
        <v>0</v>
      </c>
      <c r="I749" s="2201">
        <v>0</v>
      </c>
      <c r="J749" s="2461">
        <v>0</v>
      </c>
    </row>
    <row r="750" spans="1:244" ht="12.75" customHeight="1" x14ac:dyDescent="0.2">
      <c r="A750" s="2391"/>
      <c r="B750" s="2080" t="s">
        <v>2542</v>
      </c>
      <c r="C750" s="2075">
        <v>150000</v>
      </c>
      <c r="D750" s="2075">
        <f>150000-50000</f>
        <v>100000</v>
      </c>
      <c r="E750" s="2075">
        <v>9212.33</v>
      </c>
      <c r="F750" s="2075"/>
      <c r="G750" s="2200">
        <f t="shared" si="146"/>
        <v>6.1415533333333334</v>
      </c>
      <c r="H750" s="2200">
        <f t="shared" si="148"/>
        <v>9.2123299999999997</v>
      </c>
      <c r="I750" s="2201">
        <v>0</v>
      </c>
      <c r="J750" s="88">
        <v>0</v>
      </c>
      <c r="K750" s="2"/>
      <c r="L750"/>
      <c r="M750"/>
      <c r="N750"/>
      <c r="O750"/>
      <c r="P750"/>
      <c r="Q750"/>
      <c r="R750"/>
      <c r="S750"/>
      <c r="T750"/>
      <c r="U750"/>
      <c r="V750"/>
      <c r="W750"/>
      <c r="X750"/>
      <c r="Y750"/>
      <c r="Z750"/>
      <c r="AA750"/>
      <c r="AB750"/>
      <c r="AC750"/>
      <c r="AD750"/>
      <c r="AE750"/>
      <c r="AF750"/>
      <c r="AG750"/>
      <c r="AH750"/>
      <c r="AI750"/>
      <c r="AJ750"/>
      <c r="AK750"/>
      <c r="AL750"/>
      <c r="AM750"/>
      <c r="AN750"/>
      <c r="AO750"/>
      <c r="AP750"/>
      <c r="AQ750"/>
      <c r="AR750"/>
      <c r="AS750"/>
      <c r="AT750"/>
      <c r="AU750"/>
      <c r="AV750"/>
      <c r="AW750"/>
      <c r="AX750"/>
      <c r="AY750"/>
      <c r="AZ750"/>
      <c r="BA750"/>
      <c r="BB750"/>
      <c r="BC750"/>
      <c r="BD750"/>
      <c r="BE750"/>
      <c r="BF750"/>
      <c r="BG750"/>
      <c r="BH750"/>
      <c r="BI750"/>
      <c r="BJ750"/>
      <c r="BK750"/>
      <c r="BL750"/>
      <c r="BM750"/>
      <c r="BN750"/>
      <c r="BO750"/>
      <c r="BP750"/>
      <c r="BQ750"/>
      <c r="BR750"/>
      <c r="BS750"/>
      <c r="BT750"/>
      <c r="BU750"/>
      <c r="BV750"/>
      <c r="BW750"/>
      <c r="BX750"/>
      <c r="BY750"/>
      <c r="BZ750"/>
      <c r="CA750"/>
      <c r="CB750"/>
      <c r="CC750"/>
      <c r="CD750"/>
      <c r="CE750"/>
      <c r="CF750"/>
      <c r="CG750"/>
      <c r="CH750"/>
      <c r="CI750"/>
      <c r="CJ750"/>
      <c r="CK750"/>
      <c r="CL750"/>
      <c r="CM750"/>
      <c r="CN750"/>
      <c r="CO750"/>
      <c r="CP750"/>
      <c r="CQ750"/>
      <c r="CR750"/>
      <c r="CS750"/>
      <c r="CT750"/>
      <c r="CU750"/>
      <c r="CV750"/>
      <c r="CW750"/>
      <c r="CX750"/>
      <c r="CY750"/>
      <c r="CZ750"/>
      <c r="DA750"/>
      <c r="DB750"/>
      <c r="DC750"/>
      <c r="DD750"/>
      <c r="DE750"/>
      <c r="DF750"/>
      <c r="DG750"/>
      <c r="DH750"/>
      <c r="DI750"/>
      <c r="DJ750"/>
      <c r="DK750"/>
      <c r="DL750"/>
      <c r="DM750"/>
      <c r="DN750"/>
      <c r="DO750"/>
      <c r="DP750"/>
      <c r="DQ750"/>
      <c r="DR750"/>
      <c r="DS750"/>
      <c r="DT750"/>
      <c r="DU750"/>
      <c r="DV750"/>
      <c r="DW750"/>
      <c r="DX750"/>
      <c r="DY750"/>
      <c r="DZ750"/>
      <c r="EA750"/>
      <c r="EB750"/>
      <c r="EC750"/>
      <c r="ED750"/>
      <c r="EE750"/>
      <c r="EF750"/>
      <c r="EG750"/>
      <c r="EH750"/>
      <c r="EI750"/>
      <c r="EJ750"/>
      <c r="EK750"/>
      <c r="EL750"/>
      <c r="EM750"/>
      <c r="EN750"/>
      <c r="EO750"/>
      <c r="EP750"/>
      <c r="EQ750"/>
      <c r="ER750"/>
      <c r="ES750"/>
      <c r="ET750"/>
      <c r="EU750"/>
      <c r="EV750"/>
      <c r="EW750"/>
      <c r="EX750"/>
      <c r="EY750"/>
      <c r="EZ750"/>
      <c r="FA750"/>
      <c r="FB750"/>
      <c r="FC750"/>
      <c r="FD750"/>
      <c r="FE750"/>
      <c r="FF750"/>
      <c r="FG750"/>
      <c r="FH750"/>
      <c r="FI750"/>
      <c r="FJ750"/>
      <c r="FK750"/>
      <c r="FL750"/>
      <c r="FM750"/>
      <c r="FN750"/>
      <c r="FO750"/>
      <c r="FP750"/>
      <c r="FQ750"/>
      <c r="FR750"/>
      <c r="FS750"/>
      <c r="FT750"/>
      <c r="FU750"/>
      <c r="FV750"/>
      <c r="FW750"/>
      <c r="FX750"/>
      <c r="FY750"/>
      <c r="FZ750"/>
      <c r="GA750"/>
      <c r="GB750"/>
      <c r="GC750"/>
      <c r="GD750"/>
      <c r="GE750"/>
      <c r="GF750"/>
      <c r="GG750"/>
      <c r="GH750"/>
      <c r="GI750"/>
      <c r="GJ750"/>
      <c r="GK750"/>
      <c r="GL750"/>
      <c r="GM750"/>
      <c r="GN750"/>
      <c r="GO750"/>
      <c r="GP750"/>
      <c r="GQ750"/>
      <c r="GR750"/>
      <c r="GS750"/>
      <c r="GT750"/>
      <c r="GU750"/>
      <c r="GV750"/>
      <c r="GW750"/>
      <c r="GX750"/>
      <c r="GY750"/>
      <c r="GZ750"/>
      <c r="HA750"/>
      <c r="HB750"/>
      <c r="HC750"/>
      <c r="HD750"/>
      <c r="HE750"/>
      <c r="HF750"/>
      <c r="HG750"/>
      <c r="HH750"/>
      <c r="HI750"/>
      <c r="HJ750"/>
      <c r="HK750"/>
      <c r="HL750"/>
      <c r="HM750"/>
      <c r="HN750"/>
      <c r="HO750"/>
      <c r="HP750"/>
      <c r="HQ750"/>
      <c r="HR750"/>
      <c r="HS750"/>
      <c r="HT750"/>
      <c r="HU750"/>
      <c r="HV750"/>
      <c r="HW750"/>
      <c r="HX750"/>
      <c r="HY750"/>
      <c r="HZ750"/>
      <c r="IA750"/>
      <c r="IB750"/>
      <c r="IC750"/>
      <c r="ID750"/>
      <c r="IE750"/>
      <c r="IF750"/>
      <c r="IG750"/>
      <c r="IH750"/>
      <c r="II750"/>
      <c r="IJ750"/>
    </row>
    <row r="751" spans="1:244" ht="12.75" customHeight="1" x14ac:dyDescent="0.2">
      <c r="A751" s="2391"/>
      <c r="B751" s="2081" t="s">
        <v>819</v>
      </c>
      <c r="C751" s="2082">
        <f>SUM(C752:C753)</f>
        <v>36900000</v>
      </c>
      <c r="D751" s="2082">
        <f>SUM(D752:D753)</f>
        <v>35799334.700000003</v>
      </c>
      <c r="E751" s="2082">
        <v>18449334.699999999</v>
      </c>
      <c r="F751" s="2082">
        <f>SUM(E752:E753)</f>
        <v>18449334.900000002</v>
      </c>
      <c r="G751" s="2459">
        <f t="shared" si="146"/>
        <v>49.998197018970188</v>
      </c>
      <c r="H751" s="2459">
        <f t="shared" si="148"/>
        <v>51.535412193009265</v>
      </c>
      <c r="I751" s="2460">
        <f t="shared" ref="I751:I811" si="149">E751/J751*100</f>
        <v>101.30337782350108</v>
      </c>
      <c r="J751" s="88">
        <v>18211964</v>
      </c>
      <c r="K751" s="2"/>
      <c r="L751"/>
      <c r="M751"/>
      <c r="N751"/>
      <c r="O751"/>
      <c r="P751"/>
      <c r="Q751"/>
      <c r="R751"/>
      <c r="S751"/>
      <c r="T751"/>
      <c r="U751"/>
      <c r="V751"/>
      <c r="W751"/>
      <c r="X751"/>
      <c r="Y751"/>
      <c r="Z751"/>
      <c r="AA751"/>
      <c r="AB751"/>
      <c r="AC751"/>
      <c r="AD751"/>
      <c r="AE751"/>
      <c r="AF751"/>
      <c r="AG751"/>
      <c r="AH751"/>
      <c r="AI751"/>
      <c r="AJ751"/>
      <c r="AK751"/>
      <c r="AL751"/>
      <c r="AM751"/>
      <c r="AN751"/>
      <c r="AO751"/>
      <c r="AP751"/>
      <c r="AQ751"/>
      <c r="AR751"/>
      <c r="AS751"/>
      <c r="AT751"/>
      <c r="AU751"/>
      <c r="AV751"/>
      <c r="AW751"/>
      <c r="AX751"/>
      <c r="AY751"/>
      <c r="AZ751"/>
      <c r="BA751"/>
      <c r="BB751"/>
      <c r="BC751"/>
      <c r="BD751"/>
      <c r="BE751"/>
      <c r="BF751"/>
      <c r="BG751"/>
      <c r="BH751"/>
      <c r="BI751"/>
      <c r="BJ751"/>
      <c r="BK751"/>
      <c r="BL751"/>
      <c r="BM751"/>
      <c r="BN751"/>
      <c r="BO751"/>
      <c r="BP751"/>
      <c r="BQ751"/>
      <c r="BR751"/>
      <c r="BS751"/>
      <c r="BT751"/>
      <c r="BU751"/>
      <c r="BV751"/>
      <c r="BW751"/>
      <c r="BX751"/>
      <c r="BY751"/>
      <c r="BZ751"/>
      <c r="CA751"/>
      <c r="CB751"/>
      <c r="CC751"/>
      <c r="CD751"/>
      <c r="CE751"/>
      <c r="CF751"/>
      <c r="CG751"/>
      <c r="CH751"/>
      <c r="CI751"/>
      <c r="CJ751"/>
      <c r="CK751"/>
      <c r="CL751"/>
      <c r="CM751"/>
      <c r="CN751"/>
      <c r="CO751"/>
      <c r="CP751"/>
      <c r="CQ751"/>
      <c r="CR751"/>
      <c r="CS751"/>
      <c r="CT751"/>
      <c r="CU751"/>
      <c r="CV751"/>
      <c r="CW751"/>
      <c r="CX751"/>
      <c r="CY751"/>
      <c r="CZ751"/>
      <c r="DA751"/>
      <c r="DB751"/>
      <c r="DC751"/>
      <c r="DD751"/>
      <c r="DE751"/>
      <c r="DF751"/>
      <c r="DG751"/>
      <c r="DH751"/>
      <c r="DI751"/>
      <c r="DJ751"/>
      <c r="DK751"/>
      <c r="DL751"/>
      <c r="DM751"/>
      <c r="DN751"/>
      <c r="DO751"/>
      <c r="DP751"/>
      <c r="DQ751"/>
      <c r="DR751"/>
      <c r="DS751"/>
      <c r="DT751"/>
      <c r="DU751"/>
      <c r="DV751"/>
      <c r="DW751"/>
      <c r="DX751"/>
      <c r="DY751"/>
      <c r="DZ751"/>
      <c r="EA751"/>
      <c r="EB751"/>
      <c r="EC751"/>
      <c r="ED751"/>
      <c r="EE751"/>
      <c r="EF751"/>
      <c r="EG751"/>
      <c r="EH751"/>
      <c r="EI751"/>
      <c r="EJ751"/>
      <c r="EK751"/>
      <c r="EL751"/>
      <c r="EM751"/>
      <c r="EN751"/>
      <c r="EO751"/>
      <c r="EP751"/>
      <c r="EQ751"/>
      <c r="ER751"/>
      <c r="ES751"/>
      <c r="ET751"/>
      <c r="EU751"/>
      <c r="EV751"/>
      <c r="EW751"/>
      <c r="EX751"/>
      <c r="EY751"/>
      <c r="EZ751"/>
      <c r="FA751"/>
      <c r="FB751"/>
      <c r="FC751"/>
      <c r="FD751"/>
      <c r="FE751"/>
      <c r="FF751"/>
      <c r="FG751"/>
      <c r="FH751"/>
      <c r="FI751"/>
      <c r="FJ751"/>
      <c r="FK751"/>
      <c r="FL751"/>
      <c r="FM751"/>
      <c r="FN751"/>
      <c r="FO751"/>
      <c r="FP751"/>
      <c r="FQ751"/>
      <c r="FR751"/>
      <c r="FS751"/>
      <c r="FT751"/>
      <c r="FU751"/>
      <c r="FV751"/>
      <c r="FW751"/>
      <c r="FX751"/>
      <c r="FY751"/>
      <c r="FZ751"/>
      <c r="GA751"/>
      <c r="GB751"/>
      <c r="GC751"/>
      <c r="GD751"/>
      <c r="GE751"/>
      <c r="GF751"/>
      <c r="GG751"/>
      <c r="GH751"/>
      <c r="GI751"/>
      <c r="GJ751"/>
      <c r="GK751"/>
      <c r="GL751"/>
      <c r="GM751"/>
      <c r="GN751"/>
      <c r="GO751"/>
      <c r="GP751"/>
      <c r="GQ751"/>
      <c r="GR751"/>
      <c r="GS751"/>
      <c r="GT751"/>
      <c r="GU751"/>
      <c r="GV751"/>
      <c r="GW751"/>
      <c r="GX751"/>
      <c r="GY751"/>
      <c r="GZ751"/>
      <c r="HA751"/>
      <c r="HB751"/>
      <c r="HC751"/>
      <c r="HD751"/>
      <c r="HE751"/>
      <c r="HF751"/>
      <c r="HG751"/>
      <c r="HH751"/>
      <c r="HI751"/>
      <c r="HJ751"/>
      <c r="HK751"/>
      <c r="HL751"/>
      <c r="HM751"/>
      <c r="HN751"/>
      <c r="HO751"/>
      <c r="HP751"/>
      <c r="HQ751"/>
      <c r="HR751"/>
      <c r="HS751"/>
      <c r="HT751"/>
      <c r="HU751"/>
      <c r="HV751"/>
      <c r="HW751"/>
      <c r="HX751"/>
      <c r="HY751"/>
      <c r="HZ751"/>
      <c r="IA751"/>
      <c r="IB751"/>
      <c r="IC751"/>
      <c r="ID751"/>
      <c r="IE751"/>
      <c r="IF751"/>
      <c r="IG751"/>
      <c r="IH751"/>
      <c r="II751"/>
      <c r="IJ751"/>
    </row>
    <row r="752" spans="1:244" ht="12.75" customHeight="1" x14ac:dyDescent="0.2">
      <c r="A752" s="2391"/>
      <c r="B752" s="2080" t="s">
        <v>2543</v>
      </c>
      <c r="C752" s="2075">
        <v>36900000</v>
      </c>
      <c r="D752" s="2075">
        <f>36900000-312434.9-847352</f>
        <v>35740213.100000001</v>
      </c>
      <c r="E752" s="2075">
        <v>18390213.100000001</v>
      </c>
      <c r="F752" s="2075"/>
      <c r="G752" s="2200">
        <f t="shared" si="146"/>
        <v>49.837975880758812</v>
      </c>
      <c r="H752" s="2200">
        <f t="shared" si="148"/>
        <v>51.455241882707192</v>
      </c>
      <c r="I752" s="2201">
        <f t="shared" si="149"/>
        <v>101.16358364316247</v>
      </c>
      <c r="J752" s="88">
        <v>18178688.850000001</v>
      </c>
      <c r="K752" s="2"/>
      <c r="L752"/>
      <c r="M752"/>
      <c r="N752"/>
      <c r="O752"/>
      <c r="P752"/>
      <c r="Q752"/>
      <c r="R752"/>
      <c r="S752"/>
      <c r="T752"/>
      <c r="U752"/>
      <c r="V752"/>
      <c r="W752"/>
      <c r="X752"/>
      <c r="Y752"/>
      <c r="Z752"/>
      <c r="AA752"/>
      <c r="AB752"/>
      <c r="AC752"/>
      <c r="AD752"/>
      <c r="AE752"/>
      <c r="AF752"/>
      <c r="AG752"/>
      <c r="AH752"/>
      <c r="AI752"/>
      <c r="AJ752"/>
      <c r="AK752"/>
      <c r="AL752"/>
      <c r="AM752"/>
      <c r="AN752"/>
      <c r="AO752"/>
      <c r="AP752"/>
      <c r="AQ752"/>
      <c r="AR752"/>
      <c r="AS752"/>
      <c r="AT752"/>
      <c r="AU752"/>
      <c r="AV752"/>
      <c r="AW752"/>
      <c r="AX752"/>
      <c r="AY752"/>
      <c r="AZ752"/>
      <c r="BA752"/>
      <c r="BB752"/>
      <c r="BC752"/>
      <c r="BD752"/>
      <c r="BE752"/>
      <c r="BF752"/>
      <c r="BG752"/>
      <c r="BH752"/>
      <c r="BI752"/>
      <c r="BJ752"/>
      <c r="BK752"/>
      <c r="BL752"/>
      <c r="BM752"/>
      <c r="BN752"/>
      <c r="BO752"/>
      <c r="BP752"/>
      <c r="BQ752"/>
      <c r="BR752"/>
      <c r="BS752"/>
      <c r="BT752"/>
      <c r="BU752"/>
      <c r="BV752"/>
      <c r="BW752"/>
      <c r="BX752"/>
      <c r="BY752"/>
      <c r="BZ752"/>
      <c r="CA752"/>
      <c r="CB752"/>
      <c r="CC752"/>
      <c r="CD752"/>
      <c r="CE752"/>
      <c r="CF752"/>
      <c r="CG752"/>
      <c r="CH752"/>
      <c r="CI752"/>
      <c r="CJ752"/>
      <c r="CK752"/>
      <c r="CL752"/>
      <c r="CM752"/>
      <c r="CN752"/>
      <c r="CO752"/>
      <c r="CP752"/>
      <c r="CQ752"/>
      <c r="CR752"/>
      <c r="CS752"/>
      <c r="CT752"/>
      <c r="CU752"/>
      <c r="CV752"/>
      <c r="CW752"/>
      <c r="CX752"/>
      <c r="CY752"/>
      <c r="CZ752"/>
      <c r="DA752"/>
      <c r="DB752"/>
      <c r="DC752"/>
      <c r="DD752"/>
      <c r="DE752"/>
      <c r="DF752"/>
      <c r="DG752"/>
      <c r="DH752"/>
      <c r="DI752"/>
      <c r="DJ752"/>
      <c r="DK752"/>
      <c r="DL752"/>
      <c r="DM752"/>
      <c r="DN752"/>
      <c r="DO752"/>
      <c r="DP752"/>
      <c r="DQ752"/>
      <c r="DR752"/>
      <c r="DS752"/>
      <c r="DT752"/>
      <c r="DU752"/>
      <c r="DV752"/>
      <c r="DW752"/>
      <c r="DX752"/>
      <c r="DY752"/>
      <c r="DZ752"/>
      <c r="EA752"/>
      <c r="EB752"/>
      <c r="EC752"/>
      <c r="ED752"/>
      <c r="EE752"/>
      <c r="EF752"/>
      <c r="EG752"/>
      <c r="EH752"/>
      <c r="EI752"/>
      <c r="EJ752"/>
      <c r="EK752"/>
      <c r="EL752"/>
      <c r="EM752"/>
      <c r="EN752"/>
      <c r="EO752"/>
      <c r="EP752"/>
      <c r="EQ752"/>
      <c r="ER752"/>
      <c r="ES752"/>
      <c r="ET752"/>
      <c r="EU752"/>
      <c r="EV752"/>
      <c r="EW752"/>
      <c r="EX752"/>
      <c r="EY752"/>
      <c r="EZ752"/>
      <c r="FA752"/>
      <c r="FB752"/>
      <c r="FC752"/>
      <c r="FD752"/>
      <c r="FE752"/>
      <c r="FF752"/>
      <c r="FG752"/>
      <c r="FH752"/>
      <c r="FI752"/>
      <c r="FJ752"/>
      <c r="FK752"/>
      <c r="FL752"/>
      <c r="FM752"/>
      <c r="FN752"/>
      <c r="FO752"/>
      <c r="FP752"/>
      <c r="FQ752"/>
      <c r="FR752"/>
      <c r="FS752"/>
      <c r="FT752"/>
      <c r="FU752"/>
      <c r="FV752"/>
      <c r="FW752"/>
      <c r="FX752"/>
      <c r="FY752"/>
      <c r="FZ752"/>
      <c r="GA752"/>
      <c r="GB752"/>
      <c r="GC752"/>
      <c r="GD752"/>
      <c r="GE752"/>
      <c r="GF752"/>
      <c r="GG752"/>
      <c r="GH752"/>
      <c r="GI752"/>
      <c r="GJ752"/>
      <c r="GK752"/>
      <c r="GL752"/>
      <c r="GM752"/>
      <c r="GN752"/>
      <c r="GO752"/>
      <c r="GP752"/>
      <c r="GQ752"/>
      <c r="GR752"/>
      <c r="GS752"/>
      <c r="GT752"/>
      <c r="GU752"/>
      <c r="GV752"/>
      <c r="GW752"/>
      <c r="GX752"/>
      <c r="GY752"/>
      <c r="GZ752"/>
      <c r="HA752"/>
      <c r="HB752"/>
      <c r="HC752"/>
      <c r="HD752"/>
      <c r="HE752"/>
      <c r="HF752"/>
      <c r="HG752"/>
      <c r="HH752"/>
      <c r="HI752"/>
      <c r="HJ752"/>
      <c r="HK752"/>
      <c r="HL752"/>
      <c r="HM752"/>
      <c r="HN752"/>
      <c r="HO752"/>
      <c r="HP752"/>
      <c r="HQ752"/>
      <c r="HR752"/>
      <c r="HS752"/>
      <c r="HT752"/>
      <c r="HU752"/>
      <c r="HV752"/>
      <c r="HW752"/>
      <c r="HX752"/>
      <c r="HY752"/>
      <c r="HZ752"/>
      <c r="IA752"/>
      <c r="IB752"/>
      <c r="IC752"/>
      <c r="ID752"/>
      <c r="IE752"/>
      <c r="IF752"/>
      <c r="IG752"/>
      <c r="IH752"/>
      <c r="II752"/>
      <c r="IJ752"/>
    </row>
    <row r="753" spans="1:244" s="98" customFormat="1" ht="12.75" customHeight="1" x14ac:dyDescent="0.2">
      <c r="A753" s="2391"/>
      <c r="B753" s="2083" t="s">
        <v>2952</v>
      </c>
      <c r="C753" s="2075">
        <v>0</v>
      </c>
      <c r="D753" s="2075">
        <f>10369.6+48752</f>
        <v>59121.599999999999</v>
      </c>
      <c r="E753" s="2075">
        <v>59121.8</v>
      </c>
      <c r="F753" s="2075"/>
      <c r="G753" s="2200">
        <v>0</v>
      </c>
      <c r="H753" s="2200">
        <f t="shared" si="148"/>
        <v>100.00033828583801</v>
      </c>
      <c r="I753" s="2201">
        <f t="shared" si="149"/>
        <v>177.67553264222701</v>
      </c>
      <c r="J753" s="88">
        <v>33275.15</v>
      </c>
    </row>
    <row r="754" spans="1:244" ht="12.75" customHeight="1" x14ac:dyDescent="0.2">
      <c r="A754" s="2391"/>
      <c r="B754" s="2084" t="s">
        <v>1917</v>
      </c>
      <c r="C754" s="2085">
        <f>C755+C757+C761</f>
        <v>15310000</v>
      </c>
      <c r="D754" s="2085">
        <f>D755+D757+D761</f>
        <v>15310000</v>
      </c>
      <c r="E754" s="2085">
        <v>8119448.4199999999</v>
      </c>
      <c r="F754" s="2075"/>
      <c r="G754" s="1663">
        <f t="shared" si="146"/>
        <v>53.033627824951012</v>
      </c>
      <c r="H754" s="1663">
        <f t="shared" si="148"/>
        <v>53.033627824951012</v>
      </c>
      <c r="I754" s="1662">
        <f t="shared" si="149"/>
        <v>103.18101903489989</v>
      </c>
      <c r="J754" s="88">
        <v>7869129.9000000004</v>
      </c>
      <c r="K754" s="2"/>
      <c r="L754"/>
      <c r="M754"/>
      <c r="N754"/>
      <c r="O754"/>
      <c r="P754"/>
      <c r="Q754"/>
      <c r="R754"/>
      <c r="S754"/>
      <c r="T754"/>
      <c r="U754"/>
      <c r="V754"/>
      <c r="W754"/>
      <c r="X754"/>
      <c r="Y754"/>
      <c r="Z754"/>
      <c r="AA754"/>
      <c r="AB754"/>
      <c r="AC754"/>
      <c r="AD754"/>
      <c r="AE754"/>
      <c r="AF754"/>
      <c r="AG754"/>
      <c r="AH754"/>
      <c r="AI754"/>
      <c r="AJ754"/>
      <c r="AK754"/>
      <c r="AL754"/>
      <c r="AM754"/>
      <c r="AN754"/>
      <c r="AO754"/>
      <c r="AP754"/>
      <c r="AQ754"/>
      <c r="AR754"/>
      <c r="AS754"/>
      <c r="AT754"/>
      <c r="AU754"/>
      <c r="AV754"/>
      <c r="AW754"/>
      <c r="AX754"/>
      <c r="AY754"/>
      <c r="AZ754"/>
      <c r="BA754"/>
      <c r="BB754"/>
      <c r="BC754"/>
      <c r="BD754"/>
      <c r="BE754"/>
      <c r="BF754"/>
      <c r="BG754"/>
      <c r="BH754"/>
      <c r="BI754"/>
      <c r="BJ754"/>
      <c r="BK754"/>
      <c r="BL754"/>
      <c r="BM754"/>
      <c r="BN754"/>
      <c r="BO754"/>
      <c r="BP754"/>
      <c r="BQ754"/>
      <c r="BR754"/>
      <c r="BS754"/>
      <c r="BT754"/>
      <c r="BU754"/>
      <c r="BV754"/>
      <c r="BW754"/>
      <c r="BX754"/>
      <c r="BY754"/>
      <c r="BZ754"/>
      <c r="CA754"/>
      <c r="CB754"/>
      <c r="CC754"/>
      <c r="CD754"/>
      <c r="CE754"/>
      <c r="CF754"/>
      <c r="CG754"/>
      <c r="CH754"/>
      <c r="CI754"/>
      <c r="CJ754"/>
      <c r="CK754"/>
      <c r="CL754"/>
      <c r="CM754"/>
      <c r="CN754"/>
      <c r="CO754"/>
      <c r="CP754"/>
      <c r="CQ754"/>
      <c r="CR754"/>
      <c r="CS754"/>
      <c r="CT754"/>
      <c r="CU754"/>
      <c r="CV754"/>
      <c r="CW754"/>
      <c r="CX754"/>
      <c r="CY754"/>
      <c r="CZ754"/>
      <c r="DA754"/>
      <c r="DB754"/>
      <c r="DC754"/>
      <c r="DD754"/>
      <c r="DE754"/>
      <c r="DF754"/>
      <c r="DG754"/>
      <c r="DH754"/>
      <c r="DI754"/>
      <c r="DJ754"/>
      <c r="DK754"/>
      <c r="DL754"/>
      <c r="DM754"/>
      <c r="DN754"/>
      <c r="DO754"/>
      <c r="DP754"/>
      <c r="DQ754"/>
      <c r="DR754"/>
      <c r="DS754"/>
      <c r="DT754"/>
      <c r="DU754"/>
      <c r="DV754"/>
      <c r="DW754"/>
      <c r="DX754"/>
      <c r="DY754"/>
      <c r="DZ754"/>
      <c r="EA754"/>
      <c r="EB754"/>
      <c r="EC754"/>
      <c r="ED754"/>
      <c r="EE754"/>
      <c r="EF754"/>
      <c r="EG754"/>
      <c r="EH754"/>
      <c r="EI754"/>
      <c r="EJ754"/>
      <c r="EK754"/>
      <c r="EL754"/>
      <c r="EM754"/>
      <c r="EN754"/>
      <c r="EO754"/>
      <c r="EP754"/>
      <c r="EQ754"/>
      <c r="ER754"/>
      <c r="ES754"/>
      <c r="ET754"/>
      <c r="EU754"/>
      <c r="EV754"/>
      <c r="EW754"/>
      <c r="EX754"/>
      <c r="EY754"/>
      <c r="EZ754"/>
      <c r="FA754"/>
      <c r="FB754"/>
      <c r="FC754"/>
      <c r="FD754"/>
      <c r="FE754"/>
      <c r="FF754"/>
      <c r="FG754"/>
      <c r="FH754"/>
      <c r="FI754"/>
      <c r="FJ754"/>
      <c r="FK754"/>
      <c r="FL754"/>
      <c r="FM754"/>
      <c r="FN754"/>
      <c r="FO754"/>
      <c r="FP754"/>
      <c r="FQ754"/>
      <c r="FR754"/>
      <c r="FS754"/>
      <c r="FT754"/>
      <c r="FU754"/>
      <c r="FV754"/>
      <c r="FW754"/>
      <c r="FX754"/>
      <c r="FY754"/>
      <c r="FZ754"/>
      <c r="GA754"/>
      <c r="GB754"/>
      <c r="GC754"/>
      <c r="GD754"/>
      <c r="GE754"/>
      <c r="GF754"/>
      <c r="GG754"/>
      <c r="GH754"/>
      <c r="GI754"/>
      <c r="GJ754"/>
      <c r="GK754"/>
      <c r="GL754"/>
      <c r="GM754"/>
      <c r="GN754"/>
      <c r="GO754"/>
      <c r="GP754"/>
      <c r="GQ754"/>
      <c r="GR754"/>
      <c r="GS754"/>
      <c r="GT754"/>
      <c r="GU754"/>
      <c r="GV754"/>
      <c r="GW754"/>
      <c r="GX754"/>
      <c r="GY754"/>
      <c r="GZ754"/>
      <c r="HA754"/>
      <c r="HB754"/>
      <c r="HC754"/>
      <c r="HD754"/>
      <c r="HE754"/>
      <c r="HF754"/>
      <c r="HG754"/>
      <c r="HH754"/>
      <c r="HI754"/>
      <c r="HJ754"/>
      <c r="HK754"/>
      <c r="HL754"/>
      <c r="HM754"/>
      <c r="HN754"/>
      <c r="HO754"/>
      <c r="HP754"/>
      <c r="HQ754"/>
      <c r="HR754"/>
      <c r="HS754"/>
      <c r="HT754"/>
      <c r="HU754"/>
      <c r="HV754"/>
      <c r="HW754"/>
      <c r="HX754"/>
      <c r="HY754"/>
      <c r="HZ754"/>
      <c r="IA754"/>
      <c r="IB754"/>
      <c r="IC754"/>
      <c r="ID754"/>
      <c r="IE754"/>
      <c r="IF754"/>
      <c r="IG754"/>
      <c r="IH754"/>
      <c r="II754"/>
      <c r="IJ754"/>
    </row>
    <row r="755" spans="1:244" ht="12.75" customHeight="1" x14ac:dyDescent="0.2">
      <c r="A755" s="2462"/>
      <c r="B755" s="2087" t="s">
        <v>807</v>
      </c>
      <c r="C755" s="2082">
        <f>C756</f>
        <v>170000</v>
      </c>
      <c r="D755" s="2082">
        <f>D756</f>
        <v>170000</v>
      </c>
      <c r="E755" s="2082">
        <v>0</v>
      </c>
      <c r="F755" s="2082"/>
      <c r="G755" s="2459">
        <f t="shared" si="146"/>
        <v>0</v>
      </c>
      <c r="H755" s="2459">
        <f t="shared" si="148"/>
        <v>0</v>
      </c>
      <c r="I755" s="2460">
        <v>0</v>
      </c>
      <c r="J755" s="88">
        <v>0</v>
      </c>
      <c r="K755" s="2"/>
      <c r="L755"/>
      <c r="M755"/>
      <c r="N755"/>
      <c r="O755"/>
      <c r="P755"/>
      <c r="Q755"/>
      <c r="R755"/>
      <c r="S755"/>
      <c r="T755"/>
      <c r="U755"/>
      <c r="V755"/>
      <c r="W755"/>
      <c r="X755"/>
      <c r="Y755"/>
      <c r="Z755"/>
      <c r="AA755"/>
      <c r="AB755"/>
      <c r="AC755"/>
      <c r="AD755"/>
      <c r="AE755"/>
      <c r="AF755"/>
      <c r="AG755"/>
      <c r="AH755"/>
      <c r="AI755"/>
      <c r="AJ755"/>
      <c r="AK755"/>
      <c r="AL755"/>
      <c r="AM755"/>
      <c r="AN755"/>
      <c r="AO755"/>
      <c r="AP755"/>
      <c r="AQ755"/>
      <c r="AR755"/>
      <c r="AS755"/>
      <c r="AT755"/>
      <c r="AU755"/>
      <c r="AV755"/>
      <c r="AW755"/>
      <c r="AX755"/>
      <c r="AY755"/>
      <c r="AZ755"/>
      <c r="BA755"/>
      <c r="BB755"/>
      <c r="BC755"/>
      <c r="BD755"/>
      <c r="BE755"/>
      <c r="BF755"/>
      <c r="BG755"/>
      <c r="BH755"/>
      <c r="BI755"/>
      <c r="BJ755"/>
      <c r="BK755"/>
      <c r="BL755"/>
      <c r="BM755"/>
      <c r="BN755"/>
      <c r="BO755"/>
      <c r="BP755"/>
      <c r="BQ755"/>
      <c r="BR755"/>
      <c r="BS755"/>
      <c r="BT755"/>
      <c r="BU755"/>
      <c r="BV755"/>
      <c r="BW755"/>
      <c r="BX755"/>
      <c r="BY755"/>
      <c r="BZ755"/>
      <c r="CA755"/>
      <c r="CB755"/>
      <c r="CC755"/>
      <c r="CD755"/>
      <c r="CE755"/>
      <c r="CF755"/>
      <c r="CG755"/>
      <c r="CH755"/>
      <c r="CI755"/>
      <c r="CJ755"/>
      <c r="CK755"/>
      <c r="CL755"/>
      <c r="CM755"/>
      <c r="CN755"/>
      <c r="CO755"/>
      <c r="CP755"/>
      <c r="CQ755"/>
      <c r="CR755"/>
      <c r="CS755"/>
      <c r="CT755"/>
      <c r="CU755"/>
      <c r="CV755"/>
      <c r="CW755"/>
      <c r="CX755"/>
      <c r="CY755"/>
      <c r="CZ755"/>
      <c r="DA755"/>
      <c r="DB755"/>
      <c r="DC755"/>
      <c r="DD755"/>
      <c r="DE755"/>
      <c r="DF755"/>
      <c r="DG755"/>
      <c r="DH755"/>
      <c r="DI755"/>
      <c r="DJ755"/>
      <c r="DK755"/>
      <c r="DL755"/>
      <c r="DM755"/>
      <c r="DN755"/>
      <c r="DO755"/>
      <c r="DP755"/>
      <c r="DQ755"/>
      <c r="DR755"/>
      <c r="DS755"/>
      <c r="DT755"/>
      <c r="DU755"/>
      <c r="DV755"/>
      <c r="DW755"/>
      <c r="DX755"/>
      <c r="DY755"/>
      <c r="DZ755"/>
      <c r="EA755"/>
      <c r="EB755"/>
      <c r="EC755"/>
      <c r="ED755"/>
      <c r="EE755"/>
      <c r="EF755"/>
      <c r="EG755"/>
      <c r="EH755"/>
      <c r="EI755"/>
      <c r="EJ755"/>
      <c r="EK755"/>
      <c r="EL755"/>
      <c r="EM755"/>
      <c r="EN755"/>
      <c r="EO755"/>
      <c r="EP755"/>
      <c r="EQ755"/>
      <c r="ER755"/>
      <c r="ES755"/>
      <c r="ET755"/>
      <c r="EU755"/>
      <c r="EV755"/>
      <c r="EW755"/>
      <c r="EX755"/>
      <c r="EY755"/>
      <c r="EZ755"/>
      <c r="FA755"/>
      <c r="FB755"/>
      <c r="FC755"/>
      <c r="FD755"/>
      <c r="FE755"/>
      <c r="FF755"/>
      <c r="FG755"/>
      <c r="FH755"/>
      <c r="FI755"/>
      <c r="FJ755"/>
      <c r="FK755"/>
      <c r="FL755"/>
      <c r="FM755"/>
      <c r="FN755"/>
      <c r="FO755"/>
      <c r="FP755"/>
      <c r="FQ755"/>
      <c r="FR755"/>
      <c r="FS755"/>
      <c r="FT755"/>
      <c r="FU755"/>
      <c r="FV755"/>
      <c r="FW755"/>
      <c r="FX755"/>
      <c r="FY755"/>
      <c r="FZ755"/>
      <c r="GA755"/>
      <c r="GB755"/>
      <c r="GC755"/>
      <c r="GD755"/>
      <c r="GE755"/>
      <c r="GF755"/>
      <c r="GG755"/>
      <c r="GH755"/>
      <c r="GI755"/>
      <c r="GJ755"/>
      <c r="GK755"/>
      <c r="GL755"/>
      <c r="GM755"/>
      <c r="GN755"/>
      <c r="GO755"/>
      <c r="GP755"/>
      <c r="GQ755"/>
      <c r="GR755"/>
      <c r="GS755"/>
      <c r="GT755"/>
      <c r="GU755"/>
      <c r="GV755"/>
      <c r="GW755"/>
      <c r="GX755"/>
      <c r="GY755"/>
      <c r="GZ755"/>
      <c r="HA755"/>
      <c r="HB755"/>
      <c r="HC755"/>
      <c r="HD755"/>
      <c r="HE755"/>
      <c r="HF755"/>
      <c r="HG755"/>
      <c r="HH755"/>
      <c r="HI755"/>
      <c r="HJ755"/>
      <c r="HK755"/>
      <c r="HL755"/>
      <c r="HM755"/>
      <c r="HN755"/>
      <c r="HO755"/>
      <c r="HP755"/>
      <c r="HQ755"/>
      <c r="HR755"/>
      <c r="HS755"/>
      <c r="HT755"/>
      <c r="HU755"/>
      <c r="HV755"/>
      <c r="HW755"/>
      <c r="HX755"/>
      <c r="HY755"/>
      <c r="HZ755"/>
      <c r="IA755"/>
      <c r="IB755"/>
      <c r="IC755"/>
      <c r="ID755"/>
      <c r="IE755"/>
      <c r="IF755"/>
      <c r="IG755"/>
      <c r="IH755"/>
      <c r="II755"/>
      <c r="IJ755"/>
    </row>
    <row r="756" spans="1:244" ht="12.75" customHeight="1" x14ac:dyDescent="0.2">
      <c r="A756" s="2462"/>
      <c r="B756" s="2088" t="s">
        <v>2544</v>
      </c>
      <c r="C756" s="1781">
        <v>170000</v>
      </c>
      <c r="D756" s="1781">
        <v>170000</v>
      </c>
      <c r="E756" s="1809">
        <v>0</v>
      </c>
      <c r="F756" s="1809"/>
      <c r="G756" s="2200">
        <f t="shared" si="146"/>
        <v>0</v>
      </c>
      <c r="H756" s="2200">
        <f t="shared" si="148"/>
        <v>0</v>
      </c>
      <c r="I756" s="2201">
        <v>0</v>
      </c>
      <c r="J756" s="88">
        <v>0</v>
      </c>
      <c r="K756" s="2"/>
      <c r="L756"/>
      <c r="M756"/>
      <c r="N756"/>
      <c r="O756"/>
      <c r="P756"/>
      <c r="Q756"/>
      <c r="R756"/>
      <c r="S756"/>
      <c r="T756"/>
      <c r="U756"/>
      <c r="V756"/>
      <c r="W756"/>
      <c r="X756"/>
      <c r="Y756"/>
      <c r="Z756"/>
      <c r="AA756"/>
      <c r="AB756"/>
      <c r="AC756"/>
      <c r="AD756"/>
      <c r="AE756"/>
      <c r="AF756"/>
      <c r="AG756"/>
      <c r="AH756"/>
      <c r="AI756"/>
      <c r="AJ756"/>
      <c r="AK756"/>
      <c r="AL756"/>
      <c r="AM756"/>
      <c r="AN756"/>
      <c r="AO756"/>
      <c r="AP756"/>
      <c r="AQ756"/>
      <c r="AR756"/>
      <c r="AS756"/>
      <c r="AT756"/>
      <c r="AU756"/>
      <c r="AV756"/>
      <c r="AW756"/>
      <c r="AX756"/>
      <c r="AY756"/>
      <c r="AZ756"/>
      <c r="BA756"/>
      <c r="BB756"/>
      <c r="BC756"/>
      <c r="BD756"/>
      <c r="BE756"/>
      <c r="BF756"/>
      <c r="BG756"/>
      <c r="BH756"/>
      <c r="BI756"/>
      <c r="BJ756"/>
      <c r="BK756"/>
      <c r="BL756"/>
      <c r="BM756"/>
      <c r="BN756"/>
      <c r="BO756"/>
      <c r="BP756"/>
      <c r="BQ756"/>
      <c r="BR756"/>
      <c r="BS756"/>
      <c r="BT756"/>
      <c r="BU756"/>
      <c r="BV756"/>
      <c r="BW756"/>
      <c r="BX756"/>
      <c r="BY756"/>
      <c r="BZ756"/>
      <c r="CA756"/>
      <c r="CB756"/>
      <c r="CC756"/>
      <c r="CD756"/>
      <c r="CE756"/>
      <c r="CF756"/>
      <c r="CG756"/>
      <c r="CH756"/>
      <c r="CI756"/>
      <c r="CJ756"/>
      <c r="CK756"/>
      <c r="CL756"/>
      <c r="CM756"/>
      <c r="CN756"/>
      <c r="CO756"/>
      <c r="CP756"/>
      <c r="CQ756"/>
      <c r="CR756"/>
      <c r="CS756"/>
      <c r="CT756"/>
      <c r="CU756"/>
      <c r="CV756"/>
      <c r="CW756"/>
      <c r="CX756"/>
      <c r="CY756"/>
      <c r="CZ756"/>
      <c r="DA756"/>
      <c r="DB756"/>
      <c r="DC756"/>
      <c r="DD756"/>
      <c r="DE756"/>
      <c r="DF756"/>
      <c r="DG756"/>
      <c r="DH756"/>
      <c r="DI756"/>
      <c r="DJ756"/>
      <c r="DK756"/>
      <c r="DL756"/>
      <c r="DM756"/>
      <c r="DN756"/>
      <c r="DO756"/>
      <c r="DP756"/>
      <c r="DQ756"/>
      <c r="DR756"/>
      <c r="DS756"/>
      <c r="DT756"/>
      <c r="DU756"/>
      <c r="DV756"/>
      <c r="DW756"/>
      <c r="DX756"/>
      <c r="DY756"/>
      <c r="DZ756"/>
      <c r="EA756"/>
      <c r="EB756"/>
      <c r="EC756"/>
      <c r="ED756"/>
      <c r="EE756"/>
      <c r="EF756"/>
      <c r="EG756"/>
      <c r="EH756"/>
      <c r="EI756"/>
      <c r="EJ756"/>
      <c r="EK756"/>
      <c r="EL756"/>
      <c r="EM756"/>
      <c r="EN756"/>
      <c r="EO756"/>
      <c r="EP756"/>
      <c r="EQ756"/>
      <c r="ER756"/>
      <c r="ES756"/>
      <c r="ET756"/>
      <c r="EU756"/>
      <c r="EV756"/>
      <c r="EW756"/>
      <c r="EX756"/>
      <c r="EY756"/>
      <c r="EZ756"/>
      <c r="FA756"/>
      <c r="FB756"/>
      <c r="FC756"/>
      <c r="FD756"/>
      <c r="FE756"/>
      <c r="FF756"/>
      <c r="FG756"/>
      <c r="FH756"/>
      <c r="FI756"/>
      <c r="FJ756"/>
      <c r="FK756"/>
      <c r="FL756"/>
      <c r="FM756"/>
      <c r="FN756"/>
      <c r="FO756"/>
      <c r="FP756"/>
      <c r="FQ756"/>
      <c r="FR756"/>
      <c r="FS756"/>
      <c r="FT756"/>
      <c r="FU756"/>
      <c r="FV756"/>
      <c r="FW756"/>
      <c r="FX756"/>
      <c r="FY756"/>
      <c r="FZ756"/>
      <c r="GA756"/>
      <c r="GB756"/>
      <c r="GC756"/>
      <c r="GD756"/>
      <c r="GE756"/>
      <c r="GF756"/>
      <c r="GG756"/>
      <c r="GH756"/>
      <c r="GI756"/>
      <c r="GJ756"/>
      <c r="GK756"/>
      <c r="GL756"/>
      <c r="GM756"/>
      <c r="GN756"/>
      <c r="GO756"/>
      <c r="GP756"/>
      <c r="GQ756"/>
      <c r="GR756"/>
      <c r="GS756"/>
      <c r="GT756"/>
      <c r="GU756"/>
      <c r="GV756"/>
      <c r="GW756"/>
      <c r="GX756"/>
      <c r="GY756"/>
      <c r="GZ756"/>
      <c r="HA756"/>
      <c r="HB756"/>
      <c r="HC756"/>
      <c r="HD756"/>
      <c r="HE756"/>
      <c r="HF756"/>
      <c r="HG756"/>
      <c r="HH756"/>
      <c r="HI756"/>
      <c r="HJ756"/>
      <c r="HK756"/>
      <c r="HL756"/>
      <c r="HM756"/>
      <c r="HN756"/>
      <c r="HO756"/>
      <c r="HP756"/>
      <c r="HQ756"/>
      <c r="HR756"/>
      <c r="HS756"/>
      <c r="HT756"/>
      <c r="HU756"/>
      <c r="HV756"/>
      <c r="HW756"/>
      <c r="HX756"/>
      <c r="HY756"/>
      <c r="HZ756"/>
      <c r="IA756"/>
      <c r="IB756"/>
      <c r="IC756"/>
      <c r="ID756"/>
      <c r="IE756"/>
      <c r="IF756"/>
      <c r="IG756"/>
      <c r="IH756"/>
      <c r="II756"/>
      <c r="IJ756"/>
    </row>
    <row r="757" spans="1:244" s="98" customFormat="1" ht="12.75" customHeight="1" x14ac:dyDescent="0.2">
      <c r="A757" s="2462"/>
      <c r="B757" s="2087" t="s">
        <v>819</v>
      </c>
      <c r="C757" s="2089">
        <f>SUM(C758:C760)</f>
        <v>14550000</v>
      </c>
      <c r="D757" s="2089">
        <f>SUM(D758:D760)</f>
        <v>14550000</v>
      </c>
      <c r="E757" s="2089">
        <v>8119448.4199999999</v>
      </c>
      <c r="F757" s="2089">
        <f>SUM(E758:E760)</f>
        <v>8119448.4199999999</v>
      </c>
      <c r="G757" s="2459">
        <f t="shared" si="146"/>
        <v>55.80376920962199</v>
      </c>
      <c r="H757" s="2459">
        <f t="shared" si="148"/>
        <v>55.80376920962199</v>
      </c>
      <c r="I757" s="2460">
        <f t="shared" si="149"/>
        <v>103.17358499537636</v>
      </c>
      <c r="J757" s="88">
        <v>7869696.9000000004</v>
      </c>
    </row>
    <row r="758" spans="1:244" ht="12.75" customHeight="1" x14ac:dyDescent="0.2">
      <c r="A758" s="2462"/>
      <c r="B758" s="2080" t="s">
        <v>1920</v>
      </c>
      <c r="C758" s="2075">
        <v>14500000</v>
      </c>
      <c r="D758" s="2075">
        <f>14500000-1756</f>
        <v>14498244</v>
      </c>
      <c r="E758" s="2075">
        <v>8117692.4199999999</v>
      </c>
      <c r="F758" s="2075"/>
      <c r="G758" s="2200">
        <f t="shared" si="146"/>
        <v>55.984085655172407</v>
      </c>
      <c r="H758" s="2200">
        <f t="shared" si="148"/>
        <v>55.990866342158398</v>
      </c>
      <c r="I758" s="2201">
        <f t="shared" si="149"/>
        <v>103.29565477961111</v>
      </c>
      <c r="J758" s="88">
        <v>7858696.9000000004</v>
      </c>
      <c r="K758" s="2"/>
      <c r="L758"/>
      <c r="M758"/>
      <c r="N758"/>
      <c r="O758"/>
      <c r="P758"/>
      <c r="Q758"/>
      <c r="R758"/>
      <c r="S758"/>
      <c r="T758"/>
      <c r="U758"/>
      <c r="V758"/>
      <c r="W758"/>
      <c r="X758"/>
      <c r="Y758"/>
      <c r="Z758"/>
      <c r="AA758"/>
      <c r="AB758"/>
      <c r="AC758"/>
      <c r="AD758"/>
      <c r="AE758"/>
      <c r="AF758"/>
      <c r="AG758"/>
      <c r="AH758"/>
      <c r="AI758"/>
      <c r="AJ758"/>
      <c r="AK758"/>
      <c r="AL758"/>
      <c r="AM758"/>
      <c r="AN758"/>
      <c r="AO758"/>
      <c r="AP758"/>
      <c r="AQ758"/>
      <c r="AR758"/>
      <c r="AS758"/>
      <c r="AT758"/>
      <c r="AU758"/>
      <c r="AV758"/>
      <c r="AW758"/>
      <c r="AX758"/>
      <c r="AY758"/>
      <c r="AZ758"/>
      <c r="BA758"/>
      <c r="BB758"/>
      <c r="BC758"/>
      <c r="BD758"/>
      <c r="BE758"/>
      <c r="BF758"/>
      <c r="BG758"/>
      <c r="BH758"/>
      <c r="BI758"/>
      <c r="BJ758"/>
      <c r="BK758"/>
      <c r="BL758"/>
      <c r="BM758"/>
      <c r="BN758"/>
      <c r="BO758"/>
      <c r="BP758"/>
      <c r="BQ758"/>
      <c r="BR758"/>
      <c r="BS758"/>
      <c r="BT758"/>
      <c r="BU758"/>
      <c r="BV758"/>
      <c r="BW758"/>
      <c r="BX758"/>
      <c r="BY758"/>
      <c r="BZ758"/>
      <c r="CA758"/>
      <c r="CB758"/>
      <c r="CC758"/>
      <c r="CD758"/>
      <c r="CE758"/>
      <c r="CF758"/>
      <c r="CG758"/>
      <c r="CH758"/>
      <c r="CI758"/>
      <c r="CJ758"/>
      <c r="CK758"/>
      <c r="CL758"/>
      <c r="CM758"/>
      <c r="CN758"/>
      <c r="CO758"/>
      <c r="CP758"/>
      <c r="CQ758"/>
      <c r="CR758"/>
      <c r="CS758"/>
      <c r="CT758"/>
      <c r="CU758"/>
      <c r="CV758"/>
      <c r="CW758"/>
      <c r="CX758"/>
      <c r="CY758"/>
      <c r="CZ758"/>
      <c r="DA758"/>
      <c r="DB758"/>
      <c r="DC758"/>
      <c r="DD758"/>
      <c r="DE758"/>
      <c r="DF758"/>
      <c r="DG758"/>
      <c r="DH758"/>
      <c r="DI758"/>
      <c r="DJ758"/>
      <c r="DK758"/>
      <c r="DL758"/>
      <c r="DM758"/>
      <c r="DN758"/>
      <c r="DO758"/>
      <c r="DP758"/>
      <c r="DQ758"/>
      <c r="DR758"/>
      <c r="DS758"/>
      <c r="DT758"/>
      <c r="DU758"/>
      <c r="DV758"/>
      <c r="DW758"/>
      <c r="DX758"/>
      <c r="DY758"/>
      <c r="DZ758"/>
      <c r="EA758"/>
      <c r="EB758"/>
      <c r="EC758"/>
      <c r="ED758"/>
      <c r="EE758"/>
      <c r="EF758"/>
      <c r="EG758"/>
      <c r="EH758"/>
      <c r="EI758"/>
      <c r="EJ758"/>
      <c r="EK758"/>
      <c r="EL758"/>
      <c r="EM758"/>
      <c r="EN758"/>
      <c r="EO758"/>
      <c r="EP758"/>
      <c r="EQ758"/>
      <c r="ER758"/>
      <c r="ES758"/>
      <c r="ET758"/>
      <c r="EU758"/>
      <c r="EV758"/>
      <c r="EW758"/>
      <c r="EX758"/>
      <c r="EY758"/>
      <c r="EZ758"/>
      <c r="FA758"/>
      <c r="FB758"/>
      <c r="FC758"/>
      <c r="FD758"/>
      <c r="FE758"/>
      <c r="FF758"/>
      <c r="FG758"/>
      <c r="FH758"/>
      <c r="FI758"/>
      <c r="FJ758"/>
      <c r="FK758"/>
      <c r="FL758"/>
      <c r="FM758"/>
      <c r="FN758"/>
      <c r="FO758"/>
      <c r="FP758"/>
      <c r="FQ758"/>
      <c r="FR758"/>
      <c r="FS758"/>
      <c r="FT758"/>
      <c r="FU758"/>
      <c r="FV758"/>
      <c r="FW758"/>
      <c r="FX758"/>
      <c r="FY758"/>
      <c r="FZ758"/>
      <c r="GA758"/>
      <c r="GB758"/>
      <c r="GC758"/>
      <c r="GD758"/>
      <c r="GE758"/>
      <c r="GF758"/>
      <c r="GG758"/>
      <c r="GH758"/>
      <c r="GI758"/>
      <c r="GJ758"/>
      <c r="GK758"/>
      <c r="GL758"/>
      <c r="GM758"/>
      <c r="GN758"/>
      <c r="GO758"/>
      <c r="GP758"/>
      <c r="GQ758"/>
      <c r="GR758"/>
      <c r="GS758"/>
      <c r="GT758"/>
      <c r="GU758"/>
      <c r="GV758"/>
      <c r="GW758"/>
      <c r="GX758"/>
      <c r="GY758"/>
      <c r="GZ758"/>
      <c r="HA758"/>
      <c r="HB758"/>
      <c r="HC758"/>
      <c r="HD758"/>
      <c r="HE758"/>
      <c r="HF758"/>
      <c r="HG758"/>
      <c r="HH758"/>
      <c r="HI758"/>
      <c r="HJ758"/>
      <c r="HK758"/>
      <c r="HL758"/>
      <c r="HM758"/>
      <c r="HN758"/>
      <c r="HO758"/>
      <c r="HP758"/>
      <c r="HQ758"/>
      <c r="HR758"/>
      <c r="HS758"/>
      <c r="HT758"/>
      <c r="HU758"/>
      <c r="HV758"/>
      <c r="HW758"/>
      <c r="HX758"/>
      <c r="HY758"/>
      <c r="HZ758"/>
      <c r="IA758"/>
      <c r="IB758"/>
      <c r="IC758"/>
      <c r="ID758"/>
      <c r="IE758"/>
      <c r="IF758"/>
      <c r="IG758"/>
      <c r="IH758"/>
      <c r="II758"/>
      <c r="IJ758"/>
    </row>
    <row r="759" spans="1:244" ht="12.75" customHeight="1" x14ac:dyDescent="0.2">
      <c r="A759" s="2462"/>
      <c r="B759" s="2078" t="s">
        <v>2545</v>
      </c>
      <c r="C759" s="2075">
        <v>0</v>
      </c>
      <c r="D759" s="2075">
        <f>1756</f>
        <v>1756</v>
      </c>
      <c r="E759" s="2075">
        <v>1756</v>
      </c>
      <c r="F759" s="2075"/>
      <c r="G759" s="2200">
        <v>0</v>
      </c>
      <c r="H759" s="2200">
        <f t="shared" si="148"/>
        <v>100</v>
      </c>
      <c r="I759" s="2201">
        <f t="shared" si="149"/>
        <v>16.83120866481357</v>
      </c>
      <c r="J759" s="88">
        <v>10433</v>
      </c>
      <c r="K759" s="2"/>
      <c r="L759"/>
      <c r="M759"/>
      <c r="N759"/>
      <c r="O759"/>
      <c r="P759"/>
      <c r="Q759"/>
      <c r="R759"/>
      <c r="S759"/>
      <c r="T759"/>
      <c r="U759"/>
      <c r="V759"/>
      <c r="W759"/>
      <c r="X759"/>
      <c r="Y759"/>
      <c r="Z759"/>
      <c r="AA759"/>
      <c r="AB759"/>
      <c r="AC759"/>
      <c r="AD759"/>
      <c r="AE759"/>
      <c r="AF759"/>
      <c r="AG759"/>
      <c r="AH759"/>
      <c r="AI759"/>
      <c r="AJ759"/>
      <c r="AK759"/>
      <c r="AL759"/>
      <c r="AM759"/>
      <c r="AN759"/>
      <c r="AO759"/>
      <c r="AP759"/>
      <c r="AQ759"/>
      <c r="AR759"/>
      <c r="AS759"/>
      <c r="AT759"/>
      <c r="AU759"/>
      <c r="AV759"/>
      <c r="AW759"/>
      <c r="AX759"/>
      <c r="AY759"/>
      <c r="AZ759"/>
      <c r="BA759"/>
      <c r="BB759"/>
      <c r="BC759"/>
      <c r="BD759"/>
      <c r="BE759"/>
      <c r="BF759"/>
      <c r="BG759"/>
      <c r="BH759"/>
      <c r="BI759"/>
      <c r="BJ759"/>
      <c r="BK759"/>
      <c r="BL759"/>
      <c r="BM759"/>
      <c r="BN759"/>
      <c r="BO759"/>
      <c r="BP759"/>
      <c r="BQ759"/>
      <c r="BR759"/>
      <c r="BS759"/>
      <c r="BT759"/>
      <c r="BU759"/>
      <c r="BV759"/>
      <c r="BW759"/>
      <c r="BX759"/>
      <c r="BY759"/>
      <c r="BZ759"/>
      <c r="CA759"/>
      <c r="CB759"/>
      <c r="CC759"/>
      <c r="CD759"/>
      <c r="CE759"/>
      <c r="CF759"/>
      <c r="CG759"/>
      <c r="CH759"/>
      <c r="CI759"/>
      <c r="CJ759"/>
      <c r="CK759"/>
      <c r="CL759"/>
      <c r="CM759"/>
      <c r="CN759"/>
      <c r="CO759"/>
      <c r="CP759"/>
      <c r="CQ759"/>
      <c r="CR759"/>
      <c r="CS759"/>
      <c r="CT759"/>
      <c r="CU759"/>
      <c r="CV759"/>
      <c r="CW759"/>
      <c r="CX759"/>
      <c r="CY759"/>
      <c r="CZ759"/>
      <c r="DA759"/>
      <c r="DB759"/>
      <c r="DC759"/>
      <c r="DD759"/>
      <c r="DE759"/>
      <c r="DF759"/>
      <c r="DG759"/>
      <c r="DH759"/>
      <c r="DI759"/>
      <c r="DJ759"/>
      <c r="DK759"/>
      <c r="DL759"/>
      <c r="DM759"/>
      <c r="DN759"/>
      <c r="DO759"/>
      <c r="DP759"/>
      <c r="DQ759"/>
      <c r="DR759"/>
      <c r="DS759"/>
      <c r="DT759"/>
      <c r="DU759"/>
      <c r="DV759"/>
      <c r="DW759"/>
      <c r="DX759"/>
      <c r="DY759"/>
      <c r="DZ759"/>
      <c r="EA759"/>
      <c r="EB759"/>
      <c r="EC759"/>
      <c r="ED759"/>
      <c r="EE759"/>
      <c r="EF759"/>
      <c r="EG759"/>
      <c r="EH759"/>
      <c r="EI759"/>
      <c r="EJ759"/>
      <c r="EK759"/>
      <c r="EL759"/>
      <c r="EM759"/>
      <c r="EN759"/>
      <c r="EO759"/>
      <c r="EP759"/>
      <c r="EQ759"/>
      <c r="ER759"/>
      <c r="ES759"/>
      <c r="ET759"/>
      <c r="EU759"/>
      <c r="EV759"/>
      <c r="EW759"/>
      <c r="EX759"/>
      <c r="EY759"/>
      <c r="EZ759"/>
      <c r="FA759"/>
      <c r="FB759"/>
      <c r="FC759"/>
      <c r="FD759"/>
      <c r="FE759"/>
      <c r="FF759"/>
      <c r="FG759"/>
      <c r="FH759"/>
      <c r="FI759"/>
      <c r="FJ759"/>
      <c r="FK759"/>
      <c r="FL759"/>
      <c r="FM759"/>
      <c r="FN759"/>
      <c r="FO759"/>
      <c r="FP759"/>
      <c r="FQ759"/>
      <c r="FR759"/>
      <c r="FS759"/>
      <c r="FT759"/>
      <c r="FU759"/>
      <c r="FV759"/>
      <c r="FW759"/>
      <c r="FX759"/>
      <c r="FY759"/>
      <c r="FZ759"/>
      <c r="GA759"/>
      <c r="GB759"/>
      <c r="GC759"/>
      <c r="GD759"/>
      <c r="GE759"/>
      <c r="GF759"/>
      <c r="GG759"/>
      <c r="GH759"/>
      <c r="GI759"/>
      <c r="GJ759"/>
      <c r="GK759"/>
      <c r="GL759"/>
      <c r="GM759"/>
      <c r="GN759"/>
      <c r="GO759"/>
      <c r="GP759"/>
      <c r="GQ759"/>
      <c r="GR759"/>
      <c r="GS759"/>
      <c r="GT759"/>
      <c r="GU759"/>
      <c r="GV759"/>
      <c r="GW759"/>
      <c r="GX759"/>
      <c r="GY759"/>
      <c r="GZ759"/>
      <c r="HA759"/>
      <c r="HB759"/>
      <c r="HC759"/>
      <c r="HD759"/>
      <c r="HE759"/>
      <c r="HF759"/>
      <c r="HG759"/>
      <c r="HH759"/>
      <c r="HI759"/>
      <c r="HJ759"/>
      <c r="HK759"/>
      <c r="HL759"/>
      <c r="HM759"/>
      <c r="HN759"/>
      <c r="HO759"/>
      <c r="HP759"/>
      <c r="HQ759"/>
      <c r="HR759"/>
      <c r="HS759"/>
      <c r="HT759"/>
      <c r="HU759"/>
      <c r="HV759"/>
      <c r="HW759"/>
      <c r="HX759"/>
      <c r="HY759"/>
      <c r="HZ759"/>
      <c r="IA759"/>
      <c r="IB759"/>
      <c r="IC759"/>
      <c r="ID759"/>
      <c r="IE759"/>
      <c r="IF759"/>
      <c r="IG759"/>
      <c r="IH759"/>
      <c r="II759"/>
      <c r="IJ759"/>
    </row>
    <row r="760" spans="1:244" ht="12.75" customHeight="1" x14ac:dyDescent="0.2">
      <c r="A760" s="2462"/>
      <c r="B760" s="2090" t="s">
        <v>1921</v>
      </c>
      <c r="C760" s="2075">
        <v>50000</v>
      </c>
      <c r="D760" s="2075">
        <v>50000</v>
      </c>
      <c r="E760" s="2075">
        <v>0</v>
      </c>
      <c r="F760" s="2075"/>
      <c r="G760" s="2200">
        <f t="shared" si="146"/>
        <v>0</v>
      </c>
      <c r="H760" s="2200">
        <f t="shared" si="148"/>
        <v>0</v>
      </c>
      <c r="I760" s="2201">
        <v>0</v>
      </c>
      <c r="J760" s="88">
        <v>0</v>
      </c>
      <c r="K760" s="2"/>
      <c r="L760"/>
      <c r="M760"/>
      <c r="N760"/>
      <c r="O760"/>
      <c r="P760"/>
      <c r="Q760"/>
      <c r="R760"/>
      <c r="S760"/>
      <c r="T760"/>
      <c r="U760"/>
      <c r="V760"/>
      <c r="W760"/>
      <c r="X760"/>
      <c r="Y760"/>
      <c r="Z760"/>
      <c r="AA760"/>
      <c r="AB760"/>
      <c r="AC760"/>
      <c r="AD760"/>
      <c r="AE760"/>
      <c r="AF760"/>
      <c r="AG760"/>
      <c r="AH760"/>
      <c r="AI760"/>
      <c r="AJ760"/>
      <c r="AK760"/>
      <c r="AL760"/>
      <c r="AM760"/>
      <c r="AN760"/>
      <c r="AO760"/>
      <c r="AP760"/>
      <c r="AQ760"/>
      <c r="AR760"/>
      <c r="AS760"/>
      <c r="AT760"/>
      <c r="AU760"/>
      <c r="AV760"/>
      <c r="AW760"/>
      <c r="AX760"/>
      <c r="AY760"/>
      <c r="AZ760"/>
      <c r="BA760"/>
      <c r="BB760"/>
      <c r="BC760"/>
      <c r="BD760"/>
      <c r="BE760"/>
      <c r="BF760"/>
      <c r="BG760"/>
      <c r="BH760"/>
      <c r="BI760"/>
      <c r="BJ760"/>
      <c r="BK760"/>
      <c r="BL760"/>
      <c r="BM760"/>
      <c r="BN760"/>
      <c r="BO760"/>
      <c r="BP760"/>
      <c r="BQ760"/>
      <c r="BR760"/>
      <c r="BS760"/>
      <c r="BT760"/>
      <c r="BU760"/>
      <c r="BV760"/>
      <c r="BW760"/>
      <c r="BX760"/>
      <c r="BY760"/>
      <c r="BZ760"/>
      <c r="CA760"/>
      <c r="CB760"/>
      <c r="CC760"/>
      <c r="CD760"/>
      <c r="CE760"/>
      <c r="CF760"/>
      <c r="CG760"/>
      <c r="CH760"/>
      <c r="CI760"/>
      <c r="CJ760"/>
      <c r="CK760"/>
      <c r="CL760"/>
      <c r="CM760"/>
      <c r="CN760"/>
      <c r="CO760"/>
      <c r="CP760"/>
      <c r="CQ760"/>
      <c r="CR760"/>
      <c r="CS760"/>
      <c r="CT760"/>
      <c r="CU760"/>
      <c r="CV760"/>
      <c r="CW760"/>
      <c r="CX760"/>
      <c r="CY760"/>
      <c r="CZ760"/>
      <c r="DA760"/>
      <c r="DB760"/>
      <c r="DC760"/>
      <c r="DD760"/>
      <c r="DE760"/>
      <c r="DF760"/>
      <c r="DG760"/>
      <c r="DH760"/>
      <c r="DI760"/>
      <c r="DJ760"/>
      <c r="DK760"/>
      <c r="DL760"/>
      <c r="DM760"/>
      <c r="DN760"/>
      <c r="DO760"/>
      <c r="DP760"/>
      <c r="DQ760"/>
      <c r="DR760"/>
      <c r="DS760"/>
      <c r="DT760"/>
      <c r="DU760"/>
      <c r="DV760"/>
      <c r="DW760"/>
      <c r="DX760"/>
      <c r="DY760"/>
      <c r="DZ760"/>
      <c r="EA760"/>
      <c r="EB760"/>
      <c r="EC760"/>
      <c r="ED760"/>
      <c r="EE760"/>
      <c r="EF760"/>
      <c r="EG760"/>
      <c r="EH760"/>
      <c r="EI760"/>
      <c r="EJ760"/>
      <c r="EK760"/>
      <c r="EL760"/>
      <c r="EM760"/>
      <c r="EN760"/>
      <c r="EO760"/>
      <c r="EP760"/>
      <c r="EQ760"/>
      <c r="ER760"/>
      <c r="ES760"/>
      <c r="ET760"/>
      <c r="EU760"/>
      <c r="EV760"/>
      <c r="EW760"/>
      <c r="EX760"/>
      <c r="EY760"/>
      <c r="EZ760"/>
      <c r="FA760"/>
      <c r="FB760"/>
      <c r="FC760"/>
      <c r="FD760"/>
      <c r="FE760"/>
      <c r="FF760"/>
      <c r="FG760"/>
      <c r="FH760"/>
      <c r="FI760"/>
      <c r="FJ760"/>
      <c r="FK760"/>
      <c r="FL760"/>
      <c r="FM760"/>
      <c r="FN760"/>
      <c r="FO760"/>
      <c r="FP760"/>
      <c r="FQ760"/>
      <c r="FR760"/>
      <c r="FS760"/>
      <c r="FT760"/>
      <c r="FU760"/>
      <c r="FV760"/>
      <c r="FW760"/>
      <c r="FX760"/>
      <c r="FY760"/>
      <c r="FZ760"/>
      <c r="GA760"/>
      <c r="GB760"/>
      <c r="GC760"/>
      <c r="GD760"/>
      <c r="GE760"/>
      <c r="GF760"/>
      <c r="GG760"/>
      <c r="GH760"/>
      <c r="GI760"/>
      <c r="GJ760"/>
      <c r="GK760"/>
      <c r="GL760"/>
      <c r="GM760"/>
      <c r="GN760"/>
      <c r="GO760"/>
      <c r="GP760"/>
      <c r="GQ760"/>
      <c r="GR760"/>
      <c r="GS760"/>
      <c r="GT760"/>
      <c r="GU760"/>
      <c r="GV760"/>
      <c r="GW760"/>
      <c r="GX760"/>
      <c r="GY760"/>
      <c r="GZ760"/>
      <c r="HA760"/>
      <c r="HB760"/>
      <c r="HC760"/>
      <c r="HD760"/>
      <c r="HE760"/>
      <c r="HF760"/>
      <c r="HG760"/>
      <c r="HH760"/>
      <c r="HI760"/>
      <c r="HJ760"/>
      <c r="HK760"/>
      <c r="HL760"/>
      <c r="HM760"/>
      <c r="HN760"/>
      <c r="HO760"/>
      <c r="HP760"/>
      <c r="HQ760"/>
      <c r="HR760"/>
      <c r="HS760"/>
      <c r="HT760"/>
      <c r="HU760"/>
      <c r="HV760"/>
      <c r="HW760"/>
      <c r="HX760"/>
      <c r="HY760"/>
      <c r="HZ760"/>
      <c r="IA760"/>
      <c r="IB760"/>
      <c r="IC760"/>
      <c r="ID760"/>
      <c r="IE760"/>
      <c r="IF760"/>
      <c r="IG760"/>
      <c r="IH760"/>
      <c r="II760"/>
      <c r="IJ760"/>
    </row>
    <row r="761" spans="1:244" x14ac:dyDescent="0.2">
      <c r="A761" s="2463"/>
      <c r="B761" s="2092" t="s">
        <v>829</v>
      </c>
      <c r="C761" s="2093">
        <f>SUM(C762:C763)</f>
        <v>590000</v>
      </c>
      <c r="D761" s="2093">
        <f>SUM(D762:D763)</f>
        <v>590000</v>
      </c>
      <c r="E761" s="2093">
        <v>0</v>
      </c>
      <c r="F761" s="2093">
        <f>SUM(E762:E763)</f>
        <v>0</v>
      </c>
      <c r="G761" s="2459">
        <f t="shared" si="146"/>
        <v>0</v>
      </c>
      <c r="H761" s="2459">
        <f t="shared" si="148"/>
        <v>0</v>
      </c>
      <c r="I761" s="2460">
        <v>0</v>
      </c>
      <c r="J761" s="88">
        <v>0</v>
      </c>
      <c r="K761" s="2"/>
      <c r="L761"/>
      <c r="M761"/>
      <c r="N761"/>
      <c r="O761"/>
      <c r="P761"/>
      <c r="Q761"/>
      <c r="R761"/>
      <c r="S761"/>
      <c r="T761"/>
      <c r="U761"/>
      <c r="V761"/>
      <c r="W761"/>
      <c r="X761"/>
      <c r="Y761"/>
      <c r="Z761"/>
      <c r="AA761"/>
      <c r="AB761"/>
      <c r="AC761"/>
      <c r="AD761"/>
      <c r="AE761"/>
      <c r="AF761"/>
      <c r="AG761"/>
      <c r="AH761"/>
      <c r="AI761"/>
      <c r="AJ761"/>
      <c r="AK761"/>
      <c r="AL761"/>
      <c r="AM761"/>
      <c r="AN761"/>
      <c r="AO761"/>
      <c r="AP761"/>
      <c r="AQ761"/>
      <c r="AR761"/>
      <c r="AS761"/>
      <c r="AT761"/>
      <c r="AU761"/>
      <c r="AV761"/>
      <c r="AW761"/>
      <c r="AX761"/>
      <c r="AY761"/>
      <c r="AZ761"/>
      <c r="BA761"/>
      <c r="BB761"/>
      <c r="BC761"/>
      <c r="BD761"/>
      <c r="BE761"/>
      <c r="BF761"/>
      <c r="BG761"/>
      <c r="BH761"/>
      <c r="BI761"/>
      <c r="BJ761"/>
      <c r="BK761"/>
      <c r="BL761"/>
      <c r="BM761"/>
      <c r="BN761"/>
      <c r="BO761"/>
      <c r="BP761"/>
      <c r="BQ761"/>
      <c r="BR761"/>
      <c r="BS761"/>
      <c r="BT761"/>
      <c r="BU761"/>
      <c r="BV761"/>
      <c r="BW761"/>
      <c r="BX761"/>
      <c r="BY761"/>
      <c r="BZ761"/>
      <c r="CA761"/>
      <c r="CB761"/>
      <c r="CC761"/>
      <c r="CD761"/>
      <c r="CE761"/>
      <c r="CF761"/>
      <c r="CG761"/>
      <c r="CH761"/>
      <c r="CI761"/>
      <c r="CJ761"/>
      <c r="CK761"/>
      <c r="CL761"/>
      <c r="CM761"/>
      <c r="CN761"/>
      <c r="CO761"/>
      <c r="CP761"/>
      <c r="CQ761"/>
      <c r="CR761"/>
      <c r="CS761"/>
      <c r="CT761"/>
      <c r="CU761"/>
      <c r="CV761"/>
      <c r="CW761"/>
      <c r="CX761"/>
      <c r="CY761"/>
      <c r="CZ761"/>
      <c r="DA761"/>
      <c r="DB761"/>
      <c r="DC761"/>
      <c r="DD761"/>
      <c r="DE761"/>
      <c r="DF761"/>
      <c r="DG761"/>
      <c r="DH761"/>
      <c r="DI761"/>
      <c r="DJ761"/>
      <c r="DK761"/>
      <c r="DL761"/>
      <c r="DM761"/>
      <c r="DN761"/>
      <c r="DO761"/>
      <c r="DP761"/>
      <c r="DQ761"/>
      <c r="DR761"/>
      <c r="DS761"/>
      <c r="DT761"/>
      <c r="DU761"/>
      <c r="DV761"/>
      <c r="DW761"/>
      <c r="DX761"/>
      <c r="DY761"/>
      <c r="DZ761"/>
      <c r="EA761"/>
      <c r="EB761"/>
      <c r="EC761"/>
      <c r="ED761"/>
      <c r="EE761"/>
      <c r="EF761"/>
      <c r="EG761"/>
      <c r="EH761"/>
      <c r="EI761"/>
      <c r="EJ761"/>
      <c r="EK761"/>
      <c r="EL761"/>
      <c r="EM761"/>
      <c r="EN761"/>
      <c r="EO761"/>
      <c r="EP761"/>
      <c r="EQ761"/>
      <c r="ER761"/>
      <c r="ES761"/>
      <c r="ET761"/>
      <c r="EU761"/>
      <c r="EV761"/>
      <c r="EW761"/>
      <c r="EX761"/>
      <c r="EY761"/>
      <c r="EZ761"/>
      <c r="FA761"/>
      <c r="FB761"/>
      <c r="FC761"/>
      <c r="FD761"/>
      <c r="FE761"/>
      <c r="FF761"/>
      <c r="FG761"/>
      <c r="FH761"/>
      <c r="FI761"/>
      <c r="FJ761"/>
      <c r="FK761"/>
      <c r="FL761"/>
      <c r="FM761"/>
      <c r="FN761"/>
      <c r="FO761"/>
      <c r="FP761"/>
      <c r="FQ761"/>
      <c r="FR761"/>
      <c r="FS761"/>
      <c r="FT761"/>
      <c r="FU761"/>
      <c r="FV761"/>
      <c r="FW761"/>
      <c r="FX761"/>
      <c r="FY761"/>
      <c r="FZ761"/>
      <c r="GA761"/>
      <c r="GB761"/>
      <c r="GC761"/>
      <c r="GD761"/>
      <c r="GE761"/>
      <c r="GF761"/>
      <c r="GG761"/>
      <c r="GH761"/>
      <c r="GI761"/>
      <c r="GJ761"/>
      <c r="GK761"/>
      <c r="GL761"/>
      <c r="GM761"/>
      <c r="GN761"/>
      <c r="GO761"/>
      <c r="GP761"/>
      <c r="GQ761"/>
      <c r="GR761"/>
      <c r="GS761"/>
      <c r="GT761"/>
      <c r="GU761"/>
      <c r="GV761"/>
      <c r="GW761"/>
      <c r="GX761"/>
      <c r="GY761"/>
      <c r="GZ761"/>
      <c r="HA761"/>
      <c r="HB761"/>
      <c r="HC761"/>
      <c r="HD761"/>
      <c r="HE761"/>
      <c r="HF761"/>
      <c r="HG761"/>
      <c r="HH761"/>
      <c r="HI761"/>
      <c r="HJ761"/>
      <c r="HK761"/>
      <c r="HL761"/>
      <c r="HM761"/>
      <c r="HN761"/>
      <c r="HO761"/>
      <c r="HP761"/>
      <c r="HQ761"/>
      <c r="HR761"/>
      <c r="HS761"/>
      <c r="HT761"/>
      <c r="HU761"/>
      <c r="HV761"/>
      <c r="HW761"/>
      <c r="HX761"/>
      <c r="HY761"/>
      <c r="HZ761"/>
      <c r="IA761"/>
      <c r="IB761"/>
      <c r="IC761"/>
      <c r="ID761"/>
      <c r="IE761"/>
      <c r="IF761"/>
      <c r="IG761"/>
      <c r="IH761"/>
      <c r="II761"/>
      <c r="IJ761"/>
    </row>
    <row r="762" spans="1:244" ht="12.75" customHeight="1" x14ac:dyDescent="0.2">
      <c r="A762" s="2462"/>
      <c r="B762" s="2088" t="s">
        <v>2546</v>
      </c>
      <c r="C762" s="2075">
        <v>150000</v>
      </c>
      <c r="D762" s="2075">
        <v>150000</v>
      </c>
      <c r="E762" s="2094">
        <v>0</v>
      </c>
      <c r="F762" s="2094"/>
      <c r="G762" s="2200">
        <f t="shared" ref="G762:G825" si="150">E762/C762*100</f>
        <v>0</v>
      </c>
      <c r="H762" s="2200">
        <f t="shared" si="148"/>
        <v>0</v>
      </c>
      <c r="I762" s="2201">
        <v>0</v>
      </c>
      <c r="J762" s="88">
        <v>0</v>
      </c>
      <c r="K762" s="2"/>
      <c r="L762"/>
      <c r="M762"/>
      <c r="N762"/>
      <c r="O762"/>
      <c r="P762"/>
      <c r="Q762"/>
      <c r="R762"/>
      <c r="S762"/>
      <c r="T762"/>
      <c r="U762"/>
      <c r="V762"/>
      <c r="W762"/>
      <c r="X762"/>
      <c r="Y762"/>
      <c r="Z762"/>
      <c r="AA762"/>
      <c r="AB762"/>
      <c r="AC762"/>
      <c r="AD762"/>
      <c r="AE762"/>
      <c r="AF762"/>
      <c r="AG762"/>
      <c r="AH762"/>
      <c r="AI762"/>
      <c r="AJ762"/>
      <c r="AK762"/>
      <c r="AL762"/>
      <c r="AM762"/>
      <c r="AN762"/>
      <c r="AO762"/>
      <c r="AP762"/>
      <c r="AQ762"/>
      <c r="AR762"/>
      <c r="AS762"/>
      <c r="AT762"/>
      <c r="AU762"/>
      <c r="AV762"/>
      <c r="AW762"/>
      <c r="AX762"/>
      <c r="AY762"/>
      <c r="AZ762"/>
      <c r="BA762"/>
      <c r="BB762"/>
      <c r="BC762"/>
      <c r="BD762"/>
      <c r="BE762"/>
      <c r="BF762"/>
      <c r="BG762"/>
      <c r="BH762"/>
      <c r="BI762"/>
      <c r="BJ762"/>
      <c r="BK762"/>
      <c r="BL762"/>
      <c r="BM762"/>
      <c r="BN762"/>
      <c r="BO762"/>
      <c r="BP762"/>
      <c r="BQ762"/>
      <c r="BR762"/>
      <c r="BS762"/>
      <c r="BT762"/>
      <c r="BU762"/>
      <c r="BV762"/>
      <c r="BW762"/>
      <c r="BX762"/>
      <c r="BY762"/>
      <c r="BZ762"/>
      <c r="CA762"/>
      <c r="CB762"/>
      <c r="CC762"/>
      <c r="CD762"/>
      <c r="CE762"/>
      <c r="CF762"/>
      <c r="CG762"/>
      <c r="CH762"/>
      <c r="CI762"/>
      <c r="CJ762"/>
      <c r="CK762"/>
      <c r="CL762"/>
      <c r="CM762"/>
      <c r="CN762"/>
      <c r="CO762"/>
      <c r="CP762"/>
      <c r="CQ762"/>
      <c r="CR762"/>
      <c r="CS762"/>
      <c r="CT762"/>
      <c r="CU762"/>
      <c r="CV762"/>
      <c r="CW762"/>
      <c r="CX762"/>
      <c r="CY762"/>
      <c r="CZ762"/>
      <c r="DA762"/>
      <c r="DB762"/>
      <c r="DC762"/>
      <c r="DD762"/>
      <c r="DE762"/>
      <c r="DF762"/>
      <c r="DG762"/>
      <c r="DH762"/>
      <c r="DI762"/>
      <c r="DJ762"/>
      <c r="DK762"/>
      <c r="DL762"/>
      <c r="DM762"/>
      <c r="DN762"/>
      <c r="DO762"/>
      <c r="DP762"/>
      <c r="DQ762"/>
      <c r="DR762"/>
      <c r="DS762"/>
      <c r="DT762"/>
      <c r="DU762"/>
      <c r="DV762"/>
      <c r="DW762"/>
      <c r="DX762"/>
      <c r="DY762"/>
      <c r="DZ762"/>
      <c r="EA762"/>
      <c r="EB762"/>
      <c r="EC762"/>
      <c r="ED762"/>
      <c r="EE762"/>
      <c r="EF762"/>
      <c r="EG762"/>
      <c r="EH762"/>
      <c r="EI762"/>
      <c r="EJ762"/>
      <c r="EK762"/>
      <c r="EL762"/>
      <c r="EM762"/>
      <c r="EN762"/>
      <c r="EO762"/>
      <c r="EP762"/>
      <c r="EQ762"/>
      <c r="ER762"/>
      <c r="ES762"/>
      <c r="ET762"/>
      <c r="EU762"/>
      <c r="EV762"/>
      <c r="EW762"/>
      <c r="EX762"/>
      <c r="EY762"/>
      <c r="EZ762"/>
      <c r="FA762"/>
      <c r="FB762"/>
      <c r="FC762"/>
      <c r="FD762"/>
      <c r="FE762"/>
      <c r="FF762"/>
      <c r="FG762"/>
      <c r="FH762"/>
      <c r="FI762"/>
      <c r="FJ762"/>
      <c r="FK762"/>
      <c r="FL762"/>
      <c r="FM762"/>
      <c r="FN762"/>
      <c r="FO762"/>
      <c r="FP762"/>
      <c r="FQ762"/>
      <c r="FR762"/>
      <c r="FS762"/>
      <c r="FT762"/>
      <c r="FU762"/>
      <c r="FV762"/>
      <c r="FW762"/>
      <c r="FX762"/>
      <c r="FY762"/>
      <c r="FZ762"/>
      <c r="GA762"/>
      <c r="GB762"/>
      <c r="GC762"/>
      <c r="GD762"/>
      <c r="GE762"/>
      <c r="GF762"/>
      <c r="GG762"/>
      <c r="GH762"/>
      <c r="GI762"/>
      <c r="GJ762"/>
      <c r="GK762"/>
      <c r="GL762"/>
      <c r="GM762"/>
      <c r="GN762"/>
      <c r="GO762"/>
      <c r="GP762"/>
      <c r="GQ762"/>
      <c r="GR762"/>
      <c r="GS762"/>
      <c r="GT762"/>
      <c r="GU762"/>
      <c r="GV762"/>
      <c r="GW762"/>
      <c r="GX762"/>
      <c r="GY762"/>
      <c r="GZ762"/>
      <c r="HA762"/>
      <c r="HB762"/>
      <c r="HC762"/>
      <c r="HD762"/>
      <c r="HE762"/>
      <c r="HF762"/>
      <c r="HG762"/>
      <c r="HH762"/>
      <c r="HI762"/>
      <c r="HJ762"/>
      <c r="HK762"/>
      <c r="HL762"/>
      <c r="HM762"/>
      <c r="HN762"/>
      <c r="HO762"/>
      <c r="HP762"/>
      <c r="HQ762"/>
      <c r="HR762"/>
      <c r="HS762"/>
      <c r="HT762"/>
      <c r="HU762"/>
      <c r="HV762"/>
      <c r="HW762"/>
      <c r="HX762"/>
      <c r="HY762"/>
      <c r="HZ762"/>
      <c r="IA762"/>
      <c r="IB762"/>
      <c r="IC762"/>
      <c r="ID762"/>
      <c r="IE762"/>
      <c r="IF762"/>
      <c r="IG762"/>
      <c r="IH762"/>
      <c r="II762"/>
      <c r="IJ762"/>
    </row>
    <row r="763" spans="1:244" ht="12.75" customHeight="1" x14ac:dyDescent="0.2">
      <c r="A763" s="2462"/>
      <c r="B763" s="2080" t="s">
        <v>2547</v>
      </c>
      <c r="C763" s="854">
        <v>440000</v>
      </c>
      <c r="D763" s="854">
        <v>440000</v>
      </c>
      <c r="E763" s="2075">
        <v>0</v>
      </c>
      <c r="F763" s="2075"/>
      <c r="G763" s="2200">
        <f t="shared" si="150"/>
        <v>0</v>
      </c>
      <c r="H763" s="2200">
        <f t="shared" si="148"/>
        <v>0</v>
      </c>
      <c r="I763" s="2201">
        <v>0</v>
      </c>
      <c r="J763" s="88">
        <v>0</v>
      </c>
      <c r="K763" s="2"/>
      <c r="L763"/>
      <c r="M763"/>
      <c r="N763"/>
      <c r="O763"/>
      <c r="P763"/>
      <c r="Q763"/>
      <c r="R763"/>
      <c r="S763"/>
      <c r="T763"/>
      <c r="U763"/>
      <c r="V763"/>
      <c r="W763"/>
      <c r="X763"/>
      <c r="Y763"/>
      <c r="Z763"/>
      <c r="AA763"/>
      <c r="AB763"/>
      <c r="AC763"/>
      <c r="AD763"/>
      <c r="AE763"/>
      <c r="AF763"/>
      <c r="AG763"/>
      <c r="AH763"/>
      <c r="AI763"/>
      <c r="AJ763"/>
      <c r="AK763"/>
      <c r="AL763"/>
      <c r="AM763"/>
      <c r="AN763"/>
      <c r="AO763"/>
      <c r="AP763"/>
      <c r="AQ763"/>
      <c r="AR763"/>
      <c r="AS763"/>
      <c r="AT763"/>
      <c r="AU763"/>
      <c r="AV763"/>
      <c r="AW763"/>
      <c r="AX763"/>
      <c r="AY763"/>
      <c r="AZ763"/>
      <c r="BA763"/>
      <c r="BB763"/>
      <c r="BC763"/>
      <c r="BD763"/>
      <c r="BE763"/>
      <c r="BF763"/>
      <c r="BG763"/>
      <c r="BH763"/>
      <c r="BI763"/>
      <c r="BJ763"/>
      <c r="BK763"/>
      <c r="BL763"/>
      <c r="BM763"/>
      <c r="BN763"/>
      <c r="BO763"/>
      <c r="BP763"/>
      <c r="BQ763"/>
      <c r="BR763"/>
      <c r="BS763"/>
      <c r="BT763"/>
      <c r="BU763"/>
      <c r="BV763"/>
      <c r="BW763"/>
      <c r="BX763"/>
      <c r="BY763"/>
      <c r="BZ763"/>
      <c r="CA763"/>
      <c r="CB763"/>
      <c r="CC763"/>
      <c r="CD763"/>
      <c r="CE763"/>
      <c r="CF763"/>
      <c r="CG763"/>
      <c r="CH763"/>
      <c r="CI763"/>
      <c r="CJ763"/>
      <c r="CK763"/>
      <c r="CL763"/>
      <c r="CM763"/>
      <c r="CN763"/>
      <c r="CO763"/>
      <c r="CP763"/>
      <c r="CQ763"/>
      <c r="CR763"/>
      <c r="CS763"/>
      <c r="CT763"/>
      <c r="CU763"/>
      <c r="CV763"/>
      <c r="CW763"/>
      <c r="CX763"/>
      <c r="CY763"/>
      <c r="CZ763"/>
      <c r="DA763"/>
      <c r="DB763"/>
      <c r="DC763"/>
      <c r="DD763"/>
      <c r="DE763"/>
      <c r="DF763"/>
      <c r="DG763"/>
      <c r="DH763"/>
      <c r="DI763"/>
      <c r="DJ763"/>
      <c r="DK763"/>
      <c r="DL763"/>
      <c r="DM763"/>
      <c r="DN763"/>
      <c r="DO763"/>
      <c r="DP763"/>
      <c r="DQ763"/>
      <c r="DR763"/>
      <c r="DS763"/>
      <c r="DT763"/>
      <c r="DU763"/>
      <c r="DV763"/>
      <c r="DW763"/>
      <c r="DX763"/>
      <c r="DY763"/>
      <c r="DZ763"/>
      <c r="EA763"/>
      <c r="EB763"/>
      <c r="EC763"/>
      <c r="ED763"/>
      <c r="EE763"/>
      <c r="EF763"/>
      <c r="EG763"/>
      <c r="EH763"/>
      <c r="EI763"/>
      <c r="EJ763"/>
      <c r="EK763"/>
      <c r="EL763"/>
      <c r="EM763"/>
      <c r="EN763"/>
      <c r="EO763"/>
      <c r="EP763"/>
      <c r="EQ763"/>
      <c r="ER763"/>
      <c r="ES763"/>
      <c r="ET763"/>
      <c r="EU763"/>
      <c r="EV763"/>
      <c r="EW763"/>
      <c r="EX763"/>
      <c r="EY763"/>
      <c r="EZ763"/>
      <c r="FA763"/>
      <c r="FB763"/>
      <c r="FC763"/>
      <c r="FD763"/>
      <c r="FE763"/>
      <c r="FF763"/>
      <c r="FG763"/>
      <c r="FH763"/>
      <c r="FI763"/>
      <c r="FJ763"/>
      <c r="FK763"/>
      <c r="FL763"/>
      <c r="FM763"/>
      <c r="FN763"/>
      <c r="FO763"/>
      <c r="FP763"/>
      <c r="FQ763"/>
      <c r="FR763"/>
      <c r="FS763"/>
      <c r="FT763"/>
      <c r="FU763"/>
      <c r="FV763"/>
      <c r="FW763"/>
      <c r="FX763"/>
      <c r="FY763"/>
      <c r="FZ763"/>
      <c r="GA763"/>
      <c r="GB763"/>
      <c r="GC763"/>
      <c r="GD763"/>
      <c r="GE763"/>
      <c r="GF763"/>
      <c r="GG763"/>
      <c r="GH763"/>
      <c r="GI763"/>
      <c r="GJ763"/>
      <c r="GK763"/>
      <c r="GL763"/>
      <c r="GM763"/>
      <c r="GN763"/>
      <c r="GO763"/>
      <c r="GP763"/>
      <c r="GQ763"/>
      <c r="GR763"/>
      <c r="GS763"/>
      <c r="GT763"/>
      <c r="GU763"/>
      <c r="GV763"/>
      <c r="GW763"/>
      <c r="GX763"/>
      <c r="GY763"/>
      <c r="GZ763"/>
      <c r="HA763"/>
      <c r="HB763"/>
      <c r="HC763"/>
      <c r="HD763"/>
      <c r="HE763"/>
      <c r="HF763"/>
      <c r="HG763"/>
      <c r="HH763"/>
      <c r="HI763"/>
      <c r="HJ763"/>
      <c r="HK763"/>
      <c r="HL763"/>
      <c r="HM763"/>
      <c r="HN763"/>
      <c r="HO763"/>
      <c r="HP763"/>
      <c r="HQ763"/>
      <c r="HR763"/>
      <c r="HS763"/>
      <c r="HT763"/>
      <c r="HU763"/>
      <c r="HV763"/>
      <c r="HW763"/>
      <c r="HX763"/>
      <c r="HY763"/>
      <c r="HZ763"/>
      <c r="IA763"/>
      <c r="IB763"/>
      <c r="IC763"/>
      <c r="ID763"/>
      <c r="IE763"/>
      <c r="IF763"/>
      <c r="IG763"/>
      <c r="IH763"/>
      <c r="II763"/>
      <c r="IJ763"/>
    </row>
    <row r="764" spans="1:244" ht="12.75" customHeight="1" x14ac:dyDescent="0.2">
      <c r="A764" s="2391">
        <v>3612</v>
      </c>
      <c r="B764" s="2095" t="s">
        <v>833</v>
      </c>
      <c r="C764" s="2085">
        <f>C765+C767</f>
        <v>52220000</v>
      </c>
      <c r="D764" s="2085">
        <f>D765+D767</f>
        <v>54220000</v>
      </c>
      <c r="E764" s="2085">
        <v>23836263.300000001</v>
      </c>
      <c r="F764" s="2075"/>
      <c r="G764" s="1663">
        <f t="shared" si="150"/>
        <v>45.645850823439297</v>
      </c>
      <c r="H764" s="1663">
        <f t="shared" si="148"/>
        <v>43.962123386204354</v>
      </c>
      <c r="I764" s="1662">
        <f t="shared" si="149"/>
        <v>118.22176428927757</v>
      </c>
      <c r="J764" s="88">
        <v>20162330.890000001</v>
      </c>
      <c r="K764" s="2"/>
      <c r="L764"/>
      <c r="M764"/>
      <c r="N764"/>
      <c r="O764"/>
      <c r="P764"/>
      <c r="Q764"/>
      <c r="R764"/>
      <c r="S764"/>
      <c r="T764"/>
      <c r="U764"/>
      <c r="V764"/>
      <c r="W764"/>
      <c r="X764"/>
      <c r="Y764"/>
      <c r="Z764"/>
      <c r="AA764"/>
      <c r="AB764"/>
      <c r="AC764"/>
      <c r="AD764"/>
      <c r="AE764"/>
      <c r="AF764"/>
      <c r="AG764"/>
      <c r="AH764"/>
      <c r="AI764"/>
      <c r="AJ764"/>
      <c r="AK764"/>
      <c r="AL764"/>
      <c r="AM764"/>
      <c r="AN764"/>
      <c r="AO764"/>
      <c r="AP764"/>
      <c r="AQ764"/>
      <c r="AR764"/>
      <c r="AS764"/>
      <c r="AT764"/>
      <c r="AU764"/>
      <c r="AV764"/>
      <c r="AW764"/>
      <c r="AX764"/>
      <c r="AY764"/>
      <c r="AZ764"/>
      <c r="BA764"/>
      <c r="BB764"/>
      <c r="BC764"/>
      <c r="BD764"/>
      <c r="BE764"/>
      <c r="BF764"/>
      <c r="BG764"/>
      <c r="BH764"/>
      <c r="BI764"/>
      <c r="BJ764"/>
      <c r="BK764"/>
      <c r="BL764"/>
      <c r="BM764"/>
      <c r="BN764"/>
      <c r="BO764"/>
      <c r="BP764"/>
      <c r="BQ764"/>
      <c r="BR764"/>
      <c r="BS764"/>
      <c r="BT764"/>
      <c r="BU764"/>
      <c r="BV764"/>
      <c r="BW764"/>
      <c r="BX764"/>
      <c r="BY764"/>
      <c r="BZ764"/>
      <c r="CA764"/>
      <c r="CB764"/>
      <c r="CC764"/>
      <c r="CD764"/>
      <c r="CE764"/>
      <c r="CF764"/>
      <c r="CG764"/>
      <c r="CH764"/>
      <c r="CI764"/>
      <c r="CJ764"/>
      <c r="CK764"/>
      <c r="CL764"/>
      <c r="CM764"/>
      <c r="CN764"/>
      <c r="CO764"/>
      <c r="CP764"/>
      <c r="CQ764"/>
      <c r="CR764"/>
      <c r="CS764"/>
      <c r="CT764"/>
      <c r="CU764"/>
      <c r="CV764"/>
      <c r="CW764"/>
      <c r="CX764"/>
      <c r="CY764"/>
      <c r="CZ764"/>
      <c r="DA764"/>
      <c r="DB764"/>
      <c r="DC764"/>
      <c r="DD764"/>
      <c r="DE764"/>
      <c r="DF764"/>
      <c r="DG764"/>
      <c r="DH764"/>
      <c r="DI764"/>
      <c r="DJ764"/>
      <c r="DK764"/>
      <c r="DL764"/>
      <c r="DM764"/>
      <c r="DN764"/>
      <c r="DO764"/>
      <c r="DP764"/>
      <c r="DQ764"/>
      <c r="DR764"/>
      <c r="DS764"/>
      <c r="DT764"/>
      <c r="DU764"/>
      <c r="DV764"/>
      <c r="DW764"/>
      <c r="DX764"/>
      <c r="DY764"/>
      <c r="DZ764"/>
      <c r="EA764"/>
      <c r="EB764"/>
      <c r="EC764"/>
      <c r="ED764"/>
      <c r="EE764"/>
      <c r="EF764"/>
      <c r="EG764"/>
      <c r="EH764"/>
      <c r="EI764"/>
      <c r="EJ764"/>
      <c r="EK764"/>
      <c r="EL764"/>
      <c r="EM764"/>
      <c r="EN764"/>
      <c r="EO764"/>
      <c r="EP764"/>
      <c r="EQ764"/>
      <c r="ER764"/>
      <c r="ES764"/>
      <c r="ET764"/>
      <c r="EU764"/>
      <c r="EV764"/>
      <c r="EW764"/>
      <c r="EX764"/>
      <c r="EY764"/>
      <c r="EZ764"/>
      <c r="FA764"/>
      <c r="FB764"/>
      <c r="FC764"/>
      <c r="FD764"/>
      <c r="FE764"/>
      <c r="FF764"/>
      <c r="FG764"/>
      <c r="FH764"/>
      <c r="FI764"/>
      <c r="FJ764"/>
      <c r="FK764"/>
      <c r="FL764"/>
      <c r="FM764"/>
      <c r="FN764"/>
      <c r="FO764"/>
      <c r="FP764"/>
      <c r="FQ764"/>
      <c r="FR764"/>
      <c r="FS764"/>
      <c r="FT764"/>
      <c r="FU764"/>
      <c r="FV764"/>
      <c r="FW764"/>
      <c r="FX764"/>
      <c r="FY764"/>
      <c r="FZ764"/>
      <c r="GA764"/>
      <c r="GB764"/>
      <c r="GC764"/>
      <c r="GD764"/>
      <c r="GE764"/>
      <c r="GF764"/>
      <c r="GG764"/>
      <c r="GH764"/>
      <c r="GI764"/>
      <c r="GJ764"/>
      <c r="GK764"/>
      <c r="GL764"/>
      <c r="GM764"/>
      <c r="GN764"/>
      <c r="GO764"/>
      <c r="GP764"/>
      <c r="GQ764"/>
      <c r="GR764"/>
      <c r="GS764"/>
      <c r="GT764"/>
      <c r="GU764"/>
      <c r="GV764"/>
      <c r="GW764"/>
      <c r="GX764"/>
      <c r="GY764"/>
      <c r="GZ764"/>
      <c r="HA764"/>
      <c r="HB764"/>
      <c r="HC764"/>
      <c r="HD764"/>
      <c r="HE764"/>
      <c r="HF764"/>
      <c r="HG764"/>
      <c r="HH764"/>
      <c r="HI764"/>
      <c r="HJ764"/>
      <c r="HK764"/>
      <c r="HL764"/>
      <c r="HM764"/>
      <c r="HN764"/>
      <c r="HO764"/>
      <c r="HP764"/>
      <c r="HQ764"/>
      <c r="HR764"/>
      <c r="HS764"/>
      <c r="HT764"/>
      <c r="HU764"/>
      <c r="HV764"/>
      <c r="HW764"/>
      <c r="HX764"/>
      <c r="HY764"/>
      <c r="HZ764"/>
      <c r="IA764"/>
      <c r="IB764"/>
      <c r="IC764"/>
      <c r="ID764"/>
      <c r="IE764"/>
      <c r="IF764"/>
      <c r="IG764"/>
      <c r="IH764"/>
      <c r="II764"/>
      <c r="IJ764"/>
    </row>
    <row r="765" spans="1:244" ht="12.75" customHeight="1" x14ac:dyDescent="0.2">
      <c r="A765" s="2462"/>
      <c r="B765" s="2087" t="s">
        <v>807</v>
      </c>
      <c r="C765" s="2082">
        <f>SUM(C766)</f>
        <v>150000</v>
      </c>
      <c r="D765" s="2082">
        <f>SUM(D766)</f>
        <v>150000</v>
      </c>
      <c r="E765" s="2082">
        <v>0</v>
      </c>
      <c r="F765" s="2082"/>
      <c r="G765" s="2459">
        <f t="shared" si="150"/>
        <v>0</v>
      </c>
      <c r="H765" s="2459">
        <f t="shared" si="148"/>
        <v>0</v>
      </c>
      <c r="I765" s="2460">
        <v>0</v>
      </c>
      <c r="J765" s="88">
        <v>0</v>
      </c>
      <c r="K765" s="2"/>
      <c r="L765"/>
      <c r="M765"/>
      <c r="N765"/>
      <c r="O765"/>
      <c r="P765"/>
      <c r="Q765"/>
      <c r="R765"/>
      <c r="S765"/>
      <c r="T765"/>
      <c r="U765"/>
      <c r="V765"/>
      <c r="W765"/>
      <c r="X765"/>
      <c r="Y765"/>
      <c r="Z765"/>
      <c r="AA765"/>
      <c r="AB765"/>
      <c r="AC765"/>
      <c r="AD765"/>
      <c r="AE765"/>
      <c r="AF765"/>
      <c r="AG765"/>
      <c r="AH765"/>
      <c r="AI765"/>
      <c r="AJ765"/>
      <c r="AK765"/>
      <c r="AL765"/>
      <c r="AM765"/>
      <c r="AN765"/>
      <c r="AO765"/>
      <c r="AP765"/>
      <c r="AQ765"/>
      <c r="AR765"/>
      <c r="AS765"/>
      <c r="AT765"/>
      <c r="AU765"/>
      <c r="AV765"/>
      <c r="AW765"/>
      <c r="AX765"/>
      <c r="AY765"/>
      <c r="AZ765"/>
      <c r="BA765"/>
      <c r="BB765"/>
      <c r="BC765"/>
      <c r="BD765"/>
      <c r="BE765"/>
      <c r="BF765"/>
      <c r="BG765"/>
      <c r="BH765"/>
      <c r="BI765"/>
      <c r="BJ765"/>
      <c r="BK765"/>
      <c r="BL765"/>
      <c r="BM765"/>
      <c r="BN765"/>
      <c r="BO765"/>
      <c r="BP765"/>
      <c r="BQ765"/>
      <c r="BR765"/>
      <c r="BS765"/>
      <c r="BT765"/>
      <c r="BU765"/>
      <c r="BV765"/>
      <c r="BW765"/>
      <c r="BX765"/>
      <c r="BY765"/>
      <c r="BZ765"/>
      <c r="CA765"/>
      <c r="CB765"/>
      <c r="CC765"/>
      <c r="CD765"/>
      <c r="CE765"/>
      <c r="CF765"/>
      <c r="CG765"/>
      <c r="CH765"/>
      <c r="CI765"/>
      <c r="CJ765"/>
      <c r="CK765"/>
      <c r="CL765"/>
      <c r="CM765"/>
      <c r="CN765"/>
      <c r="CO765"/>
      <c r="CP765"/>
      <c r="CQ765"/>
      <c r="CR765"/>
      <c r="CS765"/>
      <c r="CT765"/>
      <c r="CU765"/>
      <c r="CV765"/>
      <c r="CW765"/>
      <c r="CX765"/>
      <c r="CY765"/>
      <c r="CZ765"/>
      <c r="DA765"/>
      <c r="DB765"/>
      <c r="DC765"/>
      <c r="DD765"/>
      <c r="DE765"/>
      <c r="DF765"/>
      <c r="DG765"/>
      <c r="DH765"/>
      <c r="DI765"/>
      <c r="DJ765"/>
      <c r="DK765"/>
      <c r="DL765"/>
      <c r="DM765"/>
      <c r="DN765"/>
      <c r="DO765"/>
      <c r="DP765"/>
      <c r="DQ765"/>
      <c r="DR765"/>
      <c r="DS765"/>
      <c r="DT765"/>
      <c r="DU765"/>
      <c r="DV765"/>
      <c r="DW765"/>
      <c r="DX765"/>
      <c r="DY765"/>
      <c r="DZ765"/>
      <c r="EA765"/>
      <c r="EB765"/>
      <c r="EC765"/>
      <c r="ED765"/>
      <c r="EE765"/>
      <c r="EF765"/>
      <c r="EG765"/>
      <c r="EH765"/>
      <c r="EI765"/>
      <c r="EJ765"/>
      <c r="EK765"/>
      <c r="EL765"/>
      <c r="EM765"/>
      <c r="EN765"/>
      <c r="EO765"/>
      <c r="EP765"/>
      <c r="EQ765"/>
      <c r="ER765"/>
      <c r="ES765"/>
      <c r="ET765"/>
      <c r="EU765"/>
      <c r="EV765"/>
      <c r="EW765"/>
      <c r="EX765"/>
      <c r="EY765"/>
      <c r="EZ765"/>
      <c r="FA765"/>
      <c r="FB765"/>
      <c r="FC765"/>
      <c r="FD765"/>
      <c r="FE765"/>
      <c r="FF765"/>
      <c r="FG765"/>
      <c r="FH765"/>
      <c r="FI765"/>
      <c r="FJ765"/>
      <c r="FK765"/>
      <c r="FL765"/>
      <c r="FM765"/>
      <c r="FN765"/>
      <c r="FO765"/>
      <c r="FP765"/>
      <c r="FQ765"/>
      <c r="FR765"/>
      <c r="FS765"/>
      <c r="FT765"/>
      <c r="FU765"/>
      <c r="FV765"/>
      <c r="FW765"/>
      <c r="FX765"/>
      <c r="FY765"/>
      <c r="FZ765"/>
      <c r="GA765"/>
      <c r="GB765"/>
      <c r="GC765"/>
      <c r="GD765"/>
      <c r="GE765"/>
      <c r="GF765"/>
      <c r="GG765"/>
      <c r="GH765"/>
      <c r="GI765"/>
      <c r="GJ765"/>
      <c r="GK765"/>
      <c r="GL765"/>
      <c r="GM765"/>
      <c r="GN765"/>
      <c r="GO765"/>
      <c r="GP765"/>
      <c r="GQ765"/>
      <c r="GR765"/>
      <c r="GS765"/>
      <c r="GT765"/>
      <c r="GU765"/>
      <c r="GV765"/>
      <c r="GW765"/>
      <c r="GX765"/>
      <c r="GY765"/>
      <c r="GZ765"/>
      <c r="HA765"/>
      <c r="HB765"/>
      <c r="HC765"/>
      <c r="HD765"/>
      <c r="HE765"/>
      <c r="HF765"/>
      <c r="HG765"/>
      <c r="HH765"/>
      <c r="HI765"/>
      <c r="HJ765"/>
      <c r="HK765"/>
      <c r="HL765"/>
      <c r="HM765"/>
      <c r="HN765"/>
      <c r="HO765"/>
      <c r="HP765"/>
      <c r="HQ765"/>
      <c r="HR765"/>
      <c r="HS765"/>
      <c r="HT765"/>
      <c r="HU765"/>
      <c r="HV765"/>
      <c r="HW765"/>
      <c r="HX765"/>
      <c r="HY765"/>
      <c r="HZ765"/>
      <c r="IA765"/>
      <c r="IB765"/>
      <c r="IC765"/>
      <c r="ID765"/>
      <c r="IE765"/>
      <c r="IF765"/>
      <c r="IG765"/>
      <c r="IH765"/>
      <c r="II765"/>
      <c r="IJ765"/>
    </row>
    <row r="766" spans="1:244" ht="12.75" customHeight="1" x14ac:dyDescent="0.2">
      <c r="A766" s="2462"/>
      <c r="B766" s="2088" t="s">
        <v>1924</v>
      </c>
      <c r="C766" s="2075">
        <v>150000</v>
      </c>
      <c r="D766" s="2075">
        <v>150000</v>
      </c>
      <c r="E766" s="2075">
        <v>0</v>
      </c>
      <c r="F766" s="2075"/>
      <c r="G766" s="2200">
        <f t="shared" si="150"/>
        <v>0</v>
      </c>
      <c r="H766" s="2200">
        <f t="shared" si="148"/>
        <v>0</v>
      </c>
      <c r="I766" s="2201">
        <v>0</v>
      </c>
      <c r="J766" s="88">
        <v>0</v>
      </c>
      <c r="K766" s="2"/>
      <c r="L766"/>
      <c r="M766"/>
      <c r="N766"/>
      <c r="O766"/>
      <c r="P766"/>
      <c r="Q766"/>
      <c r="R766"/>
      <c r="S766"/>
      <c r="T766"/>
      <c r="U766"/>
      <c r="V766"/>
      <c r="W766"/>
      <c r="X766"/>
      <c r="Y766"/>
      <c r="Z766"/>
      <c r="AA766"/>
      <c r="AB766"/>
      <c r="AC766"/>
      <c r="AD766"/>
      <c r="AE766"/>
      <c r="AF766"/>
      <c r="AG766"/>
      <c r="AH766"/>
      <c r="AI766"/>
      <c r="AJ766"/>
      <c r="AK766"/>
      <c r="AL766"/>
      <c r="AM766"/>
      <c r="AN766"/>
      <c r="AO766"/>
      <c r="AP766"/>
      <c r="AQ766"/>
      <c r="AR766"/>
      <c r="AS766"/>
      <c r="AT766"/>
      <c r="AU766"/>
      <c r="AV766"/>
      <c r="AW766"/>
      <c r="AX766"/>
      <c r="AY766"/>
      <c r="AZ766"/>
      <c r="BA766"/>
      <c r="BB766"/>
      <c r="BC766"/>
      <c r="BD766"/>
      <c r="BE766"/>
      <c r="BF766"/>
      <c r="BG766"/>
      <c r="BH766"/>
      <c r="BI766"/>
      <c r="BJ766"/>
      <c r="BK766"/>
      <c r="BL766"/>
      <c r="BM766"/>
      <c r="BN766"/>
      <c r="BO766"/>
      <c r="BP766"/>
      <c r="BQ766"/>
      <c r="BR766"/>
      <c r="BS766"/>
      <c r="BT766"/>
      <c r="BU766"/>
      <c r="BV766"/>
      <c r="BW766"/>
      <c r="BX766"/>
      <c r="BY766"/>
      <c r="BZ766"/>
      <c r="CA766"/>
      <c r="CB766"/>
      <c r="CC766"/>
      <c r="CD766"/>
      <c r="CE766"/>
      <c r="CF766"/>
      <c r="CG766"/>
      <c r="CH766"/>
      <c r="CI766"/>
      <c r="CJ766"/>
      <c r="CK766"/>
      <c r="CL766"/>
      <c r="CM766"/>
      <c r="CN766"/>
      <c r="CO766"/>
      <c r="CP766"/>
      <c r="CQ766"/>
      <c r="CR766"/>
      <c r="CS766"/>
      <c r="CT766"/>
      <c r="CU766"/>
      <c r="CV766"/>
      <c r="CW766"/>
      <c r="CX766"/>
      <c r="CY766"/>
      <c r="CZ766"/>
      <c r="DA766"/>
      <c r="DB766"/>
      <c r="DC766"/>
      <c r="DD766"/>
      <c r="DE766"/>
      <c r="DF766"/>
      <c r="DG766"/>
      <c r="DH766"/>
      <c r="DI766"/>
      <c r="DJ766"/>
      <c r="DK766"/>
      <c r="DL766"/>
      <c r="DM766"/>
      <c r="DN766"/>
      <c r="DO766"/>
      <c r="DP766"/>
      <c r="DQ766"/>
      <c r="DR766"/>
      <c r="DS766"/>
      <c r="DT766"/>
      <c r="DU766"/>
      <c r="DV766"/>
      <c r="DW766"/>
      <c r="DX766"/>
      <c r="DY766"/>
      <c r="DZ766"/>
      <c r="EA766"/>
      <c r="EB766"/>
      <c r="EC766"/>
      <c r="ED766"/>
      <c r="EE766"/>
      <c r="EF766"/>
      <c r="EG766"/>
      <c r="EH766"/>
      <c r="EI766"/>
      <c r="EJ766"/>
      <c r="EK766"/>
      <c r="EL766"/>
      <c r="EM766"/>
      <c r="EN766"/>
      <c r="EO766"/>
      <c r="EP766"/>
      <c r="EQ766"/>
      <c r="ER766"/>
      <c r="ES766"/>
      <c r="ET766"/>
      <c r="EU766"/>
      <c r="EV766"/>
      <c r="EW766"/>
      <c r="EX766"/>
      <c r="EY766"/>
      <c r="EZ766"/>
      <c r="FA766"/>
      <c r="FB766"/>
      <c r="FC766"/>
      <c r="FD766"/>
      <c r="FE766"/>
      <c r="FF766"/>
      <c r="FG766"/>
      <c r="FH766"/>
      <c r="FI766"/>
      <c r="FJ766"/>
      <c r="FK766"/>
      <c r="FL766"/>
      <c r="FM766"/>
      <c r="FN766"/>
      <c r="FO766"/>
      <c r="FP766"/>
      <c r="FQ766"/>
      <c r="FR766"/>
      <c r="FS766"/>
      <c r="FT766"/>
      <c r="FU766"/>
      <c r="FV766"/>
      <c r="FW766"/>
      <c r="FX766"/>
      <c r="FY766"/>
      <c r="FZ766"/>
      <c r="GA766"/>
      <c r="GB766"/>
      <c r="GC766"/>
      <c r="GD766"/>
      <c r="GE766"/>
      <c r="GF766"/>
      <c r="GG766"/>
      <c r="GH766"/>
      <c r="GI766"/>
      <c r="GJ766"/>
      <c r="GK766"/>
      <c r="GL766"/>
      <c r="GM766"/>
      <c r="GN766"/>
      <c r="GO766"/>
      <c r="GP766"/>
      <c r="GQ766"/>
      <c r="GR766"/>
      <c r="GS766"/>
      <c r="GT766"/>
      <c r="GU766"/>
      <c r="GV766"/>
      <c r="GW766"/>
      <c r="GX766"/>
      <c r="GY766"/>
      <c r="GZ766"/>
      <c r="HA766"/>
      <c r="HB766"/>
      <c r="HC766"/>
      <c r="HD766"/>
      <c r="HE766"/>
      <c r="HF766"/>
      <c r="HG766"/>
      <c r="HH766"/>
      <c r="HI766"/>
      <c r="HJ766"/>
      <c r="HK766"/>
      <c r="HL766"/>
      <c r="HM766"/>
      <c r="HN766"/>
      <c r="HO766"/>
      <c r="HP766"/>
      <c r="HQ766"/>
      <c r="HR766"/>
      <c r="HS766"/>
      <c r="HT766"/>
      <c r="HU766"/>
      <c r="HV766"/>
      <c r="HW766"/>
      <c r="HX766"/>
      <c r="HY766"/>
      <c r="HZ766"/>
      <c r="IA766"/>
      <c r="IB766"/>
      <c r="IC766"/>
      <c r="ID766"/>
      <c r="IE766"/>
      <c r="IF766"/>
      <c r="IG766"/>
      <c r="IH766"/>
      <c r="II766"/>
      <c r="IJ766"/>
    </row>
    <row r="767" spans="1:244" ht="12.75" customHeight="1" x14ac:dyDescent="0.2">
      <c r="A767" s="2391"/>
      <c r="B767" s="2096" t="s">
        <v>844</v>
      </c>
      <c r="C767" s="2097">
        <f>C768+C772+C774+C776+C777+C778+C779+C780</f>
        <v>52070000</v>
      </c>
      <c r="D767" s="2097">
        <f>D768+D772+D774+D776+D777+D778+D779+D780</f>
        <v>54070000</v>
      </c>
      <c r="E767" s="2097">
        <v>23836263.300000001</v>
      </c>
      <c r="F767" s="2097">
        <f>SUM(E768,E772,E774,E776:E780)</f>
        <v>23836263.300000001</v>
      </c>
      <c r="G767" s="2459">
        <f t="shared" si="150"/>
        <v>45.777344536201269</v>
      </c>
      <c r="H767" s="2459">
        <f t="shared" si="148"/>
        <v>44.084082300721292</v>
      </c>
      <c r="I767" s="2460">
        <f t="shared" si="149"/>
        <v>118.22176428927757</v>
      </c>
      <c r="J767" s="88">
        <v>20162330.890000001</v>
      </c>
      <c r="K767" s="2"/>
      <c r="L767"/>
      <c r="M767"/>
      <c r="N767"/>
      <c r="O767"/>
      <c r="P767"/>
      <c r="Q767"/>
      <c r="R767"/>
      <c r="S767"/>
      <c r="T767"/>
      <c r="U767"/>
      <c r="V767"/>
      <c r="W767"/>
      <c r="X767"/>
      <c r="Y767"/>
      <c r="Z767"/>
      <c r="AA767"/>
      <c r="AB767"/>
      <c r="AC767"/>
      <c r="AD767"/>
      <c r="AE767"/>
      <c r="AF767"/>
      <c r="AG767"/>
      <c r="AH767"/>
      <c r="AI767"/>
      <c r="AJ767"/>
      <c r="AK767"/>
      <c r="AL767"/>
      <c r="AM767"/>
      <c r="AN767"/>
      <c r="AO767"/>
      <c r="AP767"/>
      <c r="AQ767"/>
      <c r="AR767"/>
      <c r="AS767"/>
      <c r="AT767"/>
      <c r="AU767"/>
      <c r="AV767"/>
      <c r="AW767"/>
      <c r="AX767"/>
      <c r="AY767"/>
      <c r="AZ767"/>
      <c r="BA767"/>
      <c r="BB767"/>
      <c r="BC767"/>
      <c r="BD767"/>
      <c r="BE767"/>
      <c r="BF767"/>
      <c r="BG767"/>
      <c r="BH767"/>
      <c r="BI767"/>
      <c r="BJ767"/>
      <c r="BK767"/>
      <c r="BL767"/>
      <c r="BM767"/>
      <c r="BN767"/>
      <c r="BO767"/>
      <c r="BP767"/>
      <c r="BQ767"/>
      <c r="BR767"/>
      <c r="BS767"/>
      <c r="BT767"/>
      <c r="BU767"/>
      <c r="BV767"/>
      <c r="BW767"/>
      <c r="BX767"/>
      <c r="BY767"/>
      <c r="BZ767"/>
      <c r="CA767"/>
      <c r="CB767"/>
      <c r="CC767"/>
      <c r="CD767"/>
      <c r="CE767"/>
      <c r="CF767"/>
      <c r="CG767"/>
      <c r="CH767"/>
      <c r="CI767"/>
      <c r="CJ767"/>
      <c r="CK767"/>
      <c r="CL767"/>
      <c r="CM767"/>
      <c r="CN767"/>
      <c r="CO767"/>
      <c r="CP767"/>
      <c r="CQ767"/>
      <c r="CR767"/>
      <c r="CS767"/>
      <c r="CT767"/>
      <c r="CU767"/>
      <c r="CV767"/>
      <c r="CW767"/>
      <c r="CX767"/>
      <c r="CY767"/>
      <c r="CZ767"/>
      <c r="DA767"/>
      <c r="DB767"/>
      <c r="DC767"/>
      <c r="DD767"/>
      <c r="DE767"/>
      <c r="DF767"/>
      <c r="DG767"/>
      <c r="DH767"/>
      <c r="DI767"/>
      <c r="DJ767"/>
      <c r="DK767"/>
      <c r="DL767"/>
      <c r="DM767"/>
      <c r="DN767"/>
      <c r="DO767"/>
      <c r="DP767"/>
      <c r="DQ767"/>
      <c r="DR767"/>
      <c r="DS767"/>
      <c r="DT767"/>
      <c r="DU767"/>
      <c r="DV767"/>
      <c r="DW767"/>
      <c r="DX767"/>
      <c r="DY767"/>
      <c r="DZ767"/>
      <c r="EA767"/>
      <c r="EB767"/>
      <c r="EC767"/>
      <c r="ED767"/>
      <c r="EE767"/>
      <c r="EF767"/>
      <c r="EG767"/>
      <c r="EH767"/>
      <c r="EI767"/>
      <c r="EJ767"/>
      <c r="EK767"/>
      <c r="EL767"/>
      <c r="EM767"/>
      <c r="EN767"/>
      <c r="EO767"/>
      <c r="EP767"/>
      <c r="EQ767"/>
      <c r="ER767"/>
      <c r="ES767"/>
      <c r="ET767"/>
      <c r="EU767"/>
      <c r="EV767"/>
      <c r="EW767"/>
      <c r="EX767"/>
      <c r="EY767"/>
      <c r="EZ767"/>
      <c r="FA767"/>
      <c r="FB767"/>
      <c r="FC767"/>
      <c r="FD767"/>
      <c r="FE767"/>
      <c r="FF767"/>
      <c r="FG767"/>
      <c r="FH767"/>
      <c r="FI767"/>
      <c r="FJ767"/>
      <c r="FK767"/>
      <c r="FL767"/>
      <c r="FM767"/>
      <c r="FN767"/>
      <c r="FO767"/>
      <c r="FP767"/>
      <c r="FQ767"/>
      <c r="FR767"/>
      <c r="FS767"/>
      <c r="FT767"/>
      <c r="FU767"/>
      <c r="FV767"/>
      <c r="FW767"/>
      <c r="FX767"/>
      <c r="FY767"/>
      <c r="FZ767"/>
      <c r="GA767"/>
      <c r="GB767"/>
      <c r="GC767"/>
      <c r="GD767"/>
      <c r="GE767"/>
      <c r="GF767"/>
      <c r="GG767"/>
      <c r="GH767"/>
      <c r="GI767"/>
      <c r="GJ767"/>
      <c r="GK767"/>
      <c r="GL767"/>
      <c r="GM767"/>
      <c r="GN767"/>
      <c r="GO767"/>
      <c r="GP767"/>
      <c r="GQ767"/>
      <c r="GR767"/>
      <c r="GS767"/>
      <c r="GT767"/>
      <c r="GU767"/>
      <c r="GV767"/>
      <c r="GW767"/>
      <c r="GX767"/>
      <c r="GY767"/>
      <c r="GZ767"/>
      <c r="HA767"/>
      <c r="HB767"/>
      <c r="HC767"/>
      <c r="HD767"/>
      <c r="HE767"/>
      <c r="HF767"/>
      <c r="HG767"/>
      <c r="HH767"/>
      <c r="HI767"/>
      <c r="HJ767"/>
      <c r="HK767"/>
      <c r="HL767"/>
      <c r="HM767"/>
      <c r="HN767"/>
      <c r="HO767"/>
      <c r="HP767"/>
      <c r="HQ767"/>
      <c r="HR767"/>
      <c r="HS767"/>
      <c r="HT767"/>
      <c r="HU767"/>
      <c r="HV767"/>
      <c r="HW767"/>
      <c r="HX767"/>
      <c r="HY767"/>
      <c r="HZ767"/>
      <c r="IA767"/>
      <c r="IB767"/>
      <c r="IC767"/>
      <c r="ID767"/>
      <c r="IE767"/>
      <c r="IF767"/>
      <c r="IG767"/>
      <c r="IH767"/>
      <c r="II767"/>
      <c r="IJ767"/>
    </row>
    <row r="768" spans="1:244" ht="12.75" customHeight="1" x14ac:dyDescent="0.2">
      <c r="A768" s="2464"/>
      <c r="B768" s="2099" t="s">
        <v>845</v>
      </c>
      <c r="C768" s="2100">
        <f>SUM(C769:C771)</f>
        <v>7700000</v>
      </c>
      <c r="D768" s="2100">
        <f>SUM(D769:D771)</f>
        <v>7700000</v>
      </c>
      <c r="E768" s="2100">
        <v>3475608.19</v>
      </c>
      <c r="F768" s="2465">
        <f>SUM(E769:E771)</f>
        <v>3475608.1900000004</v>
      </c>
      <c r="G768" s="2466">
        <f t="shared" si="150"/>
        <v>45.137768701298704</v>
      </c>
      <c r="H768" s="2466">
        <f t="shared" si="148"/>
        <v>45.137768701298704</v>
      </c>
      <c r="I768" s="2467">
        <f t="shared" si="149"/>
        <v>309.95163201732885</v>
      </c>
      <c r="J768" s="88">
        <v>1121338.8899999999</v>
      </c>
      <c r="K768" s="2"/>
      <c r="L768"/>
      <c r="M768"/>
      <c r="N768"/>
      <c r="O768"/>
      <c r="P768"/>
      <c r="Q768"/>
      <c r="R768"/>
      <c r="S768"/>
      <c r="T768"/>
      <c r="U768"/>
      <c r="V768"/>
      <c r="W768"/>
      <c r="X768"/>
      <c r="Y768"/>
      <c r="Z768"/>
      <c r="AA768"/>
      <c r="AB768"/>
      <c r="AC768"/>
      <c r="AD768"/>
      <c r="AE768"/>
      <c r="AF768"/>
      <c r="AG768"/>
      <c r="AH768"/>
      <c r="AI768"/>
      <c r="AJ768"/>
      <c r="AK768"/>
      <c r="AL768"/>
      <c r="AM768"/>
      <c r="AN768"/>
      <c r="AO768"/>
      <c r="AP768"/>
      <c r="AQ768"/>
      <c r="AR768"/>
      <c r="AS768"/>
      <c r="AT768"/>
      <c r="AU768"/>
      <c r="AV768"/>
      <c r="AW768"/>
      <c r="AX768"/>
      <c r="AY768"/>
      <c r="AZ768"/>
      <c r="BA768"/>
      <c r="BB768"/>
      <c r="BC768"/>
      <c r="BD768"/>
      <c r="BE768"/>
      <c r="BF768"/>
      <c r="BG768"/>
      <c r="BH768"/>
      <c r="BI768"/>
      <c r="BJ768"/>
      <c r="BK768"/>
      <c r="BL768"/>
      <c r="BM768"/>
      <c r="BN768"/>
      <c r="BO768"/>
      <c r="BP768"/>
      <c r="BQ768"/>
      <c r="BR768"/>
      <c r="BS768"/>
      <c r="BT768"/>
      <c r="BU768"/>
      <c r="BV768"/>
      <c r="BW768"/>
      <c r="BX768"/>
      <c r="BY768"/>
      <c r="BZ768"/>
      <c r="CA768"/>
      <c r="CB768"/>
      <c r="CC768"/>
      <c r="CD768"/>
      <c r="CE768"/>
      <c r="CF768"/>
      <c r="CG768"/>
      <c r="CH768"/>
      <c r="CI768"/>
      <c r="CJ768"/>
      <c r="CK768"/>
      <c r="CL768"/>
      <c r="CM768"/>
      <c r="CN768"/>
      <c r="CO768"/>
      <c r="CP768"/>
      <c r="CQ768"/>
      <c r="CR768"/>
      <c r="CS768"/>
      <c r="CT768"/>
      <c r="CU768"/>
      <c r="CV768"/>
      <c r="CW768"/>
      <c r="CX768"/>
      <c r="CY768"/>
      <c r="CZ768"/>
      <c r="DA768"/>
      <c r="DB768"/>
      <c r="DC768"/>
      <c r="DD768"/>
      <c r="DE768"/>
      <c r="DF768"/>
      <c r="DG768"/>
      <c r="DH768"/>
      <c r="DI768"/>
      <c r="DJ768"/>
      <c r="DK768"/>
      <c r="DL768"/>
      <c r="DM768"/>
      <c r="DN768"/>
      <c r="DO768"/>
      <c r="DP768"/>
      <c r="DQ768"/>
      <c r="DR768"/>
      <c r="DS768"/>
      <c r="DT768"/>
      <c r="DU768"/>
      <c r="DV768"/>
      <c r="DW768"/>
      <c r="DX768"/>
      <c r="DY768"/>
      <c r="DZ768"/>
      <c r="EA768"/>
      <c r="EB768"/>
      <c r="EC768"/>
      <c r="ED768"/>
      <c r="EE768"/>
      <c r="EF768"/>
      <c r="EG768"/>
      <c r="EH768"/>
      <c r="EI768"/>
      <c r="EJ768"/>
      <c r="EK768"/>
      <c r="EL768"/>
      <c r="EM768"/>
      <c r="EN768"/>
      <c r="EO768"/>
      <c r="EP768"/>
      <c r="EQ768"/>
      <c r="ER768"/>
      <c r="ES768"/>
      <c r="ET768"/>
      <c r="EU768"/>
      <c r="EV768"/>
      <c r="EW768"/>
      <c r="EX768"/>
      <c r="EY768"/>
      <c r="EZ768"/>
      <c r="FA768"/>
      <c r="FB768"/>
      <c r="FC768"/>
      <c r="FD768"/>
      <c r="FE768"/>
      <c r="FF768"/>
      <c r="FG768"/>
      <c r="FH768"/>
      <c r="FI768"/>
      <c r="FJ768"/>
      <c r="FK768"/>
      <c r="FL768"/>
      <c r="FM768"/>
      <c r="FN768"/>
      <c r="FO768"/>
      <c r="FP768"/>
      <c r="FQ768"/>
      <c r="FR768"/>
      <c r="FS768"/>
      <c r="FT768"/>
      <c r="FU768"/>
      <c r="FV768"/>
      <c r="FW768"/>
      <c r="FX768"/>
      <c r="FY768"/>
      <c r="FZ768"/>
      <c r="GA768"/>
      <c r="GB768"/>
      <c r="GC768"/>
      <c r="GD768"/>
      <c r="GE768"/>
      <c r="GF768"/>
      <c r="GG768"/>
      <c r="GH768"/>
      <c r="GI768"/>
      <c r="GJ768"/>
      <c r="GK768"/>
      <c r="GL768"/>
      <c r="GM768"/>
      <c r="GN768"/>
      <c r="GO768"/>
      <c r="GP768"/>
      <c r="GQ768"/>
      <c r="GR768"/>
      <c r="GS768"/>
      <c r="GT768"/>
      <c r="GU768"/>
      <c r="GV768"/>
      <c r="GW768"/>
      <c r="GX768"/>
      <c r="GY768"/>
      <c r="GZ768"/>
      <c r="HA768"/>
      <c r="HB768"/>
      <c r="HC768"/>
      <c r="HD768"/>
      <c r="HE768"/>
      <c r="HF768"/>
      <c r="HG768"/>
      <c r="HH768"/>
      <c r="HI768"/>
      <c r="HJ768"/>
      <c r="HK768"/>
      <c r="HL768"/>
      <c r="HM768"/>
      <c r="HN768"/>
      <c r="HO768"/>
      <c r="HP768"/>
      <c r="HQ768"/>
      <c r="HR768"/>
      <c r="HS768"/>
      <c r="HT768"/>
      <c r="HU768"/>
      <c r="HV768"/>
      <c r="HW768"/>
      <c r="HX768"/>
      <c r="HY768"/>
      <c r="HZ768"/>
      <c r="IA768"/>
      <c r="IB768"/>
      <c r="IC768"/>
      <c r="ID768"/>
      <c r="IE768"/>
      <c r="IF768"/>
      <c r="IG768"/>
      <c r="IH768"/>
      <c r="II768"/>
      <c r="IJ768"/>
    </row>
    <row r="769" spans="1:244" ht="12.75" customHeight="1" x14ac:dyDescent="0.2">
      <c r="A769" s="2391"/>
      <c r="B769" s="2080" t="s">
        <v>2548</v>
      </c>
      <c r="C769" s="2101">
        <v>6000000</v>
      </c>
      <c r="D769" s="2101">
        <v>6000000</v>
      </c>
      <c r="E769" s="2101">
        <v>2401072.35</v>
      </c>
      <c r="F769" s="2101"/>
      <c r="G769" s="2200">
        <f t="shared" si="150"/>
        <v>40.017872500000003</v>
      </c>
      <c r="H769" s="2200">
        <f t="shared" si="148"/>
        <v>40.017872500000003</v>
      </c>
      <c r="I769" s="2201">
        <f t="shared" si="149"/>
        <v>244.80721778006634</v>
      </c>
      <c r="J769" s="88">
        <v>980801.29</v>
      </c>
      <c r="K769" s="2"/>
      <c r="L769"/>
      <c r="M769"/>
      <c r="N769"/>
      <c r="O769"/>
      <c r="P769"/>
      <c r="Q769"/>
      <c r="R769"/>
      <c r="S769"/>
      <c r="T769"/>
      <c r="U769"/>
      <c r="V769"/>
      <c r="W769"/>
      <c r="X769"/>
      <c r="Y769"/>
      <c r="Z769"/>
      <c r="AA769"/>
      <c r="AB769"/>
      <c r="AC769"/>
      <c r="AD769"/>
      <c r="AE769"/>
      <c r="AF769"/>
      <c r="AG769"/>
      <c r="AH769"/>
      <c r="AI769"/>
      <c r="AJ769"/>
      <c r="AK769"/>
      <c r="AL769"/>
      <c r="AM769"/>
      <c r="AN769"/>
      <c r="AO769"/>
      <c r="AP769"/>
      <c r="AQ769"/>
      <c r="AR769"/>
      <c r="AS769"/>
      <c r="AT769"/>
      <c r="AU769"/>
      <c r="AV769"/>
      <c r="AW769"/>
      <c r="AX769"/>
      <c r="AY769"/>
      <c r="AZ769"/>
      <c r="BA769"/>
      <c r="BB769"/>
      <c r="BC769"/>
      <c r="BD769"/>
      <c r="BE769"/>
      <c r="BF769"/>
      <c r="BG769"/>
      <c r="BH769"/>
      <c r="BI769"/>
      <c r="BJ769"/>
      <c r="BK769"/>
      <c r="BL769"/>
      <c r="BM769"/>
      <c r="BN769"/>
      <c r="BO769"/>
      <c r="BP769"/>
      <c r="BQ769"/>
      <c r="BR769"/>
      <c r="BS769"/>
      <c r="BT769"/>
      <c r="BU769"/>
      <c r="BV769"/>
      <c r="BW769"/>
      <c r="BX769"/>
      <c r="BY769"/>
      <c r="BZ769"/>
      <c r="CA769"/>
      <c r="CB769"/>
      <c r="CC769"/>
      <c r="CD769"/>
      <c r="CE769"/>
      <c r="CF769"/>
      <c r="CG769"/>
      <c r="CH769"/>
      <c r="CI769"/>
      <c r="CJ769"/>
      <c r="CK769"/>
      <c r="CL769"/>
      <c r="CM769"/>
      <c r="CN769"/>
      <c r="CO769"/>
      <c r="CP769"/>
      <c r="CQ769"/>
      <c r="CR769"/>
      <c r="CS769"/>
      <c r="CT769"/>
      <c r="CU769"/>
      <c r="CV769"/>
      <c r="CW769"/>
      <c r="CX769"/>
      <c r="CY769"/>
      <c r="CZ769"/>
      <c r="DA769"/>
      <c r="DB769"/>
      <c r="DC769"/>
      <c r="DD769"/>
      <c r="DE769"/>
      <c r="DF769"/>
      <c r="DG769"/>
      <c r="DH769"/>
      <c r="DI769"/>
      <c r="DJ769"/>
      <c r="DK769"/>
      <c r="DL769"/>
      <c r="DM769"/>
      <c r="DN769"/>
      <c r="DO769"/>
      <c r="DP769"/>
      <c r="DQ769"/>
      <c r="DR769"/>
      <c r="DS769"/>
      <c r="DT769"/>
      <c r="DU769"/>
      <c r="DV769"/>
      <c r="DW769"/>
      <c r="DX769"/>
      <c r="DY769"/>
      <c r="DZ769"/>
      <c r="EA769"/>
      <c r="EB769"/>
      <c r="EC769"/>
      <c r="ED769"/>
      <c r="EE769"/>
      <c r="EF769"/>
      <c r="EG769"/>
      <c r="EH769"/>
      <c r="EI769"/>
      <c r="EJ769"/>
      <c r="EK769"/>
      <c r="EL769"/>
      <c r="EM769"/>
      <c r="EN769"/>
      <c r="EO769"/>
      <c r="EP769"/>
      <c r="EQ769"/>
      <c r="ER769"/>
      <c r="ES769"/>
      <c r="ET769"/>
      <c r="EU769"/>
      <c r="EV769"/>
      <c r="EW769"/>
      <c r="EX769"/>
      <c r="EY769"/>
      <c r="EZ769"/>
      <c r="FA769"/>
      <c r="FB769"/>
      <c r="FC769"/>
      <c r="FD769"/>
      <c r="FE769"/>
      <c r="FF769"/>
      <c r="FG769"/>
      <c r="FH769"/>
      <c r="FI769"/>
      <c r="FJ769"/>
      <c r="FK769"/>
      <c r="FL769"/>
      <c r="FM769"/>
      <c r="FN769"/>
      <c r="FO769"/>
      <c r="FP769"/>
      <c r="FQ769"/>
      <c r="FR769"/>
      <c r="FS769"/>
      <c r="FT769"/>
      <c r="FU769"/>
      <c r="FV769"/>
      <c r="FW769"/>
      <c r="FX769"/>
      <c r="FY769"/>
      <c r="FZ769"/>
      <c r="GA769"/>
      <c r="GB769"/>
      <c r="GC769"/>
      <c r="GD769"/>
      <c r="GE769"/>
      <c r="GF769"/>
      <c r="GG769"/>
      <c r="GH769"/>
      <c r="GI769"/>
      <c r="GJ769"/>
      <c r="GK769"/>
      <c r="GL769"/>
      <c r="GM769"/>
      <c r="GN769"/>
      <c r="GO769"/>
      <c r="GP769"/>
      <c r="GQ769"/>
      <c r="GR769"/>
      <c r="GS769"/>
      <c r="GT769"/>
      <c r="GU769"/>
      <c r="GV769"/>
      <c r="GW769"/>
      <c r="GX769"/>
      <c r="GY769"/>
      <c r="GZ769"/>
      <c r="HA769"/>
      <c r="HB769"/>
      <c r="HC769"/>
      <c r="HD769"/>
      <c r="HE769"/>
      <c r="HF769"/>
      <c r="HG769"/>
      <c r="HH769"/>
      <c r="HI769"/>
      <c r="HJ769"/>
      <c r="HK769"/>
      <c r="HL769"/>
      <c r="HM769"/>
      <c r="HN769"/>
      <c r="HO769"/>
      <c r="HP769"/>
      <c r="HQ769"/>
      <c r="HR769"/>
      <c r="HS769"/>
      <c r="HT769"/>
      <c r="HU769"/>
      <c r="HV769"/>
      <c r="HW769"/>
      <c r="HX769"/>
      <c r="HY769"/>
      <c r="HZ769"/>
      <c r="IA769"/>
      <c r="IB769"/>
      <c r="IC769"/>
      <c r="ID769"/>
      <c r="IE769"/>
      <c r="IF769"/>
      <c r="IG769"/>
      <c r="IH769"/>
      <c r="II769"/>
      <c r="IJ769"/>
    </row>
    <row r="770" spans="1:244" ht="12.75" customHeight="1" x14ac:dyDescent="0.2">
      <c r="A770" s="2391"/>
      <c r="B770" s="2080" t="s">
        <v>1926</v>
      </c>
      <c r="C770" s="2102">
        <v>200000</v>
      </c>
      <c r="D770" s="2102">
        <v>200000</v>
      </c>
      <c r="E770" s="2102">
        <v>0</v>
      </c>
      <c r="F770" s="2102"/>
      <c r="G770" s="2200">
        <f t="shared" si="150"/>
        <v>0</v>
      </c>
      <c r="H770" s="2200">
        <f t="shared" si="148"/>
        <v>0</v>
      </c>
      <c r="I770" s="2201">
        <v>0</v>
      </c>
      <c r="J770" s="88">
        <v>0</v>
      </c>
      <c r="K770" s="2"/>
      <c r="L770"/>
      <c r="M770"/>
      <c r="N770"/>
      <c r="O770"/>
      <c r="P770"/>
      <c r="Q770"/>
      <c r="R770"/>
      <c r="S770"/>
      <c r="T770"/>
      <c r="U770"/>
      <c r="V770"/>
      <c r="W770"/>
      <c r="X770"/>
      <c r="Y770"/>
      <c r="Z770"/>
      <c r="AA770"/>
      <c r="AB770"/>
      <c r="AC770"/>
      <c r="AD770"/>
      <c r="AE770"/>
      <c r="AF770"/>
      <c r="AG770"/>
      <c r="AH770"/>
      <c r="AI770"/>
      <c r="AJ770"/>
      <c r="AK770"/>
      <c r="AL770"/>
      <c r="AM770"/>
      <c r="AN770"/>
      <c r="AO770"/>
      <c r="AP770"/>
      <c r="AQ770"/>
      <c r="AR770"/>
      <c r="AS770"/>
      <c r="AT770"/>
      <c r="AU770"/>
      <c r="AV770"/>
      <c r="AW770"/>
      <c r="AX770"/>
      <c r="AY770"/>
      <c r="AZ770"/>
      <c r="BA770"/>
      <c r="BB770"/>
      <c r="BC770"/>
      <c r="BD770"/>
      <c r="BE770"/>
      <c r="BF770"/>
      <c r="BG770"/>
      <c r="BH770"/>
      <c r="BI770"/>
      <c r="BJ770"/>
      <c r="BK770"/>
      <c r="BL770"/>
      <c r="BM770"/>
      <c r="BN770"/>
      <c r="BO770"/>
      <c r="BP770"/>
      <c r="BQ770"/>
      <c r="BR770"/>
      <c r="BS770"/>
      <c r="BT770"/>
      <c r="BU770"/>
      <c r="BV770"/>
      <c r="BW770"/>
      <c r="BX770"/>
      <c r="BY770"/>
      <c r="BZ770"/>
      <c r="CA770"/>
      <c r="CB770"/>
      <c r="CC770"/>
      <c r="CD770"/>
      <c r="CE770"/>
      <c r="CF770"/>
      <c r="CG770"/>
      <c r="CH770"/>
      <c r="CI770"/>
      <c r="CJ770"/>
      <c r="CK770"/>
      <c r="CL770"/>
      <c r="CM770"/>
      <c r="CN770"/>
      <c r="CO770"/>
      <c r="CP770"/>
      <c r="CQ770"/>
      <c r="CR770"/>
      <c r="CS770"/>
      <c r="CT770"/>
      <c r="CU770"/>
      <c r="CV770"/>
      <c r="CW770"/>
      <c r="CX770"/>
      <c r="CY770"/>
      <c r="CZ770"/>
      <c r="DA770"/>
      <c r="DB770"/>
      <c r="DC770"/>
      <c r="DD770"/>
      <c r="DE770"/>
      <c r="DF770"/>
      <c r="DG770"/>
      <c r="DH770"/>
      <c r="DI770"/>
      <c r="DJ770"/>
      <c r="DK770"/>
      <c r="DL770"/>
      <c r="DM770"/>
      <c r="DN770"/>
      <c r="DO770"/>
      <c r="DP770"/>
      <c r="DQ770"/>
      <c r="DR770"/>
      <c r="DS770"/>
      <c r="DT770"/>
      <c r="DU770"/>
      <c r="DV770"/>
      <c r="DW770"/>
      <c r="DX770"/>
      <c r="DY770"/>
      <c r="DZ770"/>
      <c r="EA770"/>
      <c r="EB770"/>
      <c r="EC770"/>
      <c r="ED770"/>
      <c r="EE770"/>
      <c r="EF770"/>
      <c r="EG770"/>
      <c r="EH770"/>
      <c r="EI770"/>
      <c r="EJ770"/>
      <c r="EK770"/>
      <c r="EL770"/>
      <c r="EM770"/>
      <c r="EN770"/>
      <c r="EO770"/>
      <c r="EP770"/>
      <c r="EQ770"/>
      <c r="ER770"/>
      <c r="ES770"/>
      <c r="ET770"/>
      <c r="EU770"/>
      <c r="EV770"/>
      <c r="EW770"/>
      <c r="EX770"/>
      <c r="EY770"/>
      <c r="EZ770"/>
      <c r="FA770"/>
      <c r="FB770"/>
      <c r="FC770"/>
      <c r="FD770"/>
      <c r="FE770"/>
      <c r="FF770"/>
      <c r="FG770"/>
      <c r="FH770"/>
      <c r="FI770"/>
      <c r="FJ770"/>
      <c r="FK770"/>
      <c r="FL770"/>
      <c r="FM770"/>
      <c r="FN770"/>
      <c r="FO770"/>
      <c r="FP770"/>
      <c r="FQ770"/>
      <c r="FR770"/>
      <c r="FS770"/>
      <c r="FT770"/>
      <c r="FU770"/>
      <c r="FV770"/>
      <c r="FW770"/>
      <c r="FX770"/>
      <c r="FY770"/>
      <c r="FZ770"/>
      <c r="GA770"/>
      <c r="GB770"/>
      <c r="GC770"/>
      <c r="GD770"/>
      <c r="GE770"/>
      <c r="GF770"/>
      <c r="GG770"/>
      <c r="GH770"/>
      <c r="GI770"/>
      <c r="GJ770"/>
      <c r="GK770"/>
      <c r="GL770"/>
      <c r="GM770"/>
      <c r="GN770"/>
      <c r="GO770"/>
      <c r="GP770"/>
      <c r="GQ770"/>
      <c r="GR770"/>
      <c r="GS770"/>
      <c r="GT770"/>
      <c r="GU770"/>
      <c r="GV770"/>
      <c r="GW770"/>
      <c r="GX770"/>
      <c r="GY770"/>
      <c r="GZ770"/>
      <c r="HA770"/>
      <c r="HB770"/>
      <c r="HC770"/>
      <c r="HD770"/>
      <c r="HE770"/>
      <c r="HF770"/>
      <c r="HG770"/>
      <c r="HH770"/>
      <c r="HI770"/>
      <c r="HJ770"/>
      <c r="HK770"/>
      <c r="HL770"/>
      <c r="HM770"/>
      <c r="HN770"/>
      <c r="HO770"/>
      <c r="HP770"/>
      <c r="HQ770"/>
      <c r="HR770"/>
      <c r="HS770"/>
      <c r="HT770"/>
      <c r="HU770"/>
      <c r="HV770"/>
      <c r="HW770"/>
      <c r="HX770"/>
      <c r="HY770"/>
      <c r="HZ770"/>
      <c r="IA770"/>
      <c r="IB770"/>
      <c r="IC770"/>
      <c r="ID770"/>
      <c r="IE770"/>
      <c r="IF770"/>
      <c r="IG770"/>
      <c r="IH770"/>
      <c r="II770"/>
      <c r="IJ770"/>
    </row>
    <row r="771" spans="1:244" ht="12.75" customHeight="1" x14ac:dyDescent="0.2">
      <c r="A771" s="2391"/>
      <c r="B771" s="2080" t="s">
        <v>1927</v>
      </c>
      <c r="C771" s="2102">
        <v>1500000</v>
      </c>
      <c r="D771" s="2102">
        <v>1500000</v>
      </c>
      <c r="E771" s="2102">
        <v>1074535.8400000001</v>
      </c>
      <c r="F771" s="2102"/>
      <c r="G771" s="2200">
        <f t="shared" si="150"/>
        <v>71.635722666666666</v>
      </c>
      <c r="H771" s="2200">
        <f t="shared" si="148"/>
        <v>71.635722666666666</v>
      </c>
      <c r="I771" s="2201">
        <f t="shared" si="149"/>
        <v>764.58957602805231</v>
      </c>
      <c r="J771" s="88">
        <v>140537.60000000001</v>
      </c>
      <c r="K771" s="2"/>
      <c r="L771"/>
      <c r="M771"/>
      <c r="N771"/>
      <c r="O771"/>
      <c r="P771"/>
      <c r="Q771"/>
      <c r="R771"/>
      <c r="S771"/>
      <c r="T771"/>
      <c r="U771"/>
      <c r="V771"/>
      <c r="W771"/>
      <c r="X771"/>
      <c r="Y771"/>
      <c r="Z771"/>
      <c r="AA771"/>
      <c r="AB771"/>
      <c r="AC771"/>
      <c r="AD771"/>
      <c r="AE771"/>
      <c r="AF771"/>
      <c r="AG771"/>
      <c r="AH771"/>
      <c r="AI771"/>
      <c r="AJ771"/>
      <c r="AK771"/>
      <c r="AL771"/>
      <c r="AM771"/>
      <c r="AN771"/>
      <c r="AO771"/>
      <c r="AP771"/>
      <c r="AQ771"/>
      <c r="AR771"/>
      <c r="AS771"/>
      <c r="AT771"/>
      <c r="AU771"/>
      <c r="AV771"/>
      <c r="AW771"/>
      <c r="AX771"/>
      <c r="AY771"/>
      <c r="AZ771"/>
      <c r="BA771"/>
      <c r="BB771"/>
      <c r="BC771"/>
      <c r="BD771"/>
      <c r="BE771"/>
      <c r="BF771"/>
      <c r="BG771"/>
      <c r="BH771"/>
      <c r="BI771"/>
      <c r="BJ771"/>
      <c r="BK771"/>
      <c r="BL771"/>
      <c r="BM771"/>
      <c r="BN771"/>
      <c r="BO771"/>
      <c r="BP771"/>
      <c r="BQ771"/>
      <c r="BR771"/>
      <c r="BS771"/>
      <c r="BT771"/>
      <c r="BU771"/>
      <c r="BV771"/>
      <c r="BW771"/>
      <c r="BX771"/>
      <c r="BY771"/>
      <c r="BZ771"/>
      <c r="CA771"/>
      <c r="CB771"/>
      <c r="CC771"/>
      <c r="CD771"/>
      <c r="CE771"/>
      <c r="CF771"/>
      <c r="CG771"/>
      <c r="CH771"/>
      <c r="CI771"/>
      <c r="CJ771"/>
      <c r="CK771"/>
      <c r="CL771"/>
      <c r="CM771"/>
      <c r="CN771"/>
      <c r="CO771"/>
      <c r="CP771"/>
      <c r="CQ771"/>
      <c r="CR771"/>
      <c r="CS771"/>
      <c r="CT771"/>
      <c r="CU771"/>
      <c r="CV771"/>
      <c r="CW771"/>
      <c r="CX771"/>
      <c r="CY771"/>
      <c r="CZ771"/>
      <c r="DA771"/>
      <c r="DB771"/>
      <c r="DC771"/>
      <c r="DD771"/>
      <c r="DE771"/>
      <c r="DF771"/>
      <c r="DG771"/>
      <c r="DH771"/>
      <c r="DI771"/>
      <c r="DJ771"/>
      <c r="DK771"/>
      <c r="DL771"/>
      <c r="DM771"/>
      <c r="DN771"/>
      <c r="DO771"/>
      <c r="DP771"/>
      <c r="DQ771"/>
      <c r="DR771"/>
      <c r="DS771"/>
      <c r="DT771"/>
      <c r="DU771"/>
      <c r="DV771"/>
      <c r="DW771"/>
      <c r="DX771"/>
      <c r="DY771"/>
      <c r="DZ771"/>
      <c r="EA771"/>
      <c r="EB771"/>
      <c r="EC771"/>
      <c r="ED771"/>
      <c r="EE771"/>
      <c r="EF771"/>
      <c r="EG771"/>
      <c r="EH771"/>
      <c r="EI771"/>
      <c r="EJ771"/>
      <c r="EK771"/>
      <c r="EL771"/>
      <c r="EM771"/>
      <c r="EN771"/>
      <c r="EO771"/>
      <c r="EP771"/>
      <c r="EQ771"/>
      <c r="ER771"/>
      <c r="ES771"/>
      <c r="ET771"/>
      <c r="EU771"/>
      <c r="EV771"/>
      <c r="EW771"/>
      <c r="EX771"/>
      <c r="EY771"/>
      <c r="EZ771"/>
      <c r="FA771"/>
      <c r="FB771"/>
      <c r="FC771"/>
      <c r="FD771"/>
      <c r="FE771"/>
      <c r="FF771"/>
      <c r="FG771"/>
      <c r="FH771"/>
      <c r="FI771"/>
      <c r="FJ771"/>
      <c r="FK771"/>
      <c r="FL771"/>
      <c r="FM771"/>
      <c r="FN771"/>
      <c r="FO771"/>
      <c r="FP771"/>
      <c r="FQ771"/>
      <c r="FR771"/>
      <c r="FS771"/>
      <c r="FT771"/>
      <c r="FU771"/>
      <c r="FV771"/>
      <c r="FW771"/>
      <c r="FX771"/>
      <c r="FY771"/>
      <c r="FZ771"/>
      <c r="GA771"/>
      <c r="GB771"/>
      <c r="GC771"/>
      <c r="GD771"/>
      <c r="GE771"/>
      <c r="GF771"/>
      <c r="GG771"/>
      <c r="GH771"/>
      <c r="GI771"/>
      <c r="GJ771"/>
      <c r="GK771"/>
      <c r="GL771"/>
      <c r="GM771"/>
      <c r="GN771"/>
      <c r="GO771"/>
      <c r="GP771"/>
      <c r="GQ771"/>
      <c r="GR771"/>
      <c r="GS771"/>
      <c r="GT771"/>
      <c r="GU771"/>
      <c r="GV771"/>
      <c r="GW771"/>
      <c r="GX771"/>
      <c r="GY771"/>
      <c r="GZ771"/>
      <c r="HA771"/>
      <c r="HB771"/>
      <c r="HC771"/>
      <c r="HD771"/>
      <c r="HE771"/>
      <c r="HF771"/>
      <c r="HG771"/>
      <c r="HH771"/>
      <c r="HI771"/>
      <c r="HJ771"/>
      <c r="HK771"/>
      <c r="HL771"/>
      <c r="HM771"/>
      <c r="HN771"/>
      <c r="HO771"/>
      <c r="HP771"/>
      <c r="HQ771"/>
      <c r="HR771"/>
      <c r="HS771"/>
      <c r="HT771"/>
      <c r="HU771"/>
      <c r="HV771"/>
      <c r="HW771"/>
      <c r="HX771"/>
      <c r="HY771"/>
      <c r="HZ771"/>
      <c r="IA771"/>
      <c r="IB771"/>
      <c r="IC771"/>
      <c r="ID771"/>
      <c r="IE771"/>
      <c r="IF771"/>
      <c r="IG771"/>
      <c r="IH771"/>
      <c r="II771"/>
      <c r="IJ771"/>
    </row>
    <row r="772" spans="1:244" ht="12.75" customHeight="1" x14ac:dyDescent="0.2">
      <c r="A772" s="2391"/>
      <c r="B772" s="2103" t="s">
        <v>1929</v>
      </c>
      <c r="C772" s="2104">
        <f>C773</f>
        <v>3000000</v>
      </c>
      <c r="D772" s="2104">
        <f>D773</f>
        <v>5000000</v>
      </c>
      <c r="E772" s="2104">
        <v>1434832.55</v>
      </c>
      <c r="F772" s="2082"/>
      <c r="G772" s="2466">
        <f t="shared" si="150"/>
        <v>47.827751666666671</v>
      </c>
      <c r="H772" s="2466">
        <f t="shared" si="148"/>
        <v>28.696650999999999</v>
      </c>
      <c r="I772" s="2467">
        <f t="shared" si="149"/>
        <v>126.86800454613594</v>
      </c>
      <c r="J772" s="88">
        <v>1130964.8600000001</v>
      </c>
      <c r="K772" s="2"/>
      <c r="L772"/>
      <c r="M772"/>
      <c r="N772"/>
      <c r="O772"/>
      <c r="P772"/>
      <c r="Q772"/>
      <c r="R772"/>
      <c r="S772"/>
      <c r="T772"/>
      <c r="U772"/>
      <c r="V772"/>
      <c r="W772"/>
      <c r="X772"/>
      <c r="Y772"/>
      <c r="Z772"/>
      <c r="AA772"/>
      <c r="AB772"/>
      <c r="AC772"/>
      <c r="AD772"/>
      <c r="AE772"/>
      <c r="AF772"/>
      <c r="AG772"/>
      <c r="AH772"/>
      <c r="AI772"/>
      <c r="AJ772"/>
      <c r="AK772"/>
      <c r="AL772"/>
      <c r="AM772"/>
      <c r="AN772"/>
      <c r="AO772"/>
      <c r="AP772"/>
      <c r="AQ772"/>
      <c r="AR772"/>
      <c r="AS772"/>
      <c r="AT772"/>
      <c r="AU772"/>
      <c r="AV772"/>
      <c r="AW772"/>
      <c r="AX772"/>
      <c r="AY772"/>
      <c r="AZ772"/>
      <c r="BA772"/>
      <c r="BB772"/>
      <c r="BC772"/>
      <c r="BD772"/>
      <c r="BE772"/>
      <c r="BF772"/>
      <c r="BG772"/>
      <c r="BH772"/>
      <c r="BI772"/>
      <c r="BJ772"/>
      <c r="BK772"/>
      <c r="BL772"/>
      <c r="BM772"/>
      <c r="BN772"/>
      <c r="BO772"/>
      <c r="BP772"/>
      <c r="BQ772"/>
      <c r="BR772"/>
      <c r="BS772"/>
      <c r="BT772"/>
      <c r="BU772"/>
      <c r="BV772"/>
      <c r="BW772"/>
      <c r="BX772"/>
      <c r="BY772"/>
      <c r="BZ772"/>
      <c r="CA772"/>
      <c r="CB772"/>
      <c r="CC772"/>
      <c r="CD772"/>
      <c r="CE772"/>
      <c r="CF772"/>
      <c r="CG772"/>
      <c r="CH772"/>
      <c r="CI772"/>
      <c r="CJ772"/>
      <c r="CK772"/>
      <c r="CL772"/>
      <c r="CM772"/>
      <c r="CN772"/>
      <c r="CO772"/>
      <c r="CP772"/>
      <c r="CQ772"/>
      <c r="CR772"/>
      <c r="CS772"/>
      <c r="CT772"/>
      <c r="CU772"/>
      <c r="CV772"/>
      <c r="CW772"/>
      <c r="CX772"/>
      <c r="CY772"/>
      <c r="CZ772"/>
      <c r="DA772"/>
      <c r="DB772"/>
      <c r="DC772"/>
      <c r="DD772"/>
      <c r="DE772"/>
      <c r="DF772"/>
      <c r="DG772"/>
      <c r="DH772"/>
      <c r="DI772"/>
      <c r="DJ772"/>
      <c r="DK772"/>
      <c r="DL772"/>
      <c r="DM772"/>
      <c r="DN772"/>
      <c r="DO772"/>
      <c r="DP772"/>
      <c r="DQ772"/>
      <c r="DR772"/>
      <c r="DS772"/>
      <c r="DT772"/>
      <c r="DU772"/>
      <c r="DV772"/>
      <c r="DW772"/>
      <c r="DX772"/>
      <c r="DY772"/>
      <c r="DZ772"/>
      <c r="EA772"/>
      <c r="EB772"/>
      <c r="EC772"/>
      <c r="ED772"/>
      <c r="EE772"/>
      <c r="EF772"/>
      <c r="EG772"/>
      <c r="EH772"/>
      <c r="EI772"/>
      <c r="EJ772"/>
      <c r="EK772"/>
      <c r="EL772"/>
      <c r="EM772"/>
      <c r="EN772"/>
      <c r="EO772"/>
      <c r="EP772"/>
      <c r="EQ772"/>
      <c r="ER772"/>
      <c r="ES772"/>
      <c r="ET772"/>
      <c r="EU772"/>
      <c r="EV772"/>
      <c r="EW772"/>
      <c r="EX772"/>
      <c r="EY772"/>
      <c r="EZ772"/>
      <c r="FA772"/>
      <c r="FB772"/>
      <c r="FC772"/>
      <c r="FD772"/>
      <c r="FE772"/>
      <c r="FF772"/>
      <c r="FG772"/>
      <c r="FH772"/>
      <c r="FI772"/>
      <c r="FJ772"/>
      <c r="FK772"/>
      <c r="FL772"/>
      <c r="FM772"/>
      <c r="FN772"/>
      <c r="FO772"/>
      <c r="FP772"/>
      <c r="FQ772"/>
      <c r="FR772"/>
      <c r="FS772"/>
      <c r="FT772"/>
      <c r="FU772"/>
      <c r="FV772"/>
      <c r="FW772"/>
      <c r="FX772"/>
      <c r="FY772"/>
      <c r="FZ772"/>
      <c r="GA772"/>
      <c r="GB772"/>
      <c r="GC772"/>
      <c r="GD772"/>
      <c r="GE772"/>
      <c r="GF772"/>
      <c r="GG772"/>
      <c r="GH772"/>
      <c r="GI772"/>
      <c r="GJ772"/>
      <c r="GK772"/>
      <c r="GL772"/>
      <c r="GM772"/>
      <c r="GN772"/>
      <c r="GO772"/>
      <c r="GP772"/>
      <c r="GQ772"/>
      <c r="GR772"/>
      <c r="GS772"/>
      <c r="GT772"/>
      <c r="GU772"/>
      <c r="GV772"/>
      <c r="GW772"/>
      <c r="GX772"/>
      <c r="GY772"/>
      <c r="GZ772"/>
      <c r="HA772"/>
      <c r="HB772"/>
      <c r="HC772"/>
      <c r="HD772"/>
      <c r="HE772"/>
      <c r="HF772"/>
      <c r="HG772"/>
      <c r="HH772"/>
      <c r="HI772"/>
      <c r="HJ772"/>
      <c r="HK772"/>
      <c r="HL772"/>
      <c r="HM772"/>
      <c r="HN772"/>
      <c r="HO772"/>
      <c r="HP772"/>
      <c r="HQ772"/>
      <c r="HR772"/>
      <c r="HS772"/>
      <c r="HT772"/>
      <c r="HU772"/>
      <c r="HV772"/>
      <c r="HW772"/>
      <c r="HX772"/>
      <c r="HY772"/>
      <c r="HZ772"/>
      <c r="IA772"/>
      <c r="IB772"/>
      <c r="IC772"/>
      <c r="ID772"/>
      <c r="IE772"/>
      <c r="IF772"/>
      <c r="IG772"/>
      <c r="IH772"/>
      <c r="II772"/>
      <c r="IJ772"/>
    </row>
    <row r="773" spans="1:244" s="488" customFormat="1" ht="12.75" customHeight="1" x14ac:dyDescent="0.2">
      <c r="A773" s="2462"/>
      <c r="B773" s="2080" t="s">
        <v>1930</v>
      </c>
      <c r="C773" s="2075">
        <v>3000000</v>
      </c>
      <c r="D773" s="2075">
        <f>3000000+2000000</f>
        <v>5000000</v>
      </c>
      <c r="E773" s="2075">
        <v>1434832.55</v>
      </c>
      <c r="F773" s="2075"/>
      <c r="G773" s="2200">
        <f t="shared" si="150"/>
        <v>47.827751666666671</v>
      </c>
      <c r="H773" s="2200">
        <f t="shared" si="148"/>
        <v>28.696650999999999</v>
      </c>
      <c r="I773" s="2201">
        <f t="shared" si="149"/>
        <v>126.86800454613594</v>
      </c>
      <c r="J773" s="88">
        <v>1130964.8600000001</v>
      </c>
    </row>
    <row r="774" spans="1:244" ht="12.75" customHeight="1" x14ac:dyDescent="0.2">
      <c r="A774" s="2468"/>
      <c r="B774" s="2109" t="s">
        <v>1934</v>
      </c>
      <c r="C774" s="2104">
        <f>C775</f>
        <v>4000000</v>
      </c>
      <c r="D774" s="2104">
        <f>D775</f>
        <v>4000000</v>
      </c>
      <c r="E774" s="2104">
        <v>1044677.41</v>
      </c>
      <c r="F774" s="2082"/>
      <c r="G774" s="2466">
        <f t="shared" si="150"/>
        <v>26.116935250000001</v>
      </c>
      <c r="H774" s="2466">
        <f t="shared" si="148"/>
        <v>26.116935250000001</v>
      </c>
      <c r="I774" s="2467">
        <f t="shared" si="149"/>
        <v>93.882592314479169</v>
      </c>
      <c r="J774" s="88">
        <v>1112748.79</v>
      </c>
      <c r="K774" s="2"/>
      <c r="L774"/>
      <c r="M774"/>
      <c r="N774"/>
      <c r="O774"/>
      <c r="P774"/>
      <c r="Q774"/>
      <c r="R774"/>
      <c r="S774"/>
      <c r="T774"/>
      <c r="U774"/>
      <c r="V774"/>
      <c r="W774"/>
      <c r="X774"/>
      <c r="Y774"/>
      <c r="Z774"/>
      <c r="AA774"/>
      <c r="AB774"/>
      <c r="AC774"/>
      <c r="AD774"/>
      <c r="AE774"/>
      <c r="AF774"/>
      <c r="AG774"/>
      <c r="AH774"/>
      <c r="AI774"/>
      <c r="AJ774"/>
      <c r="AK774"/>
      <c r="AL774"/>
      <c r="AM774"/>
      <c r="AN774"/>
      <c r="AO774"/>
      <c r="AP774"/>
      <c r="AQ774"/>
      <c r="AR774"/>
      <c r="AS774"/>
      <c r="AT774"/>
      <c r="AU774"/>
      <c r="AV774"/>
      <c r="AW774"/>
      <c r="AX774"/>
      <c r="AY774"/>
      <c r="AZ774"/>
      <c r="BA774"/>
      <c r="BB774"/>
      <c r="BC774"/>
      <c r="BD774"/>
      <c r="BE774"/>
      <c r="BF774"/>
      <c r="BG774"/>
      <c r="BH774"/>
      <c r="BI774"/>
      <c r="BJ774"/>
      <c r="BK774"/>
      <c r="BL774"/>
      <c r="BM774"/>
      <c r="BN774"/>
      <c r="BO774"/>
      <c r="BP774"/>
      <c r="BQ774"/>
      <c r="BR774"/>
      <c r="BS774"/>
      <c r="BT774"/>
      <c r="BU774"/>
      <c r="BV774"/>
      <c r="BW774"/>
      <c r="BX774"/>
      <c r="BY774"/>
      <c r="BZ774"/>
      <c r="CA774"/>
      <c r="CB774"/>
      <c r="CC774"/>
      <c r="CD774"/>
      <c r="CE774"/>
      <c r="CF774"/>
      <c r="CG774"/>
      <c r="CH774"/>
      <c r="CI774"/>
      <c r="CJ774"/>
      <c r="CK774"/>
      <c r="CL774"/>
      <c r="CM774"/>
      <c r="CN774"/>
      <c r="CO774"/>
      <c r="CP774"/>
      <c r="CQ774"/>
      <c r="CR774"/>
      <c r="CS774"/>
      <c r="CT774"/>
      <c r="CU774"/>
      <c r="CV774"/>
      <c r="CW774"/>
      <c r="CX774"/>
      <c r="CY774"/>
      <c r="CZ774"/>
      <c r="DA774"/>
      <c r="DB774"/>
      <c r="DC774"/>
      <c r="DD774"/>
      <c r="DE774"/>
      <c r="DF774"/>
      <c r="DG774"/>
      <c r="DH774"/>
      <c r="DI774"/>
      <c r="DJ774"/>
      <c r="DK774"/>
      <c r="DL774"/>
      <c r="DM774"/>
      <c r="DN774"/>
      <c r="DO774"/>
      <c r="DP774"/>
      <c r="DQ774"/>
      <c r="DR774"/>
      <c r="DS774"/>
      <c r="DT774"/>
      <c r="DU774"/>
      <c r="DV774"/>
      <c r="DW774"/>
      <c r="DX774"/>
      <c r="DY774"/>
      <c r="DZ774"/>
      <c r="EA774"/>
      <c r="EB774"/>
      <c r="EC774"/>
      <c r="ED774"/>
      <c r="EE774"/>
      <c r="EF774"/>
      <c r="EG774"/>
      <c r="EH774"/>
      <c r="EI774"/>
      <c r="EJ774"/>
      <c r="EK774"/>
      <c r="EL774"/>
      <c r="EM774"/>
      <c r="EN774"/>
      <c r="EO774"/>
      <c r="EP774"/>
      <c r="EQ774"/>
      <c r="ER774"/>
      <c r="ES774"/>
      <c r="ET774"/>
      <c r="EU774"/>
      <c r="EV774"/>
      <c r="EW774"/>
      <c r="EX774"/>
      <c r="EY774"/>
      <c r="EZ774"/>
      <c r="FA774"/>
      <c r="FB774"/>
      <c r="FC774"/>
      <c r="FD774"/>
      <c r="FE774"/>
      <c r="FF774"/>
      <c r="FG774"/>
      <c r="FH774"/>
      <c r="FI774"/>
      <c r="FJ774"/>
      <c r="FK774"/>
      <c r="FL774"/>
      <c r="FM774"/>
      <c r="FN774"/>
      <c r="FO774"/>
      <c r="FP774"/>
      <c r="FQ774"/>
      <c r="FR774"/>
      <c r="FS774"/>
      <c r="FT774"/>
      <c r="FU774"/>
      <c r="FV774"/>
      <c r="FW774"/>
      <c r="FX774"/>
      <c r="FY774"/>
      <c r="FZ774"/>
      <c r="GA774"/>
      <c r="GB774"/>
      <c r="GC774"/>
      <c r="GD774"/>
      <c r="GE774"/>
      <c r="GF774"/>
      <c r="GG774"/>
      <c r="GH774"/>
      <c r="GI774"/>
      <c r="GJ774"/>
      <c r="GK774"/>
      <c r="GL774"/>
      <c r="GM774"/>
      <c r="GN774"/>
      <c r="GO774"/>
      <c r="GP774"/>
      <c r="GQ774"/>
      <c r="GR774"/>
      <c r="GS774"/>
      <c r="GT774"/>
      <c r="GU774"/>
      <c r="GV774"/>
      <c r="GW774"/>
      <c r="GX774"/>
      <c r="GY774"/>
      <c r="GZ774"/>
      <c r="HA774"/>
      <c r="HB774"/>
      <c r="HC774"/>
      <c r="HD774"/>
      <c r="HE774"/>
      <c r="HF774"/>
      <c r="HG774"/>
      <c r="HH774"/>
      <c r="HI774"/>
      <c r="HJ774"/>
      <c r="HK774"/>
      <c r="HL774"/>
      <c r="HM774"/>
      <c r="HN774"/>
      <c r="HO774"/>
      <c r="HP774"/>
      <c r="HQ774"/>
      <c r="HR774"/>
      <c r="HS774"/>
      <c r="HT774"/>
      <c r="HU774"/>
      <c r="HV774"/>
      <c r="HW774"/>
      <c r="HX774"/>
      <c r="HY774"/>
      <c r="HZ774"/>
      <c r="IA774"/>
      <c r="IB774"/>
      <c r="IC774"/>
      <c r="ID774"/>
      <c r="IE774"/>
      <c r="IF774"/>
      <c r="IG774"/>
      <c r="IH774"/>
      <c r="II774"/>
      <c r="IJ774"/>
    </row>
    <row r="775" spans="1:244" ht="12.75" customHeight="1" x14ac:dyDescent="0.2">
      <c r="A775" s="2468"/>
      <c r="B775" s="2110" t="s">
        <v>850</v>
      </c>
      <c r="C775" s="2111">
        <v>4000000</v>
      </c>
      <c r="D775" s="2111">
        <v>4000000</v>
      </c>
      <c r="E775" s="2111">
        <v>1044677.41</v>
      </c>
      <c r="F775" s="2111"/>
      <c r="G775" s="2200">
        <f t="shared" si="150"/>
        <v>26.116935250000001</v>
      </c>
      <c r="H775" s="2200">
        <f t="shared" si="148"/>
        <v>26.116935250000001</v>
      </c>
      <c r="I775" s="2201">
        <f t="shared" si="149"/>
        <v>117.27554519405213</v>
      </c>
      <c r="J775" s="88">
        <v>890788.79</v>
      </c>
      <c r="K775" s="2"/>
      <c r="L775"/>
      <c r="M775"/>
      <c r="N775"/>
      <c r="O775"/>
      <c r="P775"/>
      <c r="Q775"/>
      <c r="R775"/>
      <c r="S775"/>
      <c r="T775"/>
      <c r="U775"/>
      <c r="V775"/>
      <c r="W775"/>
      <c r="X775"/>
      <c r="Y775"/>
      <c r="Z775"/>
      <c r="AA775"/>
      <c r="AB775"/>
      <c r="AC775"/>
      <c r="AD775"/>
      <c r="AE775"/>
      <c r="AF775"/>
      <c r="AG775"/>
      <c r="AH775"/>
      <c r="AI775"/>
      <c r="AJ775"/>
      <c r="AK775"/>
      <c r="AL775"/>
      <c r="AM775"/>
      <c r="AN775"/>
      <c r="AO775"/>
      <c r="AP775"/>
      <c r="AQ775"/>
      <c r="AR775"/>
      <c r="AS775"/>
      <c r="AT775"/>
      <c r="AU775"/>
      <c r="AV775"/>
      <c r="AW775"/>
      <c r="AX775"/>
      <c r="AY775"/>
      <c r="AZ775"/>
      <c r="BA775"/>
      <c r="BB775"/>
      <c r="BC775"/>
      <c r="BD775"/>
      <c r="BE775"/>
      <c r="BF775"/>
      <c r="BG775"/>
      <c r="BH775"/>
      <c r="BI775"/>
      <c r="BJ775"/>
      <c r="BK775"/>
      <c r="BL775"/>
      <c r="BM775"/>
      <c r="BN775"/>
      <c r="BO775"/>
      <c r="BP775"/>
      <c r="BQ775"/>
      <c r="BR775"/>
      <c r="BS775"/>
      <c r="BT775"/>
      <c r="BU775"/>
      <c r="BV775"/>
      <c r="BW775"/>
      <c r="BX775"/>
      <c r="BY775"/>
      <c r="BZ775"/>
      <c r="CA775"/>
      <c r="CB775"/>
      <c r="CC775"/>
      <c r="CD775"/>
      <c r="CE775"/>
      <c r="CF775"/>
      <c r="CG775"/>
      <c r="CH775"/>
      <c r="CI775"/>
      <c r="CJ775"/>
      <c r="CK775"/>
      <c r="CL775"/>
      <c r="CM775"/>
      <c r="CN775"/>
      <c r="CO775"/>
      <c r="CP775"/>
      <c r="CQ775"/>
      <c r="CR775"/>
      <c r="CS775"/>
      <c r="CT775"/>
      <c r="CU775"/>
      <c r="CV775"/>
      <c r="CW775"/>
      <c r="CX775"/>
      <c r="CY775"/>
      <c r="CZ775"/>
      <c r="DA775"/>
      <c r="DB775"/>
      <c r="DC775"/>
      <c r="DD775"/>
      <c r="DE775"/>
      <c r="DF775"/>
      <c r="DG775"/>
      <c r="DH775"/>
      <c r="DI775"/>
      <c r="DJ775"/>
      <c r="DK775"/>
      <c r="DL775"/>
      <c r="DM775"/>
      <c r="DN775"/>
      <c r="DO775"/>
      <c r="DP775"/>
      <c r="DQ775"/>
      <c r="DR775"/>
      <c r="DS775"/>
      <c r="DT775"/>
      <c r="DU775"/>
      <c r="DV775"/>
      <c r="DW775"/>
      <c r="DX775"/>
      <c r="DY775"/>
      <c r="DZ775"/>
      <c r="EA775"/>
      <c r="EB775"/>
      <c r="EC775"/>
      <c r="ED775"/>
      <c r="EE775"/>
      <c r="EF775"/>
      <c r="EG775"/>
      <c r="EH775"/>
      <c r="EI775"/>
      <c r="EJ775"/>
      <c r="EK775"/>
      <c r="EL775"/>
      <c r="EM775"/>
      <c r="EN775"/>
      <c r="EO775"/>
      <c r="EP775"/>
      <c r="EQ775"/>
      <c r="ER775"/>
      <c r="ES775"/>
      <c r="ET775"/>
      <c r="EU775"/>
      <c r="EV775"/>
      <c r="EW775"/>
      <c r="EX775"/>
      <c r="EY775"/>
      <c r="EZ775"/>
      <c r="FA775"/>
      <c r="FB775"/>
      <c r="FC775"/>
      <c r="FD775"/>
      <c r="FE775"/>
      <c r="FF775"/>
      <c r="FG775"/>
      <c r="FH775"/>
      <c r="FI775"/>
      <c r="FJ775"/>
      <c r="FK775"/>
      <c r="FL775"/>
      <c r="FM775"/>
      <c r="FN775"/>
      <c r="FO775"/>
      <c r="FP775"/>
      <c r="FQ775"/>
      <c r="FR775"/>
      <c r="FS775"/>
      <c r="FT775"/>
      <c r="FU775"/>
      <c r="FV775"/>
      <c r="FW775"/>
      <c r="FX775"/>
      <c r="FY775"/>
      <c r="FZ775"/>
      <c r="GA775"/>
      <c r="GB775"/>
      <c r="GC775"/>
      <c r="GD775"/>
      <c r="GE775"/>
      <c r="GF775"/>
      <c r="GG775"/>
      <c r="GH775"/>
      <c r="GI775"/>
      <c r="GJ775"/>
      <c r="GK775"/>
      <c r="GL775"/>
      <c r="GM775"/>
      <c r="GN775"/>
      <c r="GO775"/>
      <c r="GP775"/>
      <c r="GQ775"/>
      <c r="GR775"/>
      <c r="GS775"/>
      <c r="GT775"/>
      <c r="GU775"/>
      <c r="GV775"/>
      <c r="GW775"/>
      <c r="GX775"/>
      <c r="GY775"/>
      <c r="GZ775"/>
      <c r="HA775"/>
      <c r="HB775"/>
      <c r="HC775"/>
      <c r="HD775"/>
      <c r="HE775"/>
      <c r="HF775"/>
      <c r="HG775"/>
      <c r="HH775"/>
      <c r="HI775"/>
      <c r="HJ775"/>
      <c r="HK775"/>
      <c r="HL775"/>
      <c r="HM775"/>
      <c r="HN775"/>
      <c r="HO775"/>
      <c r="HP775"/>
      <c r="HQ775"/>
      <c r="HR775"/>
      <c r="HS775"/>
      <c r="HT775"/>
      <c r="HU775"/>
      <c r="HV775"/>
      <c r="HW775"/>
      <c r="HX775"/>
      <c r="HY775"/>
      <c r="HZ775"/>
      <c r="IA775"/>
      <c r="IB775"/>
      <c r="IC775"/>
      <c r="ID775"/>
      <c r="IE775"/>
      <c r="IF775"/>
      <c r="IG775"/>
      <c r="IH775"/>
      <c r="II775"/>
      <c r="IJ775"/>
    </row>
    <row r="776" spans="1:244" s="488" customFormat="1" ht="12.75" customHeight="1" x14ac:dyDescent="0.2">
      <c r="A776" s="2468"/>
      <c r="B776" s="2112" t="s">
        <v>2549</v>
      </c>
      <c r="C776" s="2107">
        <v>200000</v>
      </c>
      <c r="D776" s="2107">
        <v>200000</v>
      </c>
      <c r="E776" s="2107">
        <v>65701</v>
      </c>
      <c r="F776" s="2107"/>
      <c r="G776" s="2200">
        <f t="shared" si="150"/>
        <v>32.850499999999997</v>
      </c>
      <c r="H776" s="2200">
        <f t="shared" si="148"/>
        <v>32.850499999999997</v>
      </c>
      <c r="I776" s="2201">
        <f t="shared" si="149"/>
        <v>113.6970892603745</v>
      </c>
      <c r="J776" s="88">
        <v>57786</v>
      </c>
    </row>
    <row r="777" spans="1:244" ht="12.75" customHeight="1" x14ac:dyDescent="0.2">
      <c r="A777" s="2468"/>
      <c r="B777" s="2112" t="s">
        <v>2953</v>
      </c>
      <c r="C777" s="2107">
        <v>3000000</v>
      </c>
      <c r="D777" s="2107">
        <v>3000000</v>
      </c>
      <c r="E777" s="2107">
        <v>1228526.8899999999</v>
      </c>
      <c r="F777" s="2107"/>
      <c r="G777" s="2200">
        <f t="shared" si="150"/>
        <v>40.950896333333333</v>
      </c>
      <c r="H777" s="2200">
        <f t="shared" si="148"/>
        <v>40.950896333333333</v>
      </c>
      <c r="I777" s="2201">
        <f t="shared" si="149"/>
        <v>104.85667208970489</v>
      </c>
      <c r="J777" s="88">
        <v>1171624.9099999999</v>
      </c>
      <c r="K777" s="2"/>
      <c r="L777"/>
      <c r="M777"/>
      <c r="N777"/>
      <c r="O777"/>
      <c r="P777"/>
      <c r="Q777"/>
      <c r="R777"/>
      <c r="S777"/>
      <c r="T777"/>
      <c r="U777"/>
      <c r="V777"/>
      <c r="W777"/>
      <c r="X777"/>
      <c r="Y777"/>
      <c r="Z777"/>
      <c r="AA777"/>
      <c r="AB777"/>
      <c r="AC777"/>
      <c r="AD777"/>
      <c r="AE777"/>
      <c r="AF777"/>
      <c r="AG777"/>
      <c r="AH777"/>
      <c r="AI777"/>
      <c r="AJ777"/>
      <c r="AK777"/>
      <c r="AL777"/>
      <c r="AM777"/>
      <c r="AN777"/>
      <c r="AO777"/>
      <c r="AP777"/>
      <c r="AQ777"/>
      <c r="AR777"/>
      <c r="AS777"/>
      <c r="AT777"/>
      <c r="AU777"/>
      <c r="AV777"/>
      <c r="AW777"/>
      <c r="AX777"/>
      <c r="AY777"/>
      <c r="AZ777"/>
      <c r="BA777"/>
      <c r="BB777"/>
      <c r="BC777"/>
      <c r="BD777"/>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c r="EB777"/>
      <c r="EC777"/>
      <c r="ED777"/>
      <c r="EE777"/>
      <c r="EF777"/>
      <c r="EG777"/>
      <c r="EH777"/>
      <c r="EI777"/>
      <c r="EJ777"/>
      <c r="EK777"/>
      <c r="EL777"/>
      <c r="EM777"/>
      <c r="EN777"/>
      <c r="EO777"/>
      <c r="EP777"/>
      <c r="EQ777"/>
      <c r="ER777"/>
      <c r="ES777"/>
      <c r="ET777"/>
      <c r="EU777"/>
      <c r="EV777"/>
      <c r="EW777"/>
      <c r="EX777"/>
      <c r="EY777"/>
      <c r="EZ777"/>
      <c r="FA777"/>
      <c r="FB777"/>
      <c r="FC777"/>
      <c r="FD777"/>
      <c r="FE777"/>
      <c r="FF777"/>
      <c r="FG777"/>
      <c r="FH777"/>
      <c r="FI777"/>
      <c r="FJ777"/>
      <c r="FK777"/>
      <c r="FL777"/>
      <c r="FM777"/>
      <c r="FN777"/>
      <c r="FO777"/>
      <c r="FP777"/>
      <c r="FQ777"/>
      <c r="FR777"/>
      <c r="FS777"/>
      <c r="FT777"/>
      <c r="FU777"/>
      <c r="FV777"/>
      <c r="FW777"/>
      <c r="FX777"/>
      <c r="FY777"/>
      <c r="FZ777"/>
      <c r="GA777"/>
      <c r="GB777"/>
      <c r="GC777"/>
      <c r="GD777"/>
      <c r="GE777"/>
      <c r="GF777"/>
      <c r="GG777"/>
      <c r="GH777"/>
      <c r="GI777"/>
      <c r="GJ777"/>
      <c r="GK777"/>
      <c r="GL777"/>
      <c r="GM777"/>
      <c r="GN777"/>
      <c r="GO777"/>
      <c r="GP777"/>
      <c r="GQ777"/>
      <c r="GR777"/>
      <c r="GS777"/>
      <c r="GT777"/>
      <c r="GU777"/>
      <c r="GV777"/>
      <c r="GW777"/>
      <c r="GX777"/>
      <c r="GY777"/>
      <c r="GZ777"/>
      <c r="HA777"/>
      <c r="HB777"/>
      <c r="HC777"/>
      <c r="HD777"/>
      <c r="HE777"/>
      <c r="HF777"/>
      <c r="HG777"/>
      <c r="HH777"/>
      <c r="HI777"/>
      <c r="HJ777"/>
      <c r="HK777"/>
      <c r="HL777"/>
      <c r="HM777"/>
      <c r="HN777"/>
      <c r="HO777"/>
      <c r="HP777"/>
      <c r="HQ777"/>
      <c r="HR777"/>
      <c r="HS777"/>
      <c r="HT777"/>
      <c r="HU777"/>
      <c r="HV777"/>
      <c r="HW777"/>
      <c r="HX777"/>
      <c r="HY777"/>
      <c r="HZ777"/>
      <c r="IA777"/>
      <c r="IB777"/>
      <c r="IC777"/>
      <c r="ID777"/>
      <c r="IE777"/>
      <c r="IF777"/>
      <c r="IG777"/>
      <c r="IH777"/>
      <c r="II777"/>
      <c r="IJ777"/>
    </row>
    <row r="778" spans="1:244" ht="12.75" customHeight="1" x14ac:dyDescent="0.2">
      <c r="A778" s="2468"/>
      <c r="B778" s="2113" t="s">
        <v>1942</v>
      </c>
      <c r="C778" s="2107">
        <v>120000</v>
      </c>
      <c r="D778" s="2107">
        <v>120000</v>
      </c>
      <c r="E778" s="2107">
        <v>51504</v>
      </c>
      <c r="F778" s="2107"/>
      <c r="G778" s="2200">
        <f t="shared" si="150"/>
        <v>42.92</v>
      </c>
      <c r="H778" s="2200">
        <f t="shared" si="148"/>
        <v>42.92</v>
      </c>
      <c r="I778" s="2201">
        <f t="shared" si="149"/>
        <v>95.11532992299027</v>
      </c>
      <c r="J778" s="88">
        <v>54149</v>
      </c>
      <c r="K778" s="2"/>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c r="EB778"/>
      <c r="EC778"/>
      <c r="ED778"/>
      <c r="EE778"/>
      <c r="EF778"/>
      <c r="EG778"/>
      <c r="EH778"/>
      <c r="EI778"/>
      <c r="EJ778"/>
      <c r="EK778"/>
      <c r="EL778"/>
      <c r="EM778"/>
      <c r="EN778"/>
      <c r="EO778"/>
      <c r="EP778"/>
      <c r="EQ778"/>
      <c r="ER778"/>
      <c r="ES778"/>
      <c r="ET778"/>
      <c r="EU778"/>
      <c r="EV778"/>
      <c r="EW778"/>
      <c r="EX778"/>
      <c r="EY778"/>
      <c r="EZ778"/>
      <c r="FA778"/>
      <c r="FB778"/>
      <c r="FC778"/>
      <c r="FD778"/>
      <c r="FE778"/>
      <c r="FF778"/>
      <c r="FG778"/>
      <c r="FH778"/>
      <c r="FI778"/>
      <c r="FJ778"/>
      <c r="FK778"/>
      <c r="FL778"/>
      <c r="FM778"/>
      <c r="FN778"/>
      <c r="FO778"/>
      <c r="FP778"/>
      <c r="FQ778"/>
      <c r="FR778"/>
      <c r="FS778"/>
      <c r="FT778"/>
      <c r="FU778"/>
      <c r="FV778"/>
      <c r="FW778"/>
      <c r="FX778"/>
      <c r="FY778"/>
      <c r="FZ778"/>
      <c r="GA778"/>
      <c r="GB778"/>
      <c r="GC778"/>
      <c r="GD778"/>
      <c r="GE778"/>
      <c r="GF778"/>
      <c r="GG778"/>
      <c r="GH778"/>
      <c r="GI778"/>
      <c r="GJ778"/>
      <c r="GK778"/>
      <c r="GL778"/>
      <c r="GM778"/>
      <c r="GN778"/>
      <c r="GO778"/>
      <c r="GP778"/>
      <c r="GQ778"/>
      <c r="GR778"/>
      <c r="GS778"/>
      <c r="GT778"/>
      <c r="GU778"/>
      <c r="GV778"/>
      <c r="GW778"/>
      <c r="GX778"/>
      <c r="GY778"/>
      <c r="GZ778"/>
      <c r="HA778"/>
      <c r="HB778"/>
      <c r="HC778"/>
      <c r="HD778"/>
      <c r="HE778"/>
      <c r="HF778"/>
      <c r="HG778"/>
      <c r="HH778"/>
      <c r="HI778"/>
      <c r="HJ778"/>
      <c r="HK778"/>
      <c r="HL778"/>
      <c r="HM778"/>
      <c r="HN778"/>
      <c r="HO778"/>
      <c r="HP778"/>
      <c r="HQ778"/>
      <c r="HR778"/>
      <c r="HS778"/>
      <c r="HT778"/>
      <c r="HU778"/>
      <c r="HV778"/>
      <c r="HW778"/>
      <c r="HX778"/>
      <c r="HY778"/>
      <c r="HZ778"/>
      <c r="IA778"/>
      <c r="IB778"/>
      <c r="IC778"/>
      <c r="ID778"/>
      <c r="IE778"/>
      <c r="IF778"/>
      <c r="IG778"/>
      <c r="IH778"/>
      <c r="II778"/>
      <c r="IJ778"/>
    </row>
    <row r="779" spans="1:244" ht="12.75" customHeight="1" x14ac:dyDescent="0.2">
      <c r="A779" s="2468"/>
      <c r="B779" s="2114" t="s">
        <v>1943</v>
      </c>
      <c r="C779" s="2075">
        <v>50000</v>
      </c>
      <c r="D779" s="2075">
        <v>50000</v>
      </c>
      <c r="E779" s="2075">
        <v>16268.6</v>
      </c>
      <c r="F779" s="2075"/>
      <c r="G779" s="2200">
        <f t="shared" si="150"/>
        <v>32.537199999999999</v>
      </c>
      <c r="H779" s="2200">
        <f t="shared" si="148"/>
        <v>32.537199999999999</v>
      </c>
      <c r="I779" s="2201">
        <f t="shared" si="149"/>
        <v>94.241887085375325</v>
      </c>
      <c r="J779" s="88">
        <v>17262.599999999999</v>
      </c>
      <c r="K779" s="2"/>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c r="EB779"/>
      <c r="EC779"/>
      <c r="ED779"/>
      <c r="EE779"/>
      <c r="EF779"/>
      <c r="EG779"/>
      <c r="EH779"/>
      <c r="EI779"/>
      <c r="EJ779"/>
      <c r="EK779"/>
      <c r="EL779"/>
      <c r="EM779"/>
      <c r="EN779"/>
      <c r="EO779"/>
      <c r="EP779"/>
      <c r="EQ779"/>
      <c r="ER779"/>
      <c r="ES779"/>
      <c r="ET779"/>
      <c r="EU779"/>
      <c r="EV779"/>
      <c r="EW779"/>
      <c r="EX779"/>
      <c r="EY779"/>
      <c r="EZ779"/>
      <c r="FA779"/>
      <c r="FB779"/>
      <c r="FC779"/>
      <c r="FD779"/>
      <c r="FE779"/>
      <c r="FF779"/>
      <c r="FG779"/>
      <c r="FH779"/>
      <c r="FI779"/>
      <c r="FJ779"/>
      <c r="FK779"/>
      <c r="FL779"/>
      <c r="FM779"/>
      <c r="FN779"/>
      <c r="FO779"/>
      <c r="FP779"/>
      <c r="FQ779"/>
      <c r="FR779"/>
      <c r="FS779"/>
      <c r="FT779"/>
      <c r="FU779"/>
      <c r="FV779"/>
      <c r="FW779"/>
      <c r="FX779"/>
      <c r="FY779"/>
      <c r="FZ779"/>
      <c r="GA779"/>
      <c r="GB779"/>
      <c r="GC779"/>
      <c r="GD779"/>
      <c r="GE779"/>
      <c r="GF779"/>
      <c r="GG779"/>
      <c r="GH779"/>
      <c r="GI779"/>
      <c r="GJ779"/>
      <c r="GK779"/>
      <c r="GL779"/>
      <c r="GM779"/>
      <c r="GN779"/>
      <c r="GO779"/>
      <c r="GP779"/>
      <c r="GQ779"/>
      <c r="GR779"/>
      <c r="GS779"/>
      <c r="GT779"/>
      <c r="GU779"/>
      <c r="GV779"/>
      <c r="GW779"/>
      <c r="GX779"/>
      <c r="GY779"/>
      <c r="GZ779"/>
      <c r="HA779"/>
      <c r="HB779"/>
      <c r="HC779"/>
      <c r="HD779"/>
      <c r="HE779"/>
      <c r="HF779"/>
      <c r="HG779"/>
      <c r="HH779"/>
      <c r="HI779"/>
      <c r="HJ779"/>
      <c r="HK779"/>
      <c r="HL779"/>
      <c r="HM779"/>
      <c r="HN779"/>
      <c r="HO779"/>
      <c r="HP779"/>
      <c r="HQ779"/>
      <c r="HR779"/>
      <c r="HS779"/>
      <c r="HT779"/>
      <c r="HU779"/>
      <c r="HV779"/>
      <c r="HW779"/>
      <c r="HX779"/>
      <c r="HY779"/>
      <c r="HZ779"/>
      <c r="IA779"/>
      <c r="IB779"/>
      <c r="IC779"/>
      <c r="ID779"/>
      <c r="IE779"/>
      <c r="IF779"/>
      <c r="IG779"/>
      <c r="IH779"/>
      <c r="II779"/>
      <c r="IJ779"/>
    </row>
    <row r="780" spans="1:244" ht="12.75" customHeight="1" x14ac:dyDescent="0.2">
      <c r="A780" s="2468"/>
      <c r="B780" s="2114" t="s">
        <v>1944</v>
      </c>
      <c r="C780" s="2107">
        <f>C781+C782+C783+C784</f>
        <v>34000000</v>
      </c>
      <c r="D780" s="2107">
        <f>D781+D782+D783+D784</f>
        <v>34000000</v>
      </c>
      <c r="E780" s="2107">
        <v>16519144.66</v>
      </c>
      <c r="F780" s="2107">
        <f>SUM(E781:E784)</f>
        <v>16519144.660000002</v>
      </c>
      <c r="G780" s="2200">
        <f t="shared" si="150"/>
        <v>48.585719588235293</v>
      </c>
      <c r="H780" s="2200">
        <f t="shared" si="148"/>
        <v>48.585719588235293</v>
      </c>
      <c r="I780" s="2201">
        <f t="shared" si="149"/>
        <v>106.59950139928253</v>
      </c>
      <c r="J780" s="88">
        <v>15496455.84</v>
      </c>
      <c r="K780" s="2"/>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c r="EB780"/>
      <c r="EC780"/>
      <c r="ED780"/>
      <c r="EE780"/>
      <c r="EF780"/>
      <c r="EG780"/>
      <c r="EH780"/>
      <c r="EI780"/>
      <c r="EJ780"/>
      <c r="EK780"/>
      <c r="EL780"/>
      <c r="EM780"/>
      <c r="EN780"/>
      <c r="EO780"/>
      <c r="EP780"/>
      <c r="EQ780"/>
      <c r="ER780"/>
      <c r="ES780"/>
      <c r="ET780"/>
      <c r="EU780"/>
      <c r="EV780"/>
      <c r="EW780"/>
      <c r="EX780"/>
      <c r="EY780"/>
      <c r="EZ780"/>
      <c r="FA780"/>
      <c r="FB780"/>
      <c r="FC780"/>
      <c r="FD780"/>
      <c r="FE780"/>
      <c r="FF780"/>
      <c r="FG780"/>
      <c r="FH780"/>
      <c r="FI780"/>
      <c r="FJ780"/>
      <c r="FK780"/>
      <c r="FL780"/>
      <c r="FM780"/>
      <c r="FN780"/>
      <c r="FO780"/>
      <c r="FP780"/>
      <c r="FQ780"/>
      <c r="FR780"/>
      <c r="FS780"/>
      <c r="FT780"/>
      <c r="FU780"/>
      <c r="FV780"/>
      <c r="FW780"/>
      <c r="FX780"/>
      <c r="FY780"/>
      <c r="FZ780"/>
      <c r="GA780"/>
      <c r="GB780"/>
      <c r="GC780"/>
      <c r="GD780"/>
      <c r="GE780"/>
      <c r="GF780"/>
      <c r="GG780"/>
      <c r="GH780"/>
      <c r="GI780"/>
      <c r="GJ780"/>
      <c r="GK780"/>
      <c r="GL780"/>
      <c r="GM780"/>
      <c r="GN780"/>
      <c r="GO780"/>
      <c r="GP780"/>
      <c r="GQ780"/>
      <c r="GR780"/>
      <c r="GS780"/>
      <c r="GT780"/>
      <c r="GU780"/>
      <c r="GV780"/>
      <c r="GW780"/>
      <c r="GX780"/>
      <c r="GY780"/>
      <c r="GZ780"/>
      <c r="HA780"/>
      <c r="HB780"/>
      <c r="HC780"/>
      <c r="HD780"/>
      <c r="HE780"/>
      <c r="HF780"/>
      <c r="HG780"/>
      <c r="HH780"/>
      <c r="HI780"/>
      <c r="HJ780"/>
      <c r="HK780"/>
      <c r="HL780"/>
      <c r="HM780"/>
      <c r="HN780"/>
      <c r="HO780"/>
      <c r="HP780"/>
      <c r="HQ780"/>
      <c r="HR780"/>
      <c r="HS780"/>
      <c r="HT780"/>
      <c r="HU780"/>
      <c r="HV780"/>
      <c r="HW780"/>
      <c r="HX780"/>
      <c r="HY780"/>
      <c r="HZ780"/>
      <c r="IA780"/>
      <c r="IB780"/>
      <c r="IC780"/>
      <c r="ID780"/>
      <c r="IE780"/>
      <c r="IF780"/>
      <c r="IG780"/>
      <c r="IH780"/>
      <c r="II780"/>
      <c r="IJ780"/>
    </row>
    <row r="781" spans="1:244" s="488" customFormat="1" ht="12.75" customHeight="1" x14ac:dyDescent="0.2">
      <c r="A781" s="2468"/>
      <c r="B781" s="2115" t="s">
        <v>1945</v>
      </c>
      <c r="C781" s="2075">
        <v>9000000</v>
      </c>
      <c r="D781" s="2075">
        <v>9000000</v>
      </c>
      <c r="E781" s="2075">
        <v>4857897.8600000003</v>
      </c>
      <c r="F781" s="2075"/>
      <c r="G781" s="2200">
        <f t="shared" si="150"/>
        <v>53.97664288888889</v>
      </c>
      <c r="H781" s="2200">
        <f t="shared" si="148"/>
        <v>53.97664288888889</v>
      </c>
      <c r="I781" s="2201">
        <f t="shared" si="149"/>
        <v>108.2025491047491</v>
      </c>
      <c r="J781" s="88">
        <v>4489633.47</v>
      </c>
    </row>
    <row r="782" spans="1:244" s="488" customFormat="1" ht="12.75" customHeight="1" x14ac:dyDescent="0.2">
      <c r="A782" s="2462"/>
      <c r="B782" s="2116" t="s">
        <v>1946</v>
      </c>
      <c r="C782" s="2107">
        <v>22000000</v>
      </c>
      <c r="D782" s="2107">
        <v>22000000</v>
      </c>
      <c r="E782" s="2107">
        <v>11440358.24</v>
      </c>
      <c r="F782" s="2107"/>
      <c r="G782" s="2200">
        <f t="shared" si="150"/>
        <v>52.001628363636364</v>
      </c>
      <c r="H782" s="2200">
        <f t="shared" si="148"/>
        <v>52.001628363636364</v>
      </c>
      <c r="I782" s="2201">
        <f t="shared" si="149"/>
        <v>116.0504327377011</v>
      </c>
      <c r="J782" s="88">
        <v>9858091.8399999999</v>
      </c>
    </row>
    <row r="783" spans="1:244" s="488" customFormat="1" ht="12.75" customHeight="1" x14ac:dyDescent="0.2">
      <c r="A783" s="2462"/>
      <c r="B783" s="2088" t="s">
        <v>1947</v>
      </c>
      <c r="C783" s="2107">
        <v>500000</v>
      </c>
      <c r="D783" s="2107">
        <v>500000</v>
      </c>
      <c r="E783" s="2107">
        <v>0</v>
      </c>
      <c r="F783" s="2107"/>
      <c r="G783" s="2200">
        <f t="shared" si="150"/>
        <v>0</v>
      </c>
      <c r="H783" s="2200">
        <f t="shared" si="148"/>
        <v>0</v>
      </c>
      <c r="I783" s="2201">
        <f t="shared" si="149"/>
        <v>0</v>
      </c>
      <c r="J783" s="88">
        <v>6063.27</v>
      </c>
    </row>
    <row r="784" spans="1:244" s="488" customFormat="1" ht="12.75" customHeight="1" x14ac:dyDescent="0.2">
      <c r="A784" s="2462"/>
      <c r="B784" s="2080" t="s">
        <v>1948</v>
      </c>
      <c r="C784" s="2107">
        <v>2500000</v>
      </c>
      <c r="D784" s="2107">
        <v>2500000</v>
      </c>
      <c r="E784" s="2107">
        <v>220888.56</v>
      </c>
      <c r="F784" s="2107"/>
      <c r="G784" s="2200">
        <f t="shared" si="150"/>
        <v>8.8355423999999996</v>
      </c>
      <c r="H784" s="2200">
        <f t="shared" si="148"/>
        <v>8.8355423999999996</v>
      </c>
      <c r="I784" s="2201">
        <f t="shared" si="149"/>
        <v>19.330960790807993</v>
      </c>
      <c r="J784" s="88">
        <v>1142667.26</v>
      </c>
    </row>
    <row r="785" spans="1:244" ht="12.75" customHeight="1" x14ac:dyDescent="0.2">
      <c r="A785" s="2391">
        <v>3613</v>
      </c>
      <c r="B785" s="2117" t="s">
        <v>879</v>
      </c>
      <c r="C785" s="2118">
        <f>C786+C790+C791+C792+C797+C807+C808-165000</f>
        <v>18279000</v>
      </c>
      <c r="D785" s="2118">
        <f>D786+D790+D791+D792+D797+D807+D808-165000</f>
        <v>20079000</v>
      </c>
      <c r="E785" s="2118">
        <v>5504622.3700000001</v>
      </c>
      <c r="F785" s="2469">
        <f>SUM(E786,E790:E792,E797,E807,E808)</f>
        <v>5504622.3700000001</v>
      </c>
      <c r="G785" s="1663">
        <f t="shared" si="150"/>
        <v>30.114461239673947</v>
      </c>
      <c r="H785" s="1663">
        <f t="shared" si="148"/>
        <v>27.414823297973008</v>
      </c>
      <c r="I785" s="1662">
        <f t="shared" si="149"/>
        <v>88.118821538382093</v>
      </c>
      <c r="J785" s="88">
        <v>6246817.96</v>
      </c>
      <c r="K785" s="2"/>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c r="EX785"/>
      <c r="EY785"/>
      <c r="EZ785"/>
      <c r="FA785"/>
      <c r="FB785"/>
      <c r="FC785"/>
      <c r="FD785"/>
      <c r="FE785"/>
      <c r="FF785"/>
      <c r="FG785"/>
      <c r="FH785"/>
      <c r="FI785"/>
      <c r="FJ785"/>
      <c r="FK785"/>
      <c r="FL785"/>
      <c r="FM785"/>
      <c r="FN785"/>
      <c r="FO785"/>
      <c r="FP785"/>
      <c r="FQ785"/>
      <c r="FR785"/>
      <c r="FS785"/>
      <c r="FT785"/>
      <c r="FU785"/>
      <c r="FV785"/>
      <c r="FW785"/>
      <c r="FX785"/>
      <c r="FY785"/>
      <c r="FZ785"/>
      <c r="GA785"/>
      <c r="GB785"/>
      <c r="GC785"/>
      <c r="GD785"/>
      <c r="GE785"/>
      <c r="GF785"/>
      <c r="GG785"/>
      <c r="GH785"/>
      <c r="GI785"/>
      <c r="GJ785"/>
      <c r="GK785"/>
      <c r="GL785"/>
      <c r="GM785"/>
      <c r="GN785"/>
      <c r="GO785"/>
      <c r="GP785"/>
      <c r="GQ785"/>
      <c r="GR785"/>
      <c r="GS785"/>
      <c r="GT785"/>
      <c r="GU785"/>
      <c r="GV785"/>
      <c r="GW785"/>
      <c r="GX785"/>
      <c r="GY785"/>
      <c r="GZ785"/>
      <c r="HA785"/>
      <c r="HB785"/>
      <c r="HC785"/>
      <c r="HD785"/>
      <c r="HE785"/>
      <c r="HF785"/>
      <c r="HG785"/>
      <c r="HH785"/>
      <c r="HI785"/>
      <c r="HJ785"/>
      <c r="HK785"/>
      <c r="HL785"/>
      <c r="HM785"/>
      <c r="HN785"/>
      <c r="HO785"/>
      <c r="HP785"/>
      <c r="HQ785"/>
      <c r="HR785"/>
      <c r="HS785"/>
      <c r="HT785"/>
      <c r="HU785"/>
      <c r="HV785"/>
      <c r="HW785"/>
      <c r="HX785"/>
      <c r="HY785"/>
      <c r="HZ785"/>
      <c r="IA785"/>
      <c r="IB785"/>
      <c r="IC785"/>
      <c r="ID785"/>
      <c r="IE785"/>
      <c r="IF785"/>
      <c r="IG785"/>
      <c r="IH785"/>
      <c r="II785"/>
      <c r="IJ785"/>
    </row>
    <row r="786" spans="1:244" s="488" customFormat="1" ht="12.75" customHeight="1" x14ac:dyDescent="0.2">
      <c r="A786" s="2470"/>
      <c r="B786" s="2120" t="s">
        <v>880</v>
      </c>
      <c r="C786" s="2121">
        <f>SUM(C787:C789)</f>
        <v>1430000</v>
      </c>
      <c r="D786" s="2121">
        <f>SUM(D787:D789)</f>
        <v>2230000</v>
      </c>
      <c r="E786" s="2121">
        <v>0</v>
      </c>
      <c r="F786" s="2121">
        <f>SUM(E787:E790)</f>
        <v>0</v>
      </c>
      <c r="G786" s="2459">
        <f t="shared" si="150"/>
        <v>0</v>
      </c>
      <c r="H786" s="2459">
        <f t="shared" si="148"/>
        <v>0</v>
      </c>
      <c r="I786" s="2460">
        <f t="shared" si="149"/>
        <v>0</v>
      </c>
      <c r="J786" s="88">
        <v>1039027.64</v>
      </c>
    </row>
    <row r="787" spans="1:244" s="488" customFormat="1" ht="12.75" customHeight="1" x14ac:dyDescent="0.2">
      <c r="A787" s="2471"/>
      <c r="B787" s="2080" t="s">
        <v>2551</v>
      </c>
      <c r="C787" s="2107">
        <v>500000</v>
      </c>
      <c r="D787" s="2107">
        <v>500000</v>
      </c>
      <c r="E787" s="2107">
        <v>0</v>
      </c>
      <c r="F787" s="2107"/>
      <c r="G787" s="2200">
        <f t="shared" si="150"/>
        <v>0</v>
      </c>
      <c r="H787" s="2200">
        <f t="shared" si="148"/>
        <v>0</v>
      </c>
      <c r="I787" s="2201">
        <v>0</v>
      </c>
      <c r="J787" s="2175">
        <v>0</v>
      </c>
    </row>
    <row r="788" spans="1:244" s="488" customFormat="1" ht="12.75" customHeight="1" x14ac:dyDescent="0.2">
      <c r="A788" s="2471"/>
      <c r="B788" s="2123" t="s">
        <v>2552</v>
      </c>
      <c r="C788" s="1809">
        <v>930000</v>
      </c>
      <c r="D788" s="1809">
        <v>930000</v>
      </c>
      <c r="E788" s="2107">
        <v>0</v>
      </c>
      <c r="F788" s="2107"/>
      <c r="G788" s="2200">
        <f t="shared" si="150"/>
        <v>0</v>
      </c>
      <c r="H788" s="2200">
        <f t="shared" si="148"/>
        <v>0</v>
      </c>
      <c r="I788" s="2201">
        <v>0</v>
      </c>
      <c r="J788" s="2175">
        <v>0</v>
      </c>
    </row>
    <row r="789" spans="1:244" s="488" customFormat="1" ht="12.75" customHeight="1" x14ac:dyDescent="0.2">
      <c r="A789" s="2471"/>
      <c r="B789" s="2088" t="s">
        <v>2954</v>
      </c>
      <c r="C789" s="2107">
        <v>0</v>
      </c>
      <c r="D789" s="2107">
        <v>800000</v>
      </c>
      <c r="E789" s="2107">
        <v>0</v>
      </c>
      <c r="F789" s="2107"/>
      <c r="G789" s="2200">
        <v>0</v>
      </c>
      <c r="H789" s="2200">
        <f t="shared" si="148"/>
        <v>0</v>
      </c>
      <c r="I789" s="2201">
        <v>0</v>
      </c>
      <c r="J789" s="2175">
        <v>0</v>
      </c>
    </row>
    <row r="790" spans="1:244" ht="12.75" customHeight="1" x14ac:dyDescent="0.2">
      <c r="A790" s="2471"/>
      <c r="B790" s="2087" t="s">
        <v>1959</v>
      </c>
      <c r="C790" s="2075">
        <v>30000</v>
      </c>
      <c r="D790" s="2075">
        <v>30000</v>
      </c>
      <c r="E790" s="2075">
        <v>0</v>
      </c>
      <c r="F790" s="2075"/>
      <c r="G790" s="2200">
        <f t="shared" si="150"/>
        <v>0</v>
      </c>
      <c r="H790" s="2200">
        <f t="shared" si="148"/>
        <v>0</v>
      </c>
      <c r="I790" s="2201">
        <v>0</v>
      </c>
      <c r="J790" s="88">
        <v>0</v>
      </c>
      <c r="K790" s="2"/>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c r="EX790"/>
      <c r="EY790"/>
      <c r="EZ790"/>
      <c r="FA790"/>
      <c r="FB790"/>
      <c r="FC790"/>
      <c r="FD790"/>
      <c r="FE790"/>
      <c r="FF790"/>
      <c r="FG790"/>
      <c r="FH790"/>
      <c r="FI790"/>
      <c r="FJ790"/>
      <c r="FK790"/>
      <c r="FL790"/>
      <c r="FM790"/>
      <c r="FN790"/>
      <c r="FO790"/>
      <c r="FP790"/>
      <c r="FQ790"/>
      <c r="FR790"/>
      <c r="FS790"/>
      <c r="FT790"/>
      <c r="FU790"/>
      <c r="FV790"/>
      <c r="FW790"/>
      <c r="FX790"/>
      <c r="FY790"/>
      <c r="FZ790"/>
      <c r="GA790"/>
      <c r="GB790"/>
      <c r="GC790"/>
      <c r="GD790"/>
      <c r="GE790"/>
      <c r="GF790"/>
      <c r="GG790"/>
      <c r="GH790"/>
      <c r="GI790"/>
      <c r="GJ790"/>
      <c r="GK790"/>
      <c r="GL790"/>
      <c r="GM790"/>
      <c r="GN790"/>
      <c r="GO790"/>
      <c r="GP790"/>
      <c r="GQ790"/>
      <c r="GR790"/>
      <c r="GS790"/>
      <c r="GT790"/>
      <c r="GU790"/>
      <c r="GV790"/>
      <c r="GW790"/>
      <c r="GX790"/>
      <c r="GY790"/>
      <c r="GZ790"/>
      <c r="HA790"/>
      <c r="HB790"/>
      <c r="HC790"/>
      <c r="HD790"/>
      <c r="HE790"/>
      <c r="HF790"/>
      <c r="HG790"/>
      <c r="HH790"/>
      <c r="HI790"/>
      <c r="HJ790"/>
      <c r="HK790"/>
      <c r="HL790"/>
      <c r="HM790"/>
      <c r="HN790"/>
      <c r="HO790"/>
      <c r="HP790"/>
      <c r="HQ790"/>
      <c r="HR790"/>
      <c r="HS790"/>
      <c r="HT790"/>
      <c r="HU790"/>
      <c r="HV790"/>
      <c r="HW790"/>
      <c r="HX790"/>
      <c r="HY790"/>
      <c r="HZ790"/>
      <c r="IA790"/>
      <c r="IB790"/>
      <c r="IC790"/>
      <c r="ID790"/>
      <c r="IE790"/>
      <c r="IF790"/>
      <c r="IG790"/>
      <c r="IH790"/>
      <c r="II790"/>
      <c r="IJ790"/>
    </row>
    <row r="791" spans="1:244" ht="12.75" customHeight="1" x14ac:dyDescent="0.2">
      <c r="A791" s="2471"/>
      <c r="B791" s="2087" t="s">
        <v>1960</v>
      </c>
      <c r="C791" s="2089">
        <v>80000</v>
      </c>
      <c r="D791" s="2089">
        <v>80000</v>
      </c>
      <c r="E791" s="2089">
        <v>3724.24</v>
      </c>
      <c r="F791" s="2089"/>
      <c r="G791" s="2459">
        <f t="shared" si="150"/>
        <v>4.6552999999999995</v>
      </c>
      <c r="H791" s="2459">
        <f t="shared" si="148"/>
        <v>4.6552999999999995</v>
      </c>
      <c r="I791" s="2460">
        <f t="shared" si="149"/>
        <v>68.64794023369025</v>
      </c>
      <c r="J791" s="88">
        <v>5425.13</v>
      </c>
      <c r="K791" s="2"/>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c r="EX791"/>
      <c r="EY791"/>
      <c r="EZ791"/>
      <c r="FA791"/>
      <c r="FB791"/>
      <c r="FC791"/>
      <c r="FD791"/>
      <c r="FE791"/>
      <c r="FF791"/>
      <c r="FG791"/>
      <c r="FH791"/>
      <c r="FI791"/>
      <c r="FJ791"/>
      <c r="FK791"/>
      <c r="FL791"/>
      <c r="FM791"/>
      <c r="FN791"/>
      <c r="FO791"/>
      <c r="FP791"/>
      <c r="FQ791"/>
      <c r="FR791"/>
      <c r="FS791"/>
      <c r="FT791"/>
      <c r="FU791"/>
      <c r="FV791"/>
      <c r="FW791"/>
      <c r="FX791"/>
      <c r="FY791"/>
      <c r="FZ791"/>
      <c r="GA791"/>
      <c r="GB791"/>
      <c r="GC791"/>
      <c r="GD791"/>
      <c r="GE791"/>
      <c r="GF791"/>
      <c r="GG791"/>
      <c r="GH791"/>
      <c r="GI791"/>
      <c r="GJ791"/>
      <c r="GK791"/>
      <c r="GL791"/>
      <c r="GM791"/>
      <c r="GN791"/>
      <c r="GO791"/>
      <c r="GP791"/>
      <c r="GQ791"/>
      <c r="GR791"/>
      <c r="GS791"/>
      <c r="GT791"/>
      <c r="GU791"/>
      <c r="GV791"/>
      <c r="GW791"/>
      <c r="GX791"/>
      <c r="GY791"/>
      <c r="GZ791"/>
      <c r="HA791"/>
      <c r="HB791"/>
      <c r="HC791"/>
      <c r="HD791"/>
      <c r="HE791"/>
      <c r="HF791"/>
      <c r="HG791"/>
      <c r="HH791"/>
      <c r="HI791"/>
      <c r="HJ791"/>
      <c r="HK791"/>
      <c r="HL791"/>
      <c r="HM791"/>
      <c r="HN791"/>
      <c r="HO791"/>
      <c r="HP791"/>
      <c r="HQ791"/>
      <c r="HR791"/>
      <c r="HS791"/>
      <c r="HT791"/>
      <c r="HU791"/>
      <c r="HV791"/>
      <c r="HW791"/>
      <c r="HX791"/>
      <c r="HY791"/>
      <c r="HZ791"/>
      <c r="IA791"/>
      <c r="IB791"/>
      <c r="IC791"/>
      <c r="ID791"/>
      <c r="IE791"/>
      <c r="IF791"/>
      <c r="IG791"/>
      <c r="IH791"/>
      <c r="II791"/>
      <c r="IJ791"/>
    </row>
    <row r="792" spans="1:244" s="98" customFormat="1" ht="12.75" customHeight="1" x14ac:dyDescent="0.2">
      <c r="A792" s="2464"/>
      <c r="B792" s="2087" t="s">
        <v>1961</v>
      </c>
      <c r="C792" s="2089">
        <f>C793+C794+C795+C796</f>
        <v>6500000</v>
      </c>
      <c r="D792" s="2089">
        <f>D793+D794+D795+D796</f>
        <v>6500000</v>
      </c>
      <c r="E792" s="2089">
        <v>1440699.27</v>
      </c>
      <c r="F792" s="2472">
        <f>SUM(E793:E796)</f>
        <v>1440699.27</v>
      </c>
      <c r="G792" s="2459">
        <f t="shared" si="150"/>
        <v>22.164604153846152</v>
      </c>
      <c r="H792" s="2459">
        <f t="shared" si="148"/>
        <v>22.164604153846152</v>
      </c>
      <c r="I792" s="2460">
        <f t="shared" si="149"/>
        <v>67.628381353889623</v>
      </c>
      <c r="J792" s="88">
        <v>2130317.54</v>
      </c>
    </row>
    <row r="793" spans="1:244" s="488" customFormat="1" ht="12.75" customHeight="1" x14ac:dyDescent="0.2">
      <c r="A793" s="2464"/>
      <c r="B793" s="2087" t="s">
        <v>1945</v>
      </c>
      <c r="C793" s="2107">
        <v>1000000</v>
      </c>
      <c r="D793" s="2107">
        <v>1000000</v>
      </c>
      <c r="E793" s="2107">
        <v>256988.93</v>
      </c>
      <c r="F793" s="2107"/>
      <c r="G793" s="2200">
        <f t="shared" si="150"/>
        <v>25.698893000000002</v>
      </c>
      <c r="H793" s="2200">
        <f t="shared" si="148"/>
        <v>25.698893000000002</v>
      </c>
      <c r="I793" s="2201">
        <f t="shared" si="149"/>
        <v>56.167051678885827</v>
      </c>
      <c r="J793" s="88">
        <v>457543.92</v>
      </c>
    </row>
    <row r="794" spans="1:244" ht="12.75" customHeight="1" x14ac:dyDescent="0.2">
      <c r="A794" s="2464"/>
      <c r="B794" s="2087" t="s">
        <v>897</v>
      </c>
      <c r="C794" s="2107">
        <v>1000000</v>
      </c>
      <c r="D794" s="2107">
        <v>1000000</v>
      </c>
      <c r="E794" s="2107">
        <v>45346.32</v>
      </c>
      <c r="F794" s="2107"/>
      <c r="G794" s="2200">
        <f t="shared" si="150"/>
        <v>4.5346320000000002</v>
      </c>
      <c r="H794" s="2200">
        <f t="shared" si="148"/>
        <v>4.5346320000000002</v>
      </c>
      <c r="I794" s="2201">
        <f t="shared" si="149"/>
        <v>114.48980364730743</v>
      </c>
      <c r="J794" s="88">
        <v>39607.300000000003</v>
      </c>
      <c r="K794" s="2"/>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c r="EX794"/>
      <c r="EY794"/>
      <c r="EZ794"/>
      <c r="FA794"/>
      <c r="FB794"/>
      <c r="FC794"/>
      <c r="FD794"/>
      <c r="FE794"/>
      <c r="FF794"/>
      <c r="FG794"/>
      <c r="FH794"/>
      <c r="FI794"/>
      <c r="FJ794"/>
      <c r="FK794"/>
      <c r="FL794"/>
      <c r="FM794"/>
      <c r="FN794"/>
      <c r="FO794"/>
      <c r="FP794"/>
      <c r="FQ794"/>
      <c r="FR794"/>
      <c r="FS794"/>
      <c r="FT794"/>
      <c r="FU794"/>
      <c r="FV794"/>
      <c r="FW794"/>
      <c r="FX794"/>
      <c r="FY794"/>
      <c r="FZ794"/>
      <c r="GA794"/>
      <c r="GB794"/>
      <c r="GC794"/>
      <c r="GD794"/>
      <c r="GE794"/>
      <c r="GF794"/>
      <c r="GG794"/>
      <c r="GH794"/>
      <c r="GI794"/>
      <c r="GJ794"/>
      <c r="GK794"/>
      <c r="GL794"/>
      <c r="GM794"/>
      <c r="GN794"/>
      <c r="GO794"/>
      <c r="GP794"/>
      <c r="GQ794"/>
      <c r="GR794"/>
      <c r="GS794"/>
      <c r="GT794"/>
      <c r="GU794"/>
      <c r="GV794"/>
      <c r="GW794"/>
      <c r="GX794"/>
      <c r="GY794"/>
      <c r="GZ794"/>
      <c r="HA794"/>
      <c r="HB794"/>
      <c r="HC794"/>
      <c r="HD794"/>
      <c r="HE794"/>
      <c r="HF794"/>
      <c r="HG794"/>
      <c r="HH794"/>
      <c r="HI794"/>
      <c r="HJ794"/>
      <c r="HK794"/>
      <c r="HL794"/>
      <c r="HM794"/>
      <c r="HN794"/>
      <c r="HO794"/>
      <c r="HP794"/>
      <c r="HQ794"/>
      <c r="HR794"/>
      <c r="HS794"/>
      <c r="HT794"/>
      <c r="HU794"/>
      <c r="HV794"/>
      <c r="HW794"/>
      <c r="HX794"/>
      <c r="HY794"/>
      <c r="HZ794"/>
      <c r="IA794"/>
      <c r="IB794"/>
      <c r="IC794"/>
      <c r="ID794"/>
      <c r="IE794"/>
      <c r="IF794"/>
      <c r="IG794"/>
      <c r="IH794"/>
      <c r="II794"/>
      <c r="IJ794"/>
    </row>
    <row r="795" spans="1:244" ht="12.75" customHeight="1" x14ac:dyDescent="0.2">
      <c r="A795" s="2391"/>
      <c r="B795" s="2116" t="s">
        <v>898</v>
      </c>
      <c r="C795" s="2075">
        <v>2500000</v>
      </c>
      <c r="D795" s="2075">
        <v>2500000</v>
      </c>
      <c r="E795" s="2075">
        <v>473183.47</v>
      </c>
      <c r="F795" s="2075"/>
      <c r="G795" s="2200">
        <f t="shared" si="150"/>
        <v>18.927338799999998</v>
      </c>
      <c r="H795" s="2200">
        <f t="shared" si="148"/>
        <v>18.927338799999998</v>
      </c>
      <c r="I795" s="2201">
        <f t="shared" si="149"/>
        <v>41.497206439739003</v>
      </c>
      <c r="J795" s="88">
        <v>1140277.8899999999</v>
      </c>
      <c r="K795" s="2"/>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c r="EX795"/>
      <c r="EY795"/>
      <c r="EZ795"/>
      <c r="FA795"/>
      <c r="FB795"/>
      <c r="FC795"/>
      <c r="FD795"/>
      <c r="FE795"/>
      <c r="FF795"/>
      <c r="FG795"/>
      <c r="FH795"/>
      <c r="FI795"/>
      <c r="FJ795"/>
      <c r="FK795"/>
      <c r="FL795"/>
      <c r="FM795"/>
      <c r="FN795"/>
      <c r="FO795"/>
      <c r="FP795"/>
      <c r="FQ795"/>
      <c r="FR795"/>
      <c r="FS795"/>
      <c r="FT795"/>
      <c r="FU795"/>
      <c r="FV795"/>
      <c r="FW795"/>
      <c r="FX795"/>
      <c r="FY795"/>
      <c r="FZ795"/>
      <c r="GA795"/>
      <c r="GB795"/>
      <c r="GC795"/>
      <c r="GD795"/>
      <c r="GE795"/>
      <c r="GF795"/>
      <c r="GG795"/>
      <c r="GH795"/>
      <c r="GI795"/>
      <c r="GJ795"/>
      <c r="GK795"/>
      <c r="GL795"/>
      <c r="GM795"/>
      <c r="GN795"/>
      <c r="GO795"/>
      <c r="GP795"/>
      <c r="GQ795"/>
      <c r="GR795"/>
      <c r="GS795"/>
      <c r="GT795"/>
      <c r="GU795"/>
      <c r="GV795"/>
      <c r="GW795"/>
      <c r="GX795"/>
      <c r="GY795"/>
      <c r="GZ795"/>
      <c r="HA795"/>
      <c r="HB795"/>
      <c r="HC795"/>
      <c r="HD795"/>
      <c r="HE795"/>
      <c r="HF795"/>
      <c r="HG795"/>
      <c r="HH795"/>
      <c r="HI795"/>
      <c r="HJ795"/>
      <c r="HK795"/>
      <c r="HL795"/>
      <c r="HM795"/>
      <c r="HN795"/>
      <c r="HO795"/>
      <c r="HP795"/>
      <c r="HQ795"/>
      <c r="HR795"/>
      <c r="HS795"/>
      <c r="HT795"/>
      <c r="HU795"/>
      <c r="HV795"/>
      <c r="HW795"/>
      <c r="HX795"/>
      <c r="HY795"/>
      <c r="HZ795"/>
      <c r="IA795"/>
      <c r="IB795"/>
      <c r="IC795"/>
      <c r="ID795"/>
      <c r="IE795"/>
      <c r="IF795"/>
      <c r="IG795"/>
      <c r="IH795"/>
      <c r="II795"/>
      <c r="IJ795"/>
    </row>
    <row r="796" spans="1:244" ht="12.75" customHeight="1" x14ac:dyDescent="0.2">
      <c r="A796" s="2391"/>
      <c r="B796" s="2116" t="s">
        <v>1962</v>
      </c>
      <c r="C796" s="2075">
        <v>2000000</v>
      </c>
      <c r="D796" s="2075">
        <v>2000000</v>
      </c>
      <c r="E796" s="2075">
        <v>665180.55000000005</v>
      </c>
      <c r="F796" s="2075"/>
      <c r="G796" s="2200">
        <f t="shared" si="150"/>
        <v>33.259027500000002</v>
      </c>
      <c r="H796" s="2200">
        <f t="shared" si="148"/>
        <v>33.259027500000002</v>
      </c>
      <c r="I796" s="2201">
        <f t="shared" si="149"/>
        <v>134.95560242710508</v>
      </c>
      <c r="J796" s="88">
        <v>492888.43</v>
      </c>
      <c r="K796" s="2"/>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c r="EX796"/>
      <c r="EY796"/>
      <c r="EZ796"/>
      <c r="FA796"/>
      <c r="FB796"/>
      <c r="FC796"/>
      <c r="FD796"/>
      <c r="FE796"/>
      <c r="FF796"/>
      <c r="FG796"/>
      <c r="FH796"/>
      <c r="FI796"/>
      <c r="FJ796"/>
      <c r="FK796"/>
      <c r="FL796"/>
      <c r="FM796"/>
      <c r="FN796"/>
      <c r="FO796"/>
      <c r="FP796"/>
      <c r="FQ796"/>
      <c r="FR796"/>
      <c r="FS796"/>
      <c r="FT796"/>
      <c r="FU796"/>
      <c r="FV796"/>
      <c r="FW796"/>
      <c r="FX796"/>
      <c r="FY796"/>
      <c r="FZ796"/>
      <c r="GA796"/>
      <c r="GB796"/>
      <c r="GC796"/>
      <c r="GD796"/>
      <c r="GE796"/>
      <c r="GF796"/>
      <c r="GG796"/>
      <c r="GH796"/>
      <c r="GI796"/>
      <c r="GJ796"/>
      <c r="GK796"/>
      <c r="GL796"/>
      <c r="GM796"/>
      <c r="GN796"/>
      <c r="GO796"/>
      <c r="GP796"/>
      <c r="GQ796"/>
      <c r="GR796"/>
      <c r="GS796"/>
      <c r="GT796"/>
      <c r="GU796"/>
      <c r="GV796"/>
      <c r="GW796"/>
      <c r="GX796"/>
      <c r="GY796"/>
      <c r="GZ796"/>
      <c r="HA796"/>
      <c r="HB796"/>
      <c r="HC796"/>
      <c r="HD796"/>
      <c r="HE796"/>
      <c r="HF796"/>
      <c r="HG796"/>
      <c r="HH796"/>
      <c r="HI796"/>
      <c r="HJ796"/>
      <c r="HK796"/>
      <c r="HL796"/>
      <c r="HM796"/>
      <c r="HN796"/>
      <c r="HO796"/>
      <c r="HP796"/>
      <c r="HQ796"/>
      <c r="HR796"/>
      <c r="HS796"/>
      <c r="HT796"/>
      <c r="HU796"/>
      <c r="HV796"/>
      <c r="HW796"/>
      <c r="HX796"/>
      <c r="HY796"/>
      <c r="HZ796"/>
      <c r="IA796"/>
      <c r="IB796"/>
      <c r="IC796"/>
      <c r="ID796"/>
      <c r="IE796"/>
      <c r="IF796"/>
      <c r="IG796"/>
      <c r="IH796"/>
      <c r="II796"/>
      <c r="IJ796"/>
    </row>
    <row r="797" spans="1:244" s="2" customFormat="1" ht="12.75" customHeight="1" x14ac:dyDescent="0.2">
      <c r="A797" s="2391"/>
      <c r="B797" s="2124" t="s">
        <v>900</v>
      </c>
      <c r="C797" s="2082">
        <f>SUM(C798:C806)</f>
        <v>4370000</v>
      </c>
      <c r="D797" s="2082">
        <f>SUM(D798:D806)</f>
        <v>4370000</v>
      </c>
      <c r="E797" s="2082">
        <v>1894638.66</v>
      </c>
      <c r="F797" s="2082">
        <f>SUM(E798:E806)</f>
        <v>1894638.66</v>
      </c>
      <c r="G797" s="2459">
        <f t="shared" si="150"/>
        <v>43.355575743707092</v>
      </c>
      <c r="H797" s="2459">
        <f t="shared" si="148"/>
        <v>43.355575743707092</v>
      </c>
      <c r="I797" s="2460">
        <f t="shared" si="149"/>
        <v>114.6219304291385</v>
      </c>
      <c r="J797" s="88">
        <v>1652946.04</v>
      </c>
    </row>
    <row r="798" spans="1:244" ht="12.75" customHeight="1" x14ac:dyDescent="0.2">
      <c r="A798" s="2391"/>
      <c r="B798" s="2116" t="s">
        <v>1963</v>
      </c>
      <c r="C798" s="2075">
        <v>250000</v>
      </c>
      <c r="D798" s="2075">
        <v>250000</v>
      </c>
      <c r="E798" s="2075">
        <v>0</v>
      </c>
      <c r="F798" s="2075"/>
      <c r="G798" s="2200">
        <f t="shared" si="150"/>
        <v>0</v>
      </c>
      <c r="H798" s="2200">
        <f t="shared" si="148"/>
        <v>0</v>
      </c>
      <c r="I798" s="2201">
        <v>0</v>
      </c>
      <c r="J798" s="88">
        <v>0</v>
      </c>
      <c r="K798" s="2"/>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c r="EX798"/>
      <c r="EY798"/>
      <c r="EZ798"/>
      <c r="FA798"/>
      <c r="FB798"/>
      <c r="FC798"/>
      <c r="FD798"/>
      <c r="FE798"/>
      <c r="FF798"/>
      <c r="FG798"/>
      <c r="FH798"/>
      <c r="FI798"/>
      <c r="FJ798"/>
      <c r="FK798"/>
      <c r="FL798"/>
      <c r="FM798"/>
      <c r="FN798"/>
      <c r="FO798"/>
      <c r="FP798"/>
      <c r="FQ798"/>
      <c r="FR798"/>
      <c r="FS798"/>
      <c r="FT798"/>
      <c r="FU798"/>
      <c r="FV798"/>
      <c r="FW798"/>
      <c r="FX798"/>
      <c r="FY798"/>
      <c r="FZ798"/>
      <c r="GA798"/>
      <c r="GB798"/>
      <c r="GC798"/>
      <c r="GD798"/>
      <c r="GE798"/>
      <c r="GF798"/>
      <c r="GG798"/>
      <c r="GH798"/>
      <c r="GI798"/>
      <c r="GJ798"/>
      <c r="GK798"/>
      <c r="GL798"/>
      <c r="GM798"/>
      <c r="GN798"/>
      <c r="GO798"/>
      <c r="GP798"/>
      <c r="GQ798"/>
      <c r="GR798"/>
      <c r="GS798"/>
      <c r="GT798"/>
      <c r="GU798"/>
      <c r="GV798"/>
      <c r="GW798"/>
      <c r="GX798"/>
      <c r="GY798"/>
      <c r="GZ798"/>
      <c r="HA798"/>
      <c r="HB798"/>
      <c r="HC798"/>
      <c r="HD798"/>
      <c r="HE798"/>
      <c r="HF798"/>
      <c r="HG798"/>
      <c r="HH798"/>
      <c r="HI798"/>
      <c r="HJ798"/>
      <c r="HK798"/>
      <c r="HL798"/>
      <c r="HM798"/>
      <c r="HN798"/>
      <c r="HO798"/>
      <c r="HP798"/>
      <c r="HQ798"/>
      <c r="HR798"/>
      <c r="HS798"/>
      <c r="HT798"/>
      <c r="HU798"/>
      <c r="HV798"/>
      <c r="HW798"/>
      <c r="HX798"/>
      <c r="HY798"/>
      <c r="HZ798"/>
      <c r="IA798"/>
      <c r="IB798"/>
      <c r="IC798"/>
      <c r="ID798"/>
      <c r="IE798"/>
      <c r="IF798"/>
      <c r="IG798"/>
      <c r="IH798"/>
      <c r="II798"/>
      <c r="IJ798"/>
    </row>
    <row r="799" spans="1:244" ht="12.75" customHeight="1" x14ac:dyDescent="0.2">
      <c r="A799" s="2391"/>
      <c r="B799" s="2083" t="s">
        <v>1964</v>
      </c>
      <c r="C799" s="2075">
        <v>1000000</v>
      </c>
      <c r="D799" s="2075">
        <f>1000000-50000</f>
        <v>950000</v>
      </c>
      <c r="E799" s="2075">
        <v>427050.66</v>
      </c>
      <c r="F799" s="2075"/>
      <c r="G799" s="2200">
        <f t="shared" si="150"/>
        <v>42.705065999999995</v>
      </c>
      <c r="H799" s="2200">
        <f t="shared" si="148"/>
        <v>44.952701052631575</v>
      </c>
      <c r="I799" s="2201">
        <f t="shared" si="149"/>
        <v>115.99435405382326</v>
      </c>
      <c r="J799" s="88">
        <v>368165.04</v>
      </c>
      <c r="K799" s="2"/>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c r="EX799"/>
      <c r="EY799"/>
      <c r="EZ799"/>
      <c r="FA799"/>
      <c r="FB799"/>
      <c r="FC799"/>
      <c r="FD799"/>
      <c r="FE799"/>
      <c r="FF799"/>
      <c r="FG799"/>
      <c r="FH799"/>
      <c r="FI799"/>
      <c r="FJ799"/>
      <c r="FK799"/>
      <c r="FL799"/>
      <c r="FM799"/>
      <c r="FN799"/>
      <c r="FO799"/>
      <c r="FP799"/>
      <c r="FQ799"/>
      <c r="FR799"/>
      <c r="FS799"/>
      <c r="FT799"/>
      <c r="FU799"/>
      <c r="FV799"/>
      <c r="FW799"/>
      <c r="FX799"/>
      <c r="FY799"/>
      <c r="FZ799"/>
      <c r="GA799"/>
      <c r="GB799"/>
      <c r="GC799"/>
      <c r="GD799"/>
      <c r="GE799"/>
      <c r="GF799"/>
      <c r="GG799"/>
      <c r="GH799"/>
      <c r="GI799"/>
      <c r="GJ799"/>
      <c r="GK799"/>
      <c r="GL799"/>
      <c r="GM799"/>
      <c r="GN799"/>
      <c r="GO799"/>
      <c r="GP799"/>
      <c r="GQ799"/>
      <c r="GR799"/>
      <c r="GS799"/>
      <c r="GT799"/>
      <c r="GU799"/>
      <c r="GV799"/>
      <c r="GW799"/>
      <c r="GX799"/>
      <c r="GY799"/>
      <c r="GZ799"/>
      <c r="HA799"/>
      <c r="HB799"/>
      <c r="HC799"/>
      <c r="HD799"/>
      <c r="HE799"/>
      <c r="HF799"/>
      <c r="HG799"/>
      <c r="HH799"/>
      <c r="HI799"/>
      <c r="HJ799"/>
      <c r="HK799"/>
      <c r="HL799"/>
      <c r="HM799"/>
      <c r="HN799"/>
      <c r="HO799"/>
      <c r="HP799"/>
      <c r="HQ799"/>
      <c r="HR799"/>
      <c r="HS799"/>
      <c r="HT799"/>
      <c r="HU799"/>
      <c r="HV799"/>
      <c r="HW799"/>
      <c r="HX799"/>
      <c r="HY799"/>
      <c r="HZ799"/>
      <c r="IA799"/>
      <c r="IB799"/>
      <c r="IC799"/>
      <c r="ID799"/>
      <c r="IE799"/>
      <c r="IF799"/>
      <c r="IG799"/>
      <c r="IH799"/>
      <c r="II799"/>
      <c r="IJ799"/>
    </row>
    <row r="800" spans="1:244" ht="12.75" customHeight="1" x14ac:dyDescent="0.2">
      <c r="A800" s="2391"/>
      <c r="B800" s="2083" t="s">
        <v>1965</v>
      </c>
      <c r="C800" s="2075">
        <v>50000</v>
      </c>
      <c r="D800" s="2075">
        <v>50000</v>
      </c>
      <c r="E800" s="2075">
        <v>0</v>
      </c>
      <c r="F800" s="2075"/>
      <c r="G800" s="2200">
        <f t="shared" si="150"/>
        <v>0</v>
      </c>
      <c r="H800" s="2200">
        <f t="shared" si="148"/>
        <v>0</v>
      </c>
      <c r="I800" s="2201">
        <v>0</v>
      </c>
      <c r="J800" s="88">
        <v>0</v>
      </c>
      <c r="K800" s="2"/>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c r="EX800"/>
      <c r="EY800"/>
      <c r="EZ800"/>
      <c r="FA800"/>
      <c r="FB800"/>
      <c r="FC800"/>
      <c r="FD800"/>
      <c r="FE800"/>
      <c r="FF800"/>
      <c r="FG800"/>
      <c r="FH800"/>
      <c r="FI800"/>
      <c r="FJ800"/>
      <c r="FK800"/>
      <c r="FL800"/>
      <c r="FM800"/>
      <c r="FN800"/>
      <c r="FO800"/>
      <c r="FP800"/>
      <c r="FQ800"/>
      <c r="FR800"/>
      <c r="FS800"/>
      <c r="FT800"/>
      <c r="FU800"/>
      <c r="FV800"/>
      <c r="FW800"/>
      <c r="FX800"/>
      <c r="FY800"/>
      <c r="FZ800"/>
      <c r="GA800"/>
      <c r="GB800"/>
      <c r="GC800"/>
      <c r="GD800"/>
      <c r="GE800"/>
      <c r="GF800"/>
      <c r="GG800"/>
      <c r="GH800"/>
      <c r="GI800"/>
      <c r="GJ800"/>
      <c r="GK800"/>
      <c r="GL800"/>
      <c r="GM800"/>
      <c r="GN800"/>
      <c r="GO800"/>
      <c r="GP800"/>
      <c r="GQ800"/>
      <c r="GR800"/>
      <c r="GS800"/>
      <c r="GT800"/>
      <c r="GU800"/>
      <c r="GV800"/>
      <c r="GW800"/>
      <c r="GX800"/>
      <c r="GY800"/>
      <c r="GZ800"/>
      <c r="HA800"/>
      <c r="HB800"/>
      <c r="HC800"/>
      <c r="HD800"/>
      <c r="HE800"/>
      <c r="HF800"/>
      <c r="HG800"/>
      <c r="HH800"/>
      <c r="HI800"/>
      <c r="HJ800"/>
      <c r="HK800"/>
      <c r="HL800"/>
      <c r="HM800"/>
      <c r="HN800"/>
      <c r="HO800"/>
      <c r="HP800"/>
      <c r="HQ800"/>
      <c r="HR800"/>
      <c r="HS800"/>
      <c r="HT800"/>
      <c r="HU800"/>
      <c r="HV800"/>
      <c r="HW800"/>
      <c r="HX800"/>
      <c r="HY800"/>
      <c r="HZ800"/>
      <c r="IA800"/>
      <c r="IB800"/>
      <c r="IC800"/>
      <c r="ID800"/>
      <c r="IE800"/>
      <c r="IF800"/>
      <c r="IG800"/>
      <c r="IH800"/>
      <c r="II800"/>
      <c r="IJ800"/>
    </row>
    <row r="801" spans="1:244" ht="12.75" customHeight="1" x14ac:dyDescent="0.2">
      <c r="A801" s="2391"/>
      <c r="B801" s="2125" t="s">
        <v>906</v>
      </c>
      <c r="C801" s="1077">
        <v>0</v>
      </c>
      <c r="D801" s="1077">
        <v>50000</v>
      </c>
      <c r="E801" s="1077">
        <v>21780</v>
      </c>
      <c r="F801" s="1077"/>
      <c r="G801" s="2200">
        <v>0</v>
      </c>
      <c r="H801" s="2200">
        <f t="shared" si="148"/>
        <v>43.56</v>
      </c>
      <c r="I801" s="2201">
        <v>0</v>
      </c>
      <c r="J801" s="88">
        <v>0</v>
      </c>
      <c r="K801" s="2"/>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c r="EX801"/>
      <c r="EY801"/>
      <c r="EZ801"/>
      <c r="FA801"/>
      <c r="FB801"/>
      <c r="FC801"/>
      <c r="FD801"/>
      <c r="FE801"/>
      <c r="FF801"/>
      <c r="FG801"/>
      <c r="FH801"/>
      <c r="FI801"/>
      <c r="FJ801"/>
      <c r="FK801"/>
      <c r="FL801"/>
      <c r="FM801"/>
      <c r="FN801"/>
      <c r="FO801"/>
      <c r="FP801"/>
      <c r="FQ801"/>
      <c r="FR801"/>
      <c r="FS801"/>
      <c r="FT801"/>
      <c r="FU801"/>
      <c r="FV801"/>
      <c r="FW801"/>
      <c r="FX801"/>
      <c r="FY801"/>
      <c r="FZ801"/>
      <c r="GA801"/>
      <c r="GB801"/>
      <c r="GC801"/>
      <c r="GD801"/>
      <c r="GE801"/>
      <c r="GF801"/>
      <c r="GG801"/>
      <c r="GH801"/>
      <c r="GI801"/>
      <c r="GJ801"/>
      <c r="GK801"/>
      <c r="GL801"/>
      <c r="GM801"/>
      <c r="GN801"/>
      <c r="GO801"/>
      <c r="GP801"/>
      <c r="GQ801"/>
      <c r="GR801"/>
      <c r="GS801"/>
      <c r="GT801"/>
      <c r="GU801"/>
      <c r="GV801"/>
      <c r="GW801"/>
      <c r="GX801"/>
      <c r="GY801"/>
      <c r="GZ801"/>
      <c r="HA801"/>
      <c r="HB801"/>
      <c r="HC801"/>
      <c r="HD801"/>
      <c r="HE801"/>
      <c r="HF801"/>
      <c r="HG801"/>
      <c r="HH801"/>
      <c r="HI801"/>
      <c r="HJ801"/>
      <c r="HK801"/>
      <c r="HL801"/>
      <c r="HM801"/>
      <c r="HN801"/>
      <c r="HO801"/>
      <c r="HP801"/>
      <c r="HQ801"/>
      <c r="HR801"/>
      <c r="HS801"/>
      <c r="HT801"/>
      <c r="HU801"/>
      <c r="HV801"/>
      <c r="HW801"/>
      <c r="HX801"/>
      <c r="HY801"/>
      <c r="HZ801"/>
      <c r="IA801"/>
      <c r="IB801"/>
      <c r="IC801"/>
      <c r="ID801"/>
      <c r="IE801"/>
      <c r="IF801"/>
      <c r="IG801"/>
      <c r="IH801"/>
      <c r="II801"/>
      <c r="IJ801"/>
    </row>
    <row r="802" spans="1:244" ht="12.75" customHeight="1" x14ac:dyDescent="0.2">
      <c r="A802" s="2391"/>
      <c r="B802" s="2116" t="s">
        <v>1966</v>
      </c>
      <c r="C802" s="2075">
        <v>200000</v>
      </c>
      <c r="D802" s="2075">
        <v>200000</v>
      </c>
      <c r="E802" s="2075">
        <v>38500</v>
      </c>
      <c r="F802" s="2075"/>
      <c r="G802" s="2200">
        <f t="shared" si="150"/>
        <v>19.25</v>
      </c>
      <c r="H802" s="2200">
        <f t="shared" si="148"/>
        <v>19.25</v>
      </c>
      <c r="I802" s="2201">
        <f t="shared" si="149"/>
        <v>107.60201229737282</v>
      </c>
      <c r="J802" s="88">
        <v>35780</v>
      </c>
      <c r="K802" s="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c r="EX802"/>
      <c r="EY802"/>
      <c r="EZ802"/>
      <c r="FA802"/>
      <c r="FB802"/>
      <c r="FC802"/>
      <c r="FD802"/>
      <c r="FE802"/>
      <c r="FF802"/>
      <c r="FG802"/>
      <c r="FH802"/>
      <c r="FI802"/>
      <c r="FJ802"/>
      <c r="FK802"/>
      <c r="FL802"/>
      <c r="FM802"/>
      <c r="FN802"/>
      <c r="FO802"/>
      <c r="FP802"/>
      <c r="FQ802"/>
      <c r="FR802"/>
      <c r="FS802"/>
      <c r="FT802"/>
      <c r="FU802"/>
      <c r="FV802"/>
      <c r="FW802"/>
      <c r="FX802"/>
      <c r="FY802"/>
      <c r="FZ802"/>
      <c r="GA802"/>
      <c r="GB802"/>
      <c r="GC802"/>
      <c r="GD802"/>
      <c r="GE802"/>
      <c r="GF802"/>
      <c r="GG802"/>
      <c r="GH802"/>
      <c r="GI802"/>
      <c r="GJ802"/>
      <c r="GK802"/>
      <c r="GL802"/>
      <c r="GM802"/>
      <c r="GN802"/>
      <c r="GO802"/>
      <c r="GP802"/>
      <c r="GQ802"/>
      <c r="GR802"/>
      <c r="GS802"/>
      <c r="GT802"/>
      <c r="GU802"/>
      <c r="GV802"/>
      <c r="GW802"/>
      <c r="GX802"/>
      <c r="GY802"/>
      <c r="GZ802"/>
      <c r="HA802"/>
      <c r="HB802"/>
      <c r="HC802"/>
      <c r="HD802"/>
      <c r="HE802"/>
      <c r="HF802"/>
      <c r="HG802"/>
      <c r="HH802"/>
      <c r="HI802"/>
      <c r="HJ802"/>
      <c r="HK802"/>
      <c r="HL802"/>
      <c r="HM802"/>
      <c r="HN802"/>
      <c r="HO802"/>
      <c r="HP802"/>
      <c r="HQ802"/>
      <c r="HR802"/>
      <c r="HS802"/>
      <c r="HT802"/>
      <c r="HU802"/>
      <c r="HV802"/>
      <c r="HW802"/>
      <c r="HX802"/>
      <c r="HY802"/>
      <c r="HZ802"/>
      <c r="IA802"/>
      <c r="IB802"/>
      <c r="IC802"/>
      <c r="ID802"/>
      <c r="IE802"/>
      <c r="IF802"/>
      <c r="IG802"/>
      <c r="IH802"/>
      <c r="II802"/>
      <c r="IJ802"/>
    </row>
    <row r="803" spans="1:244" ht="12.75" customHeight="1" x14ac:dyDescent="0.2">
      <c r="A803" s="2391"/>
      <c r="B803" s="2126" t="s">
        <v>1967</v>
      </c>
      <c r="C803" s="2075">
        <v>350000</v>
      </c>
      <c r="D803" s="2075">
        <v>350000</v>
      </c>
      <c r="E803" s="2075">
        <v>130048</v>
      </c>
      <c r="F803" s="2075"/>
      <c r="G803" s="2200">
        <f t="shared" si="150"/>
        <v>37.156571428571425</v>
      </c>
      <c r="H803" s="2200">
        <f t="shared" si="148"/>
        <v>37.156571428571425</v>
      </c>
      <c r="I803" s="2201">
        <f t="shared" si="149"/>
        <v>100.56216701077165</v>
      </c>
      <c r="J803" s="88">
        <v>129321</v>
      </c>
      <c r="K803" s="2"/>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c r="EX803"/>
      <c r="EY803"/>
      <c r="EZ803"/>
      <c r="FA803"/>
      <c r="FB803"/>
      <c r="FC803"/>
      <c r="FD803"/>
      <c r="FE803"/>
      <c r="FF803"/>
      <c r="FG803"/>
      <c r="FH803"/>
      <c r="FI803"/>
      <c r="FJ803"/>
      <c r="FK803"/>
      <c r="FL803"/>
      <c r="FM803"/>
      <c r="FN803"/>
      <c r="FO803"/>
      <c r="FP803"/>
      <c r="FQ803"/>
      <c r="FR803"/>
      <c r="FS803"/>
      <c r="FT803"/>
      <c r="FU803"/>
      <c r="FV803"/>
      <c r="FW803"/>
      <c r="FX803"/>
      <c r="FY803"/>
      <c r="FZ803"/>
      <c r="GA803"/>
      <c r="GB803"/>
      <c r="GC803"/>
      <c r="GD803"/>
      <c r="GE803"/>
      <c r="GF803"/>
      <c r="GG803"/>
      <c r="GH803"/>
      <c r="GI803"/>
      <c r="GJ803"/>
      <c r="GK803"/>
      <c r="GL803"/>
      <c r="GM803"/>
      <c r="GN803"/>
      <c r="GO803"/>
      <c r="GP803"/>
      <c r="GQ803"/>
      <c r="GR803"/>
      <c r="GS803"/>
      <c r="GT803"/>
      <c r="GU803"/>
      <c r="GV803"/>
      <c r="GW803"/>
      <c r="GX803"/>
      <c r="GY803"/>
      <c r="GZ803"/>
      <c r="HA803"/>
      <c r="HB803"/>
      <c r="HC803"/>
      <c r="HD803"/>
      <c r="HE803"/>
      <c r="HF803"/>
      <c r="HG803"/>
      <c r="HH803"/>
      <c r="HI803"/>
      <c r="HJ803"/>
      <c r="HK803"/>
      <c r="HL803"/>
      <c r="HM803"/>
      <c r="HN803"/>
      <c r="HO803"/>
      <c r="HP803"/>
      <c r="HQ803"/>
      <c r="HR803"/>
      <c r="HS803"/>
      <c r="HT803"/>
      <c r="HU803"/>
      <c r="HV803"/>
      <c r="HW803"/>
      <c r="HX803"/>
      <c r="HY803"/>
      <c r="HZ803"/>
      <c r="IA803"/>
      <c r="IB803"/>
      <c r="IC803"/>
      <c r="ID803"/>
      <c r="IE803"/>
      <c r="IF803"/>
      <c r="IG803"/>
      <c r="IH803"/>
      <c r="II803"/>
      <c r="IJ803"/>
    </row>
    <row r="804" spans="1:244" ht="12.75" customHeight="1" x14ac:dyDescent="0.2">
      <c r="A804" s="2391"/>
      <c r="B804" s="2083" t="s">
        <v>1969</v>
      </c>
      <c r="C804" s="2075">
        <v>2300000</v>
      </c>
      <c r="D804" s="2075">
        <v>2300000</v>
      </c>
      <c r="E804" s="2075">
        <v>1170000</v>
      </c>
      <c r="F804" s="2075"/>
      <c r="G804" s="2200">
        <f t="shared" si="150"/>
        <v>50.869565217391298</v>
      </c>
      <c r="H804" s="2200">
        <f t="shared" si="148"/>
        <v>50.869565217391298</v>
      </c>
      <c r="I804" s="2201">
        <f t="shared" si="149"/>
        <v>105.40540540540539</v>
      </c>
      <c r="J804" s="88">
        <v>1110000</v>
      </c>
      <c r="K804" s="2"/>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c r="EX804"/>
      <c r="EY804"/>
      <c r="EZ804"/>
      <c r="FA804"/>
      <c r="FB804"/>
      <c r="FC804"/>
      <c r="FD804"/>
      <c r="FE804"/>
      <c r="FF804"/>
      <c r="FG804"/>
      <c r="FH804"/>
      <c r="FI804"/>
      <c r="FJ804"/>
      <c r="FK804"/>
      <c r="FL804"/>
      <c r="FM804"/>
      <c r="FN804"/>
      <c r="FO804"/>
      <c r="FP804"/>
      <c r="FQ804"/>
      <c r="FR804"/>
      <c r="FS804"/>
      <c r="FT804"/>
      <c r="FU804"/>
      <c r="FV804"/>
      <c r="FW804"/>
      <c r="FX804"/>
      <c r="FY804"/>
      <c r="FZ804"/>
      <c r="GA804"/>
      <c r="GB804"/>
      <c r="GC804"/>
      <c r="GD804"/>
      <c r="GE804"/>
      <c r="GF804"/>
      <c r="GG804"/>
      <c r="GH804"/>
      <c r="GI804"/>
      <c r="GJ804"/>
      <c r="GK804"/>
      <c r="GL804"/>
      <c r="GM804"/>
      <c r="GN804"/>
      <c r="GO804"/>
      <c r="GP804"/>
      <c r="GQ804"/>
      <c r="GR804"/>
      <c r="GS804"/>
      <c r="GT804"/>
      <c r="GU804"/>
      <c r="GV804"/>
      <c r="GW804"/>
      <c r="GX804"/>
      <c r="GY804"/>
      <c r="GZ804"/>
      <c r="HA804"/>
      <c r="HB804"/>
      <c r="HC804"/>
      <c r="HD804"/>
      <c r="HE804"/>
      <c r="HF804"/>
      <c r="HG804"/>
      <c r="HH804"/>
      <c r="HI804"/>
      <c r="HJ804"/>
      <c r="HK804"/>
      <c r="HL804"/>
      <c r="HM804"/>
      <c r="HN804"/>
      <c r="HO804"/>
      <c r="HP804"/>
      <c r="HQ804"/>
      <c r="HR804"/>
      <c r="HS804"/>
      <c r="HT804"/>
      <c r="HU804"/>
      <c r="HV804"/>
      <c r="HW804"/>
      <c r="HX804"/>
      <c r="HY804"/>
      <c r="HZ804"/>
      <c r="IA804"/>
      <c r="IB804"/>
      <c r="IC804"/>
      <c r="ID804"/>
      <c r="IE804"/>
      <c r="IF804"/>
      <c r="IG804"/>
      <c r="IH804"/>
      <c r="II804"/>
      <c r="IJ804"/>
    </row>
    <row r="805" spans="1:244" x14ac:dyDescent="0.2">
      <c r="A805" s="2391"/>
      <c r="B805" s="2083" t="s">
        <v>2554</v>
      </c>
      <c r="C805" s="2075">
        <v>200000</v>
      </c>
      <c r="D805" s="2075">
        <v>200000</v>
      </c>
      <c r="E805" s="2075">
        <v>100000</v>
      </c>
      <c r="F805" s="2075"/>
      <c r="G805" s="2200">
        <f t="shared" si="150"/>
        <v>50</v>
      </c>
      <c r="H805" s="2200">
        <f t="shared" si="148"/>
        <v>50</v>
      </c>
      <c r="I805" s="2201">
        <v>0</v>
      </c>
      <c r="J805" s="88">
        <v>0</v>
      </c>
      <c r="K805" s="2"/>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c r="EX805"/>
      <c r="EY805"/>
      <c r="EZ805"/>
      <c r="FA805"/>
      <c r="FB805"/>
      <c r="FC805"/>
      <c r="FD805"/>
      <c r="FE805"/>
      <c r="FF805"/>
      <c r="FG805"/>
      <c r="FH805"/>
      <c r="FI805"/>
      <c r="FJ805"/>
      <c r="FK805"/>
      <c r="FL805"/>
      <c r="FM805"/>
      <c r="FN805"/>
      <c r="FO805"/>
      <c r="FP805"/>
      <c r="FQ805"/>
      <c r="FR805"/>
      <c r="FS805"/>
      <c r="FT805"/>
      <c r="FU805"/>
      <c r="FV805"/>
      <c r="FW805"/>
      <c r="FX805"/>
      <c r="FY805"/>
      <c r="FZ805"/>
      <c r="GA805"/>
      <c r="GB805"/>
      <c r="GC805"/>
      <c r="GD805"/>
      <c r="GE805"/>
      <c r="GF805"/>
      <c r="GG805"/>
      <c r="GH805"/>
      <c r="GI805"/>
      <c r="GJ805"/>
      <c r="GK805"/>
      <c r="GL805"/>
      <c r="GM805"/>
      <c r="GN805"/>
      <c r="GO805"/>
      <c r="GP805"/>
      <c r="GQ805"/>
      <c r="GR805"/>
      <c r="GS805"/>
      <c r="GT805"/>
      <c r="GU805"/>
      <c r="GV805"/>
      <c r="GW805"/>
      <c r="GX805"/>
      <c r="GY805"/>
      <c r="GZ805"/>
      <c r="HA805"/>
      <c r="HB805"/>
      <c r="HC805"/>
      <c r="HD805"/>
      <c r="HE805"/>
      <c r="HF805"/>
      <c r="HG805"/>
      <c r="HH805"/>
      <c r="HI805"/>
      <c r="HJ805"/>
      <c r="HK805"/>
      <c r="HL805"/>
      <c r="HM805"/>
      <c r="HN805"/>
      <c r="HO805"/>
      <c r="HP805"/>
      <c r="HQ805"/>
      <c r="HR805"/>
      <c r="HS805"/>
      <c r="HT805"/>
      <c r="HU805"/>
      <c r="HV805"/>
      <c r="HW805"/>
      <c r="HX805"/>
      <c r="HY805"/>
      <c r="HZ805"/>
      <c r="IA805"/>
      <c r="IB805"/>
      <c r="IC805"/>
      <c r="ID805"/>
      <c r="IE805"/>
      <c r="IF805"/>
      <c r="IG805"/>
      <c r="IH805"/>
      <c r="II805"/>
      <c r="IJ805"/>
    </row>
    <row r="806" spans="1:244" ht="12.75" customHeight="1" x14ac:dyDescent="0.2">
      <c r="A806" s="2391"/>
      <c r="B806" s="2088" t="s">
        <v>911</v>
      </c>
      <c r="C806" s="2075">
        <v>20000</v>
      </c>
      <c r="D806" s="2075">
        <v>20000</v>
      </c>
      <c r="E806" s="2075">
        <v>7260</v>
      </c>
      <c r="F806" s="2075"/>
      <c r="G806" s="2200">
        <f t="shared" si="150"/>
        <v>36.299999999999997</v>
      </c>
      <c r="H806" s="2200">
        <f t="shared" si="148"/>
        <v>36.299999999999997</v>
      </c>
      <c r="I806" s="2201">
        <f t="shared" si="149"/>
        <v>75</v>
      </c>
      <c r="J806" s="88">
        <v>9680</v>
      </c>
      <c r="K806" s="2"/>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c r="EX806"/>
      <c r="EY806"/>
      <c r="EZ806"/>
      <c r="FA806"/>
      <c r="FB806"/>
      <c r="FC806"/>
      <c r="FD806"/>
      <c r="FE806"/>
      <c r="FF806"/>
      <c r="FG806"/>
      <c r="FH806"/>
      <c r="FI806"/>
      <c r="FJ806"/>
      <c r="FK806"/>
      <c r="FL806"/>
      <c r="FM806"/>
      <c r="FN806"/>
      <c r="FO806"/>
      <c r="FP806"/>
      <c r="FQ806"/>
      <c r="FR806"/>
      <c r="FS806"/>
      <c r="FT806"/>
      <c r="FU806"/>
      <c r="FV806"/>
      <c r="FW806"/>
      <c r="FX806"/>
      <c r="FY806"/>
      <c r="FZ806"/>
      <c r="GA806"/>
      <c r="GB806"/>
      <c r="GC806"/>
      <c r="GD806"/>
      <c r="GE806"/>
      <c r="GF806"/>
      <c r="GG806"/>
      <c r="GH806"/>
      <c r="GI806"/>
      <c r="GJ806"/>
      <c r="GK806"/>
      <c r="GL806"/>
      <c r="GM806"/>
      <c r="GN806"/>
      <c r="GO806"/>
      <c r="GP806"/>
      <c r="GQ806"/>
      <c r="GR806"/>
      <c r="GS806"/>
      <c r="GT806"/>
      <c r="GU806"/>
      <c r="GV806"/>
      <c r="GW806"/>
      <c r="GX806"/>
      <c r="GY806"/>
      <c r="GZ806"/>
      <c r="HA806"/>
      <c r="HB806"/>
      <c r="HC806"/>
      <c r="HD806"/>
      <c r="HE806"/>
      <c r="HF806"/>
      <c r="HG806"/>
      <c r="HH806"/>
      <c r="HI806"/>
      <c r="HJ806"/>
      <c r="HK806"/>
      <c r="HL806"/>
      <c r="HM806"/>
      <c r="HN806"/>
      <c r="HO806"/>
      <c r="HP806"/>
      <c r="HQ806"/>
      <c r="HR806"/>
      <c r="HS806"/>
      <c r="HT806"/>
      <c r="HU806"/>
      <c r="HV806"/>
      <c r="HW806"/>
      <c r="HX806"/>
      <c r="HY806"/>
      <c r="HZ806"/>
      <c r="IA806"/>
      <c r="IB806"/>
      <c r="IC806"/>
      <c r="ID806"/>
      <c r="IE806"/>
      <c r="IF806"/>
      <c r="IG806"/>
      <c r="IH806"/>
      <c r="II806"/>
      <c r="IJ806"/>
    </row>
    <row r="807" spans="1:244" ht="12.75" customHeight="1" x14ac:dyDescent="0.2">
      <c r="A807" s="2464"/>
      <c r="B807" s="2087" t="s">
        <v>913</v>
      </c>
      <c r="C807" s="2082">
        <f>C809+C816+C808</f>
        <v>5542000</v>
      </c>
      <c r="D807" s="2082">
        <f>D809+D816+D808</f>
        <v>6542000</v>
      </c>
      <c r="E807" s="2082">
        <v>2165560.2000000002</v>
      </c>
      <c r="F807" s="2082"/>
      <c r="G807" s="2459">
        <f t="shared" si="150"/>
        <v>39.07542764345002</v>
      </c>
      <c r="H807" s="2459">
        <f t="shared" si="148"/>
        <v>33.102418220727607</v>
      </c>
      <c r="I807" s="2460">
        <f t="shared" si="149"/>
        <v>166.11888973715884</v>
      </c>
      <c r="J807" s="88">
        <v>1303620.68</v>
      </c>
      <c r="K807" s="2"/>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c r="EX807"/>
      <c r="EY807"/>
      <c r="EZ807"/>
      <c r="FA807"/>
      <c r="FB807"/>
      <c r="FC807"/>
      <c r="FD807"/>
      <c r="FE807"/>
      <c r="FF807"/>
      <c r="FG807"/>
      <c r="FH807"/>
      <c r="FI807"/>
      <c r="FJ807"/>
      <c r="FK807"/>
      <c r="FL807"/>
      <c r="FM807"/>
      <c r="FN807"/>
      <c r="FO807"/>
      <c r="FP807"/>
      <c r="FQ807"/>
      <c r="FR807"/>
      <c r="FS807"/>
      <c r="FT807"/>
      <c r="FU807"/>
      <c r="FV807"/>
      <c r="FW807"/>
      <c r="FX807"/>
      <c r="FY807"/>
      <c r="FZ807"/>
      <c r="GA807"/>
      <c r="GB807"/>
      <c r="GC807"/>
      <c r="GD807"/>
      <c r="GE807"/>
      <c r="GF807"/>
      <c r="GG807"/>
      <c r="GH807"/>
      <c r="GI807"/>
      <c r="GJ807"/>
      <c r="GK807"/>
      <c r="GL807"/>
      <c r="GM807"/>
      <c r="GN807"/>
      <c r="GO807"/>
      <c r="GP807"/>
      <c r="GQ807"/>
      <c r="GR807"/>
      <c r="GS807"/>
      <c r="GT807"/>
      <c r="GU807"/>
      <c r="GV807"/>
      <c r="GW807"/>
      <c r="GX807"/>
      <c r="GY807"/>
      <c r="GZ807"/>
      <c r="HA807"/>
      <c r="HB807"/>
      <c r="HC807"/>
      <c r="HD807"/>
      <c r="HE807"/>
      <c r="HF807"/>
      <c r="HG807"/>
      <c r="HH807"/>
      <c r="HI807"/>
      <c r="HJ807"/>
      <c r="HK807"/>
      <c r="HL807"/>
      <c r="HM807"/>
      <c r="HN807"/>
      <c r="HO807"/>
      <c r="HP807"/>
      <c r="HQ807"/>
      <c r="HR807"/>
      <c r="HS807"/>
      <c r="HT807"/>
      <c r="HU807"/>
      <c r="HV807"/>
      <c r="HW807"/>
      <c r="HX807"/>
      <c r="HY807"/>
      <c r="HZ807"/>
      <c r="IA807"/>
      <c r="IB807"/>
      <c r="IC807"/>
      <c r="ID807"/>
      <c r="IE807"/>
      <c r="IF807"/>
      <c r="IG807"/>
      <c r="IH807"/>
      <c r="II807"/>
      <c r="IJ807"/>
    </row>
    <row r="808" spans="1:244" ht="24" customHeight="1" x14ac:dyDescent="0.2">
      <c r="A808" s="2464"/>
      <c r="B808" s="2080" t="s">
        <v>2555</v>
      </c>
      <c r="C808" s="2075">
        <f>310000+110000+72000</f>
        <v>492000</v>
      </c>
      <c r="D808" s="2075">
        <f>310000+110000+72000</f>
        <v>492000</v>
      </c>
      <c r="E808" s="2075">
        <v>0</v>
      </c>
      <c r="F808" s="2075"/>
      <c r="G808" s="2200">
        <f t="shared" si="150"/>
        <v>0</v>
      </c>
      <c r="H808" s="2200">
        <f t="shared" si="148"/>
        <v>0</v>
      </c>
      <c r="I808" s="2201">
        <v>0</v>
      </c>
      <c r="J808" s="32">
        <v>0</v>
      </c>
      <c r="K808" s="2"/>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c r="EX808"/>
      <c r="EY808"/>
      <c r="EZ808"/>
      <c r="FA808"/>
      <c r="FB808"/>
      <c r="FC808"/>
      <c r="FD808"/>
      <c r="FE808"/>
      <c r="FF808"/>
      <c r="FG808"/>
      <c r="FH808"/>
      <c r="FI808"/>
      <c r="FJ808"/>
      <c r="FK808"/>
      <c r="FL808"/>
      <c r="FM808"/>
      <c r="FN808"/>
      <c r="FO808"/>
      <c r="FP808"/>
      <c r="FQ808"/>
      <c r="FR808"/>
      <c r="FS808"/>
      <c r="FT808"/>
      <c r="FU808"/>
      <c r="FV808"/>
      <c r="FW808"/>
      <c r="FX808"/>
      <c r="FY808"/>
      <c r="FZ808"/>
      <c r="GA808"/>
      <c r="GB808"/>
      <c r="GC808"/>
      <c r="GD808"/>
      <c r="GE808"/>
      <c r="GF808"/>
      <c r="GG808"/>
      <c r="GH808"/>
      <c r="GI808"/>
      <c r="GJ808"/>
      <c r="GK808"/>
      <c r="GL808"/>
      <c r="GM808"/>
      <c r="GN808"/>
      <c r="GO808"/>
      <c r="GP808"/>
      <c r="GQ808"/>
      <c r="GR808"/>
      <c r="GS808"/>
      <c r="GT808"/>
      <c r="GU808"/>
      <c r="GV808"/>
      <c r="GW808"/>
      <c r="GX808"/>
      <c r="GY808"/>
      <c r="GZ808"/>
      <c r="HA808"/>
      <c r="HB808"/>
      <c r="HC808"/>
      <c r="HD808"/>
      <c r="HE808"/>
      <c r="HF808"/>
      <c r="HG808"/>
      <c r="HH808"/>
      <c r="HI808"/>
      <c r="HJ808"/>
      <c r="HK808"/>
      <c r="HL808"/>
      <c r="HM808"/>
      <c r="HN808"/>
      <c r="HO808"/>
      <c r="HP808"/>
      <c r="HQ808"/>
      <c r="HR808"/>
      <c r="HS808"/>
      <c r="HT808"/>
      <c r="HU808"/>
      <c r="HV808"/>
      <c r="HW808"/>
      <c r="HX808"/>
      <c r="HY808"/>
      <c r="HZ808"/>
      <c r="IA808"/>
      <c r="IB808"/>
      <c r="IC808"/>
      <c r="ID808"/>
      <c r="IE808"/>
      <c r="IF808"/>
      <c r="IG808"/>
      <c r="IH808"/>
      <c r="II808"/>
      <c r="IJ808"/>
    </row>
    <row r="809" spans="1:244" ht="12.75" customHeight="1" x14ac:dyDescent="0.2">
      <c r="A809" s="2464"/>
      <c r="B809" s="2127" t="s">
        <v>2556</v>
      </c>
      <c r="C809" s="2085">
        <f>SUM(C810:C811)</f>
        <v>3400000</v>
      </c>
      <c r="D809" s="2085">
        <f>SUM(D810:D811)</f>
        <v>4400000</v>
      </c>
      <c r="E809" s="2085">
        <v>2160560.2000000002</v>
      </c>
      <c r="F809" s="2075">
        <f>SUM(E810:E811)</f>
        <v>2160560.1999999997</v>
      </c>
      <c r="G809" s="1663">
        <f t="shared" si="150"/>
        <v>63.545888235294122</v>
      </c>
      <c r="H809" s="1663">
        <f t="shared" si="148"/>
        <v>49.103640909090913</v>
      </c>
      <c r="I809" s="1662">
        <f t="shared" si="149"/>
        <v>205.04261521897109</v>
      </c>
      <c r="J809" s="88">
        <v>1053712.76</v>
      </c>
      <c r="K809" s="2"/>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c r="EX809"/>
      <c r="EY809"/>
      <c r="EZ809"/>
      <c r="FA809"/>
      <c r="FB809"/>
      <c r="FC809"/>
      <c r="FD809"/>
      <c r="FE809"/>
      <c r="FF809"/>
      <c r="FG809"/>
      <c r="FH809"/>
      <c r="FI809"/>
      <c r="FJ809"/>
      <c r="FK809"/>
      <c r="FL809"/>
      <c r="FM809"/>
      <c r="FN809"/>
      <c r="FO809"/>
      <c r="FP809"/>
      <c r="FQ809"/>
      <c r="FR809"/>
      <c r="FS809"/>
      <c r="FT809"/>
      <c r="FU809"/>
      <c r="FV809"/>
      <c r="FW809"/>
      <c r="FX809"/>
      <c r="FY809"/>
      <c r="FZ809"/>
      <c r="GA809"/>
      <c r="GB809"/>
      <c r="GC809"/>
      <c r="GD809"/>
      <c r="GE809"/>
      <c r="GF809"/>
      <c r="GG809"/>
      <c r="GH809"/>
      <c r="GI809"/>
      <c r="GJ809"/>
      <c r="GK809"/>
      <c r="GL809"/>
      <c r="GM809"/>
      <c r="GN809"/>
      <c r="GO809"/>
      <c r="GP809"/>
      <c r="GQ809"/>
      <c r="GR809"/>
      <c r="GS809"/>
      <c r="GT809"/>
      <c r="GU809"/>
      <c r="GV809"/>
      <c r="GW809"/>
      <c r="GX809"/>
      <c r="GY809"/>
      <c r="GZ809"/>
      <c r="HA809"/>
      <c r="HB809"/>
      <c r="HC809"/>
      <c r="HD809"/>
      <c r="HE809"/>
      <c r="HF809"/>
      <c r="HG809"/>
      <c r="HH809"/>
      <c r="HI809"/>
      <c r="HJ809"/>
      <c r="HK809"/>
      <c r="HL809"/>
      <c r="HM809"/>
      <c r="HN809"/>
      <c r="HO809"/>
      <c r="HP809"/>
      <c r="HQ809"/>
      <c r="HR809"/>
      <c r="HS809"/>
      <c r="HT809"/>
      <c r="HU809"/>
      <c r="HV809"/>
      <c r="HW809"/>
      <c r="HX809"/>
      <c r="HY809"/>
      <c r="HZ809"/>
      <c r="IA809"/>
      <c r="IB809"/>
      <c r="IC809"/>
      <c r="ID809"/>
      <c r="IE809"/>
      <c r="IF809"/>
      <c r="IG809"/>
      <c r="IH809"/>
      <c r="II809"/>
      <c r="IJ809"/>
    </row>
    <row r="810" spans="1:244" ht="12.75" customHeight="1" x14ac:dyDescent="0.2">
      <c r="A810" s="2464"/>
      <c r="B810" s="2128" t="s">
        <v>927</v>
      </c>
      <c r="C810" s="2075">
        <v>3000000</v>
      </c>
      <c r="D810" s="2075">
        <f>3000000-30000-20000+1000000</f>
        <v>3950000</v>
      </c>
      <c r="E810" s="2075">
        <v>2026575.91</v>
      </c>
      <c r="F810" s="2075"/>
      <c r="G810" s="2200">
        <f t="shared" si="150"/>
        <v>67.552530333333323</v>
      </c>
      <c r="H810" s="2200">
        <f t="shared" si="148"/>
        <v>51.305719240506335</v>
      </c>
      <c r="I810" s="2201">
        <f t="shared" si="149"/>
        <v>188.74469834930525</v>
      </c>
      <c r="J810" s="88">
        <v>1073712.76</v>
      </c>
      <c r="K810" s="2"/>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c r="EX810"/>
      <c r="EY810"/>
      <c r="EZ810"/>
      <c r="FA810"/>
      <c r="FB810"/>
      <c r="FC810"/>
      <c r="FD810"/>
      <c r="FE810"/>
      <c r="FF810"/>
      <c r="FG810"/>
      <c r="FH810"/>
      <c r="FI810"/>
      <c r="FJ810"/>
      <c r="FK810"/>
      <c r="FL810"/>
      <c r="FM810"/>
      <c r="FN810"/>
      <c r="FO810"/>
      <c r="FP810"/>
      <c r="FQ810"/>
      <c r="FR810"/>
      <c r="FS810"/>
      <c r="FT810"/>
      <c r="FU810"/>
      <c r="FV810"/>
      <c r="FW810"/>
      <c r="FX810"/>
      <c r="FY810"/>
      <c r="FZ810"/>
      <c r="GA810"/>
      <c r="GB810"/>
      <c r="GC810"/>
      <c r="GD810"/>
      <c r="GE810"/>
      <c r="GF810"/>
      <c r="GG810"/>
      <c r="GH810"/>
      <c r="GI810"/>
      <c r="GJ810"/>
      <c r="GK810"/>
      <c r="GL810"/>
      <c r="GM810"/>
      <c r="GN810"/>
      <c r="GO810"/>
      <c r="GP810"/>
      <c r="GQ810"/>
      <c r="GR810"/>
      <c r="GS810"/>
      <c r="GT810"/>
      <c r="GU810"/>
      <c r="GV810"/>
      <c r="GW810"/>
      <c r="GX810"/>
      <c r="GY810"/>
      <c r="GZ810"/>
      <c r="HA810"/>
      <c r="HB810"/>
      <c r="HC810"/>
      <c r="HD810"/>
      <c r="HE810"/>
      <c r="HF810"/>
      <c r="HG810"/>
      <c r="HH810"/>
      <c r="HI810"/>
      <c r="HJ810"/>
      <c r="HK810"/>
      <c r="HL810"/>
      <c r="HM810"/>
      <c r="HN810"/>
      <c r="HO810"/>
      <c r="HP810"/>
      <c r="HQ810"/>
      <c r="HR810"/>
      <c r="HS810"/>
      <c r="HT810"/>
      <c r="HU810"/>
      <c r="HV810"/>
      <c r="HW810"/>
      <c r="HX810"/>
      <c r="HY810"/>
      <c r="HZ810"/>
      <c r="IA810"/>
      <c r="IB810"/>
      <c r="IC810"/>
      <c r="ID810"/>
      <c r="IE810"/>
      <c r="IF810"/>
      <c r="IG810"/>
      <c r="IH810"/>
      <c r="II810"/>
      <c r="IJ810"/>
    </row>
    <row r="811" spans="1:244" ht="12.75" customHeight="1" x14ac:dyDescent="0.2">
      <c r="A811" s="2464"/>
      <c r="B811" s="2128" t="s">
        <v>1978</v>
      </c>
      <c r="C811" s="2075">
        <f>SUM(C812:C815)</f>
        <v>400000</v>
      </c>
      <c r="D811" s="2075">
        <f>SUM(D812:D815)</f>
        <v>450000</v>
      </c>
      <c r="E811" s="2075">
        <v>133984.29</v>
      </c>
      <c r="F811" s="2075">
        <f>SUM(E812:E815)</f>
        <v>133984.28999999998</v>
      </c>
      <c r="G811" s="2200">
        <f t="shared" si="150"/>
        <v>33.496072500000004</v>
      </c>
      <c r="H811" s="2200">
        <f t="shared" si="148"/>
        <v>29.774286666666665</v>
      </c>
      <c r="I811" s="2201">
        <f t="shared" si="149"/>
        <v>2473.3262939874512</v>
      </c>
      <c r="J811" s="88">
        <v>5417.17</v>
      </c>
      <c r="K811" s="2"/>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c r="EX811"/>
      <c r="EY811"/>
      <c r="EZ811"/>
      <c r="FA811"/>
      <c r="FB811"/>
      <c r="FC811"/>
      <c r="FD811"/>
      <c r="FE811"/>
      <c r="FF811"/>
      <c r="FG811"/>
      <c r="FH811"/>
      <c r="FI811"/>
      <c r="FJ811"/>
      <c r="FK811"/>
      <c r="FL811"/>
      <c r="FM811"/>
      <c r="FN811"/>
      <c r="FO811"/>
      <c r="FP811"/>
      <c r="FQ811"/>
      <c r="FR811"/>
      <c r="FS811"/>
      <c r="FT811"/>
      <c r="FU811"/>
      <c r="FV811"/>
      <c r="FW811"/>
      <c r="FX811"/>
      <c r="FY811"/>
      <c r="FZ811"/>
      <c r="GA811"/>
      <c r="GB811"/>
      <c r="GC811"/>
      <c r="GD811"/>
      <c r="GE811"/>
      <c r="GF811"/>
      <c r="GG811"/>
      <c r="GH811"/>
      <c r="GI811"/>
      <c r="GJ811"/>
      <c r="GK811"/>
      <c r="GL811"/>
      <c r="GM811"/>
      <c r="GN811"/>
      <c r="GO811"/>
      <c r="GP811"/>
      <c r="GQ811"/>
      <c r="GR811"/>
      <c r="GS811"/>
      <c r="GT811"/>
      <c r="GU811"/>
      <c r="GV811"/>
      <c r="GW811"/>
      <c r="GX811"/>
      <c r="GY811"/>
      <c r="GZ811"/>
      <c r="HA811"/>
      <c r="HB811"/>
      <c r="HC811"/>
      <c r="HD811"/>
      <c r="HE811"/>
      <c r="HF811"/>
      <c r="HG811"/>
      <c r="HH811"/>
      <c r="HI811"/>
      <c r="HJ811"/>
      <c r="HK811"/>
      <c r="HL811"/>
      <c r="HM811"/>
      <c r="HN811"/>
      <c r="HO811"/>
      <c r="HP811"/>
      <c r="HQ811"/>
      <c r="HR811"/>
      <c r="HS811"/>
      <c r="HT811"/>
      <c r="HU811"/>
      <c r="HV811"/>
      <c r="HW811"/>
      <c r="HX811"/>
      <c r="HY811"/>
      <c r="HZ811"/>
      <c r="IA811"/>
      <c r="IB811"/>
      <c r="IC811"/>
      <c r="ID811"/>
      <c r="IE811"/>
      <c r="IF811"/>
      <c r="IG811"/>
      <c r="IH811"/>
      <c r="II811"/>
      <c r="IJ811"/>
    </row>
    <row r="812" spans="1:244" ht="12.75" customHeight="1" x14ac:dyDescent="0.2">
      <c r="A812" s="2391"/>
      <c r="B812" s="2088" t="s">
        <v>2557</v>
      </c>
      <c r="C812" s="2075">
        <v>100000</v>
      </c>
      <c r="D812" s="2075">
        <v>100000</v>
      </c>
      <c r="E812" s="2075">
        <v>0</v>
      </c>
      <c r="F812" s="2075"/>
      <c r="G812" s="2200">
        <f t="shared" si="150"/>
        <v>0</v>
      </c>
      <c r="H812" s="2200">
        <f t="shared" ref="H812:H872" si="151">E812/D812*100</f>
        <v>0</v>
      </c>
      <c r="I812" s="2201">
        <v>0</v>
      </c>
      <c r="J812" s="88">
        <v>0</v>
      </c>
      <c r="K812" s="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c r="EX812"/>
      <c r="EY812"/>
      <c r="EZ812"/>
      <c r="FA812"/>
      <c r="FB812"/>
      <c r="FC812"/>
      <c r="FD812"/>
      <c r="FE812"/>
      <c r="FF812"/>
      <c r="FG812"/>
      <c r="FH812"/>
      <c r="FI812"/>
      <c r="FJ812"/>
      <c r="FK812"/>
      <c r="FL812"/>
      <c r="FM812"/>
      <c r="FN812"/>
      <c r="FO812"/>
      <c r="FP812"/>
      <c r="FQ812"/>
      <c r="FR812"/>
      <c r="FS812"/>
      <c r="FT812"/>
      <c r="FU812"/>
      <c r="FV812"/>
      <c r="FW812"/>
      <c r="FX812"/>
      <c r="FY812"/>
      <c r="FZ812"/>
      <c r="GA812"/>
      <c r="GB812"/>
      <c r="GC812"/>
      <c r="GD812"/>
      <c r="GE812"/>
      <c r="GF812"/>
      <c r="GG812"/>
      <c r="GH812"/>
      <c r="GI812"/>
      <c r="GJ812"/>
      <c r="GK812"/>
      <c r="GL812"/>
      <c r="GM812"/>
      <c r="GN812"/>
      <c r="GO812"/>
      <c r="GP812"/>
      <c r="GQ812"/>
      <c r="GR812"/>
      <c r="GS812"/>
      <c r="GT812"/>
      <c r="GU812"/>
      <c r="GV812"/>
      <c r="GW812"/>
      <c r="GX812"/>
      <c r="GY812"/>
      <c r="GZ812"/>
      <c r="HA812"/>
      <c r="HB812"/>
      <c r="HC812"/>
      <c r="HD812"/>
      <c r="HE812"/>
      <c r="HF812"/>
      <c r="HG812"/>
      <c r="HH812"/>
      <c r="HI812"/>
      <c r="HJ812"/>
      <c r="HK812"/>
      <c r="HL812"/>
      <c r="HM812"/>
      <c r="HN812"/>
      <c r="HO812"/>
      <c r="HP812"/>
      <c r="HQ812"/>
      <c r="HR812"/>
      <c r="HS812"/>
      <c r="HT812"/>
      <c r="HU812"/>
      <c r="HV812"/>
      <c r="HW812"/>
      <c r="HX812"/>
      <c r="HY812"/>
      <c r="HZ812"/>
      <c r="IA812"/>
      <c r="IB812"/>
      <c r="IC812"/>
      <c r="ID812"/>
      <c r="IE812"/>
      <c r="IF812"/>
      <c r="IG812"/>
      <c r="IH812"/>
      <c r="II812"/>
      <c r="IJ812"/>
    </row>
    <row r="813" spans="1:244" ht="12.75" customHeight="1" x14ac:dyDescent="0.2">
      <c r="A813" s="2464"/>
      <c r="B813" s="2113" t="s">
        <v>2558</v>
      </c>
      <c r="C813" s="2075">
        <v>200000</v>
      </c>
      <c r="D813" s="2075">
        <v>200000</v>
      </c>
      <c r="E813" s="2075">
        <v>0</v>
      </c>
      <c r="F813" s="2075"/>
      <c r="G813" s="2200">
        <f t="shared" si="150"/>
        <v>0</v>
      </c>
      <c r="H813" s="2200">
        <f t="shared" si="151"/>
        <v>0</v>
      </c>
      <c r="I813" s="2201">
        <v>0</v>
      </c>
      <c r="J813" s="88">
        <v>0</v>
      </c>
      <c r="K813" s="2"/>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c r="EX813"/>
      <c r="EY813"/>
      <c r="EZ813"/>
      <c r="FA813"/>
      <c r="FB813"/>
      <c r="FC813"/>
      <c r="FD813"/>
      <c r="FE813"/>
      <c r="FF813"/>
      <c r="FG813"/>
      <c r="FH813"/>
      <c r="FI813"/>
      <c r="FJ813"/>
      <c r="FK813"/>
      <c r="FL813"/>
      <c r="FM813"/>
      <c r="FN813"/>
      <c r="FO813"/>
      <c r="FP813"/>
      <c r="FQ813"/>
      <c r="FR813"/>
      <c r="FS813"/>
      <c r="FT813"/>
      <c r="FU813"/>
      <c r="FV813"/>
      <c r="FW813"/>
      <c r="FX813"/>
      <c r="FY813"/>
      <c r="FZ813"/>
      <c r="GA813"/>
      <c r="GB813"/>
      <c r="GC813"/>
      <c r="GD813"/>
      <c r="GE813"/>
      <c r="GF813"/>
      <c r="GG813"/>
      <c r="GH813"/>
      <c r="GI813"/>
      <c r="GJ813"/>
      <c r="GK813"/>
      <c r="GL813"/>
      <c r="GM813"/>
      <c r="GN813"/>
      <c r="GO813"/>
      <c r="GP813"/>
      <c r="GQ813"/>
      <c r="GR813"/>
      <c r="GS813"/>
      <c r="GT813"/>
      <c r="GU813"/>
      <c r="GV813"/>
      <c r="GW813"/>
      <c r="GX813"/>
      <c r="GY813"/>
      <c r="GZ813"/>
      <c r="HA813"/>
      <c r="HB813"/>
      <c r="HC813"/>
      <c r="HD813"/>
      <c r="HE813"/>
      <c r="HF813"/>
      <c r="HG813"/>
      <c r="HH813"/>
      <c r="HI813"/>
      <c r="HJ813"/>
      <c r="HK813"/>
      <c r="HL813"/>
      <c r="HM813"/>
      <c r="HN813"/>
      <c r="HO813"/>
      <c r="HP813"/>
      <c r="HQ813"/>
      <c r="HR813"/>
      <c r="HS813"/>
      <c r="HT813"/>
      <c r="HU813"/>
      <c r="HV813"/>
      <c r="HW813"/>
      <c r="HX813"/>
      <c r="HY813"/>
      <c r="HZ813"/>
      <c r="IA813"/>
      <c r="IB813"/>
      <c r="IC813"/>
      <c r="ID813"/>
      <c r="IE813"/>
      <c r="IF813"/>
      <c r="IG813"/>
      <c r="IH813"/>
      <c r="II813"/>
      <c r="IJ813"/>
    </row>
    <row r="814" spans="1:244" ht="12.75" customHeight="1" x14ac:dyDescent="0.2">
      <c r="A814" s="2464"/>
      <c r="B814" s="2113" t="s">
        <v>1982</v>
      </c>
      <c r="C814" s="2075">
        <v>100000</v>
      </c>
      <c r="D814" s="2075">
        <v>100000</v>
      </c>
      <c r="E814" s="2075">
        <v>90809.29</v>
      </c>
      <c r="F814" s="2075"/>
      <c r="G814" s="2200">
        <f t="shared" si="150"/>
        <v>90.809290000000004</v>
      </c>
      <c r="H814" s="2200">
        <f t="shared" si="151"/>
        <v>90.809290000000004</v>
      </c>
      <c r="I814" s="2201">
        <v>0</v>
      </c>
      <c r="J814" s="88">
        <v>0</v>
      </c>
      <c r="K814" s="2"/>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c r="EX814"/>
      <c r="EY814"/>
      <c r="EZ814"/>
      <c r="FA814"/>
      <c r="FB814"/>
      <c r="FC814"/>
      <c r="FD814"/>
      <c r="FE814"/>
      <c r="FF814"/>
      <c r="FG814"/>
      <c r="FH814"/>
      <c r="FI814"/>
      <c r="FJ814"/>
      <c r="FK814"/>
      <c r="FL814"/>
      <c r="FM814"/>
      <c r="FN814"/>
      <c r="FO814"/>
      <c r="FP814"/>
      <c r="FQ814"/>
      <c r="FR814"/>
      <c r="FS814"/>
      <c r="FT814"/>
      <c r="FU814"/>
      <c r="FV814"/>
      <c r="FW814"/>
      <c r="FX814"/>
      <c r="FY814"/>
      <c r="FZ814"/>
      <c r="GA814"/>
      <c r="GB814"/>
      <c r="GC814"/>
      <c r="GD814"/>
      <c r="GE814"/>
      <c r="GF814"/>
      <c r="GG814"/>
      <c r="GH814"/>
      <c r="GI814"/>
      <c r="GJ814"/>
      <c r="GK814"/>
      <c r="GL814"/>
      <c r="GM814"/>
      <c r="GN814"/>
      <c r="GO814"/>
      <c r="GP814"/>
      <c r="GQ814"/>
      <c r="GR814"/>
      <c r="GS814"/>
      <c r="GT814"/>
      <c r="GU814"/>
      <c r="GV814"/>
      <c r="GW814"/>
      <c r="GX814"/>
      <c r="GY814"/>
      <c r="GZ814"/>
      <c r="HA814"/>
      <c r="HB814"/>
      <c r="HC814"/>
      <c r="HD814"/>
      <c r="HE814"/>
      <c r="HF814"/>
      <c r="HG814"/>
      <c r="HH814"/>
      <c r="HI814"/>
      <c r="HJ814"/>
      <c r="HK814"/>
      <c r="HL814"/>
      <c r="HM814"/>
      <c r="HN814"/>
      <c r="HO814"/>
      <c r="HP814"/>
      <c r="HQ814"/>
      <c r="HR814"/>
      <c r="HS814"/>
      <c r="HT814"/>
      <c r="HU814"/>
      <c r="HV814"/>
      <c r="HW814"/>
      <c r="HX814"/>
      <c r="HY814"/>
      <c r="HZ814"/>
      <c r="IA814"/>
      <c r="IB814"/>
      <c r="IC814"/>
      <c r="ID814"/>
      <c r="IE814"/>
      <c r="IF814"/>
      <c r="IG814"/>
      <c r="IH814"/>
      <c r="II814"/>
      <c r="IJ814"/>
    </row>
    <row r="815" spans="1:244" ht="12.75" customHeight="1" x14ac:dyDescent="0.2">
      <c r="A815" s="2464"/>
      <c r="B815" s="2113" t="s">
        <v>2955</v>
      </c>
      <c r="C815" s="2075">
        <v>0</v>
      </c>
      <c r="D815" s="2075">
        <f>30000+20000</f>
        <v>50000</v>
      </c>
      <c r="E815" s="2075">
        <v>43175</v>
      </c>
      <c r="F815" s="2075"/>
      <c r="G815" s="2200">
        <v>0</v>
      </c>
      <c r="H815" s="2200">
        <f t="shared" si="151"/>
        <v>86.350000000000009</v>
      </c>
      <c r="I815" s="2201">
        <v>0</v>
      </c>
      <c r="J815" s="88">
        <v>0</v>
      </c>
      <c r="K815" s="2"/>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c r="EX815"/>
      <c r="EY815"/>
      <c r="EZ815"/>
      <c r="FA815"/>
      <c r="FB815"/>
      <c r="FC815"/>
      <c r="FD815"/>
      <c r="FE815"/>
      <c r="FF815"/>
      <c r="FG815"/>
      <c r="FH815"/>
      <c r="FI815"/>
      <c r="FJ815"/>
      <c r="FK815"/>
      <c r="FL815"/>
      <c r="FM815"/>
      <c r="FN815"/>
      <c r="FO815"/>
      <c r="FP815"/>
      <c r="FQ815"/>
      <c r="FR815"/>
      <c r="FS815"/>
      <c r="FT815"/>
      <c r="FU815"/>
      <c r="FV815"/>
      <c r="FW815"/>
      <c r="FX815"/>
      <c r="FY815"/>
      <c r="FZ815"/>
      <c r="GA815"/>
      <c r="GB815"/>
      <c r="GC815"/>
      <c r="GD815"/>
      <c r="GE815"/>
      <c r="GF815"/>
      <c r="GG815"/>
      <c r="GH815"/>
      <c r="GI815"/>
      <c r="GJ815"/>
      <c r="GK815"/>
      <c r="GL815"/>
      <c r="GM815"/>
      <c r="GN815"/>
      <c r="GO815"/>
      <c r="GP815"/>
      <c r="GQ815"/>
      <c r="GR815"/>
      <c r="GS815"/>
      <c r="GT815"/>
      <c r="GU815"/>
      <c r="GV815"/>
      <c r="GW815"/>
      <c r="GX815"/>
      <c r="GY815"/>
      <c r="GZ815"/>
      <c r="HA815"/>
      <c r="HB815"/>
      <c r="HC815"/>
      <c r="HD815"/>
      <c r="HE815"/>
      <c r="HF815"/>
      <c r="HG815"/>
      <c r="HH815"/>
      <c r="HI815"/>
      <c r="HJ815"/>
      <c r="HK815"/>
      <c r="HL815"/>
      <c r="HM815"/>
      <c r="HN815"/>
      <c r="HO815"/>
      <c r="HP815"/>
      <c r="HQ815"/>
      <c r="HR815"/>
      <c r="HS815"/>
      <c r="HT815"/>
      <c r="HU815"/>
      <c r="HV815"/>
      <c r="HW815"/>
      <c r="HX815"/>
      <c r="HY815"/>
      <c r="HZ815"/>
      <c r="IA815"/>
      <c r="IB815"/>
      <c r="IC815"/>
      <c r="ID815"/>
      <c r="IE815"/>
      <c r="IF815"/>
      <c r="IG815"/>
      <c r="IH815"/>
      <c r="II815"/>
      <c r="IJ815"/>
    </row>
    <row r="816" spans="1:244" x14ac:dyDescent="0.2">
      <c r="A816" s="2464"/>
      <c r="B816" s="2129" t="s">
        <v>2956</v>
      </c>
      <c r="C816" s="2082">
        <f>SUM(C817:C822)</f>
        <v>1650000</v>
      </c>
      <c r="D816" s="2082">
        <f>SUM(D817:D822)</f>
        <v>1650000</v>
      </c>
      <c r="E816" s="2082">
        <v>5000</v>
      </c>
      <c r="F816" s="2082">
        <f>SUM(E817:E822)</f>
        <v>5000</v>
      </c>
      <c r="G816" s="2459">
        <f t="shared" si="150"/>
        <v>0.30303030303030304</v>
      </c>
      <c r="H816" s="2459">
        <f t="shared" si="151"/>
        <v>0.30303030303030304</v>
      </c>
      <c r="I816" s="2460">
        <f t="shared" ref="I816:I872" si="152">E816/J816*100</f>
        <v>2.0450671446670272</v>
      </c>
      <c r="J816" s="88">
        <v>244490.75</v>
      </c>
      <c r="K816" s="2"/>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c r="EX816"/>
      <c r="EY816"/>
      <c r="EZ816"/>
      <c r="FA816"/>
      <c r="FB816"/>
      <c r="FC816"/>
      <c r="FD816"/>
      <c r="FE816"/>
      <c r="FF816"/>
      <c r="FG816"/>
      <c r="FH816"/>
      <c r="FI816"/>
      <c r="FJ816"/>
      <c r="FK816"/>
      <c r="FL816"/>
      <c r="FM816"/>
      <c r="FN816"/>
      <c r="FO816"/>
      <c r="FP816"/>
      <c r="FQ816"/>
      <c r="FR816"/>
      <c r="FS816"/>
      <c r="FT816"/>
      <c r="FU816"/>
      <c r="FV816"/>
      <c r="FW816"/>
      <c r="FX816"/>
      <c r="FY816"/>
      <c r="FZ816"/>
      <c r="GA816"/>
      <c r="GB816"/>
      <c r="GC816"/>
      <c r="GD816"/>
      <c r="GE816"/>
      <c r="GF816"/>
      <c r="GG816"/>
      <c r="GH816"/>
      <c r="GI816"/>
      <c r="GJ816"/>
      <c r="GK816"/>
      <c r="GL816"/>
      <c r="GM816"/>
      <c r="GN816"/>
      <c r="GO816"/>
      <c r="GP816"/>
      <c r="GQ816"/>
      <c r="GR816"/>
      <c r="GS816"/>
      <c r="GT816"/>
      <c r="GU816"/>
      <c r="GV816"/>
      <c r="GW816"/>
      <c r="GX816"/>
      <c r="GY816"/>
      <c r="GZ816"/>
      <c r="HA816"/>
      <c r="HB816"/>
      <c r="HC816"/>
      <c r="HD816"/>
      <c r="HE816"/>
      <c r="HF816"/>
      <c r="HG816"/>
      <c r="HH816"/>
      <c r="HI816"/>
      <c r="HJ816"/>
      <c r="HK816"/>
      <c r="HL816"/>
      <c r="HM816"/>
      <c r="HN816"/>
      <c r="HO816"/>
      <c r="HP816"/>
      <c r="HQ816"/>
      <c r="HR816"/>
      <c r="HS816"/>
      <c r="HT816"/>
      <c r="HU816"/>
      <c r="HV816"/>
      <c r="HW816"/>
      <c r="HX816"/>
      <c r="HY816"/>
      <c r="HZ816"/>
      <c r="IA816"/>
      <c r="IB816"/>
      <c r="IC816"/>
      <c r="ID816"/>
      <c r="IE816"/>
      <c r="IF816"/>
      <c r="IG816"/>
      <c r="IH816"/>
      <c r="II816"/>
      <c r="IJ816"/>
    </row>
    <row r="817" spans="1:244" x14ac:dyDescent="0.2">
      <c r="A817" s="2464"/>
      <c r="B817" s="2113" t="s">
        <v>1985</v>
      </c>
      <c r="C817" s="2107">
        <v>100000</v>
      </c>
      <c r="D817" s="2107">
        <v>100000</v>
      </c>
      <c r="E817" s="2107">
        <v>0</v>
      </c>
      <c r="F817" s="2107"/>
      <c r="G817" s="2200">
        <f t="shared" si="150"/>
        <v>0</v>
      </c>
      <c r="H817" s="2200">
        <f t="shared" si="151"/>
        <v>0</v>
      </c>
      <c r="I817" s="2201">
        <f t="shared" si="152"/>
        <v>0</v>
      </c>
      <c r="J817" s="88">
        <v>1253.56</v>
      </c>
      <c r="K817" s="2"/>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c r="EX817"/>
      <c r="EY817"/>
      <c r="EZ817"/>
      <c r="FA817"/>
      <c r="FB817"/>
      <c r="FC817"/>
      <c r="FD817"/>
      <c r="FE817"/>
      <c r="FF817"/>
      <c r="FG817"/>
      <c r="FH817"/>
      <c r="FI817"/>
      <c r="FJ817"/>
      <c r="FK817"/>
      <c r="FL817"/>
      <c r="FM817"/>
      <c r="FN817"/>
      <c r="FO817"/>
      <c r="FP817"/>
      <c r="FQ817"/>
      <c r="FR817"/>
      <c r="FS817"/>
      <c r="FT817"/>
      <c r="FU817"/>
      <c r="FV817"/>
      <c r="FW817"/>
      <c r="FX817"/>
      <c r="FY817"/>
      <c r="FZ817"/>
      <c r="GA817"/>
      <c r="GB817"/>
      <c r="GC817"/>
      <c r="GD817"/>
      <c r="GE817"/>
      <c r="GF817"/>
      <c r="GG817"/>
      <c r="GH817"/>
      <c r="GI817"/>
      <c r="GJ817"/>
      <c r="GK817"/>
      <c r="GL817"/>
      <c r="GM817"/>
      <c r="GN817"/>
      <c r="GO817"/>
      <c r="GP817"/>
      <c r="GQ817"/>
      <c r="GR817"/>
      <c r="GS817"/>
      <c r="GT817"/>
      <c r="GU817"/>
      <c r="GV817"/>
      <c r="GW817"/>
      <c r="GX817"/>
      <c r="GY817"/>
      <c r="GZ817"/>
      <c r="HA817"/>
      <c r="HB817"/>
      <c r="HC817"/>
      <c r="HD817"/>
      <c r="HE817"/>
      <c r="HF817"/>
      <c r="HG817"/>
      <c r="HH817"/>
      <c r="HI817"/>
      <c r="HJ817"/>
      <c r="HK817"/>
      <c r="HL817"/>
      <c r="HM817"/>
      <c r="HN817"/>
      <c r="HO817"/>
      <c r="HP817"/>
      <c r="HQ817"/>
      <c r="HR817"/>
      <c r="HS817"/>
      <c r="HT817"/>
      <c r="HU817"/>
      <c r="HV817"/>
      <c r="HW817"/>
      <c r="HX817"/>
      <c r="HY817"/>
      <c r="HZ817"/>
      <c r="IA817"/>
      <c r="IB817"/>
      <c r="IC817"/>
      <c r="ID817"/>
      <c r="IE817"/>
      <c r="IF817"/>
      <c r="IG817"/>
      <c r="IH817"/>
      <c r="II817"/>
      <c r="IJ817"/>
    </row>
    <row r="818" spans="1:244" x14ac:dyDescent="0.2">
      <c r="A818" s="2464"/>
      <c r="B818" s="2113" t="s">
        <v>1986</v>
      </c>
      <c r="C818" s="2107">
        <v>200000</v>
      </c>
      <c r="D818" s="2107">
        <v>200000</v>
      </c>
      <c r="E818" s="2107">
        <v>0</v>
      </c>
      <c r="F818" s="2107"/>
      <c r="G818" s="2200">
        <f t="shared" si="150"/>
        <v>0</v>
      </c>
      <c r="H818" s="2200">
        <f t="shared" si="151"/>
        <v>0</v>
      </c>
      <c r="I818" s="2201">
        <f t="shared" si="152"/>
        <v>0</v>
      </c>
      <c r="J818" s="88">
        <v>3187.64</v>
      </c>
      <c r="K818" s="2"/>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c r="EX818"/>
      <c r="EY818"/>
      <c r="EZ818"/>
      <c r="FA818"/>
      <c r="FB818"/>
      <c r="FC818"/>
      <c r="FD818"/>
      <c r="FE818"/>
      <c r="FF818"/>
      <c r="FG818"/>
      <c r="FH818"/>
      <c r="FI818"/>
      <c r="FJ818"/>
      <c r="FK818"/>
      <c r="FL818"/>
      <c r="FM818"/>
      <c r="FN818"/>
      <c r="FO818"/>
      <c r="FP818"/>
      <c r="FQ818"/>
      <c r="FR818"/>
      <c r="FS818"/>
      <c r="FT818"/>
      <c r="FU818"/>
      <c r="FV818"/>
      <c r="FW818"/>
      <c r="FX818"/>
      <c r="FY818"/>
      <c r="FZ818"/>
      <c r="GA818"/>
      <c r="GB818"/>
      <c r="GC818"/>
      <c r="GD818"/>
      <c r="GE818"/>
      <c r="GF818"/>
      <c r="GG818"/>
      <c r="GH818"/>
      <c r="GI818"/>
      <c r="GJ818"/>
      <c r="GK818"/>
      <c r="GL818"/>
      <c r="GM818"/>
      <c r="GN818"/>
      <c r="GO818"/>
      <c r="GP818"/>
      <c r="GQ818"/>
      <c r="GR818"/>
      <c r="GS818"/>
      <c r="GT818"/>
      <c r="GU818"/>
      <c r="GV818"/>
      <c r="GW818"/>
      <c r="GX818"/>
      <c r="GY818"/>
      <c r="GZ818"/>
      <c r="HA818"/>
      <c r="HB818"/>
      <c r="HC818"/>
      <c r="HD818"/>
      <c r="HE818"/>
      <c r="HF818"/>
      <c r="HG818"/>
      <c r="HH818"/>
      <c r="HI818"/>
      <c r="HJ818"/>
      <c r="HK818"/>
      <c r="HL818"/>
      <c r="HM818"/>
      <c r="HN818"/>
      <c r="HO818"/>
      <c r="HP818"/>
      <c r="HQ818"/>
      <c r="HR818"/>
      <c r="HS818"/>
      <c r="HT818"/>
      <c r="HU818"/>
      <c r="HV818"/>
      <c r="HW818"/>
      <c r="HX818"/>
      <c r="HY818"/>
      <c r="HZ818"/>
      <c r="IA818"/>
      <c r="IB818"/>
      <c r="IC818"/>
      <c r="ID818"/>
      <c r="IE818"/>
      <c r="IF818"/>
      <c r="IG818"/>
      <c r="IH818"/>
      <c r="II818"/>
      <c r="IJ818"/>
    </row>
    <row r="819" spans="1:244" x14ac:dyDescent="0.2">
      <c r="A819" s="2464"/>
      <c r="B819" s="2113" t="s">
        <v>2559</v>
      </c>
      <c r="C819" s="2075">
        <v>450000</v>
      </c>
      <c r="D819" s="2075">
        <v>450000</v>
      </c>
      <c r="E819" s="2075">
        <v>5000</v>
      </c>
      <c r="F819" s="2075"/>
      <c r="G819" s="2200">
        <f t="shared" si="150"/>
        <v>1.1111111111111112</v>
      </c>
      <c r="H819" s="2200">
        <f t="shared" si="151"/>
        <v>1.1111111111111112</v>
      </c>
      <c r="I819" s="2201">
        <v>0</v>
      </c>
      <c r="J819" s="88">
        <v>0</v>
      </c>
      <c r="K819" s="2"/>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c r="EX819"/>
      <c r="EY819"/>
      <c r="EZ819"/>
      <c r="FA819"/>
      <c r="FB819"/>
      <c r="FC819"/>
      <c r="FD819"/>
      <c r="FE819"/>
      <c r="FF819"/>
      <c r="FG819"/>
      <c r="FH819"/>
      <c r="FI819"/>
      <c r="FJ819"/>
      <c r="FK819"/>
      <c r="FL819"/>
      <c r="FM819"/>
      <c r="FN819"/>
      <c r="FO819"/>
      <c r="FP819"/>
      <c r="FQ819"/>
      <c r="FR819"/>
      <c r="FS819"/>
      <c r="FT819"/>
      <c r="FU819"/>
      <c r="FV819"/>
      <c r="FW819"/>
      <c r="FX819"/>
      <c r="FY819"/>
      <c r="FZ819"/>
      <c r="GA819"/>
      <c r="GB819"/>
      <c r="GC819"/>
      <c r="GD819"/>
      <c r="GE819"/>
      <c r="GF819"/>
      <c r="GG819"/>
      <c r="GH819"/>
      <c r="GI819"/>
      <c r="GJ819"/>
      <c r="GK819"/>
      <c r="GL819"/>
      <c r="GM819"/>
      <c r="GN819"/>
      <c r="GO819"/>
      <c r="GP819"/>
      <c r="GQ819"/>
      <c r="GR819"/>
      <c r="GS819"/>
      <c r="GT819"/>
      <c r="GU819"/>
      <c r="GV819"/>
      <c r="GW819"/>
      <c r="GX819"/>
      <c r="GY819"/>
      <c r="GZ819"/>
      <c r="HA819"/>
      <c r="HB819"/>
      <c r="HC819"/>
      <c r="HD819"/>
      <c r="HE819"/>
      <c r="HF819"/>
      <c r="HG819"/>
      <c r="HH819"/>
      <c r="HI819"/>
      <c r="HJ819"/>
      <c r="HK819"/>
      <c r="HL819"/>
      <c r="HM819"/>
      <c r="HN819"/>
      <c r="HO819"/>
      <c r="HP819"/>
      <c r="HQ819"/>
      <c r="HR819"/>
      <c r="HS819"/>
      <c r="HT819"/>
      <c r="HU819"/>
      <c r="HV819"/>
      <c r="HW819"/>
      <c r="HX819"/>
      <c r="HY819"/>
      <c r="HZ819"/>
      <c r="IA819"/>
      <c r="IB819"/>
      <c r="IC819"/>
      <c r="ID819"/>
      <c r="IE819"/>
      <c r="IF819"/>
      <c r="IG819"/>
      <c r="IH819"/>
      <c r="II819"/>
      <c r="IJ819"/>
    </row>
    <row r="820" spans="1:244" ht="13.5" customHeight="1" x14ac:dyDescent="0.2">
      <c r="A820" s="2464"/>
      <c r="B820" s="2112" t="s">
        <v>1988</v>
      </c>
      <c r="C820" s="2107">
        <v>200000</v>
      </c>
      <c r="D820" s="2107">
        <v>200000</v>
      </c>
      <c r="E820" s="2107">
        <v>0</v>
      </c>
      <c r="F820" s="2107"/>
      <c r="G820" s="2200">
        <f t="shared" si="150"/>
        <v>0</v>
      </c>
      <c r="H820" s="2200">
        <f t="shared" si="151"/>
        <v>0</v>
      </c>
      <c r="I820" s="2201">
        <f t="shared" si="152"/>
        <v>0</v>
      </c>
      <c r="J820" s="88">
        <v>36421</v>
      </c>
      <c r="K820" s="2"/>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c r="EX820"/>
      <c r="EY820"/>
      <c r="EZ820"/>
      <c r="FA820"/>
      <c r="FB820"/>
      <c r="FC820"/>
      <c r="FD820"/>
      <c r="FE820"/>
      <c r="FF820"/>
      <c r="FG820"/>
      <c r="FH820"/>
      <c r="FI820"/>
      <c r="FJ820"/>
      <c r="FK820"/>
      <c r="FL820"/>
      <c r="FM820"/>
      <c r="FN820"/>
      <c r="FO820"/>
      <c r="FP820"/>
      <c r="FQ820"/>
      <c r="FR820"/>
      <c r="FS820"/>
      <c r="FT820"/>
      <c r="FU820"/>
      <c r="FV820"/>
      <c r="FW820"/>
      <c r="FX820"/>
      <c r="FY820"/>
      <c r="FZ820"/>
      <c r="GA820"/>
      <c r="GB820"/>
      <c r="GC820"/>
      <c r="GD820"/>
      <c r="GE820"/>
      <c r="GF820"/>
      <c r="GG820"/>
      <c r="GH820"/>
      <c r="GI820"/>
      <c r="GJ820"/>
      <c r="GK820"/>
      <c r="GL820"/>
      <c r="GM820"/>
      <c r="GN820"/>
      <c r="GO820"/>
      <c r="GP820"/>
      <c r="GQ820"/>
      <c r="GR820"/>
      <c r="GS820"/>
      <c r="GT820"/>
      <c r="GU820"/>
      <c r="GV820"/>
      <c r="GW820"/>
      <c r="GX820"/>
      <c r="GY820"/>
      <c r="GZ820"/>
      <c r="HA820"/>
      <c r="HB820"/>
      <c r="HC820"/>
      <c r="HD820"/>
      <c r="HE820"/>
      <c r="HF820"/>
      <c r="HG820"/>
      <c r="HH820"/>
      <c r="HI820"/>
      <c r="HJ820"/>
      <c r="HK820"/>
      <c r="HL820"/>
      <c r="HM820"/>
      <c r="HN820"/>
      <c r="HO820"/>
      <c r="HP820"/>
      <c r="HQ820"/>
      <c r="HR820"/>
      <c r="HS820"/>
      <c r="HT820"/>
      <c r="HU820"/>
      <c r="HV820"/>
      <c r="HW820"/>
      <c r="HX820"/>
      <c r="HY820"/>
      <c r="HZ820"/>
      <c r="IA820"/>
      <c r="IB820"/>
      <c r="IC820"/>
      <c r="ID820"/>
      <c r="IE820"/>
      <c r="IF820"/>
      <c r="IG820"/>
      <c r="IH820"/>
      <c r="II820"/>
      <c r="IJ820"/>
    </row>
    <row r="821" spans="1:244" x14ac:dyDescent="0.2">
      <c r="A821" s="2464"/>
      <c r="B821" s="2126" t="s">
        <v>2560</v>
      </c>
      <c r="C821" s="2111">
        <v>200000</v>
      </c>
      <c r="D821" s="2111">
        <v>200000</v>
      </c>
      <c r="E821" s="2111">
        <v>0</v>
      </c>
      <c r="F821" s="2111"/>
      <c r="G821" s="2200">
        <f t="shared" si="150"/>
        <v>0</v>
      </c>
      <c r="H821" s="2200">
        <f t="shared" si="151"/>
        <v>0</v>
      </c>
      <c r="I821" s="2201">
        <v>0</v>
      </c>
      <c r="J821" s="88">
        <v>0</v>
      </c>
      <c r="K821" s="2"/>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c r="EX821"/>
      <c r="EY821"/>
      <c r="EZ821"/>
      <c r="FA821"/>
      <c r="FB821"/>
      <c r="FC821"/>
      <c r="FD821"/>
      <c r="FE821"/>
      <c r="FF821"/>
      <c r="FG821"/>
      <c r="FH821"/>
      <c r="FI821"/>
      <c r="FJ821"/>
      <c r="FK821"/>
      <c r="FL821"/>
      <c r="FM821"/>
      <c r="FN821"/>
      <c r="FO821"/>
      <c r="FP821"/>
      <c r="FQ821"/>
      <c r="FR821"/>
      <c r="FS821"/>
      <c r="FT821"/>
      <c r="FU821"/>
      <c r="FV821"/>
      <c r="FW821"/>
      <c r="FX821"/>
      <c r="FY821"/>
      <c r="FZ821"/>
      <c r="GA821"/>
      <c r="GB821"/>
      <c r="GC821"/>
      <c r="GD821"/>
      <c r="GE821"/>
      <c r="GF821"/>
      <c r="GG821"/>
      <c r="GH821"/>
      <c r="GI821"/>
      <c r="GJ821"/>
      <c r="GK821"/>
      <c r="GL821"/>
      <c r="GM821"/>
      <c r="GN821"/>
      <c r="GO821"/>
      <c r="GP821"/>
      <c r="GQ821"/>
      <c r="GR821"/>
      <c r="GS821"/>
      <c r="GT821"/>
      <c r="GU821"/>
      <c r="GV821"/>
      <c r="GW821"/>
      <c r="GX821"/>
      <c r="GY821"/>
      <c r="GZ821"/>
      <c r="HA821"/>
      <c r="HB821"/>
      <c r="HC821"/>
      <c r="HD821"/>
      <c r="HE821"/>
      <c r="HF821"/>
      <c r="HG821"/>
      <c r="HH821"/>
      <c r="HI821"/>
      <c r="HJ821"/>
      <c r="HK821"/>
      <c r="HL821"/>
      <c r="HM821"/>
      <c r="HN821"/>
      <c r="HO821"/>
      <c r="HP821"/>
      <c r="HQ821"/>
      <c r="HR821"/>
      <c r="HS821"/>
      <c r="HT821"/>
      <c r="HU821"/>
      <c r="HV821"/>
      <c r="HW821"/>
      <c r="HX821"/>
      <c r="HY821"/>
      <c r="HZ821"/>
      <c r="IA821"/>
      <c r="IB821"/>
      <c r="IC821"/>
      <c r="ID821"/>
      <c r="IE821"/>
      <c r="IF821"/>
      <c r="IG821"/>
      <c r="IH821"/>
      <c r="II821"/>
      <c r="IJ821"/>
    </row>
    <row r="822" spans="1:244" s="488" customFormat="1" ht="13.5" customHeight="1" x14ac:dyDescent="0.2">
      <c r="A822" s="2391"/>
      <c r="B822" s="2112" t="s">
        <v>2561</v>
      </c>
      <c r="C822" s="2107">
        <v>500000</v>
      </c>
      <c r="D822" s="2107">
        <v>500000</v>
      </c>
      <c r="E822" s="2111">
        <v>0</v>
      </c>
      <c r="F822" s="2111"/>
      <c r="G822" s="2200">
        <f t="shared" si="150"/>
        <v>0</v>
      </c>
      <c r="H822" s="2200">
        <f t="shared" si="151"/>
        <v>0</v>
      </c>
      <c r="I822" s="2201">
        <f t="shared" si="152"/>
        <v>0</v>
      </c>
      <c r="J822" s="88">
        <v>203628.55</v>
      </c>
    </row>
    <row r="823" spans="1:244" s="488" customFormat="1" ht="13.5" customHeight="1" x14ac:dyDescent="0.2">
      <c r="A823" s="2391">
        <v>3634</v>
      </c>
      <c r="B823" s="2130" t="s">
        <v>1991</v>
      </c>
      <c r="C823" s="2131">
        <f>SUM(C824:C827)</f>
        <v>5700000</v>
      </c>
      <c r="D823" s="2131">
        <f>SUM(D824:D827)</f>
        <v>5900000</v>
      </c>
      <c r="E823" s="2131">
        <v>2331485.9700000002</v>
      </c>
      <c r="F823" s="2107">
        <f>SUM(E824:E827)</f>
        <v>2331485.9699999997</v>
      </c>
      <c r="G823" s="1663">
        <f t="shared" si="150"/>
        <v>40.903262631578954</v>
      </c>
      <c r="H823" s="1663">
        <f t="shared" si="151"/>
        <v>39.516711355932202</v>
      </c>
      <c r="I823" s="1662">
        <f t="shared" si="152"/>
        <v>134.25163327466132</v>
      </c>
      <c r="J823" s="2175">
        <v>1736653.71</v>
      </c>
    </row>
    <row r="824" spans="1:244" s="488" customFormat="1" ht="12.75" customHeight="1" x14ac:dyDescent="0.2">
      <c r="A824" s="2391"/>
      <c r="B824" s="2113" t="s">
        <v>2562</v>
      </c>
      <c r="C824" s="2107">
        <v>500000</v>
      </c>
      <c r="D824" s="2107">
        <v>500000</v>
      </c>
      <c r="E824" s="2107">
        <v>76634.14</v>
      </c>
      <c r="F824" s="2107"/>
      <c r="G824" s="2200">
        <f t="shared" si="150"/>
        <v>15.326828000000001</v>
      </c>
      <c r="H824" s="2200">
        <f t="shared" si="151"/>
        <v>15.326828000000001</v>
      </c>
      <c r="I824" s="2201">
        <f t="shared" si="152"/>
        <v>124.81081507173262</v>
      </c>
      <c r="J824" s="88">
        <v>61400.24</v>
      </c>
    </row>
    <row r="825" spans="1:244" ht="27.75" customHeight="1" x14ac:dyDescent="0.2">
      <c r="A825" s="2391"/>
      <c r="B825" s="2113" t="s">
        <v>2957</v>
      </c>
      <c r="C825" s="2075">
        <v>700000</v>
      </c>
      <c r="D825" s="2075">
        <f>700000+1000000</f>
        <v>1700000</v>
      </c>
      <c r="E825" s="2107">
        <v>451959.2</v>
      </c>
      <c r="F825" s="2107"/>
      <c r="G825" s="2200">
        <f t="shared" si="150"/>
        <v>64.565600000000003</v>
      </c>
      <c r="H825" s="2200">
        <f t="shared" si="151"/>
        <v>26.585835294117651</v>
      </c>
      <c r="I825" s="2201">
        <f t="shared" si="152"/>
        <v>59.19192687534072</v>
      </c>
      <c r="J825" s="32">
        <v>763548.72</v>
      </c>
      <c r="K825" s="2"/>
      <c r="L825"/>
      <c r="M825"/>
      <c r="N825"/>
      <c r="O825"/>
      <c r="P825"/>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c r="EB825"/>
      <c r="EC825"/>
      <c r="ED825"/>
      <c r="EE825"/>
      <c r="EF825"/>
      <c r="EG825"/>
      <c r="EH825"/>
      <c r="EI825"/>
      <c r="EJ825"/>
      <c r="EK825"/>
      <c r="EL825"/>
      <c r="EM825"/>
      <c r="EN825"/>
      <c r="EO825"/>
      <c r="EP825"/>
      <c r="EQ825"/>
      <c r="ER825"/>
      <c r="ES825"/>
      <c r="ET825"/>
      <c r="EU825"/>
      <c r="EV825"/>
      <c r="EW825"/>
      <c r="EX825"/>
      <c r="EY825"/>
      <c r="EZ825"/>
      <c r="FA825"/>
      <c r="FB825"/>
      <c r="FC825"/>
      <c r="FD825"/>
      <c r="FE825"/>
      <c r="FF825"/>
      <c r="FG825"/>
      <c r="FH825"/>
      <c r="FI825"/>
      <c r="FJ825"/>
      <c r="FK825"/>
      <c r="FL825"/>
      <c r="FM825"/>
      <c r="FN825"/>
      <c r="FO825"/>
      <c r="FP825"/>
      <c r="FQ825"/>
      <c r="FR825"/>
      <c r="FS825"/>
      <c r="FT825"/>
      <c r="FU825"/>
      <c r="FV825"/>
      <c r="FW825"/>
      <c r="FX825"/>
      <c r="FY825"/>
      <c r="FZ825"/>
      <c r="GA825"/>
      <c r="GB825"/>
      <c r="GC825"/>
      <c r="GD825"/>
      <c r="GE825"/>
      <c r="GF825"/>
      <c r="GG825"/>
      <c r="GH825"/>
      <c r="GI825"/>
      <c r="GJ825"/>
      <c r="GK825"/>
      <c r="GL825"/>
      <c r="GM825"/>
      <c r="GN825"/>
      <c r="GO825"/>
      <c r="GP825"/>
      <c r="GQ825"/>
      <c r="GR825"/>
      <c r="GS825"/>
      <c r="GT825"/>
      <c r="GU825"/>
      <c r="GV825"/>
      <c r="GW825"/>
      <c r="GX825"/>
      <c r="GY825"/>
      <c r="GZ825"/>
      <c r="HA825"/>
      <c r="HB825"/>
      <c r="HC825"/>
      <c r="HD825"/>
      <c r="HE825"/>
      <c r="HF825"/>
      <c r="HG825"/>
      <c r="HH825"/>
      <c r="HI825"/>
      <c r="HJ825"/>
      <c r="HK825"/>
      <c r="HL825"/>
      <c r="HM825"/>
      <c r="HN825"/>
      <c r="HO825"/>
      <c r="HP825"/>
      <c r="HQ825"/>
      <c r="HR825"/>
      <c r="HS825"/>
      <c r="HT825"/>
      <c r="HU825"/>
      <c r="HV825"/>
      <c r="HW825"/>
      <c r="HX825"/>
      <c r="HY825"/>
      <c r="HZ825"/>
      <c r="IA825"/>
      <c r="IB825"/>
      <c r="IC825"/>
      <c r="ID825"/>
      <c r="IE825"/>
      <c r="IF825"/>
      <c r="IG825"/>
      <c r="IH825"/>
      <c r="II825"/>
      <c r="IJ825"/>
    </row>
    <row r="826" spans="1:244" s="488" customFormat="1" ht="12.75" customHeight="1" x14ac:dyDescent="0.2">
      <c r="A826" s="2391"/>
      <c r="B826" s="2132" t="s">
        <v>2958</v>
      </c>
      <c r="C826" s="2075">
        <v>2500000</v>
      </c>
      <c r="D826" s="2075">
        <v>2500000</v>
      </c>
      <c r="E826" s="2075">
        <v>1802892.63</v>
      </c>
      <c r="F826" s="2075"/>
      <c r="G826" s="2200">
        <f t="shared" ref="G826:G872" si="153">E826/C826*100</f>
        <v>72.115705199999994</v>
      </c>
      <c r="H826" s="2200">
        <f t="shared" si="151"/>
        <v>72.115705199999994</v>
      </c>
      <c r="I826" s="2201">
        <v>0</v>
      </c>
      <c r="J826" s="88">
        <v>0</v>
      </c>
    </row>
    <row r="827" spans="1:244" s="488" customFormat="1" ht="13.5" customHeight="1" x14ac:dyDescent="0.2">
      <c r="A827" s="2471"/>
      <c r="B827" s="2106" t="s">
        <v>951</v>
      </c>
      <c r="C827" s="2107">
        <f>SUM(C828:C830)</f>
        <v>2000000</v>
      </c>
      <c r="D827" s="2107">
        <f>SUM(D828:D830)</f>
        <v>1200000</v>
      </c>
      <c r="E827" s="2107">
        <v>0</v>
      </c>
      <c r="F827" s="2107">
        <f>SUM(E828:E830)</f>
        <v>0</v>
      </c>
      <c r="G827" s="2200">
        <f t="shared" si="153"/>
        <v>0</v>
      </c>
      <c r="H827" s="2200">
        <f t="shared" si="151"/>
        <v>0</v>
      </c>
      <c r="I827" s="2201">
        <v>0</v>
      </c>
      <c r="J827" s="88">
        <v>0</v>
      </c>
    </row>
    <row r="828" spans="1:244" s="488" customFormat="1" ht="12" customHeight="1" x14ac:dyDescent="0.2">
      <c r="A828" s="2462"/>
      <c r="B828" s="2133" t="s">
        <v>2959</v>
      </c>
      <c r="C828" s="2075">
        <v>400000</v>
      </c>
      <c r="D828" s="2075">
        <v>400000</v>
      </c>
      <c r="E828" s="2075">
        <v>0</v>
      </c>
      <c r="F828" s="2075"/>
      <c r="G828" s="2200">
        <f t="shared" si="153"/>
        <v>0</v>
      </c>
      <c r="H828" s="2200">
        <f t="shared" si="151"/>
        <v>0</v>
      </c>
      <c r="I828" s="2201">
        <v>0</v>
      </c>
      <c r="J828" s="32">
        <v>0</v>
      </c>
    </row>
    <row r="829" spans="1:244" s="488" customFormat="1" ht="13.5" customHeight="1" x14ac:dyDescent="0.2">
      <c r="A829" s="2462"/>
      <c r="B829" s="2133" t="s">
        <v>2566</v>
      </c>
      <c r="C829" s="2107">
        <v>800000</v>
      </c>
      <c r="D829" s="2107">
        <v>800000</v>
      </c>
      <c r="E829" s="2107">
        <v>0</v>
      </c>
      <c r="F829" s="2107"/>
      <c r="G829" s="2200">
        <f t="shared" si="153"/>
        <v>0</v>
      </c>
      <c r="H829" s="2200">
        <f t="shared" si="151"/>
        <v>0</v>
      </c>
      <c r="I829" s="2201">
        <v>0</v>
      </c>
      <c r="J829" s="88">
        <v>0</v>
      </c>
    </row>
    <row r="830" spans="1:244" s="488" customFormat="1" ht="13.5" customHeight="1" x14ac:dyDescent="0.2">
      <c r="A830" s="2462"/>
      <c r="B830" s="2133" t="s">
        <v>2960</v>
      </c>
      <c r="C830" s="2107">
        <v>800000</v>
      </c>
      <c r="D830" s="2107">
        <f>800000-800000</f>
        <v>0</v>
      </c>
      <c r="E830" s="2107">
        <v>0</v>
      </c>
      <c r="F830" s="2107"/>
      <c r="G830" s="2200">
        <f t="shared" si="153"/>
        <v>0</v>
      </c>
      <c r="H830" s="2200">
        <v>0</v>
      </c>
      <c r="I830" s="2201">
        <v>0</v>
      </c>
      <c r="J830" s="88">
        <v>0</v>
      </c>
    </row>
    <row r="831" spans="1:244" s="488" customFormat="1" ht="13.5" customHeight="1" x14ac:dyDescent="0.2">
      <c r="A831" s="2391">
        <v>4351</v>
      </c>
      <c r="B831" s="2134" t="s">
        <v>1998</v>
      </c>
      <c r="C831" s="2085">
        <v>15000</v>
      </c>
      <c r="D831" s="2085">
        <v>15000</v>
      </c>
      <c r="E831" s="2085">
        <v>2890.81</v>
      </c>
      <c r="F831" s="2075"/>
      <c r="G831" s="1663">
        <f t="shared" si="153"/>
        <v>19.272066666666664</v>
      </c>
      <c r="H831" s="1663">
        <f t="shared" si="151"/>
        <v>19.272066666666664</v>
      </c>
      <c r="I831" s="1662">
        <f t="shared" si="152"/>
        <v>-61.010592607756941</v>
      </c>
      <c r="J831" s="88">
        <v>-4738.21</v>
      </c>
    </row>
    <row r="832" spans="1:244" s="488" customFormat="1" ht="13.5" customHeight="1" x14ac:dyDescent="0.2">
      <c r="A832" s="2391">
        <v>4374</v>
      </c>
      <c r="B832" s="2134" t="s">
        <v>759</v>
      </c>
      <c r="C832" s="2085">
        <f>C833</f>
        <v>350000</v>
      </c>
      <c r="D832" s="2085">
        <f>D833</f>
        <v>350000</v>
      </c>
      <c r="E832" s="2085">
        <v>27230</v>
      </c>
      <c r="F832" s="2075"/>
      <c r="G832" s="1663">
        <f t="shared" si="153"/>
        <v>7.7799999999999994</v>
      </c>
      <c r="H832" s="1663">
        <f t="shared" si="151"/>
        <v>7.7799999999999994</v>
      </c>
      <c r="I832" s="1662">
        <f t="shared" si="152"/>
        <v>44.12971835904866</v>
      </c>
      <c r="J832" s="88">
        <v>61704.45</v>
      </c>
    </row>
    <row r="833" spans="1:243" s="488" customFormat="1" ht="13.5" customHeight="1" x14ac:dyDescent="0.2">
      <c r="A833" s="2462"/>
      <c r="B833" s="2133" t="s">
        <v>1999</v>
      </c>
      <c r="C833" s="2075">
        <f>C834+C835</f>
        <v>350000</v>
      </c>
      <c r="D833" s="2075">
        <f>D834+D835</f>
        <v>350000</v>
      </c>
      <c r="E833" s="2075">
        <v>27230</v>
      </c>
      <c r="F833" s="2075">
        <f>SUM(E834:E835)</f>
        <v>27230</v>
      </c>
      <c r="G833" s="2200">
        <f t="shared" si="153"/>
        <v>7.7799999999999994</v>
      </c>
      <c r="H833" s="2200">
        <f t="shared" si="151"/>
        <v>7.7799999999999994</v>
      </c>
      <c r="I833" s="2201">
        <f t="shared" si="152"/>
        <v>44.12971835904866</v>
      </c>
      <c r="J833" s="88">
        <v>61704.45</v>
      </c>
    </row>
    <row r="834" spans="1:243" s="488" customFormat="1" x14ac:dyDescent="0.2">
      <c r="A834" s="2462"/>
      <c r="B834" s="2133" t="s">
        <v>2000</v>
      </c>
      <c r="C834" s="2107">
        <v>250000</v>
      </c>
      <c r="D834" s="2107">
        <v>250000</v>
      </c>
      <c r="E834" s="2107">
        <v>0</v>
      </c>
      <c r="F834" s="2107"/>
      <c r="G834" s="2200">
        <f t="shared" si="153"/>
        <v>0</v>
      </c>
      <c r="H834" s="2200">
        <f t="shared" si="151"/>
        <v>0</v>
      </c>
      <c r="I834" s="2201">
        <f t="shared" si="152"/>
        <v>0</v>
      </c>
      <c r="J834" s="88">
        <v>56440.45</v>
      </c>
    </row>
    <row r="835" spans="1:243" s="488" customFormat="1" ht="13.5" customHeight="1" x14ac:dyDescent="0.2">
      <c r="A835" s="2391"/>
      <c r="B835" s="2083" t="s">
        <v>2001</v>
      </c>
      <c r="C835" s="2075">
        <v>100000</v>
      </c>
      <c r="D835" s="2075">
        <v>100000</v>
      </c>
      <c r="E835" s="2075">
        <v>27230</v>
      </c>
      <c r="F835" s="2075"/>
      <c r="G835" s="2200">
        <f t="shared" si="153"/>
        <v>27.229999999999997</v>
      </c>
      <c r="H835" s="2200">
        <f t="shared" si="151"/>
        <v>27.229999999999997</v>
      </c>
      <c r="I835" s="2201">
        <f t="shared" si="152"/>
        <v>517.28723404255322</v>
      </c>
      <c r="J835" s="88">
        <v>5264</v>
      </c>
    </row>
    <row r="836" spans="1:243" s="488" customFormat="1" ht="13.5" customHeight="1" x14ac:dyDescent="0.2">
      <c r="A836" s="2391">
        <v>6171</v>
      </c>
      <c r="B836" s="2135" t="s">
        <v>975</v>
      </c>
      <c r="C836" s="2131">
        <f>SUM(C837:C838)</f>
        <v>500000</v>
      </c>
      <c r="D836" s="2131">
        <f>SUM(D837:D838)</f>
        <v>500000</v>
      </c>
      <c r="E836" s="2131">
        <v>156781</v>
      </c>
      <c r="F836" s="2107">
        <f>SUM(E837:E838)</f>
        <v>156781</v>
      </c>
      <c r="G836" s="1663">
        <f t="shared" si="153"/>
        <v>31.356200000000001</v>
      </c>
      <c r="H836" s="1663">
        <f t="shared" si="151"/>
        <v>31.356200000000001</v>
      </c>
      <c r="I836" s="1662">
        <f t="shared" si="152"/>
        <v>96.613793783430708</v>
      </c>
      <c r="J836" s="88">
        <v>162276</v>
      </c>
    </row>
    <row r="837" spans="1:243" s="488" customFormat="1" ht="12" customHeight="1" x14ac:dyDescent="0.2">
      <c r="A837" s="2473"/>
      <c r="B837" s="2128" t="s">
        <v>2002</v>
      </c>
      <c r="C837" s="2137">
        <v>250000</v>
      </c>
      <c r="D837" s="2137">
        <v>250000</v>
      </c>
      <c r="E837" s="2137">
        <v>156781</v>
      </c>
      <c r="F837" s="2137"/>
      <c r="G837" s="2200">
        <f t="shared" si="153"/>
        <v>62.712400000000002</v>
      </c>
      <c r="H837" s="2200">
        <f t="shared" si="151"/>
        <v>62.712400000000002</v>
      </c>
      <c r="I837" s="2201">
        <f t="shared" si="152"/>
        <v>150.46738838343123</v>
      </c>
      <c r="J837" s="88">
        <v>104196</v>
      </c>
    </row>
    <row r="838" spans="1:243" s="488" customFormat="1" ht="25.5" x14ac:dyDescent="0.2">
      <c r="A838" s="2462"/>
      <c r="B838" s="2078" t="s">
        <v>2568</v>
      </c>
      <c r="C838" s="2075">
        <v>250000</v>
      </c>
      <c r="D838" s="2075">
        <v>250000</v>
      </c>
      <c r="E838" s="2075">
        <v>0</v>
      </c>
      <c r="F838" s="2075"/>
      <c r="G838" s="2200">
        <f t="shared" si="153"/>
        <v>0</v>
      </c>
      <c r="H838" s="2200">
        <f t="shared" si="151"/>
        <v>0</v>
      </c>
      <c r="I838" s="2201">
        <v>0</v>
      </c>
      <c r="J838" s="32">
        <v>0</v>
      </c>
    </row>
    <row r="839" spans="1:243" s="488" customFormat="1" ht="12" customHeight="1" x14ac:dyDescent="0.2">
      <c r="A839" s="2474"/>
      <c r="B839" s="2141"/>
      <c r="C839" s="2144"/>
      <c r="D839" s="2144"/>
      <c r="E839" s="2142"/>
      <c r="F839" s="2143"/>
      <c r="G839" s="2475"/>
      <c r="H839" s="2475"/>
      <c r="I839" s="2144"/>
      <c r="J839" s="2175"/>
    </row>
    <row r="840" spans="1:243" s="545" customFormat="1" ht="20.25" x14ac:dyDescent="0.3">
      <c r="A840" s="2373"/>
      <c r="B840" s="701" t="s">
        <v>52</v>
      </c>
      <c r="C840" s="2145">
        <f t="shared" ref="C840:D840" si="154">SUM(C841+C846)</f>
        <v>290000</v>
      </c>
      <c r="D840" s="2145">
        <f t="shared" si="154"/>
        <v>290000</v>
      </c>
      <c r="E840" s="1217">
        <v>0</v>
      </c>
      <c r="F840" s="2476"/>
      <c r="G840" s="949">
        <f t="shared" si="153"/>
        <v>0</v>
      </c>
      <c r="H840" s="949">
        <f t="shared" si="151"/>
        <v>0</v>
      </c>
      <c r="I840" s="949">
        <f t="shared" si="152"/>
        <v>0</v>
      </c>
      <c r="J840" s="2047">
        <v>18150</v>
      </c>
      <c r="IC840" s="98"/>
      <c r="ID840" s="98"/>
      <c r="IE840" s="98"/>
      <c r="IF840" s="98"/>
      <c r="IG840" s="98"/>
      <c r="IH840" s="98"/>
      <c r="II840" s="98"/>
    </row>
    <row r="841" spans="1:243" s="545" customFormat="1" x14ac:dyDescent="0.2">
      <c r="A841" s="2219">
        <v>2169</v>
      </c>
      <c r="B841" s="709" t="s">
        <v>2007</v>
      </c>
      <c r="C841" s="746">
        <f>SUM(C842:C845)</f>
        <v>250000</v>
      </c>
      <c r="D841" s="746">
        <f>SUM(D842:D845)</f>
        <v>250000</v>
      </c>
      <c r="E841" s="731">
        <v>0</v>
      </c>
      <c r="F841" s="738"/>
      <c r="G841" s="1663">
        <f t="shared" si="153"/>
        <v>0</v>
      </c>
      <c r="H841" s="1663">
        <f t="shared" si="151"/>
        <v>0</v>
      </c>
      <c r="I841" s="1662">
        <v>0</v>
      </c>
      <c r="J841" s="2047">
        <v>0</v>
      </c>
      <c r="IC841" s="98"/>
      <c r="ID841" s="98"/>
      <c r="IE841" s="98"/>
      <c r="IF841" s="98"/>
      <c r="IG841" s="98"/>
      <c r="IH841" s="98"/>
      <c r="II841" s="98"/>
    </row>
    <row r="842" spans="1:243" s="545" customFormat="1" x14ac:dyDescent="0.2">
      <c r="A842" s="2219"/>
      <c r="B842" s="766" t="s">
        <v>982</v>
      </c>
      <c r="C842" s="1856">
        <v>37000</v>
      </c>
      <c r="D842" s="1856">
        <v>37000</v>
      </c>
      <c r="E842" s="738">
        <v>0</v>
      </c>
      <c r="F842" s="2146"/>
      <c r="G842" s="2200">
        <f t="shared" si="153"/>
        <v>0</v>
      </c>
      <c r="H842" s="2200">
        <f t="shared" si="151"/>
        <v>0</v>
      </c>
      <c r="I842" s="2201">
        <v>0</v>
      </c>
      <c r="J842" s="2047">
        <v>0</v>
      </c>
      <c r="IC842" s="98"/>
      <c r="ID842" s="98"/>
      <c r="IE842" s="98"/>
      <c r="IF842" s="98"/>
      <c r="IG842" s="98"/>
      <c r="IH842" s="98"/>
      <c r="II842" s="98"/>
    </row>
    <row r="843" spans="1:243" s="545" customFormat="1" x14ac:dyDescent="0.2">
      <c r="A843" s="2219"/>
      <c r="B843" s="766" t="s">
        <v>983</v>
      </c>
      <c r="C843" s="858">
        <v>200000</v>
      </c>
      <c r="D843" s="858">
        <v>200000</v>
      </c>
      <c r="E843" s="738">
        <v>0</v>
      </c>
      <c r="F843" s="1256"/>
      <c r="G843" s="2200">
        <f t="shared" si="153"/>
        <v>0</v>
      </c>
      <c r="H843" s="2200">
        <f t="shared" si="151"/>
        <v>0</v>
      </c>
      <c r="I843" s="2201">
        <v>0</v>
      </c>
      <c r="J843" s="2047">
        <v>0</v>
      </c>
      <c r="IC843" s="98"/>
      <c r="ID843" s="98"/>
      <c r="IE843" s="98"/>
      <c r="IF843" s="98"/>
      <c r="IG843" s="98"/>
      <c r="IH843" s="98"/>
      <c r="II843" s="98"/>
    </row>
    <row r="844" spans="1:243" s="545" customFormat="1" x14ac:dyDescent="0.2">
      <c r="A844" s="2219"/>
      <c r="B844" s="766" t="s">
        <v>2569</v>
      </c>
      <c r="C844" s="858">
        <v>10000</v>
      </c>
      <c r="D844" s="858">
        <v>10000</v>
      </c>
      <c r="E844" s="738">
        <v>0</v>
      </c>
      <c r="F844" s="1256"/>
      <c r="G844" s="2200">
        <f t="shared" si="153"/>
        <v>0</v>
      </c>
      <c r="H844" s="2200">
        <f t="shared" si="151"/>
        <v>0</v>
      </c>
      <c r="I844" s="2201">
        <v>0</v>
      </c>
      <c r="J844" s="2047">
        <v>0</v>
      </c>
      <c r="IC844" s="98"/>
      <c r="ID844" s="98"/>
      <c r="IE844" s="98"/>
      <c r="IF844" s="98"/>
      <c r="IG844" s="98"/>
      <c r="IH844" s="98"/>
      <c r="II844" s="98"/>
    </row>
    <row r="845" spans="1:243" s="545" customFormat="1" x14ac:dyDescent="0.2">
      <c r="A845" s="2219"/>
      <c r="B845" s="766" t="s">
        <v>984</v>
      </c>
      <c r="C845" s="866">
        <v>3000</v>
      </c>
      <c r="D845" s="866">
        <v>3000</v>
      </c>
      <c r="E845" s="738">
        <v>0</v>
      </c>
      <c r="F845" s="2045"/>
      <c r="G845" s="2200">
        <f t="shared" si="153"/>
        <v>0</v>
      </c>
      <c r="H845" s="2200">
        <f t="shared" si="151"/>
        <v>0</v>
      </c>
      <c r="I845" s="2201">
        <v>0</v>
      </c>
      <c r="J845" s="2047">
        <v>0</v>
      </c>
      <c r="IC845" s="98"/>
      <c r="ID845" s="98"/>
      <c r="IE845" s="98"/>
      <c r="IF845" s="98"/>
      <c r="IG845" s="98"/>
      <c r="IH845" s="98"/>
      <c r="II845" s="98"/>
    </row>
    <row r="846" spans="1:243" s="545" customFormat="1" x14ac:dyDescent="0.2">
      <c r="A846" s="2221">
        <v>3635</v>
      </c>
      <c r="B846" s="717" t="s">
        <v>986</v>
      </c>
      <c r="C846" s="726">
        <f t="shared" ref="C846:D846" si="155">SUM(C847:C848)</f>
        <v>40000</v>
      </c>
      <c r="D846" s="726">
        <f t="shared" si="155"/>
        <v>40000</v>
      </c>
      <c r="E846" s="726">
        <v>0</v>
      </c>
      <c r="F846" s="750"/>
      <c r="G846" s="1663">
        <f t="shared" si="153"/>
        <v>0</v>
      </c>
      <c r="H846" s="1663">
        <f t="shared" si="151"/>
        <v>0</v>
      </c>
      <c r="I846" s="1662">
        <f t="shared" si="152"/>
        <v>0</v>
      </c>
      <c r="J846" s="2047">
        <v>18150</v>
      </c>
      <c r="IC846" s="98"/>
      <c r="ID846" s="98"/>
      <c r="IE846" s="98"/>
      <c r="IF846" s="98"/>
      <c r="IG846" s="98"/>
      <c r="IH846" s="98"/>
      <c r="II846" s="98"/>
    </row>
    <row r="847" spans="1:243" s="545" customFormat="1" x14ac:dyDescent="0.2">
      <c r="A847" s="2223"/>
      <c r="B847" s="737" t="s">
        <v>2570</v>
      </c>
      <c r="C847" s="2146">
        <v>0</v>
      </c>
      <c r="D847" s="2146">
        <v>0</v>
      </c>
      <c r="E847" s="738">
        <v>0</v>
      </c>
      <c r="F847" s="2146"/>
      <c r="G847" s="2200">
        <v>0</v>
      </c>
      <c r="H847" s="2200">
        <v>0</v>
      </c>
      <c r="I847" s="2201">
        <f t="shared" si="152"/>
        <v>0</v>
      </c>
      <c r="J847" s="2047">
        <v>18150</v>
      </c>
      <c r="IC847" s="98"/>
      <c r="ID847" s="98"/>
      <c r="IE847" s="98"/>
      <c r="IF847" s="98"/>
      <c r="IG847" s="98"/>
      <c r="IH847" s="98"/>
      <c r="II847" s="98"/>
    </row>
    <row r="848" spans="1:243" s="545" customFormat="1" x14ac:dyDescent="0.2">
      <c r="A848" s="2263"/>
      <c r="B848" s="1530" t="s">
        <v>2571</v>
      </c>
      <c r="C848" s="1260">
        <v>40000</v>
      </c>
      <c r="D848" s="1260">
        <v>40000</v>
      </c>
      <c r="E848" s="1040">
        <v>0</v>
      </c>
      <c r="F848" s="1269"/>
      <c r="G848" s="2200">
        <f t="shared" si="153"/>
        <v>0</v>
      </c>
      <c r="H848" s="2200">
        <f t="shared" si="151"/>
        <v>0</v>
      </c>
      <c r="I848" s="2201">
        <v>0</v>
      </c>
      <c r="J848" s="2047">
        <v>0</v>
      </c>
      <c r="IC848" s="98"/>
      <c r="ID848" s="98"/>
      <c r="IE848" s="98"/>
      <c r="IF848" s="98"/>
      <c r="IG848" s="98"/>
      <c r="IH848" s="98"/>
      <c r="II848" s="98"/>
    </row>
    <row r="849" spans="1:243" s="550" customFormat="1" ht="12" customHeight="1" x14ac:dyDescent="0.2">
      <c r="A849" s="2273"/>
      <c r="B849" s="1236"/>
      <c r="C849" s="2147"/>
      <c r="D849" s="2147"/>
      <c r="E849" s="1042"/>
      <c r="F849" s="2477"/>
      <c r="G849" s="2478"/>
      <c r="H849" s="2478"/>
      <c r="I849" s="2147"/>
      <c r="J849" s="2047"/>
      <c r="IC849" s="1"/>
      <c r="ID849" s="1"/>
      <c r="IE849" s="1"/>
      <c r="IF849" s="1"/>
      <c r="IG849" s="1"/>
      <c r="IH849" s="1"/>
      <c r="II849" s="1"/>
    </row>
    <row r="850" spans="1:243" s="244" customFormat="1" ht="20.25" x14ac:dyDescent="0.3">
      <c r="A850" s="2479"/>
      <c r="B850" s="1051" t="s">
        <v>54</v>
      </c>
      <c r="C850" s="652">
        <f>SUM(C851:C855,C856:C860,C863,C867)</f>
        <v>65900000</v>
      </c>
      <c r="D850" s="652">
        <f>SUM(D851:D855,D856:D860,D863,D867)</f>
        <v>107209109.11999999</v>
      </c>
      <c r="E850" s="652">
        <v>88434149.129999995</v>
      </c>
      <c r="F850" s="2270">
        <f>SUM(E851:E860,E863,E867)</f>
        <v>88434149.129999995</v>
      </c>
      <c r="G850" s="949">
        <f t="shared" si="153"/>
        <v>134.1944599848255</v>
      </c>
      <c r="H850" s="949">
        <f t="shared" si="151"/>
        <v>82.487532874669228</v>
      </c>
      <c r="I850" s="949">
        <f t="shared" si="152"/>
        <v>175.46601677293836</v>
      </c>
      <c r="J850" s="29">
        <v>50399587.770000003</v>
      </c>
    </row>
    <row r="851" spans="1:243" s="98" customFormat="1" ht="13.5" customHeight="1" x14ac:dyDescent="0.2">
      <c r="A851" s="2199">
        <v>3111</v>
      </c>
      <c r="B851" s="717" t="s">
        <v>2961</v>
      </c>
      <c r="C851" s="2480">
        <v>0</v>
      </c>
      <c r="D851" s="2480">
        <f>(76214.38+111686.75)</f>
        <v>187901.13</v>
      </c>
      <c r="E851" s="882">
        <v>187901.13</v>
      </c>
      <c r="F851" s="1040"/>
      <c r="G851" s="1663">
        <v>0</v>
      </c>
      <c r="H851" s="1663">
        <f t="shared" si="151"/>
        <v>100</v>
      </c>
      <c r="I851" s="1662">
        <v>0</v>
      </c>
      <c r="J851" s="29">
        <v>0</v>
      </c>
    </row>
    <row r="852" spans="1:243" s="98" customFormat="1" ht="13.5" customHeight="1" x14ac:dyDescent="0.2">
      <c r="A852" s="2199">
        <v>3113</v>
      </c>
      <c r="B852" s="717" t="s">
        <v>2962</v>
      </c>
      <c r="C852" s="727">
        <v>0</v>
      </c>
      <c r="D852" s="727">
        <f>(212592.52+261781.31+349438.48)</f>
        <v>823812.30999999994</v>
      </c>
      <c r="E852" s="882">
        <v>823812.31</v>
      </c>
      <c r="F852" s="1040"/>
      <c r="G852" s="1663">
        <v>0</v>
      </c>
      <c r="H852" s="1663">
        <f t="shared" si="151"/>
        <v>100.00000000000003</v>
      </c>
      <c r="I852" s="1662">
        <f t="shared" si="152"/>
        <v>106.90608435636071</v>
      </c>
      <c r="J852" s="29">
        <v>770594.41</v>
      </c>
    </row>
    <row r="853" spans="1:243" s="98" customFormat="1" ht="13.5" customHeight="1" x14ac:dyDescent="0.2">
      <c r="A853" s="2221">
        <v>3233</v>
      </c>
      <c r="B853" s="717" t="s">
        <v>2963</v>
      </c>
      <c r="C853" s="722">
        <v>0</v>
      </c>
      <c r="D853" s="722">
        <v>3730</v>
      </c>
      <c r="E853" s="882">
        <v>3730</v>
      </c>
      <c r="F853" s="731"/>
      <c r="G853" s="1663">
        <v>0</v>
      </c>
      <c r="H853" s="1663">
        <f t="shared" si="151"/>
        <v>100</v>
      </c>
      <c r="I853" s="1662">
        <v>0</v>
      </c>
      <c r="J853" s="88">
        <v>0</v>
      </c>
    </row>
    <row r="854" spans="1:243" s="98" customFormat="1" ht="13.5" customHeight="1" x14ac:dyDescent="0.2">
      <c r="A854" s="2199">
        <v>3392</v>
      </c>
      <c r="B854" s="717" t="s">
        <v>2964</v>
      </c>
      <c r="C854" s="727">
        <v>0</v>
      </c>
      <c r="D854" s="727">
        <v>61299</v>
      </c>
      <c r="E854" s="882">
        <v>61299</v>
      </c>
      <c r="F854" s="1040"/>
      <c r="G854" s="1663">
        <v>0</v>
      </c>
      <c r="H854" s="1663">
        <f t="shared" si="151"/>
        <v>100</v>
      </c>
      <c r="I854" s="1662">
        <v>0</v>
      </c>
      <c r="J854" s="29">
        <v>0</v>
      </c>
    </row>
    <row r="855" spans="1:243" s="98" customFormat="1" ht="13.5" customHeight="1" x14ac:dyDescent="0.2">
      <c r="A855" s="2221">
        <v>3392</v>
      </c>
      <c r="B855" s="717" t="s">
        <v>2965</v>
      </c>
      <c r="C855" s="730">
        <v>28000000</v>
      </c>
      <c r="D855" s="730">
        <v>28000000</v>
      </c>
      <c r="E855" s="998">
        <v>28000000</v>
      </c>
      <c r="F855" s="730"/>
      <c r="G855" s="1663">
        <f t="shared" si="153"/>
        <v>100</v>
      </c>
      <c r="H855" s="1663">
        <f t="shared" si="151"/>
        <v>100</v>
      </c>
      <c r="I855" s="1662">
        <v>0</v>
      </c>
      <c r="J855" s="88">
        <v>0</v>
      </c>
    </row>
    <row r="856" spans="1:243" s="98" customFormat="1" ht="13.5" customHeight="1" x14ac:dyDescent="0.2">
      <c r="A856" s="2221">
        <v>3612</v>
      </c>
      <c r="B856" s="1035" t="s">
        <v>2575</v>
      </c>
      <c r="C856" s="722">
        <v>700000</v>
      </c>
      <c r="D856" s="722">
        <v>700000</v>
      </c>
      <c r="E856" s="882">
        <v>378422.15</v>
      </c>
      <c r="F856" s="740"/>
      <c r="G856" s="1663">
        <f t="shared" si="153"/>
        <v>54.060307142857141</v>
      </c>
      <c r="H856" s="1663">
        <f t="shared" si="151"/>
        <v>54.060307142857141</v>
      </c>
      <c r="I856" s="1662">
        <f t="shared" si="152"/>
        <v>91.506945330919834</v>
      </c>
      <c r="J856" s="29">
        <v>413544.73</v>
      </c>
    </row>
    <row r="857" spans="1:243" s="553" customFormat="1" ht="13.5" customHeight="1" x14ac:dyDescent="0.2">
      <c r="A857" s="2406">
        <v>3639</v>
      </c>
      <c r="B857" s="709" t="s">
        <v>2020</v>
      </c>
      <c r="C857" s="731">
        <v>200000</v>
      </c>
      <c r="D857" s="731">
        <v>200000</v>
      </c>
      <c r="E857" s="882">
        <v>20849</v>
      </c>
      <c r="F857" s="738"/>
      <c r="G857" s="1663">
        <f t="shared" si="153"/>
        <v>10.4245</v>
      </c>
      <c r="H857" s="1663">
        <f t="shared" si="151"/>
        <v>10.4245</v>
      </c>
      <c r="I857" s="1662">
        <f t="shared" si="152"/>
        <v>22.235612815152937</v>
      </c>
      <c r="J857" s="1866">
        <v>93764</v>
      </c>
    </row>
    <row r="858" spans="1:243" ht="25.5" x14ac:dyDescent="0.2">
      <c r="A858" s="2221">
        <v>6171</v>
      </c>
      <c r="B858" s="1526" t="s">
        <v>2576</v>
      </c>
      <c r="C858" s="731">
        <v>100000</v>
      </c>
      <c r="D858" s="731">
        <v>100000</v>
      </c>
      <c r="E858" s="882">
        <v>25710</v>
      </c>
      <c r="F858" s="738"/>
      <c r="G858" s="1663">
        <f t="shared" si="153"/>
        <v>25.71</v>
      </c>
      <c r="H858" s="1663">
        <f t="shared" si="151"/>
        <v>25.71</v>
      </c>
      <c r="I858" s="1662">
        <f t="shared" si="152"/>
        <v>99.612553273924831</v>
      </c>
      <c r="J858" s="1866">
        <v>25810</v>
      </c>
    </row>
    <row r="859" spans="1:243" ht="13.5" customHeight="1" x14ac:dyDescent="0.2">
      <c r="A859" s="2221">
        <v>6310</v>
      </c>
      <c r="B859" s="717" t="s">
        <v>2577</v>
      </c>
      <c r="C859" s="731">
        <v>400000</v>
      </c>
      <c r="D859" s="731">
        <v>400000</v>
      </c>
      <c r="E859" s="998">
        <v>296930.17</v>
      </c>
      <c r="F859" s="738"/>
      <c r="G859" s="1663">
        <f t="shared" si="153"/>
        <v>74.232542499999994</v>
      </c>
      <c r="H859" s="1663">
        <f t="shared" si="151"/>
        <v>74.232542499999994</v>
      </c>
      <c r="I859" s="1662">
        <f t="shared" si="152"/>
        <v>103.25273576300225</v>
      </c>
      <c r="J859" s="29">
        <v>287576.08</v>
      </c>
    </row>
    <row r="860" spans="1:243" ht="13.5" customHeight="1" x14ac:dyDescent="0.2">
      <c r="A860" s="2221">
        <v>6399</v>
      </c>
      <c r="B860" s="717" t="s">
        <v>1005</v>
      </c>
      <c r="C860" s="726">
        <f>SUM(C861:C862)</f>
        <v>33000000</v>
      </c>
      <c r="D860" s="726">
        <f>SUM(D861:D862)</f>
        <v>58564110</v>
      </c>
      <c r="E860" s="734">
        <v>58132487</v>
      </c>
      <c r="F860" s="750">
        <f>SUM(E861:E862)</f>
        <v>58132487</v>
      </c>
      <c r="G860" s="1663">
        <f t="shared" si="153"/>
        <v>176.15905151515153</v>
      </c>
      <c r="H860" s="1663">
        <f t="shared" si="151"/>
        <v>99.262990592702593</v>
      </c>
      <c r="I860" s="1662">
        <f t="shared" si="152"/>
        <v>120.35571303796189</v>
      </c>
      <c r="J860" s="29">
        <v>48300563</v>
      </c>
    </row>
    <row r="861" spans="1:243" ht="13.5" customHeight="1" x14ac:dyDescent="0.2">
      <c r="A861" s="2223"/>
      <c r="B861" s="737" t="s">
        <v>2023</v>
      </c>
      <c r="C861" s="2150">
        <v>30000000</v>
      </c>
      <c r="D861" s="2150">
        <f>30000000+25564110</f>
        <v>55564110</v>
      </c>
      <c r="E861" s="894">
        <v>55564110</v>
      </c>
      <c r="F861" s="738"/>
      <c r="G861" s="2200">
        <f t="shared" si="153"/>
        <v>185.21369999999999</v>
      </c>
      <c r="H861" s="2200">
        <f t="shared" si="151"/>
        <v>100</v>
      </c>
      <c r="I861" s="2201">
        <f t="shared" si="152"/>
        <v>119.65984746436152</v>
      </c>
      <c r="J861" s="29">
        <v>46435050</v>
      </c>
    </row>
    <row r="862" spans="1:243" ht="13.5" customHeight="1" x14ac:dyDescent="0.2">
      <c r="A862" s="2223"/>
      <c r="B862" s="737" t="s">
        <v>2024</v>
      </c>
      <c r="C862" s="1946">
        <v>3000000</v>
      </c>
      <c r="D862" s="1946">
        <v>3000000</v>
      </c>
      <c r="E862" s="893">
        <v>2568377</v>
      </c>
      <c r="F862" s="2150"/>
      <c r="G862" s="2200">
        <f t="shared" si="153"/>
        <v>85.612566666666666</v>
      </c>
      <c r="H862" s="2200">
        <f t="shared" si="151"/>
        <v>85.612566666666666</v>
      </c>
      <c r="I862" s="2201">
        <f t="shared" si="152"/>
        <v>137.67671412635559</v>
      </c>
      <c r="J862" s="29">
        <v>1865513</v>
      </c>
    </row>
    <row r="863" spans="1:243" s="98" customFormat="1" ht="12" customHeight="1" x14ac:dyDescent="0.2">
      <c r="A863" s="2221">
        <v>6402</v>
      </c>
      <c r="B863" s="717" t="s">
        <v>2579</v>
      </c>
      <c r="C863" s="726">
        <f>SUM(C865:C866)</f>
        <v>0</v>
      </c>
      <c r="D863" s="726">
        <f>SUM(D864:D866)</f>
        <v>23069.96</v>
      </c>
      <c r="E863" s="734">
        <v>23069.96</v>
      </c>
      <c r="F863" s="750">
        <f>SUM(E864:E866)</f>
        <v>23069.96</v>
      </c>
      <c r="G863" s="1663">
        <v>0</v>
      </c>
      <c r="H863" s="1663">
        <f t="shared" si="151"/>
        <v>100</v>
      </c>
      <c r="I863" s="1662">
        <f t="shared" si="152"/>
        <v>20.986427479804963</v>
      </c>
      <c r="J863" s="29">
        <v>109928</v>
      </c>
    </row>
    <row r="864" spans="1:243" s="2" customFormat="1" ht="13.5" customHeight="1" x14ac:dyDescent="0.2">
      <c r="A864" s="2243"/>
      <c r="B864" s="1035" t="s">
        <v>2966</v>
      </c>
      <c r="C864" s="1232">
        <v>0</v>
      </c>
      <c r="D864" s="1232">
        <f>(913.14+3011.86)</f>
        <v>3925</v>
      </c>
      <c r="E864" s="894">
        <v>3925</v>
      </c>
      <c r="F864" s="738"/>
      <c r="G864" s="2200">
        <v>0</v>
      </c>
      <c r="H864" s="2200">
        <f t="shared" si="151"/>
        <v>100</v>
      </c>
      <c r="I864" s="2201">
        <v>0</v>
      </c>
      <c r="J864" s="88">
        <v>0</v>
      </c>
    </row>
    <row r="865" spans="1:10" s="2" customFormat="1" ht="13.5" customHeight="1" x14ac:dyDescent="0.2">
      <c r="A865" s="2243"/>
      <c r="B865" s="1035" t="s">
        <v>2967</v>
      </c>
      <c r="C865" s="1232">
        <v>0</v>
      </c>
      <c r="D865" s="1232">
        <v>15187.53</v>
      </c>
      <c r="E865" s="894">
        <v>15187.53</v>
      </c>
      <c r="F865" s="738"/>
      <c r="G865" s="2200">
        <v>0</v>
      </c>
      <c r="H865" s="2200">
        <f t="shared" si="151"/>
        <v>100</v>
      </c>
      <c r="I865" s="2201">
        <v>0</v>
      </c>
      <c r="J865" s="88">
        <v>0</v>
      </c>
    </row>
    <row r="866" spans="1:10" s="2" customFormat="1" ht="13.5" customHeight="1" x14ac:dyDescent="0.2">
      <c r="A866" s="2243"/>
      <c r="B866" s="1035" t="s">
        <v>2968</v>
      </c>
      <c r="C866" s="1864">
        <v>0</v>
      </c>
      <c r="D866" s="1864">
        <v>3957.43</v>
      </c>
      <c r="E866" s="894">
        <v>3957.43</v>
      </c>
      <c r="F866" s="738"/>
      <c r="G866" s="2200">
        <v>0</v>
      </c>
      <c r="H866" s="2200">
        <f t="shared" si="151"/>
        <v>100</v>
      </c>
      <c r="I866" s="2201">
        <v>0</v>
      </c>
      <c r="J866" s="88">
        <v>0</v>
      </c>
    </row>
    <row r="867" spans="1:10" s="244" customFormat="1" ht="13.5" customHeight="1" x14ac:dyDescent="0.25">
      <c r="A867" s="2221">
        <v>6409</v>
      </c>
      <c r="B867" s="717" t="s">
        <v>1014</v>
      </c>
      <c r="C867" s="726">
        <f t="shared" ref="C867:D867" si="156">SUM(C868:C870)</f>
        <v>3500000</v>
      </c>
      <c r="D867" s="726">
        <f t="shared" si="156"/>
        <v>18145186.720000003</v>
      </c>
      <c r="E867" s="998">
        <v>479938.41</v>
      </c>
      <c r="F867" s="750">
        <f>SUM(E868:E870)</f>
        <v>479938.41</v>
      </c>
      <c r="G867" s="1663">
        <f t="shared" si="153"/>
        <v>13.712526</v>
      </c>
      <c r="H867" s="1663">
        <f t="shared" si="151"/>
        <v>2.6449901971579157</v>
      </c>
      <c r="I867" s="1662">
        <f t="shared" si="152"/>
        <v>120.94991892165359</v>
      </c>
      <c r="J867" s="29">
        <v>396807.55</v>
      </c>
    </row>
    <row r="868" spans="1:10" s="98" customFormat="1" ht="13.5" customHeight="1" x14ac:dyDescent="0.2">
      <c r="A868" s="2263"/>
      <c r="B868" s="1530" t="s">
        <v>2969</v>
      </c>
      <c r="C868" s="1234">
        <v>3000000</v>
      </c>
      <c r="D868" s="1234">
        <f>3000000-3178500+99036-432200-595004.14+3000000+145092-7500-15000-30000-30000-7500-80000+472672.5-214000-641178.72-104517-19144.96+463363-400000+21520868.17+1247432.21-60000+297792+2743942.28-14800000-6020000+1571026.45-27427.5+5889660-1700000-5000000-2000000-3000000+85015+472380+706318.75+1093905.82-300000-280000+54671.25+25000000-3000000-3375008.64-370000-300000-1266234.75+810777+5424450-4500000-5000000+300000</f>
        <v>17645186.720000003</v>
      </c>
      <c r="E868" s="993">
        <v>0</v>
      </c>
      <c r="F868" s="1234"/>
      <c r="G868" s="2200">
        <f t="shared" si="153"/>
        <v>0</v>
      </c>
      <c r="H868" s="2200">
        <f t="shared" si="151"/>
        <v>0</v>
      </c>
      <c r="I868" s="2201">
        <v>0</v>
      </c>
      <c r="J868" s="29">
        <v>0</v>
      </c>
    </row>
    <row r="869" spans="1:10" s="98" customFormat="1" ht="38.25" x14ac:dyDescent="0.2">
      <c r="A869" s="2425"/>
      <c r="B869" s="1258" t="s">
        <v>2032</v>
      </c>
      <c r="C869" s="1077">
        <v>500000</v>
      </c>
      <c r="D869" s="1077">
        <v>500000</v>
      </c>
      <c r="E869" s="993">
        <v>479938.41</v>
      </c>
      <c r="F869" s="1077"/>
      <c r="G869" s="2200">
        <f t="shared" si="153"/>
        <v>95.987681999999992</v>
      </c>
      <c r="H869" s="2200">
        <f t="shared" si="151"/>
        <v>95.987681999999992</v>
      </c>
      <c r="I869" s="2201">
        <f t="shared" si="152"/>
        <v>101.99898179201416</v>
      </c>
      <c r="J869" s="1866">
        <v>470532.55</v>
      </c>
    </row>
    <row r="870" spans="1:10" s="98" customFormat="1" ht="12" customHeight="1" x14ac:dyDescent="0.2">
      <c r="A870" s="2481"/>
      <c r="B870" s="1532" t="s">
        <v>2584</v>
      </c>
      <c r="C870" s="1864">
        <v>0</v>
      </c>
      <c r="D870" s="1864">
        <v>0</v>
      </c>
      <c r="E870" s="993">
        <v>0</v>
      </c>
      <c r="F870" s="1864"/>
      <c r="G870" s="2200">
        <v>0</v>
      </c>
      <c r="H870" s="2200">
        <v>0</v>
      </c>
      <c r="I870" s="2201">
        <f t="shared" si="152"/>
        <v>0</v>
      </c>
      <c r="J870" s="29">
        <v>-73725</v>
      </c>
    </row>
    <row r="871" spans="1:10" s="98" customFormat="1" ht="12" customHeight="1" x14ac:dyDescent="0.2">
      <c r="A871" s="2482"/>
      <c r="B871" s="1536"/>
      <c r="C871" s="762"/>
      <c r="D871" s="762"/>
      <c r="E871" s="1341"/>
      <c r="F871" s="2037"/>
      <c r="G871" s="2037"/>
      <c r="H871" s="2037"/>
      <c r="I871" s="762"/>
      <c r="J871" s="29"/>
    </row>
    <row r="872" spans="1:10" s="98" customFormat="1" ht="26.25" x14ac:dyDescent="0.4">
      <c r="A872" s="2189"/>
      <c r="B872" s="1539" t="s">
        <v>55</v>
      </c>
      <c r="C872" s="2483">
        <f>SUM(C243+C340+C532+C535+C541+C550+C554+C557+C646+C650+C672+C681+C710+C716+C740+C840+C850)</f>
        <v>1121493640</v>
      </c>
      <c r="D872" s="2483">
        <f>SUM(D243+D340+D532+D535+D541+D550+D554+D557+D646+D650+D672+D681+D710+D716+D740+D840+D850)</f>
        <v>1198583898.3399999</v>
      </c>
      <c r="E872" s="2483">
        <v>455797750.88999999</v>
      </c>
      <c r="F872" s="2484">
        <f>SUM(E243,F340,E532,E535,E541,E550,E554,E557,E646,E650,E672,E681,E710,E716,E740,E840,E850)</f>
        <v>455797750.88999999</v>
      </c>
      <c r="G872" s="2485">
        <f t="shared" si="153"/>
        <v>40.642027260181344</v>
      </c>
      <c r="H872" s="2485">
        <f t="shared" si="151"/>
        <v>38.028022195297737</v>
      </c>
      <c r="I872" s="2485">
        <f t="shared" si="152"/>
        <v>114.22403441151432</v>
      </c>
      <c r="J872" s="1866">
        <v>399038392.61000001</v>
      </c>
    </row>
    <row r="873" spans="1:10" ht="12.75" customHeight="1" x14ac:dyDescent="0.2">
      <c r="B873" s="1542"/>
    </row>
    <row r="874" spans="1:10" ht="12.75" customHeight="1" x14ac:dyDescent="0.35">
      <c r="B874" s="1543"/>
    </row>
    <row r="875" spans="1:10" s="98" customFormat="1" ht="12.75" hidden="1" customHeight="1" x14ac:dyDescent="0.35">
      <c r="A875" s="1"/>
      <c r="B875" s="1543"/>
      <c r="E875" s="29">
        <f>E9-E872</f>
        <v>0</v>
      </c>
      <c r="F875" s="1"/>
      <c r="G875" s="1"/>
      <c r="H875" s="1"/>
      <c r="J875" s="29"/>
    </row>
    <row r="876" spans="1:10" s="98" customFormat="1" x14ac:dyDescent="0.2">
      <c r="A876" s="1"/>
      <c r="B876" s="564"/>
      <c r="C876" s="88">
        <f t="shared" ref="C876:I876" si="157">C872-C9</f>
        <v>2.0000934600830078E-3</v>
      </c>
      <c r="D876" s="88">
        <f t="shared" si="157"/>
        <v>1.9998550415039063E-3</v>
      </c>
      <c r="E876" s="88">
        <f t="shared" si="157"/>
        <v>0</v>
      </c>
      <c r="F876" s="88">
        <f t="shared" si="157"/>
        <v>0</v>
      </c>
      <c r="G876" s="88">
        <f t="shared" si="157"/>
        <v>-7.2475359047530219E-11</v>
      </c>
      <c r="H876" s="88">
        <f t="shared" si="157"/>
        <v>-6.3444360876019346E-11</v>
      </c>
      <c r="I876" s="88">
        <f t="shared" si="157"/>
        <v>0</v>
      </c>
      <c r="J876" s="29"/>
    </row>
  </sheetData>
  <sheetProtection selectLockedCells="1" selectUnlockedCells="1"/>
  <autoFilter ref="I1:I880"/>
  <printOptions horizontalCentered="1"/>
  <pageMargins left="0.23622047244094491" right="0.23622047244094491" top="0.6692913385826772" bottom="0.55118110236220474" header="0.31496062992125984" footer="0.31496062992125984"/>
  <pageSetup paperSize="9" scale="65" firstPageNumber="0" fitToHeight="0" orientation="landscape"/>
  <headerFooter>
    <oddFooter>&amp;C&amp;P</oddFooter>
  </headerFooter>
  <rowBreaks count="2" manualBreakCount="2">
    <brk id="30" max="16383" man="1"/>
    <brk id="241" max="16383" man="1"/>
  </rowBreaks>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2"/>
    <pageSetUpPr fitToPage="1"/>
  </sheetPr>
  <dimension ref="A1:BHA986"/>
  <sheetViews>
    <sheetView topLeftCell="A21" workbookViewId="0">
      <selection activeCell="B981" sqref="B981"/>
    </sheetView>
  </sheetViews>
  <sheetFormatPr defaultColWidth="9.5703125" defaultRowHeight="12.75" x14ac:dyDescent="0.2"/>
  <cols>
    <col min="1" max="1" width="12" style="1" customWidth="1"/>
    <col min="2" max="2" width="91.85546875" style="1" customWidth="1"/>
    <col min="3" max="5" width="26.85546875" style="1" customWidth="1"/>
    <col min="6" max="6" width="22" style="1" hidden="1" customWidth="1"/>
    <col min="7" max="8" width="10.5703125" style="1" customWidth="1"/>
    <col min="9" max="9" width="12.140625" style="1" customWidth="1"/>
    <col min="10" max="10" width="19.28515625" style="1" customWidth="1"/>
    <col min="11" max="16384" width="9.5703125" style="1"/>
  </cols>
  <sheetData>
    <row r="1" spans="1:10" ht="67.5" customHeight="1" x14ac:dyDescent="0.2">
      <c r="A1" s="566" t="s">
        <v>2585</v>
      </c>
      <c r="B1" s="2153" t="s">
        <v>2586</v>
      </c>
      <c r="C1" s="575" t="s">
        <v>2116</v>
      </c>
      <c r="D1" s="575" t="s">
        <v>2970</v>
      </c>
      <c r="E1" s="1594" t="s">
        <v>2589</v>
      </c>
      <c r="F1" s="2154" t="s">
        <v>2590</v>
      </c>
      <c r="G1" s="1594" t="s">
        <v>2591</v>
      </c>
      <c r="H1" s="1594" t="s">
        <v>2592</v>
      </c>
      <c r="I1" s="1594" t="s">
        <v>2593</v>
      </c>
      <c r="J1" s="2486" t="s">
        <v>2594</v>
      </c>
    </row>
    <row r="2" spans="1:10" ht="24" customHeight="1" x14ac:dyDescent="0.3">
      <c r="A2" s="1596"/>
      <c r="B2" s="1597" t="s">
        <v>56</v>
      </c>
      <c r="C2" s="1600"/>
      <c r="D2" s="1600"/>
      <c r="E2" s="1599"/>
      <c r="F2" s="966"/>
      <c r="G2" s="966"/>
      <c r="H2" s="966"/>
      <c r="I2" s="1600"/>
    </row>
    <row r="3" spans="1:10" s="98" customFormat="1" ht="24" customHeight="1" x14ac:dyDescent="0.25">
      <c r="A3" s="1601"/>
      <c r="B3" s="1602" t="s">
        <v>57</v>
      </c>
      <c r="C3" s="1603">
        <f>C32</f>
        <v>570976355.83999991</v>
      </c>
      <c r="D3" s="1603">
        <f>D32</f>
        <v>596572665.84000003</v>
      </c>
      <c r="E3" s="1603"/>
      <c r="F3" s="1603"/>
      <c r="G3" s="1603"/>
      <c r="H3" s="1603"/>
      <c r="I3" s="1603"/>
    </row>
    <row r="4" spans="1:10" s="98" customFormat="1" ht="24" customHeight="1" x14ac:dyDescent="0.25">
      <c r="A4" s="770"/>
      <c r="B4" s="1601" t="s">
        <v>10</v>
      </c>
      <c r="C4" s="1605">
        <f>C67</f>
        <v>172178289.50999999</v>
      </c>
      <c r="D4" s="1605">
        <f>D67</f>
        <v>172674100.72</v>
      </c>
      <c r="E4" s="1605"/>
      <c r="F4" s="1605"/>
      <c r="G4" s="1605"/>
      <c r="H4" s="1605"/>
      <c r="I4" s="1605"/>
    </row>
    <row r="5" spans="1:10" s="98" customFormat="1" ht="24" customHeight="1" x14ac:dyDescent="0.25">
      <c r="A5" s="1606"/>
      <c r="B5" s="1601" t="s">
        <v>11</v>
      </c>
      <c r="C5" s="1605">
        <f>C171</f>
        <v>45747371</v>
      </c>
      <c r="D5" s="1605">
        <f>D171</f>
        <v>57872258</v>
      </c>
      <c r="E5" s="1605"/>
      <c r="F5" s="1605"/>
      <c r="G5" s="1605"/>
      <c r="H5" s="1605"/>
      <c r="I5" s="1605"/>
    </row>
    <row r="6" spans="1:10" s="98" customFormat="1" ht="24" customHeight="1" x14ac:dyDescent="0.25">
      <c r="A6" s="1606"/>
      <c r="B6" s="1601" t="s">
        <v>196</v>
      </c>
      <c r="C6" s="1607">
        <f>C198</f>
        <v>91705431.088</v>
      </c>
      <c r="D6" s="1607">
        <f>D198</f>
        <v>109028813.04799999</v>
      </c>
      <c r="E6" s="1607"/>
      <c r="F6" s="1607"/>
      <c r="G6" s="1607"/>
      <c r="H6" s="1607"/>
      <c r="I6" s="1607"/>
    </row>
    <row r="7" spans="1:10" s="98" customFormat="1" ht="24" customHeight="1" x14ac:dyDescent="0.3">
      <c r="A7" s="1608"/>
      <c r="B7" s="1609" t="s">
        <v>13</v>
      </c>
      <c r="C7" s="1610">
        <f>C262</f>
        <v>880607447.43799996</v>
      </c>
      <c r="D7" s="1610">
        <f>D262</f>
        <v>936147837.60800004</v>
      </c>
      <c r="E7" s="1610"/>
      <c r="F7" s="1610"/>
      <c r="G7" s="1610"/>
      <c r="H7" s="1610"/>
      <c r="I7" s="1610"/>
    </row>
    <row r="8" spans="1:10" s="98" customFormat="1" ht="24" customHeight="1" x14ac:dyDescent="0.25">
      <c r="A8" s="1611"/>
      <c r="B8" s="1612" t="s">
        <v>14</v>
      </c>
      <c r="C8" s="1613">
        <f>C264</f>
        <v>240886192.56</v>
      </c>
      <c r="D8" s="1613">
        <f>D264</f>
        <v>262407060.73000002</v>
      </c>
      <c r="E8" s="1613"/>
      <c r="F8" s="1613"/>
      <c r="G8" s="1613"/>
      <c r="H8" s="1613"/>
      <c r="I8" s="1613"/>
    </row>
    <row r="9" spans="1:10" s="85" customFormat="1" ht="24" customHeight="1" x14ac:dyDescent="0.4">
      <c r="A9" s="611"/>
      <c r="B9" s="612" t="s">
        <v>15</v>
      </c>
      <c r="C9" s="1614">
        <f>C272</f>
        <v>1121493639.9979999</v>
      </c>
      <c r="D9" s="1614">
        <f>D272</f>
        <v>1198554898.3380001</v>
      </c>
      <c r="E9" s="1614"/>
      <c r="F9" s="1614"/>
      <c r="G9" s="1614"/>
      <c r="H9" s="1614"/>
      <c r="I9" s="1614"/>
    </row>
    <row r="10" spans="1:10" s="98" customFormat="1" ht="24" customHeight="1" x14ac:dyDescent="0.3">
      <c r="A10" s="1616"/>
      <c r="B10" s="1597" t="s">
        <v>257</v>
      </c>
      <c r="C10" s="1620"/>
      <c r="D10" s="1620"/>
      <c r="E10" s="1618"/>
      <c r="F10" s="2156"/>
      <c r="G10" s="2487"/>
      <c r="H10" s="2487"/>
      <c r="I10" s="1620"/>
    </row>
    <row r="11" spans="1:10" s="1622" customFormat="1" ht="24" customHeight="1" x14ac:dyDescent="0.2">
      <c r="A11" s="1623"/>
      <c r="B11" s="1467" t="s">
        <v>17</v>
      </c>
      <c r="C11" s="1624">
        <f>C30-C12</f>
        <v>796898130</v>
      </c>
      <c r="D11" s="1624">
        <f>D30-D12</f>
        <v>873959388.33999991</v>
      </c>
      <c r="E11" s="1624">
        <f>E30-E12</f>
        <v>-63439843.93</v>
      </c>
      <c r="F11" s="2172">
        <f>F30-F12</f>
        <v>-200000000</v>
      </c>
      <c r="G11" s="2172"/>
      <c r="H11" s="2172"/>
      <c r="I11" s="1624"/>
    </row>
    <row r="12" spans="1:10" s="1622" customFormat="1" ht="24" customHeight="1" x14ac:dyDescent="0.2">
      <c r="A12" s="1623"/>
      <c r="B12" s="1467" t="s">
        <v>18</v>
      </c>
      <c r="C12" s="1629">
        <v>324595510</v>
      </c>
      <c r="D12" s="1629">
        <v>324595510</v>
      </c>
      <c r="E12" s="1627">
        <v>63439843.93</v>
      </c>
      <c r="F12" s="2176">
        <v>200000000</v>
      </c>
      <c r="G12" s="2488"/>
      <c r="H12" s="2489"/>
      <c r="I12" s="1629"/>
    </row>
    <row r="13" spans="1:10" s="12" customFormat="1" ht="24" customHeight="1" x14ac:dyDescent="0.25">
      <c r="A13" s="1630"/>
      <c r="B13" s="1601" t="s">
        <v>258</v>
      </c>
      <c r="C13" s="1605">
        <f>C274</f>
        <v>79616000</v>
      </c>
      <c r="D13" s="1605">
        <f>D274</f>
        <v>83571807.640000001</v>
      </c>
      <c r="E13" s="1605"/>
      <c r="F13" s="1605"/>
      <c r="G13" s="1605"/>
      <c r="H13" s="1605"/>
      <c r="I13" s="1605"/>
    </row>
    <row r="14" spans="1:10" s="12" customFormat="1" ht="24" customHeight="1" x14ac:dyDescent="0.25">
      <c r="A14" s="1630"/>
      <c r="B14" s="1601" t="s">
        <v>1031</v>
      </c>
      <c r="C14" s="1605">
        <f>C390</f>
        <v>323519700</v>
      </c>
      <c r="D14" s="1605">
        <f>D390</f>
        <v>330318200</v>
      </c>
      <c r="E14" s="1605"/>
      <c r="F14" s="1605"/>
      <c r="G14" s="1605"/>
      <c r="H14" s="1605"/>
      <c r="I14" s="1605"/>
    </row>
    <row r="15" spans="1:10" s="12" customFormat="1" ht="24" customHeight="1" x14ac:dyDescent="0.25">
      <c r="A15" s="1631"/>
      <c r="B15" s="1632" t="s">
        <v>31</v>
      </c>
      <c r="C15" s="1633">
        <f>C611</f>
        <v>15000</v>
      </c>
      <c r="D15" s="1633">
        <f>D611</f>
        <v>15000</v>
      </c>
      <c r="E15" s="1633"/>
      <c r="F15" s="1633"/>
      <c r="G15" s="1633"/>
      <c r="H15" s="1633"/>
      <c r="I15" s="1633"/>
    </row>
    <row r="16" spans="1:10" s="1634" customFormat="1" ht="24" customHeight="1" x14ac:dyDescent="0.25">
      <c r="A16" s="1607"/>
      <c r="B16" s="1607" t="s">
        <v>1032</v>
      </c>
      <c r="C16" s="1633">
        <f>C614</f>
        <v>17594633</v>
      </c>
      <c r="D16" s="1633">
        <f>D614</f>
        <v>17974633</v>
      </c>
      <c r="E16" s="1633"/>
      <c r="F16" s="1633"/>
      <c r="G16" s="1633"/>
      <c r="H16" s="1633"/>
      <c r="I16" s="1633"/>
    </row>
    <row r="17" spans="1:241" s="1635" customFormat="1" ht="24" customHeight="1" x14ac:dyDescent="0.25">
      <c r="A17" s="1631"/>
      <c r="B17" s="1632" t="s">
        <v>33</v>
      </c>
      <c r="C17" s="1633">
        <f>C621</f>
        <v>11914064</v>
      </c>
      <c r="D17" s="1633">
        <f>D621</f>
        <v>11914064</v>
      </c>
      <c r="E17" s="1633"/>
      <c r="F17" s="1633"/>
      <c r="G17" s="1633"/>
      <c r="H17" s="1633"/>
      <c r="I17" s="1633"/>
    </row>
    <row r="18" spans="1:241" s="1635" customFormat="1" ht="24" customHeight="1" x14ac:dyDescent="0.25">
      <c r="A18" s="1636"/>
      <c r="B18" s="1601" t="s">
        <v>34</v>
      </c>
      <c r="C18" s="1605">
        <f>C630</f>
        <v>162000</v>
      </c>
      <c r="D18" s="1605">
        <f>D630</f>
        <v>162000</v>
      </c>
      <c r="E18" s="1605"/>
      <c r="F18" s="1605"/>
      <c r="G18" s="1605"/>
      <c r="H18" s="1605"/>
      <c r="I18" s="1605"/>
    </row>
    <row r="19" spans="1:241" s="1635" customFormat="1" ht="24" customHeight="1" x14ac:dyDescent="0.25">
      <c r="A19" s="1631"/>
      <c r="B19" s="1601" t="s">
        <v>630</v>
      </c>
      <c r="C19" s="1605">
        <f>C634</f>
        <v>500000</v>
      </c>
      <c r="D19" s="1605">
        <f>D634</f>
        <v>500000</v>
      </c>
      <c r="E19" s="1605"/>
      <c r="F19" s="1605"/>
      <c r="G19" s="1605"/>
      <c r="H19" s="1605"/>
      <c r="I19" s="1605"/>
    </row>
    <row r="20" spans="1:241" s="1637" customFormat="1" ht="24" customHeight="1" x14ac:dyDescent="0.25">
      <c r="A20" s="1632"/>
      <c r="B20" s="1638" t="s">
        <v>36</v>
      </c>
      <c r="C20" s="1607">
        <f>C639</f>
        <v>125656247</v>
      </c>
      <c r="D20" s="1607">
        <f>D639</f>
        <v>140482051.32999998</v>
      </c>
      <c r="E20" s="1607"/>
      <c r="F20" s="1607"/>
      <c r="G20" s="1607"/>
      <c r="H20" s="1607"/>
      <c r="I20" s="1607"/>
    </row>
    <row r="21" spans="1:241" s="12" customFormat="1" ht="24" customHeight="1" x14ac:dyDescent="0.25">
      <c r="A21" s="1601"/>
      <c r="B21" s="1601" t="s">
        <v>716</v>
      </c>
      <c r="C21" s="1633">
        <f>C728</f>
        <v>30378980</v>
      </c>
      <c r="D21" s="1633">
        <f>D728</f>
        <v>31548124.350000001</v>
      </c>
      <c r="E21" s="1633"/>
      <c r="F21" s="1633"/>
      <c r="G21" s="1633"/>
      <c r="H21" s="1633"/>
      <c r="I21" s="1633"/>
    </row>
    <row r="22" spans="1:241" s="12" customFormat="1" ht="24" customHeight="1" x14ac:dyDescent="0.25">
      <c r="A22" s="1601"/>
      <c r="B22" s="1601" t="s">
        <v>719</v>
      </c>
      <c r="C22" s="1605">
        <f>C732</f>
        <v>37939410</v>
      </c>
      <c r="D22" s="1605">
        <f>D732</f>
        <v>37126500.399999999</v>
      </c>
      <c r="E22" s="1605"/>
      <c r="F22" s="1605"/>
      <c r="G22" s="1605"/>
      <c r="H22" s="1605"/>
      <c r="I22" s="1605"/>
    </row>
    <row r="23" spans="1:241" s="12" customFormat="1" ht="24" customHeight="1" x14ac:dyDescent="0.25">
      <c r="A23" s="1601"/>
      <c r="B23" s="1601" t="s">
        <v>735</v>
      </c>
      <c r="C23" s="1603">
        <f>C754</f>
        <v>190047550</v>
      </c>
      <c r="D23" s="1603">
        <f>D754</f>
        <v>190061455</v>
      </c>
      <c r="E23" s="1603"/>
      <c r="F23" s="1603"/>
      <c r="G23" s="1603"/>
      <c r="H23" s="1603"/>
      <c r="I23" s="1603"/>
    </row>
    <row r="24" spans="1:241" s="12" customFormat="1" ht="24" customHeight="1" x14ac:dyDescent="0.25">
      <c r="A24" s="1601"/>
      <c r="B24" s="1601" t="s">
        <v>43</v>
      </c>
      <c r="C24" s="1603">
        <f>C763</f>
        <v>16959056</v>
      </c>
      <c r="D24" s="1603">
        <f>D763</f>
        <v>17251526</v>
      </c>
      <c r="E24" s="1603"/>
      <c r="F24" s="1603"/>
      <c r="G24" s="1603"/>
      <c r="H24" s="1603"/>
      <c r="I24" s="1603"/>
    </row>
    <row r="25" spans="1:241" s="12" customFormat="1" ht="24" customHeight="1" x14ac:dyDescent="0.25">
      <c r="A25" s="1632"/>
      <c r="B25" s="1632" t="s">
        <v>777</v>
      </c>
      <c r="C25" s="1633">
        <f>C793</f>
        <v>18612000</v>
      </c>
      <c r="D25" s="1633">
        <f>D793</f>
        <v>23243000</v>
      </c>
      <c r="E25" s="1633"/>
      <c r="F25" s="1633"/>
      <c r="G25" s="1633"/>
      <c r="H25" s="1633"/>
      <c r="I25" s="1633"/>
    </row>
    <row r="26" spans="1:241" s="12" customFormat="1" ht="24" customHeight="1" x14ac:dyDescent="0.25">
      <c r="A26" s="1601"/>
      <c r="B26" s="1601" t="s">
        <v>2117</v>
      </c>
      <c r="C26" s="1633">
        <f>C800</f>
        <v>72242000</v>
      </c>
      <c r="D26" s="1633">
        <f>D800</f>
        <v>72269427.5</v>
      </c>
      <c r="E26" s="1633"/>
      <c r="F26" s="1633"/>
      <c r="G26" s="1633"/>
      <c r="H26" s="1633"/>
      <c r="I26" s="1633"/>
    </row>
    <row r="27" spans="1:241" s="12" customFormat="1" ht="24" customHeight="1" x14ac:dyDescent="0.25">
      <c r="A27" s="1639"/>
      <c r="B27" s="1632" t="s">
        <v>803</v>
      </c>
      <c r="C27" s="1633">
        <f>C825</f>
        <v>130147000</v>
      </c>
      <c r="D27" s="1633">
        <f>D825</f>
        <v>134647000</v>
      </c>
      <c r="E27" s="1633"/>
      <c r="F27" s="1633"/>
      <c r="G27" s="1633"/>
      <c r="H27" s="1633"/>
      <c r="I27" s="1633"/>
    </row>
    <row r="28" spans="1:241" s="1640" customFormat="1" ht="24" customHeight="1" x14ac:dyDescent="0.25">
      <c r="A28" s="1601"/>
      <c r="B28" s="1601" t="s">
        <v>52</v>
      </c>
      <c r="C28" s="1633">
        <f>C947</f>
        <v>290000</v>
      </c>
      <c r="D28" s="1633">
        <f>D947</f>
        <v>290000</v>
      </c>
      <c r="E28" s="1633"/>
      <c r="F28" s="1633"/>
      <c r="G28" s="1633"/>
      <c r="H28" s="1633"/>
      <c r="I28" s="1633"/>
      <c r="IA28" s="1635"/>
      <c r="IB28" s="1635"/>
      <c r="IC28" s="1635"/>
      <c r="ID28" s="1635"/>
      <c r="IE28" s="1635"/>
      <c r="IF28" s="1635"/>
      <c r="IG28" s="1635"/>
    </row>
    <row r="29" spans="1:241" s="1635" customFormat="1" ht="24" customHeight="1" x14ac:dyDescent="0.25">
      <c r="A29" s="1612"/>
      <c r="B29" s="1612" t="s">
        <v>54</v>
      </c>
      <c r="C29" s="2490">
        <f>C957</f>
        <v>65900000</v>
      </c>
      <c r="D29" s="2491">
        <f>D957</f>
        <v>107180109.11999999</v>
      </c>
      <c r="E29" s="1641"/>
      <c r="F29" s="1641"/>
      <c r="G29" s="1641"/>
      <c r="H29" s="1641"/>
      <c r="I29" s="1641"/>
    </row>
    <row r="30" spans="1:241" s="2492" customFormat="1" ht="24" customHeight="1" x14ac:dyDescent="0.35">
      <c r="A30" s="691"/>
      <c r="B30" s="691" t="s">
        <v>55</v>
      </c>
      <c r="C30" s="2190">
        <f t="shared" ref="C30:D30" si="0">C981</f>
        <v>1121493640</v>
      </c>
      <c r="D30" s="2190">
        <f t="shared" si="0"/>
        <v>1198554898.3399999</v>
      </c>
      <c r="E30" s="1644"/>
      <c r="F30" s="1644"/>
      <c r="G30" s="1644"/>
      <c r="H30" s="1644"/>
      <c r="I30" s="2192"/>
    </row>
    <row r="31" spans="1:241" s="2493" customFormat="1" ht="30" customHeight="1" x14ac:dyDescent="0.3">
      <c r="A31" s="2494"/>
      <c r="B31" s="2495" t="s">
        <v>2118</v>
      </c>
      <c r="C31" s="704"/>
      <c r="D31" s="704"/>
      <c r="E31" s="1648"/>
      <c r="F31" s="582"/>
      <c r="G31" s="582"/>
      <c r="H31" s="582"/>
      <c r="I31" s="704"/>
    </row>
    <row r="32" spans="1:241" s="2496" customFormat="1" ht="30" customHeight="1" x14ac:dyDescent="0.25">
      <c r="A32" s="2497"/>
      <c r="B32" s="2498" t="s">
        <v>57</v>
      </c>
      <c r="C32" s="2499">
        <f>SUM(C33:C44,C48:C53,C60:C65)</f>
        <v>570976355.83999991</v>
      </c>
      <c r="D32" s="2499">
        <f>SUM(D33:D44,D48:D53,D60:D65)</f>
        <v>596572665.84000003</v>
      </c>
      <c r="E32" s="2499"/>
      <c r="F32" s="2500"/>
      <c r="G32" s="2499"/>
      <c r="H32" s="2499"/>
      <c r="I32" s="2499"/>
    </row>
    <row r="33" spans="1:9" s="2501" customFormat="1" ht="30" customHeight="1" x14ac:dyDescent="0.2">
      <c r="A33" s="1493">
        <v>1111</v>
      </c>
      <c r="B33" s="2502" t="s">
        <v>2119</v>
      </c>
      <c r="C33" s="1662">
        <f>(54100000*0.155174/100)*1000</f>
        <v>83949134</v>
      </c>
      <c r="D33" s="1662">
        <f>(54100000*0.155174/100)*1000</f>
        <v>83949134</v>
      </c>
      <c r="E33" s="1662"/>
      <c r="F33" s="2200"/>
      <c r="G33" s="1663"/>
      <c r="H33" s="1663"/>
      <c r="I33" s="1662"/>
    </row>
    <row r="34" spans="1:9" s="98" customFormat="1" ht="30" customHeight="1" x14ac:dyDescent="0.2">
      <c r="A34" s="716">
        <v>1111</v>
      </c>
      <c r="B34" s="717" t="s">
        <v>1047</v>
      </c>
      <c r="C34" s="1662">
        <f>(3400000*0.263492/100)*1000</f>
        <v>8958728.0000000019</v>
      </c>
      <c r="D34" s="1662">
        <f>(3400000*0.263492/100)*1000</f>
        <v>8958728.0000000019</v>
      </c>
      <c r="E34" s="1662"/>
      <c r="F34" s="2200"/>
      <c r="G34" s="1663"/>
      <c r="H34" s="1663"/>
      <c r="I34" s="1662"/>
    </row>
    <row r="35" spans="1:9" s="98" customFormat="1" ht="30" customHeight="1" x14ac:dyDescent="0.2">
      <c r="A35" s="716">
        <v>1112</v>
      </c>
      <c r="B35" s="717" t="s">
        <v>2120</v>
      </c>
      <c r="C35" s="1667">
        <f>(4600000*0.155174/100)*1000-1138004</f>
        <v>6000000</v>
      </c>
      <c r="D35" s="1667">
        <f>(4600000*0.155174/100)*1000-1138004</f>
        <v>6000000</v>
      </c>
      <c r="E35" s="1667"/>
      <c r="F35" s="2200"/>
      <c r="G35" s="1663"/>
      <c r="H35" s="1663"/>
      <c r="I35" s="1662"/>
    </row>
    <row r="36" spans="1:9" s="98" customFormat="1" ht="30" customHeight="1" x14ac:dyDescent="0.2">
      <c r="A36" s="716">
        <v>1113</v>
      </c>
      <c r="B36" s="717" t="s">
        <v>1049</v>
      </c>
      <c r="C36" s="1667">
        <f>(9700000*0.155174/100)*1000</f>
        <v>15051878</v>
      </c>
      <c r="D36" s="1667">
        <f>(9700000*0.155174/100)*1000</f>
        <v>15051878</v>
      </c>
      <c r="E36" s="1667"/>
      <c r="F36" s="2200"/>
      <c r="G36" s="1663"/>
      <c r="H36" s="1663"/>
      <c r="I36" s="1662"/>
    </row>
    <row r="37" spans="1:9" s="98" customFormat="1" ht="30" customHeight="1" x14ac:dyDescent="0.2">
      <c r="A37" s="716">
        <v>1121</v>
      </c>
      <c r="B37" s="717" t="s">
        <v>2121</v>
      </c>
      <c r="C37" s="1667">
        <v>119018458</v>
      </c>
      <c r="D37" s="1667">
        <v>119018458</v>
      </c>
      <c r="E37" s="1667"/>
      <c r="F37" s="2201"/>
      <c r="G37" s="1663"/>
      <c r="H37" s="1663"/>
      <c r="I37" s="1662"/>
    </row>
    <row r="38" spans="1:9" s="98" customFormat="1" ht="30" customHeight="1" x14ac:dyDescent="0.2">
      <c r="A38" s="716">
        <v>1122</v>
      </c>
      <c r="B38" s="725" t="s">
        <v>1051</v>
      </c>
      <c r="C38" s="734">
        <v>30000000</v>
      </c>
      <c r="D38" s="734">
        <f>30000000+25564110</f>
        <v>55564110</v>
      </c>
      <c r="E38" s="734"/>
      <c r="F38" s="894"/>
      <c r="G38" s="1663"/>
      <c r="H38" s="1663"/>
      <c r="I38" s="1662"/>
    </row>
    <row r="39" spans="1:9" s="98" customFormat="1" ht="30" customHeight="1" x14ac:dyDescent="0.2">
      <c r="A39" s="716">
        <v>1211</v>
      </c>
      <c r="B39" s="717" t="s">
        <v>1052</v>
      </c>
      <c r="C39" s="1667">
        <f>(150600000*0.155174/100)*1000</f>
        <v>233692044.00000003</v>
      </c>
      <c r="D39" s="1667">
        <f>(150600000*0.155174/100)*1000</f>
        <v>233692044.00000003</v>
      </c>
      <c r="E39" s="1672"/>
      <c r="F39" s="2202"/>
      <c r="G39" s="1663"/>
      <c r="H39" s="1663"/>
      <c r="I39" s="1662"/>
    </row>
    <row r="40" spans="1:9" s="98" customFormat="1" ht="30" customHeight="1" x14ac:dyDescent="0.2">
      <c r="A40" s="716">
        <v>1334</v>
      </c>
      <c r="B40" s="725" t="s">
        <v>1053</v>
      </c>
      <c r="C40" s="746">
        <v>50000</v>
      </c>
      <c r="D40" s="746">
        <v>50000</v>
      </c>
      <c r="E40" s="972"/>
      <c r="F40" s="968"/>
      <c r="G40" s="1663"/>
      <c r="H40" s="1663"/>
      <c r="I40" s="1662"/>
    </row>
    <row r="41" spans="1:9" s="98" customFormat="1" ht="30" customHeight="1" x14ac:dyDescent="0.2">
      <c r="A41" s="716">
        <v>1335</v>
      </c>
      <c r="B41" s="717" t="s">
        <v>1054</v>
      </c>
      <c r="C41" s="746">
        <v>2000</v>
      </c>
      <c r="D41" s="746">
        <v>2000</v>
      </c>
      <c r="E41" s="972"/>
      <c r="F41" s="968"/>
      <c r="G41" s="1663"/>
      <c r="H41" s="1663"/>
      <c r="I41" s="1662"/>
    </row>
    <row r="42" spans="1:9" s="98" customFormat="1" ht="30" customHeight="1" x14ac:dyDescent="0.2">
      <c r="A42" s="716">
        <v>1336</v>
      </c>
      <c r="B42" s="717" t="s">
        <v>1055</v>
      </c>
      <c r="C42" s="746">
        <v>0</v>
      </c>
      <c r="D42" s="746">
        <v>32200</v>
      </c>
      <c r="E42" s="972"/>
      <c r="F42" s="968"/>
      <c r="G42" s="1663"/>
      <c r="H42" s="1663"/>
      <c r="I42" s="1662"/>
    </row>
    <row r="43" spans="1:9" s="98" customFormat="1" ht="30" customHeight="1" x14ac:dyDescent="0.2">
      <c r="A43" s="716">
        <v>1341</v>
      </c>
      <c r="B43" s="717" t="s">
        <v>1056</v>
      </c>
      <c r="C43" s="734">
        <v>650000</v>
      </c>
      <c r="D43" s="734">
        <v>650000</v>
      </c>
      <c r="E43" s="972"/>
      <c r="F43" s="968"/>
      <c r="G43" s="1663"/>
      <c r="H43" s="1663"/>
      <c r="I43" s="1662"/>
    </row>
    <row r="44" spans="1:9" s="98" customFormat="1" ht="30" customHeight="1" x14ac:dyDescent="0.2">
      <c r="A44" s="716">
        <v>1343</v>
      </c>
      <c r="B44" s="717" t="s">
        <v>1057</v>
      </c>
      <c r="C44" s="1678">
        <f t="shared" ref="C44:D44" si="1">SUM(C45:C47)</f>
        <v>495000</v>
      </c>
      <c r="D44" s="1678">
        <f t="shared" si="1"/>
        <v>495000</v>
      </c>
      <c r="E44" s="1678"/>
      <c r="F44" s="2203"/>
      <c r="G44" s="1663"/>
      <c r="H44" s="1663"/>
      <c r="I44" s="1662"/>
    </row>
    <row r="45" spans="1:9" ht="30" customHeight="1" x14ac:dyDescent="0.2">
      <c r="A45" s="736"/>
      <c r="B45" s="737" t="s">
        <v>1059</v>
      </c>
      <c r="C45" s="767">
        <v>320000</v>
      </c>
      <c r="D45" s="767">
        <v>320000</v>
      </c>
      <c r="E45" s="968"/>
      <c r="F45" s="968"/>
      <c r="G45" s="2200"/>
      <c r="H45" s="2200"/>
      <c r="I45" s="2201"/>
    </row>
    <row r="46" spans="1:9" ht="30" customHeight="1" x14ac:dyDescent="0.2">
      <c r="A46" s="741"/>
      <c r="B46" s="737" t="s">
        <v>1060</v>
      </c>
      <c r="C46" s="767">
        <v>90000</v>
      </c>
      <c r="D46" s="767">
        <v>90000</v>
      </c>
      <c r="E46" s="968"/>
      <c r="F46" s="968"/>
      <c r="G46" s="2200"/>
      <c r="H46" s="2200"/>
      <c r="I46" s="2201"/>
    </row>
    <row r="47" spans="1:9" ht="30" customHeight="1" x14ac:dyDescent="0.2">
      <c r="A47" s="741"/>
      <c r="B47" s="737" t="s">
        <v>1061</v>
      </c>
      <c r="C47" s="767">
        <v>85000</v>
      </c>
      <c r="D47" s="767">
        <v>85000</v>
      </c>
      <c r="E47" s="968"/>
      <c r="F47" s="968"/>
      <c r="G47" s="2200"/>
      <c r="H47" s="2200"/>
      <c r="I47" s="2201"/>
    </row>
    <row r="48" spans="1:9" ht="30" customHeight="1" x14ac:dyDescent="0.2">
      <c r="A48" s="744">
        <v>1345</v>
      </c>
      <c r="B48" s="725" t="s">
        <v>1062</v>
      </c>
      <c r="C48" s="746">
        <v>17500000</v>
      </c>
      <c r="D48" s="746">
        <v>17500000</v>
      </c>
      <c r="E48" s="1840"/>
      <c r="F48" s="970"/>
      <c r="G48" s="1663"/>
      <c r="H48" s="1663"/>
      <c r="I48" s="1662"/>
    </row>
    <row r="49" spans="1:1561" s="98" customFormat="1" ht="30" customHeight="1" x14ac:dyDescent="0.2">
      <c r="A49" s="716">
        <v>1346</v>
      </c>
      <c r="B49" s="725" t="s">
        <v>1063</v>
      </c>
      <c r="C49" s="746">
        <v>180000</v>
      </c>
      <c r="D49" s="746">
        <v>180000</v>
      </c>
      <c r="E49" s="2207"/>
      <c r="F49" s="970"/>
      <c r="G49" s="1663"/>
      <c r="H49" s="1663"/>
      <c r="I49" s="1662"/>
    </row>
    <row r="50" spans="1:1561" s="98" customFormat="1" ht="30" customHeight="1" x14ac:dyDescent="0.2">
      <c r="A50" s="716">
        <v>1353</v>
      </c>
      <c r="B50" s="717" t="s">
        <v>1064</v>
      </c>
      <c r="C50" s="746">
        <v>750000</v>
      </c>
      <c r="D50" s="746">
        <v>750000</v>
      </c>
      <c r="E50" s="2208"/>
      <c r="F50" s="968"/>
      <c r="G50" s="1663"/>
      <c r="H50" s="1663"/>
      <c r="I50" s="1662"/>
    </row>
    <row r="51" spans="1:1561" s="98" customFormat="1" ht="30" customHeight="1" x14ac:dyDescent="0.2">
      <c r="A51" s="716">
        <v>1356</v>
      </c>
      <c r="B51" s="717" t="s">
        <v>1065</v>
      </c>
      <c r="C51" s="734">
        <v>242547.84</v>
      </c>
      <c r="D51" s="734">
        <v>242547.84</v>
      </c>
      <c r="E51" s="972"/>
      <c r="F51" s="968"/>
      <c r="G51" s="1663"/>
      <c r="H51" s="1663"/>
      <c r="I51" s="1662"/>
    </row>
    <row r="52" spans="1:1561" s="98" customFormat="1" ht="30" customHeight="1" x14ac:dyDescent="0.2">
      <c r="A52" s="716">
        <v>1359</v>
      </c>
      <c r="B52" s="717" t="s">
        <v>1066</v>
      </c>
      <c r="C52" s="734">
        <v>0</v>
      </c>
      <c r="D52" s="734">
        <v>0</v>
      </c>
      <c r="E52" s="972"/>
      <c r="F52" s="968"/>
      <c r="G52" s="1663"/>
      <c r="H52" s="1663"/>
      <c r="I52" s="1662"/>
    </row>
    <row r="53" spans="1:1561" s="98" customFormat="1" ht="30" customHeight="1" x14ac:dyDescent="0.2">
      <c r="A53" s="716">
        <v>1361</v>
      </c>
      <c r="B53" s="717" t="s">
        <v>1067</v>
      </c>
      <c r="C53" s="1678">
        <f>SUM(C54:C59)</f>
        <v>9395000</v>
      </c>
      <c r="D53" s="1678">
        <f>SUM(D54:D59)</f>
        <v>9395000</v>
      </c>
      <c r="E53" s="1678"/>
      <c r="F53" s="2203"/>
      <c r="G53" s="1663"/>
      <c r="H53" s="1663"/>
      <c r="I53" s="1662"/>
    </row>
    <row r="54" spans="1:1561" ht="30" customHeight="1" x14ac:dyDescent="0.2">
      <c r="A54" s="741"/>
      <c r="B54" s="737" t="s">
        <v>1068</v>
      </c>
      <c r="C54" s="767">
        <v>5600000</v>
      </c>
      <c r="D54" s="767">
        <v>5600000</v>
      </c>
      <c r="E54" s="968"/>
      <c r="F54" s="968"/>
      <c r="G54" s="2200"/>
      <c r="H54" s="2200"/>
      <c r="I54" s="2201"/>
    </row>
    <row r="55" spans="1:1561" ht="30" customHeight="1" x14ac:dyDescent="0.2">
      <c r="A55" s="748"/>
      <c r="B55" s="749" t="s">
        <v>1070</v>
      </c>
      <c r="C55" s="767">
        <v>450000</v>
      </c>
      <c r="D55" s="767">
        <v>450000</v>
      </c>
      <c r="E55" s="968"/>
      <c r="F55" s="968"/>
      <c r="G55" s="2200"/>
      <c r="H55" s="2200"/>
      <c r="I55" s="2201"/>
    </row>
    <row r="56" spans="1:1561" ht="30" customHeight="1" x14ac:dyDescent="0.2">
      <c r="A56" s="741"/>
      <c r="B56" s="737" t="s">
        <v>1071</v>
      </c>
      <c r="C56" s="767">
        <v>1000000</v>
      </c>
      <c r="D56" s="767">
        <v>1000000</v>
      </c>
      <c r="E56" s="968"/>
      <c r="F56" s="968"/>
      <c r="G56" s="2200"/>
      <c r="H56" s="2200"/>
      <c r="I56" s="2201"/>
    </row>
    <row r="57" spans="1:1561" s="126" customFormat="1" ht="30" customHeight="1" x14ac:dyDescent="0.2">
      <c r="A57" s="748"/>
      <c r="B57" s="788" t="s">
        <v>2122</v>
      </c>
      <c r="C57" s="772">
        <v>2153000</v>
      </c>
      <c r="D57" s="772">
        <v>2153000</v>
      </c>
      <c r="E57" s="968"/>
      <c r="F57" s="968"/>
      <c r="G57" s="2200"/>
      <c r="H57" s="2200"/>
      <c r="I57" s="220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c r="GY57" s="1"/>
      <c r="GZ57" s="1"/>
      <c r="HA57" s="1"/>
      <c r="HB57" s="1"/>
      <c r="HC57" s="1"/>
      <c r="HD57" s="1"/>
      <c r="HE57" s="1"/>
      <c r="HF57" s="1"/>
      <c r="HG57" s="1"/>
      <c r="HH57" s="1"/>
      <c r="HI57" s="1"/>
      <c r="HJ57" s="1"/>
      <c r="HK57" s="1"/>
      <c r="HL57" s="1"/>
      <c r="HM57" s="1"/>
      <c r="HN57" s="1"/>
      <c r="HO57" s="1"/>
      <c r="HP57" s="1"/>
      <c r="HQ57" s="1"/>
      <c r="HR57" s="1"/>
      <c r="HS57" s="1"/>
      <c r="HT57" s="1"/>
      <c r="HU57" s="1"/>
      <c r="HV57" s="1"/>
      <c r="HW57" s="1"/>
      <c r="HX57" s="1"/>
      <c r="HY57" s="1"/>
      <c r="HZ57" s="1"/>
      <c r="IA57" s="1"/>
      <c r="IB57" s="1"/>
      <c r="IC57" s="1"/>
      <c r="ID57" s="1"/>
      <c r="IE57" s="1"/>
      <c r="IF57" s="1"/>
      <c r="IG57" s="1"/>
      <c r="IH57" s="1"/>
      <c r="II57" s="1"/>
      <c r="IJ57" s="1"/>
      <c r="IK57" s="1"/>
      <c r="IL57" s="1"/>
      <c r="IM57" s="1"/>
      <c r="IN57" s="1"/>
      <c r="IO57" s="1"/>
      <c r="IP57" s="1"/>
      <c r="IQ57" s="1"/>
      <c r="IR57" s="1"/>
      <c r="IS57" s="1"/>
      <c r="IT57" s="1"/>
      <c r="IU57" s="1"/>
      <c r="IV57" s="1"/>
      <c r="IW57" s="1"/>
      <c r="IX57" s="1"/>
      <c r="IY57" s="1"/>
      <c r="IZ57" s="1"/>
      <c r="JA57" s="1"/>
      <c r="JB57" s="1"/>
      <c r="JC57" s="1"/>
      <c r="JD57" s="1"/>
      <c r="JE57" s="1"/>
      <c r="JF57" s="1"/>
      <c r="JG57" s="1"/>
      <c r="JH57" s="1"/>
      <c r="JI57" s="1"/>
      <c r="JJ57" s="1"/>
      <c r="JK57" s="1"/>
      <c r="JL57" s="1"/>
      <c r="JM57" s="1"/>
      <c r="JN57" s="1"/>
      <c r="JO57" s="1"/>
      <c r="JP57" s="1"/>
      <c r="JQ57" s="1"/>
      <c r="JR57" s="1"/>
      <c r="JS57" s="1"/>
      <c r="JT57" s="1"/>
      <c r="JU57" s="1"/>
      <c r="JV57" s="1"/>
      <c r="JW57" s="1"/>
      <c r="JX57" s="1"/>
      <c r="JY57" s="1"/>
      <c r="JZ57" s="1"/>
      <c r="KA57" s="1"/>
      <c r="KB57" s="1"/>
      <c r="KC57" s="1"/>
      <c r="KD57" s="1"/>
      <c r="KE57" s="1"/>
      <c r="KF57" s="1"/>
      <c r="KG57" s="1"/>
      <c r="KH57" s="1"/>
      <c r="KI57" s="1"/>
      <c r="KJ57" s="1"/>
      <c r="KK57" s="1"/>
      <c r="KL57" s="1"/>
      <c r="KM57" s="1"/>
      <c r="KN57" s="1"/>
      <c r="KO57" s="1"/>
      <c r="KP57" s="1"/>
      <c r="KQ57" s="1"/>
      <c r="KR57" s="1"/>
      <c r="KS57" s="1"/>
      <c r="KT57" s="1"/>
      <c r="KU57" s="1"/>
      <c r="KV57" s="1"/>
      <c r="KW57" s="1"/>
      <c r="KX57" s="1"/>
      <c r="KY57" s="1"/>
      <c r="KZ57" s="1"/>
      <c r="LA57" s="1"/>
      <c r="LB57" s="1"/>
      <c r="LC57" s="1"/>
      <c r="LD57" s="1"/>
      <c r="LE57" s="1"/>
      <c r="LF57" s="1"/>
      <c r="LG57" s="1"/>
      <c r="LH57" s="1"/>
      <c r="LI57" s="1"/>
      <c r="LJ57" s="1"/>
      <c r="LK57" s="1"/>
      <c r="LL57" s="1"/>
      <c r="LM57" s="1"/>
      <c r="LN57" s="1"/>
      <c r="LO57" s="1"/>
      <c r="LP57" s="1"/>
      <c r="LQ57" s="1"/>
      <c r="LR57" s="1"/>
      <c r="LS57" s="1"/>
      <c r="LT57" s="1"/>
      <c r="LU57" s="1"/>
      <c r="LV57" s="1"/>
      <c r="LW57" s="1"/>
      <c r="LX57" s="1"/>
      <c r="LY57" s="1"/>
      <c r="LZ57" s="1"/>
      <c r="MA57" s="1"/>
      <c r="MB57" s="1"/>
      <c r="MC57" s="1"/>
      <c r="MD57" s="1"/>
      <c r="ME57" s="1"/>
      <c r="MF57" s="1"/>
      <c r="MG57" s="1"/>
      <c r="MH57" s="1"/>
      <c r="MI57" s="1"/>
      <c r="MJ57" s="1"/>
      <c r="MK57" s="1"/>
      <c r="ML57" s="1"/>
      <c r="MM57" s="1"/>
      <c r="MN57" s="1"/>
      <c r="MO57" s="1"/>
      <c r="MP57" s="1"/>
      <c r="MQ57" s="1"/>
      <c r="MR57" s="1"/>
      <c r="MS57" s="1"/>
      <c r="MT57" s="1"/>
      <c r="MU57" s="1"/>
      <c r="MV57" s="1"/>
      <c r="MW57" s="1"/>
      <c r="MX57" s="1"/>
      <c r="MY57" s="1"/>
      <c r="MZ57" s="1"/>
      <c r="NA57" s="1"/>
      <c r="NB57" s="1"/>
      <c r="NC57" s="1"/>
      <c r="ND57" s="1"/>
      <c r="NE57" s="1"/>
      <c r="NF57" s="1"/>
      <c r="NG57" s="1"/>
      <c r="NH57" s="1"/>
      <c r="NI57" s="1"/>
      <c r="NJ57" s="1"/>
      <c r="NK57" s="1"/>
      <c r="NL57" s="1"/>
      <c r="NM57" s="1"/>
      <c r="NN57" s="1"/>
      <c r="NO57" s="1"/>
      <c r="NP57" s="1"/>
      <c r="NQ57" s="1"/>
      <c r="NR57" s="1"/>
      <c r="NS57" s="1"/>
      <c r="NT57" s="1"/>
      <c r="NU57" s="1"/>
      <c r="NV57" s="1"/>
      <c r="NW57" s="1"/>
      <c r="NX57" s="1"/>
      <c r="NY57" s="1"/>
      <c r="NZ57" s="1"/>
      <c r="OA57" s="1"/>
      <c r="OB57" s="1"/>
      <c r="OC57" s="1"/>
      <c r="OD57" s="1"/>
      <c r="OE57" s="1"/>
      <c r="OF57" s="1"/>
      <c r="OG57" s="1"/>
      <c r="OH57" s="1"/>
      <c r="OI57" s="1"/>
      <c r="OJ57" s="1"/>
      <c r="OK57" s="1"/>
      <c r="OL57" s="1"/>
      <c r="OM57" s="1"/>
      <c r="ON57" s="1"/>
      <c r="OO57" s="1"/>
      <c r="OP57" s="1"/>
      <c r="OQ57" s="1"/>
      <c r="OR57" s="1"/>
      <c r="OS57" s="1"/>
      <c r="OT57" s="1"/>
      <c r="OU57" s="1"/>
      <c r="OV57" s="1"/>
      <c r="OW57" s="1"/>
      <c r="OX57" s="1"/>
      <c r="OY57" s="1"/>
      <c r="OZ57" s="1"/>
      <c r="PA57" s="1"/>
      <c r="PB57" s="1"/>
      <c r="PC57" s="1"/>
      <c r="PD57" s="1"/>
      <c r="PE57" s="1"/>
      <c r="PF57" s="1"/>
      <c r="PG57" s="1"/>
      <c r="PH57" s="1"/>
      <c r="PI57" s="1"/>
      <c r="PJ57" s="1"/>
      <c r="PK57" s="1"/>
      <c r="PL57" s="1"/>
      <c r="PM57" s="1"/>
      <c r="PN57" s="1"/>
      <c r="PO57" s="1"/>
      <c r="PP57" s="1"/>
      <c r="PQ57" s="1"/>
      <c r="PR57" s="1"/>
      <c r="PS57" s="1"/>
      <c r="PT57" s="1"/>
      <c r="PU57" s="1"/>
      <c r="PV57" s="1"/>
      <c r="PW57" s="1"/>
      <c r="PX57" s="1"/>
      <c r="PY57" s="1"/>
      <c r="PZ57" s="1"/>
      <c r="QA57" s="1"/>
      <c r="QB57" s="1"/>
      <c r="QC57" s="1"/>
      <c r="QD57" s="1"/>
      <c r="QE57" s="1"/>
      <c r="QF57" s="1"/>
      <c r="QG57" s="1"/>
      <c r="QH57" s="1"/>
      <c r="QI57" s="1"/>
      <c r="QJ57" s="1"/>
      <c r="QK57" s="1"/>
      <c r="QL57" s="1"/>
      <c r="QM57" s="1"/>
      <c r="QN57" s="1"/>
      <c r="QO57" s="1"/>
      <c r="QP57" s="1"/>
      <c r="QQ57" s="1"/>
      <c r="QR57" s="1"/>
      <c r="QS57" s="1"/>
      <c r="QT57" s="1"/>
      <c r="QU57" s="1"/>
      <c r="QV57" s="1"/>
      <c r="QW57" s="1"/>
      <c r="QX57" s="1"/>
      <c r="QY57" s="1"/>
      <c r="QZ57" s="1"/>
      <c r="RA57" s="1"/>
      <c r="RB57" s="1"/>
      <c r="RC57" s="1"/>
      <c r="RD57" s="1"/>
      <c r="RE57" s="1"/>
      <c r="RF57" s="1"/>
      <c r="RG57" s="1"/>
      <c r="RH57" s="1"/>
      <c r="RI57" s="1"/>
      <c r="RJ57" s="1"/>
      <c r="RK57" s="1"/>
      <c r="RL57" s="1"/>
      <c r="RM57" s="1"/>
      <c r="RN57" s="1"/>
      <c r="RO57" s="1"/>
      <c r="RP57" s="1"/>
      <c r="RQ57" s="1"/>
      <c r="RR57" s="1"/>
      <c r="RS57" s="1"/>
      <c r="RT57" s="1"/>
      <c r="RU57" s="1"/>
      <c r="RV57" s="1"/>
      <c r="RW57" s="1"/>
      <c r="RX57" s="1"/>
      <c r="RY57" s="1"/>
      <c r="RZ57" s="1"/>
      <c r="SA57" s="1"/>
      <c r="SB57" s="1"/>
      <c r="SC57" s="1"/>
      <c r="SD57" s="1"/>
      <c r="SE57" s="1"/>
      <c r="SF57" s="1"/>
      <c r="SG57" s="1"/>
      <c r="SH57" s="1"/>
      <c r="SI57" s="1"/>
      <c r="SJ57" s="1"/>
      <c r="SK57" s="1"/>
      <c r="SL57" s="1"/>
      <c r="SM57" s="1"/>
      <c r="SN57" s="1"/>
      <c r="SO57" s="1"/>
      <c r="SP57" s="1"/>
      <c r="SQ57" s="1"/>
      <c r="SR57" s="1"/>
      <c r="SS57" s="1"/>
      <c r="ST57" s="1"/>
      <c r="SU57" s="1"/>
      <c r="SV57" s="1"/>
      <c r="SW57" s="1"/>
      <c r="SX57" s="1"/>
      <c r="SY57" s="1"/>
      <c r="SZ57" s="1"/>
      <c r="TA57" s="1"/>
      <c r="TB57" s="1"/>
      <c r="TC57" s="1"/>
      <c r="TD57" s="1"/>
      <c r="TE57" s="1"/>
      <c r="TF57" s="1"/>
      <c r="TG57" s="1"/>
      <c r="TH57" s="1"/>
      <c r="TI57" s="1"/>
      <c r="TJ57" s="1"/>
      <c r="TK57" s="1"/>
      <c r="TL57" s="1"/>
      <c r="TM57" s="1"/>
      <c r="TN57" s="1"/>
      <c r="TO57" s="1"/>
      <c r="TP57" s="1"/>
      <c r="TQ57" s="1"/>
      <c r="TR57" s="1"/>
      <c r="TS57" s="1"/>
      <c r="TT57" s="1"/>
      <c r="TU57" s="1"/>
      <c r="TV57" s="1"/>
      <c r="TW57" s="1"/>
      <c r="TX57" s="1"/>
      <c r="TY57" s="1"/>
      <c r="TZ57" s="1"/>
      <c r="UA57" s="1"/>
      <c r="UB57" s="1"/>
      <c r="UC57" s="1"/>
      <c r="UD57" s="1"/>
      <c r="UE57" s="1"/>
      <c r="UF57" s="1"/>
      <c r="UG57" s="1"/>
      <c r="UH57" s="1"/>
      <c r="UI57" s="1"/>
      <c r="UJ57" s="1"/>
      <c r="UK57" s="1"/>
      <c r="UL57" s="1"/>
      <c r="UM57" s="1"/>
      <c r="UN57" s="1"/>
      <c r="UO57" s="1"/>
      <c r="UP57" s="1"/>
      <c r="UQ57" s="1"/>
      <c r="UR57" s="1"/>
      <c r="US57" s="1"/>
      <c r="UT57" s="1"/>
      <c r="UU57" s="1"/>
      <c r="UV57" s="1"/>
      <c r="UW57" s="1"/>
      <c r="UX57" s="1"/>
      <c r="UY57" s="1"/>
      <c r="UZ57" s="1"/>
      <c r="VA57" s="1"/>
      <c r="VB57" s="1"/>
      <c r="VC57" s="1"/>
      <c r="VD57" s="1"/>
      <c r="VE57" s="1"/>
      <c r="VF57" s="1"/>
      <c r="VG57" s="1"/>
      <c r="VH57" s="1"/>
      <c r="VI57" s="1"/>
      <c r="VJ57" s="1"/>
      <c r="VK57" s="1"/>
      <c r="VL57" s="1"/>
      <c r="VM57" s="1"/>
      <c r="VN57" s="1"/>
      <c r="VO57" s="1"/>
      <c r="VP57" s="1"/>
      <c r="VQ57" s="1"/>
      <c r="VR57" s="1"/>
      <c r="VS57" s="1"/>
      <c r="VT57" s="1"/>
      <c r="VU57" s="1"/>
      <c r="VV57" s="1"/>
      <c r="VW57" s="1"/>
      <c r="VX57" s="1"/>
      <c r="VY57" s="1"/>
      <c r="VZ57" s="1"/>
      <c r="WA57" s="1"/>
      <c r="WB57" s="1"/>
      <c r="WC57" s="1"/>
      <c r="WD57" s="1"/>
      <c r="WE57" s="1"/>
      <c r="WF57" s="1"/>
      <c r="WG57" s="1"/>
      <c r="WH57" s="1"/>
      <c r="WI57" s="1"/>
      <c r="WJ57" s="1"/>
      <c r="WK57" s="1"/>
      <c r="WL57" s="1"/>
      <c r="WM57" s="1"/>
      <c r="WN57" s="1"/>
      <c r="WO57" s="1"/>
      <c r="WP57" s="1"/>
      <c r="WQ57" s="1"/>
      <c r="WR57" s="1"/>
      <c r="WS57" s="1"/>
      <c r="WT57" s="1"/>
      <c r="WU57" s="1"/>
      <c r="WV57" s="1"/>
      <c r="WW57" s="1"/>
      <c r="WX57" s="1"/>
      <c r="WY57" s="1"/>
      <c r="WZ57" s="1"/>
      <c r="XA57" s="1"/>
      <c r="XB57" s="1"/>
      <c r="XC57" s="1"/>
      <c r="XD57" s="1"/>
      <c r="XE57" s="1"/>
      <c r="XF57" s="1"/>
      <c r="XG57" s="1"/>
      <c r="XH57" s="1"/>
      <c r="XI57" s="1"/>
      <c r="XJ57" s="1"/>
      <c r="XK57" s="1"/>
      <c r="XL57" s="1"/>
      <c r="XM57" s="1"/>
      <c r="XN57" s="1"/>
      <c r="XO57" s="1"/>
      <c r="XP57" s="1"/>
      <c r="XQ57" s="1"/>
      <c r="XR57" s="1"/>
      <c r="XS57" s="1"/>
      <c r="XT57" s="1"/>
      <c r="XU57" s="1"/>
      <c r="XV57" s="1"/>
      <c r="XW57" s="1"/>
      <c r="XX57" s="1"/>
      <c r="XY57" s="1"/>
      <c r="XZ57" s="1"/>
      <c r="YA57" s="1"/>
      <c r="YB57" s="1"/>
      <c r="YC57" s="1"/>
      <c r="YD57" s="1"/>
      <c r="YE57" s="1"/>
      <c r="YF57" s="1"/>
      <c r="YG57" s="1"/>
      <c r="YH57" s="1"/>
      <c r="YI57" s="1"/>
      <c r="YJ57" s="1"/>
      <c r="YK57" s="1"/>
      <c r="YL57" s="1"/>
      <c r="YM57" s="1"/>
      <c r="YN57" s="1"/>
      <c r="YO57" s="1"/>
      <c r="YP57" s="1"/>
      <c r="YQ57" s="1"/>
      <c r="YR57" s="1"/>
      <c r="YS57" s="1"/>
      <c r="YT57" s="1"/>
      <c r="YU57" s="1"/>
      <c r="YV57" s="1"/>
      <c r="YW57" s="1"/>
      <c r="YX57" s="1"/>
      <c r="YY57" s="1"/>
      <c r="YZ57" s="1"/>
      <c r="ZA57" s="1"/>
      <c r="ZB57" s="1"/>
      <c r="ZC57" s="1"/>
      <c r="ZD57" s="1"/>
      <c r="ZE57" s="1"/>
      <c r="ZF57" s="1"/>
      <c r="ZG57" s="1"/>
      <c r="ZH57" s="1"/>
      <c r="ZI57" s="1"/>
      <c r="ZJ57" s="1"/>
      <c r="ZK57" s="1"/>
      <c r="ZL57" s="1"/>
      <c r="ZM57" s="1"/>
      <c r="ZN57" s="1"/>
      <c r="ZO57" s="1"/>
      <c r="ZP57" s="1"/>
      <c r="ZQ57" s="1"/>
      <c r="ZR57" s="1"/>
      <c r="ZS57" s="1"/>
      <c r="ZT57" s="1"/>
      <c r="ZU57" s="1"/>
      <c r="ZV57" s="1"/>
      <c r="ZW57" s="1"/>
      <c r="ZX57" s="1"/>
      <c r="ZY57" s="1"/>
      <c r="ZZ57" s="1"/>
      <c r="AAA57" s="1"/>
      <c r="AAB57" s="1"/>
      <c r="AAC57" s="1"/>
      <c r="AAD57" s="1"/>
      <c r="AAE57" s="1"/>
      <c r="AAF57" s="1"/>
      <c r="AAG57" s="1"/>
      <c r="AAH57" s="1"/>
      <c r="AAI57" s="1"/>
      <c r="AAJ57" s="1"/>
      <c r="AAK57" s="1"/>
      <c r="AAL57" s="1"/>
      <c r="AAM57" s="1"/>
      <c r="AAN57" s="1"/>
      <c r="AAO57" s="1"/>
      <c r="AAP57" s="1"/>
      <c r="AAQ57" s="1"/>
      <c r="AAR57" s="1"/>
      <c r="AAS57" s="1"/>
      <c r="AAT57" s="1"/>
      <c r="AAU57" s="1"/>
      <c r="AAV57" s="1"/>
      <c r="AAW57" s="1"/>
      <c r="AAX57" s="1"/>
      <c r="AAY57" s="1"/>
      <c r="AAZ57" s="1"/>
      <c r="ABA57" s="1"/>
      <c r="ABB57" s="1"/>
      <c r="ABC57" s="1"/>
      <c r="ABD57" s="1"/>
      <c r="ABE57" s="1"/>
      <c r="ABF57" s="1"/>
      <c r="ABG57" s="1"/>
      <c r="ABH57" s="1"/>
      <c r="ABI57" s="1"/>
      <c r="ABJ57" s="1"/>
      <c r="ABK57" s="1"/>
      <c r="ABL57" s="1"/>
      <c r="ABM57" s="1"/>
      <c r="ABN57" s="1"/>
      <c r="ABO57" s="1"/>
      <c r="ABP57" s="1"/>
      <c r="ABQ57" s="1"/>
      <c r="ABR57" s="1"/>
      <c r="ABS57" s="1"/>
      <c r="ABT57" s="1"/>
      <c r="ABU57" s="1"/>
      <c r="ABV57" s="1"/>
      <c r="ABW57" s="1"/>
      <c r="ABX57" s="1"/>
      <c r="ABY57" s="1"/>
      <c r="ABZ57" s="1"/>
      <c r="ACA57" s="1"/>
      <c r="ACB57" s="1"/>
      <c r="ACC57" s="1"/>
      <c r="ACD57" s="1"/>
      <c r="ACE57" s="1"/>
      <c r="ACF57" s="1"/>
      <c r="ACG57" s="1"/>
      <c r="ACH57" s="1"/>
      <c r="ACI57" s="1"/>
      <c r="ACJ57" s="1"/>
      <c r="ACK57" s="1"/>
      <c r="ACL57" s="1"/>
      <c r="ACM57" s="1"/>
      <c r="ACN57" s="1"/>
      <c r="ACO57" s="1"/>
      <c r="ACP57" s="1"/>
      <c r="ACQ57" s="1"/>
      <c r="ACR57" s="1"/>
      <c r="ACS57" s="1"/>
      <c r="ACT57" s="1"/>
      <c r="ACU57" s="1"/>
      <c r="ACV57" s="1"/>
      <c r="ACW57" s="1"/>
      <c r="ACX57" s="1"/>
      <c r="ACY57" s="1"/>
      <c r="ACZ57" s="1"/>
      <c r="ADA57" s="1"/>
      <c r="ADB57" s="1"/>
      <c r="ADC57" s="1"/>
      <c r="ADD57" s="1"/>
      <c r="ADE57" s="1"/>
      <c r="ADF57" s="1"/>
      <c r="ADG57" s="1"/>
      <c r="ADH57" s="1"/>
      <c r="ADI57" s="1"/>
      <c r="ADJ57" s="1"/>
      <c r="ADK57" s="1"/>
      <c r="ADL57" s="1"/>
      <c r="ADM57" s="1"/>
      <c r="ADN57" s="1"/>
      <c r="ADO57" s="1"/>
      <c r="ADP57" s="1"/>
      <c r="ADQ57" s="1"/>
      <c r="ADR57" s="1"/>
      <c r="ADS57" s="1"/>
      <c r="ADT57" s="1"/>
      <c r="ADU57" s="1"/>
      <c r="ADV57" s="1"/>
      <c r="ADW57" s="1"/>
      <c r="ADX57" s="1"/>
      <c r="ADY57" s="1"/>
      <c r="ADZ57" s="1"/>
      <c r="AEA57" s="1"/>
      <c r="AEB57" s="1"/>
      <c r="AEC57" s="1"/>
      <c r="AED57" s="1"/>
      <c r="AEE57" s="1"/>
      <c r="AEF57" s="1"/>
      <c r="AEG57" s="1"/>
      <c r="AEH57" s="1"/>
      <c r="AEI57" s="1"/>
      <c r="AEJ57" s="1"/>
      <c r="AEK57" s="1"/>
      <c r="AEL57" s="1"/>
      <c r="AEM57" s="1"/>
      <c r="AEN57" s="1"/>
      <c r="AEO57" s="1"/>
      <c r="AEP57" s="1"/>
      <c r="AEQ57" s="1"/>
      <c r="AER57" s="1"/>
      <c r="AES57" s="1"/>
      <c r="AET57" s="1"/>
      <c r="AEU57" s="1"/>
      <c r="AEV57" s="1"/>
      <c r="AEW57" s="1"/>
      <c r="AEX57" s="1"/>
      <c r="AEY57" s="1"/>
      <c r="AEZ57" s="1"/>
      <c r="AFA57" s="1"/>
      <c r="AFB57" s="1"/>
      <c r="AFC57" s="1"/>
      <c r="AFD57" s="1"/>
      <c r="AFE57" s="1"/>
      <c r="AFF57" s="1"/>
      <c r="AFG57" s="1"/>
      <c r="AFH57" s="1"/>
      <c r="AFI57" s="1"/>
      <c r="AFJ57" s="1"/>
      <c r="AFK57" s="1"/>
      <c r="AFL57" s="1"/>
      <c r="AFM57" s="1"/>
      <c r="AFN57" s="1"/>
      <c r="AFO57" s="1"/>
      <c r="AFP57" s="1"/>
      <c r="AFQ57" s="1"/>
      <c r="AFR57" s="1"/>
      <c r="AFS57" s="1"/>
      <c r="AFT57" s="1"/>
      <c r="AFU57" s="1"/>
      <c r="AFV57" s="1"/>
      <c r="AFW57" s="1"/>
      <c r="AFX57" s="1"/>
      <c r="AFY57" s="1"/>
      <c r="AFZ57" s="1"/>
      <c r="AGA57" s="1"/>
      <c r="AGB57" s="1"/>
      <c r="AGC57" s="1"/>
      <c r="AGD57" s="1"/>
      <c r="AGE57" s="1"/>
      <c r="AGF57" s="1"/>
      <c r="AGG57" s="1"/>
      <c r="AGH57" s="1"/>
      <c r="AGI57" s="1"/>
      <c r="AGJ57" s="1"/>
      <c r="AGK57" s="1"/>
      <c r="AGL57" s="1"/>
      <c r="AGM57" s="1"/>
      <c r="AGN57" s="1"/>
      <c r="AGO57" s="1"/>
      <c r="AGP57" s="1"/>
      <c r="AGQ57" s="1"/>
      <c r="AGR57" s="1"/>
      <c r="AGS57" s="1"/>
      <c r="AGT57" s="1"/>
      <c r="AGU57" s="1"/>
      <c r="AGV57" s="1"/>
      <c r="AGW57" s="1"/>
      <c r="AGX57" s="1"/>
      <c r="AGY57" s="1"/>
      <c r="AGZ57" s="1"/>
      <c r="AHA57" s="1"/>
      <c r="AHB57" s="1"/>
      <c r="AHC57" s="1"/>
      <c r="AHD57" s="1"/>
      <c r="AHE57" s="1"/>
      <c r="AHF57" s="1"/>
      <c r="AHG57" s="1"/>
      <c r="AHH57" s="1"/>
      <c r="AHI57" s="1"/>
      <c r="AHJ57" s="1"/>
      <c r="AHK57" s="1"/>
      <c r="AHL57" s="1"/>
      <c r="AHM57" s="1"/>
      <c r="AHN57" s="1"/>
      <c r="AHO57" s="1"/>
      <c r="AHP57" s="1"/>
      <c r="AHQ57" s="1"/>
      <c r="AHR57" s="1"/>
      <c r="AHS57" s="1"/>
      <c r="AHT57" s="1"/>
      <c r="AHU57" s="1"/>
      <c r="AHV57" s="1"/>
      <c r="AHW57" s="1"/>
      <c r="AHX57" s="1"/>
      <c r="AHY57" s="1"/>
      <c r="AHZ57" s="1"/>
      <c r="AIA57" s="1"/>
      <c r="AIB57" s="1"/>
      <c r="AIC57" s="1"/>
      <c r="AID57" s="1"/>
      <c r="AIE57" s="1"/>
      <c r="AIF57" s="1"/>
      <c r="AIG57" s="1"/>
      <c r="AIH57" s="1"/>
      <c r="AII57" s="1"/>
      <c r="AIJ57" s="1"/>
      <c r="AIK57" s="1"/>
      <c r="AIL57" s="1"/>
      <c r="AIM57" s="1"/>
      <c r="AIN57" s="1"/>
      <c r="AIO57" s="1"/>
      <c r="AIP57" s="1"/>
      <c r="AIQ57" s="1"/>
      <c r="AIR57" s="1"/>
      <c r="AIS57" s="1"/>
      <c r="AIT57" s="1"/>
      <c r="AIU57" s="1"/>
      <c r="AIV57" s="1"/>
      <c r="AIW57" s="1"/>
      <c r="AIX57" s="1"/>
      <c r="AIY57" s="1"/>
      <c r="AIZ57" s="1"/>
      <c r="AJA57" s="1"/>
      <c r="AJB57" s="1"/>
      <c r="AJC57" s="1"/>
      <c r="AJD57" s="1"/>
      <c r="AJE57" s="1"/>
      <c r="AJF57" s="1"/>
      <c r="AJG57" s="1"/>
      <c r="AJH57" s="1"/>
      <c r="AJI57" s="1"/>
      <c r="AJJ57" s="1"/>
      <c r="AJK57" s="1"/>
      <c r="AJL57" s="1"/>
      <c r="AJM57" s="1"/>
      <c r="AJN57" s="1"/>
      <c r="AJO57" s="1"/>
      <c r="AJP57" s="1"/>
      <c r="AJQ57" s="1"/>
      <c r="AJR57" s="1"/>
      <c r="AJS57" s="1"/>
      <c r="AJT57" s="1"/>
      <c r="AJU57" s="1"/>
      <c r="AJV57" s="1"/>
      <c r="AJW57" s="1"/>
      <c r="AJX57" s="1"/>
      <c r="AJY57" s="1"/>
      <c r="AJZ57" s="1"/>
      <c r="AKA57" s="1"/>
      <c r="AKB57" s="1"/>
      <c r="AKC57" s="1"/>
      <c r="AKD57" s="1"/>
      <c r="AKE57" s="1"/>
      <c r="AKF57" s="1"/>
      <c r="AKG57" s="1"/>
      <c r="AKH57" s="1"/>
      <c r="AKI57" s="1"/>
      <c r="AKJ57" s="1"/>
      <c r="AKK57" s="1"/>
      <c r="AKL57" s="1"/>
      <c r="AKM57" s="1"/>
      <c r="AKN57" s="1"/>
      <c r="AKO57" s="1"/>
      <c r="AKP57" s="1"/>
      <c r="AKQ57" s="1"/>
      <c r="AKR57" s="1"/>
      <c r="AKS57" s="1"/>
      <c r="AKT57" s="1"/>
      <c r="AKU57" s="1"/>
      <c r="AKV57" s="1"/>
      <c r="AKW57" s="1"/>
      <c r="AKX57" s="1"/>
      <c r="AKY57" s="1"/>
      <c r="AKZ57" s="1"/>
      <c r="ALA57" s="1"/>
      <c r="ALB57" s="1"/>
      <c r="ALC57" s="1"/>
      <c r="ALD57" s="1"/>
      <c r="ALE57" s="1"/>
      <c r="ALF57" s="1"/>
      <c r="ALG57" s="1"/>
      <c r="ALH57" s="1"/>
      <c r="ALI57" s="1"/>
      <c r="ALJ57" s="1"/>
      <c r="ALK57" s="1"/>
      <c r="ALL57" s="1"/>
      <c r="ALM57" s="1"/>
      <c r="ALN57" s="1"/>
      <c r="ALO57" s="1"/>
      <c r="ALP57" s="1"/>
      <c r="ALQ57" s="1"/>
      <c r="ALR57" s="1"/>
      <c r="ALS57" s="1"/>
      <c r="ALT57" s="1"/>
      <c r="ALU57" s="1"/>
      <c r="ALV57" s="1"/>
      <c r="ALW57" s="1"/>
      <c r="ALX57" s="1"/>
      <c r="ALY57" s="1"/>
      <c r="ALZ57" s="1"/>
      <c r="AMA57" s="1"/>
      <c r="AMB57" s="1"/>
      <c r="AMC57" s="1"/>
      <c r="AMD57" s="1"/>
      <c r="AME57" s="1"/>
      <c r="AMF57" s="1"/>
      <c r="AMG57" s="1"/>
      <c r="AMH57" s="1"/>
      <c r="AMI57" s="1"/>
      <c r="AMJ57" s="1"/>
      <c r="AMK57" s="1"/>
      <c r="AML57" s="1"/>
      <c r="AMM57" s="1"/>
      <c r="AMN57" s="1"/>
      <c r="AMO57" s="1"/>
      <c r="AMP57" s="1"/>
      <c r="AMQ57" s="1"/>
      <c r="AMR57" s="1"/>
      <c r="AMS57" s="1"/>
      <c r="AMT57" s="1"/>
      <c r="AMU57" s="1"/>
      <c r="AMV57" s="1"/>
      <c r="AMW57" s="1"/>
      <c r="AMX57" s="1"/>
      <c r="AMY57" s="1"/>
      <c r="AMZ57" s="1"/>
      <c r="ANA57" s="1"/>
      <c r="ANB57" s="1"/>
      <c r="ANC57" s="1"/>
      <c r="AND57" s="1"/>
      <c r="ANE57" s="1"/>
      <c r="ANF57" s="1"/>
      <c r="ANG57" s="1"/>
      <c r="ANH57" s="1"/>
      <c r="ANI57" s="1"/>
      <c r="ANJ57" s="1"/>
      <c r="ANK57" s="1"/>
      <c r="ANL57" s="1"/>
      <c r="ANM57" s="1"/>
      <c r="ANN57" s="1"/>
      <c r="ANO57" s="1"/>
      <c r="ANP57" s="1"/>
      <c r="ANQ57" s="1"/>
      <c r="ANR57" s="1"/>
      <c r="ANS57" s="1"/>
      <c r="ANT57" s="1"/>
      <c r="ANU57" s="1"/>
      <c r="ANV57" s="1"/>
      <c r="ANW57" s="1"/>
      <c r="ANX57" s="1"/>
      <c r="ANY57" s="1"/>
      <c r="ANZ57" s="1"/>
      <c r="AOA57" s="1"/>
      <c r="AOB57" s="1"/>
      <c r="AOC57" s="1"/>
      <c r="AOD57" s="1"/>
      <c r="AOE57" s="1"/>
      <c r="AOF57" s="1"/>
      <c r="AOG57" s="1"/>
      <c r="AOH57" s="1"/>
      <c r="AOI57" s="1"/>
      <c r="AOJ57" s="1"/>
      <c r="AOK57" s="1"/>
      <c r="AOL57" s="1"/>
      <c r="AOM57" s="1"/>
      <c r="AON57" s="1"/>
      <c r="AOO57" s="1"/>
      <c r="AOP57" s="1"/>
      <c r="AOQ57" s="1"/>
      <c r="AOR57" s="1"/>
      <c r="AOS57" s="1"/>
      <c r="AOT57" s="1"/>
      <c r="AOU57" s="1"/>
      <c r="AOV57" s="1"/>
      <c r="AOW57" s="1"/>
      <c r="AOX57" s="1"/>
      <c r="AOY57" s="1"/>
      <c r="AOZ57" s="1"/>
      <c r="APA57" s="1"/>
      <c r="APB57" s="1"/>
      <c r="APC57" s="1"/>
      <c r="APD57" s="1"/>
      <c r="APE57" s="1"/>
      <c r="APF57" s="1"/>
      <c r="APG57" s="1"/>
      <c r="APH57" s="1"/>
      <c r="API57" s="1"/>
      <c r="APJ57" s="1"/>
      <c r="APK57" s="1"/>
      <c r="APL57" s="1"/>
      <c r="APM57" s="1"/>
      <c r="APN57" s="1"/>
      <c r="APO57" s="1"/>
      <c r="APP57" s="1"/>
      <c r="APQ57" s="1"/>
      <c r="APR57" s="1"/>
      <c r="APS57" s="1"/>
      <c r="APT57" s="1"/>
      <c r="APU57" s="1"/>
      <c r="APV57" s="1"/>
      <c r="APW57" s="1"/>
      <c r="APX57" s="1"/>
      <c r="APY57" s="1"/>
      <c r="APZ57" s="1"/>
      <c r="AQA57" s="1"/>
      <c r="AQB57" s="1"/>
      <c r="AQC57" s="1"/>
      <c r="AQD57" s="1"/>
      <c r="AQE57" s="1"/>
      <c r="AQF57" s="1"/>
      <c r="AQG57" s="1"/>
      <c r="AQH57" s="1"/>
      <c r="AQI57" s="1"/>
      <c r="AQJ57" s="1"/>
      <c r="AQK57" s="1"/>
      <c r="AQL57" s="1"/>
      <c r="AQM57" s="1"/>
      <c r="AQN57" s="1"/>
      <c r="AQO57" s="1"/>
      <c r="AQP57" s="1"/>
      <c r="AQQ57" s="1"/>
      <c r="AQR57" s="1"/>
      <c r="AQS57" s="1"/>
      <c r="AQT57" s="1"/>
      <c r="AQU57" s="1"/>
      <c r="AQV57" s="1"/>
      <c r="AQW57" s="1"/>
      <c r="AQX57" s="1"/>
      <c r="AQY57" s="1"/>
      <c r="AQZ57" s="1"/>
      <c r="ARA57" s="1"/>
      <c r="ARB57" s="1"/>
      <c r="ARC57" s="1"/>
      <c r="ARD57" s="1"/>
      <c r="ARE57" s="1"/>
      <c r="ARF57" s="1"/>
      <c r="ARG57" s="1"/>
      <c r="ARH57" s="1"/>
      <c r="ARI57" s="1"/>
      <c r="ARJ57" s="1"/>
      <c r="ARK57" s="1"/>
      <c r="ARL57" s="1"/>
      <c r="ARM57" s="1"/>
      <c r="ARN57" s="1"/>
      <c r="ARO57" s="1"/>
      <c r="ARP57" s="1"/>
      <c r="ARQ57" s="1"/>
      <c r="ARR57" s="1"/>
      <c r="ARS57" s="1"/>
      <c r="ART57" s="1"/>
      <c r="ARU57" s="1"/>
      <c r="ARV57" s="1"/>
      <c r="ARW57" s="1"/>
      <c r="ARX57" s="1"/>
      <c r="ARY57" s="1"/>
      <c r="ARZ57" s="1"/>
      <c r="ASA57" s="1"/>
      <c r="ASB57" s="1"/>
      <c r="ASC57" s="1"/>
      <c r="ASD57" s="1"/>
      <c r="ASE57" s="1"/>
      <c r="ASF57" s="1"/>
      <c r="ASG57" s="1"/>
      <c r="ASH57" s="1"/>
      <c r="ASI57" s="1"/>
      <c r="ASJ57" s="1"/>
      <c r="ASK57" s="1"/>
      <c r="ASL57" s="1"/>
      <c r="ASM57" s="1"/>
      <c r="ASN57" s="1"/>
      <c r="ASO57" s="1"/>
      <c r="ASP57" s="1"/>
      <c r="ASQ57" s="1"/>
      <c r="ASR57" s="1"/>
      <c r="ASS57" s="1"/>
      <c r="AST57" s="1"/>
      <c r="ASU57" s="1"/>
      <c r="ASV57" s="1"/>
      <c r="ASW57" s="1"/>
      <c r="ASX57" s="1"/>
      <c r="ASY57" s="1"/>
      <c r="ASZ57" s="1"/>
      <c r="ATA57" s="1"/>
      <c r="ATB57" s="1"/>
      <c r="ATC57" s="1"/>
      <c r="ATD57" s="1"/>
      <c r="ATE57" s="1"/>
      <c r="ATF57" s="1"/>
      <c r="ATG57" s="1"/>
      <c r="ATH57" s="1"/>
      <c r="ATI57" s="1"/>
      <c r="ATJ57" s="1"/>
      <c r="ATK57" s="1"/>
      <c r="ATL57" s="1"/>
      <c r="ATM57" s="1"/>
      <c r="ATN57" s="1"/>
      <c r="ATO57" s="1"/>
      <c r="ATP57" s="1"/>
      <c r="ATQ57" s="1"/>
      <c r="ATR57" s="1"/>
      <c r="ATS57" s="1"/>
      <c r="ATT57" s="1"/>
      <c r="ATU57" s="1"/>
      <c r="ATV57" s="1"/>
      <c r="ATW57" s="1"/>
      <c r="ATX57" s="1"/>
      <c r="ATY57" s="1"/>
      <c r="ATZ57" s="1"/>
      <c r="AUA57" s="1"/>
      <c r="AUB57" s="1"/>
      <c r="AUC57" s="1"/>
      <c r="AUD57" s="1"/>
      <c r="AUE57" s="1"/>
      <c r="AUF57" s="1"/>
      <c r="AUG57" s="1"/>
      <c r="AUH57" s="1"/>
      <c r="AUI57" s="1"/>
      <c r="AUJ57" s="1"/>
      <c r="AUK57" s="1"/>
      <c r="AUL57" s="1"/>
      <c r="AUM57" s="1"/>
      <c r="AUN57" s="1"/>
      <c r="AUO57" s="1"/>
      <c r="AUP57" s="1"/>
      <c r="AUQ57" s="1"/>
      <c r="AUR57" s="1"/>
      <c r="AUS57" s="1"/>
      <c r="AUT57" s="1"/>
      <c r="AUU57" s="1"/>
      <c r="AUV57" s="1"/>
      <c r="AUW57" s="1"/>
      <c r="AUX57" s="1"/>
      <c r="AUY57" s="1"/>
      <c r="AUZ57" s="1"/>
      <c r="AVA57" s="1"/>
      <c r="AVB57" s="1"/>
      <c r="AVC57" s="1"/>
      <c r="AVD57" s="1"/>
      <c r="AVE57" s="1"/>
      <c r="AVF57" s="1"/>
      <c r="AVG57" s="1"/>
      <c r="AVH57" s="1"/>
      <c r="AVI57" s="1"/>
      <c r="AVJ57" s="1"/>
      <c r="AVK57" s="1"/>
      <c r="AVL57" s="1"/>
      <c r="AVM57" s="1"/>
      <c r="AVN57" s="1"/>
      <c r="AVO57" s="1"/>
      <c r="AVP57" s="1"/>
      <c r="AVQ57" s="1"/>
      <c r="AVR57" s="1"/>
      <c r="AVS57" s="1"/>
      <c r="AVT57" s="1"/>
      <c r="AVU57" s="1"/>
      <c r="AVV57" s="1"/>
      <c r="AVW57" s="1"/>
      <c r="AVX57" s="1"/>
      <c r="AVY57" s="1"/>
      <c r="AVZ57" s="1"/>
      <c r="AWA57" s="1"/>
      <c r="AWB57" s="1"/>
      <c r="AWC57" s="1"/>
      <c r="AWD57" s="1"/>
      <c r="AWE57" s="1"/>
      <c r="AWF57" s="1"/>
      <c r="AWG57" s="1"/>
      <c r="AWH57" s="1"/>
      <c r="AWI57" s="1"/>
      <c r="AWJ57" s="1"/>
      <c r="AWK57" s="1"/>
      <c r="AWL57" s="1"/>
      <c r="AWM57" s="1"/>
      <c r="AWN57" s="1"/>
      <c r="AWO57" s="1"/>
      <c r="AWP57" s="1"/>
      <c r="AWQ57" s="1"/>
      <c r="AWR57" s="1"/>
      <c r="AWS57" s="1"/>
      <c r="AWT57" s="1"/>
      <c r="AWU57" s="1"/>
      <c r="AWV57" s="1"/>
      <c r="AWW57" s="1"/>
      <c r="AWX57" s="1"/>
      <c r="AWY57" s="1"/>
      <c r="AWZ57" s="1"/>
      <c r="AXA57" s="1"/>
      <c r="AXB57" s="1"/>
      <c r="AXC57" s="1"/>
      <c r="AXD57" s="1"/>
      <c r="AXE57" s="1"/>
      <c r="AXF57" s="1"/>
      <c r="AXG57" s="1"/>
      <c r="AXH57" s="1"/>
      <c r="AXI57" s="1"/>
      <c r="AXJ57" s="1"/>
      <c r="AXK57" s="1"/>
      <c r="AXL57" s="1"/>
      <c r="AXM57" s="1"/>
      <c r="AXN57" s="1"/>
      <c r="AXO57" s="1"/>
      <c r="AXP57" s="1"/>
      <c r="AXQ57" s="1"/>
      <c r="AXR57" s="1"/>
      <c r="AXS57" s="1"/>
      <c r="AXT57" s="1"/>
      <c r="AXU57" s="1"/>
      <c r="AXV57" s="1"/>
      <c r="AXW57" s="1"/>
      <c r="AXX57" s="1"/>
      <c r="AXY57" s="1"/>
      <c r="AXZ57" s="1"/>
      <c r="AYA57" s="1"/>
      <c r="AYB57" s="1"/>
      <c r="AYC57" s="1"/>
      <c r="AYD57" s="1"/>
      <c r="AYE57" s="1"/>
      <c r="AYF57" s="1"/>
      <c r="AYG57" s="1"/>
      <c r="AYH57" s="1"/>
      <c r="AYI57" s="1"/>
      <c r="AYJ57" s="1"/>
      <c r="AYK57" s="1"/>
      <c r="AYL57" s="1"/>
      <c r="AYM57" s="1"/>
      <c r="AYN57" s="1"/>
      <c r="AYO57" s="1"/>
      <c r="AYP57" s="1"/>
      <c r="AYQ57" s="1"/>
      <c r="AYR57" s="1"/>
      <c r="AYS57" s="1"/>
      <c r="AYT57" s="1"/>
      <c r="AYU57" s="1"/>
      <c r="AYV57" s="1"/>
      <c r="AYW57" s="1"/>
      <c r="AYX57" s="1"/>
      <c r="AYY57" s="1"/>
      <c r="AYZ57" s="1"/>
      <c r="AZA57" s="1"/>
      <c r="AZB57" s="1"/>
      <c r="AZC57" s="1"/>
      <c r="AZD57" s="1"/>
      <c r="AZE57" s="1"/>
      <c r="AZF57" s="1"/>
      <c r="AZG57" s="1"/>
      <c r="AZH57" s="1"/>
      <c r="AZI57" s="1"/>
      <c r="AZJ57" s="1"/>
      <c r="AZK57" s="1"/>
      <c r="AZL57" s="1"/>
      <c r="AZM57" s="1"/>
      <c r="AZN57" s="1"/>
      <c r="AZO57" s="1"/>
      <c r="AZP57" s="1"/>
      <c r="AZQ57" s="1"/>
      <c r="AZR57" s="1"/>
      <c r="AZS57" s="1"/>
      <c r="AZT57" s="1"/>
      <c r="AZU57" s="1"/>
      <c r="AZV57" s="1"/>
      <c r="AZW57" s="1"/>
      <c r="AZX57" s="1"/>
      <c r="AZY57" s="1"/>
      <c r="AZZ57" s="1"/>
      <c r="BAA57" s="1"/>
      <c r="BAB57" s="1"/>
      <c r="BAC57" s="1"/>
      <c r="BAD57" s="1"/>
      <c r="BAE57" s="1"/>
      <c r="BAF57" s="1"/>
      <c r="BAG57" s="1"/>
      <c r="BAH57" s="1"/>
      <c r="BAI57" s="1"/>
      <c r="BAJ57" s="1"/>
      <c r="BAK57" s="1"/>
      <c r="BAL57" s="1"/>
      <c r="BAM57" s="1"/>
      <c r="BAN57" s="1"/>
      <c r="BAO57" s="1"/>
      <c r="BAP57" s="1"/>
      <c r="BAQ57" s="1"/>
      <c r="BAR57" s="1"/>
      <c r="BAS57" s="1"/>
      <c r="BAT57" s="1"/>
      <c r="BAU57" s="1"/>
      <c r="BAV57" s="1"/>
      <c r="BAW57" s="1"/>
      <c r="BAX57" s="1"/>
      <c r="BAY57" s="1"/>
      <c r="BAZ57" s="1"/>
      <c r="BBA57" s="1"/>
      <c r="BBB57" s="1"/>
      <c r="BBC57" s="1"/>
      <c r="BBD57" s="1"/>
      <c r="BBE57" s="1"/>
      <c r="BBF57" s="1"/>
      <c r="BBG57" s="1"/>
      <c r="BBH57" s="1"/>
      <c r="BBI57" s="1"/>
      <c r="BBJ57" s="1"/>
      <c r="BBK57" s="1"/>
      <c r="BBL57" s="1"/>
      <c r="BBM57" s="1"/>
      <c r="BBN57" s="1"/>
      <c r="BBO57" s="1"/>
      <c r="BBP57" s="1"/>
      <c r="BBQ57" s="1"/>
      <c r="BBR57" s="1"/>
      <c r="BBS57" s="1"/>
      <c r="BBT57" s="1"/>
      <c r="BBU57" s="1"/>
      <c r="BBV57" s="1"/>
      <c r="BBW57" s="1"/>
      <c r="BBX57" s="1"/>
      <c r="BBY57" s="1"/>
      <c r="BBZ57" s="1"/>
      <c r="BCA57" s="1"/>
      <c r="BCB57" s="1"/>
      <c r="BCC57" s="1"/>
      <c r="BCD57" s="1"/>
      <c r="BCE57" s="1"/>
      <c r="BCF57" s="1"/>
      <c r="BCG57" s="1"/>
      <c r="BCH57" s="1"/>
      <c r="BCI57" s="1"/>
      <c r="BCJ57" s="1"/>
      <c r="BCK57" s="1"/>
      <c r="BCL57" s="1"/>
      <c r="BCM57" s="1"/>
      <c r="BCN57" s="1"/>
      <c r="BCO57" s="1"/>
      <c r="BCP57" s="1"/>
      <c r="BCQ57" s="1"/>
      <c r="BCR57" s="1"/>
      <c r="BCS57" s="1"/>
      <c r="BCT57" s="1"/>
      <c r="BCU57" s="1"/>
      <c r="BCV57" s="1"/>
      <c r="BCW57" s="1"/>
      <c r="BCX57" s="1"/>
      <c r="BCY57" s="1"/>
      <c r="BCZ57" s="1"/>
      <c r="BDA57" s="1"/>
      <c r="BDB57" s="1"/>
      <c r="BDC57" s="1"/>
      <c r="BDD57" s="1"/>
      <c r="BDE57" s="1"/>
      <c r="BDF57" s="1"/>
      <c r="BDG57" s="1"/>
      <c r="BDH57" s="1"/>
      <c r="BDI57" s="1"/>
      <c r="BDJ57" s="1"/>
      <c r="BDK57" s="1"/>
      <c r="BDL57" s="1"/>
      <c r="BDM57" s="1"/>
      <c r="BDN57" s="1"/>
      <c r="BDO57" s="1"/>
      <c r="BDP57" s="1"/>
      <c r="BDQ57" s="1"/>
      <c r="BDR57" s="1"/>
      <c r="BDS57" s="1"/>
      <c r="BDT57" s="1"/>
      <c r="BDU57" s="1"/>
      <c r="BDV57" s="1"/>
      <c r="BDW57" s="1"/>
      <c r="BDX57" s="1"/>
      <c r="BDY57" s="1"/>
      <c r="BDZ57" s="1"/>
      <c r="BEA57" s="1"/>
      <c r="BEB57" s="1"/>
      <c r="BEC57" s="1"/>
      <c r="BED57" s="1"/>
      <c r="BEE57" s="1"/>
      <c r="BEF57" s="1"/>
      <c r="BEG57" s="1"/>
      <c r="BEH57" s="1"/>
      <c r="BEI57" s="1"/>
      <c r="BEJ57" s="1"/>
      <c r="BEK57" s="1"/>
      <c r="BEL57" s="1"/>
      <c r="BEM57" s="1"/>
      <c r="BEN57" s="1"/>
      <c r="BEO57" s="1"/>
      <c r="BEP57" s="1"/>
      <c r="BEQ57" s="1"/>
      <c r="BER57" s="1"/>
      <c r="BES57" s="1"/>
      <c r="BET57" s="1"/>
      <c r="BEU57" s="1"/>
      <c r="BEV57" s="1"/>
      <c r="BEW57" s="1"/>
      <c r="BEX57" s="1"/>
      <c r="BEY57" s="1"/>
      <c r="BEZ57" s="1"/>
      <c r="BFA57" s="1"/>
      <c r="BFB57" s="1"/>
      <c r="BFC57" s="1"/>
      <c r="BFD57" s="1"/>
      <c r="BFE57" s="1"/>
      <c r="BFF57" s="1"/>
      <c r="BFG57" s="1"/>
      <c r="BFH57" s="1"/>
      <c r="BFI57" s="1"/>
      <c r="BFJ57" s="1"/>
      <c r="BFK57" s="1"/>
      <c r="BFL57" s="1"/>
      <c r="BFM57" s="1"/>
      <c r="BFN57" s="1"/>
      <c r="BFO57" s="1"/>
      <c r="BFP57" s="1"/>
      <c r="BFQ57" s="1"/>
      <c r="BFR57" s="1"/>
      <c r="BFS57" s="1"/>
      <c r="BFT57" s="1"/>
      <c r="BFU57" s="1"/>
      <c r="BFV57" s="1"/>
      <c r="BFW57" s="1"/>
      <c r="BFX57" s="1"/>
      <c r="BFY57" s="1"/>
      <c r="BFZ57" s="1"/>
      <c r="BGA57" s="1"/>
      <c r="BGB57" s="1"/>
      <c r="BGC57" s="1"/>
      <c r="BGD57" s="1"/>
      <c r="BGE57" s="1"/>
      <c r="BGF57" s="1"/>
      <c r="BGG57" s="1"/>
      <c r="BGH57" s="1"/>
      <c r="BGI57" s="1"/>
      <c r="BGJ57" s="1"/>
      <c r="BGK57" s="1"/>
      <c r="BGL57" s="1"/>
      <c r="BGM57" s="1"/>
      <c r="BGN57" s="1"/>
      <c r="BGO57" s="1"/>
      <c r="BGP57" s="1"/>
      <c r="BGQ57" s="1"/>
      <c r="BGR57" s="1"/>
      <c r="BGS57" s="1"/>
      <c r="BGT57" s="1"/>
      <c r="BGU57" s="1"/>
      <c r="BGV57" s="1"/>
      <c r="BGW57" s="1"/>
      <c r="BGX57" s="1"/>
      <c r="BGY57" s="1"/>
      <c r="BGZ57" s="1"/>
      <c r="BHA57" s="1"/>
    </row>
    <row r="58" spans="1:1561" ht="30" customHeight="1" x14ac:dyDescent="0.2">
      <c r="A58" s="748"/>
      <c r="B58" s="737" t="s">
        <v>1074</v>
      </c>
      <c r="C58" s="772">
        <v>185000</v>
      </c>
      <c r="D58" s="772">
        <v>185000</v>
      </c>
      <c r="E58" s="968"/>
      <c r="F58" s="968"/>
      <c r="G58" s="2200"/>
      <c r="H58" s="2200"/>
      <c r="I58" s="2201"/>
    </row>
    <row r="59" spans="1:1561" ht="30" customHeight="1" x14ac:dyDescent="0.2">
      <c r="A59" s="748"/>
      <c r="B59" s="737" t="s">
        <v>1076</v>
      </c>
      <c r="C59" s="767">
        <v>7000</v>
      </c>
      <c r="D59" s="767">
        <v>7000</v>
      </c>
      <c r="E59" s="968"/>
      <c r="F59" s="968"/>
      <c r="G59" s="2200"/>
      <c r="H59" s="2200"/>
      <c r="I59" s="2201"/>
    </row>
    <row r="60" spans="1:1561" ht="30" customHeight="1" x14ac:dyDescent="0.2">
      <c r="A60" s="716" t="s">
        <v>2123</v>
      </c>
      <c r="B60" s="717" t="s">
        <v>2124</v>
      </c>
      <c r="C60" s="1688">
        <v>0</v>
      </c>
      <c r="D60" s="1688">
        <v>0</v>
      </c>
      <c r="E60" s="972"/>
      <c r="F60" s="2503"/>
      <c r="G60" s="1663"/>
      <c r="H60" s="1663"/>
      <c r="I60" s="1662"/>
    </row>
    <row r="61" spans="1:1561" ht="30" customHeight="1" x14ac:dyDescent="0.2">
      <c r="A61" s="736" t="s">
        <v>2125</v>
      </c>
      <c r="B61" s="717" t="s">
        <v>2126</v>
      </c>
      <c r="C61" s="1690">
        <v>0</v>
      </c>
      <c r="D61" s="1690">
        <v>0</v>
      </c>
      <c r="E61" s="746"/>
      <c r="F61" s="2211"/>
      <c r="G61" s="1663"/>
      <c r="H61" s="1663"/>
      <c r="I61" s="1662"/>
    </row>
    <row r="62" spans="1:1561" ht="30" customHeight="1" x14ac:dyDescent="0.2">
      <c r="A62" s="716" t="s">
        <v>2127</v>
      </c>
      <c r="B62" s="717" t="s">
        <v>2128</v>
      </c>
      <c r="C62" s="1666">
        <v>3200000</v>
      </c>
      <c r="D62" s="1666">
        <v>3200000</v>
      </c>
      <c r="E62" s="746"/>
      <c r="F62" s="2212"/>
      <c r="G62" s="1663"/>
      <c r="H62" s="1663"/>
      <c r="I62" s="1662"/>
    </row>
    <row r="63" spans="1:1561" ht="30" customHeight="1" x14ac:dyDescent="0.2">
      <c r="A63" s="736" t="s">
        <v>2129</v>
      </c>
      <c r="B63" s="717" t="s">
        <v>1084</v>
      </c>
      <c r="C63" s="746">
        <v>3700000</v>
      </c>
      <c r="D63" s="746">
        <v>3700000</v>
      </c>
      <c r="E63" s="746"/>
      <c r="F63" s="2213"/>
      <c r="G63" s="1663"/>
      <c r="H63" s="1663"/>
      <c r="I63" s="1662"/>
    </row>
    <row r="64" spans="1:1561" ht="30" customHeight="1" x14ac:dyDescent="0.2">
      <c r="A64" s="736" t="s">
        <v>2130</v>
      </c>
      <c r="B64" s="717" t="s">
        <v>1084</v>
      </c>
      <c r="C64" s="746">
        <v>1600000</v>
      </c>
      <c r="D64" s="746">
        <v>1600000</v>
      </c>
      <c r="E64" s="746"/>
      <c r="F64" s="2213"/>
      <c r="G64" s="1663"/>
      <c r="H64" s="1663"/>
      <c r="I64" s="1662"/>
    </row>
    <row r="65" spans="1:9" s="98" customFormat="1" ht="30" customHeight="1" x14ac:dyDescent="0.2">
      <c r="A65" s="716">
        <v>1511</v>
      </c>
      <c r="B65" s="717" t="s">
        <v>1087</v>
      </c>
      <c r="C65" s="734">
        <v>36541566</v>
      </c>
      <c r="D65" s="734">
        <v>36541566</v>
      </c>
      <c r="E65" s="783"/>
      <c r="F65" s="2213"/>
      <c r="G65" s="1663"/>
      <c r="H65" s="1663"/>
      <c r="I65" s="1662"/>
    </row>
    <row r="66" spans="1:9" s="98" customFormat="1" ht="30" customHeight="1" x14ac:dyDescent="0.2">
      <c r="A66" s="756"/>
      <c r="B66" s="757"/>
      <c r="C66" s="1694"/>
      <c r="D66" s="1694"/>
      <c r="E66" s="869"/>
      <c r="F66" s="2215"/>
      <c r="G66" s="2200"/>
      <c r="H66" s="2200"/>
      <c r="I66" s="1662"/>
    </row>
    <row r="67" spans="1:9" s="98" customFormat="1" ht="30" customHeight="1" x14ac:dyDescent="0.25">
      <c r="A67" s="591"/>
      <c r="B67" s="2217" t="s">
        <v>10</v>
      </c>
      <c r="C67" s="1696">
        <f>SUM(C68,C80:C83,C96:C97,C112:C112,C129:C132,C150:C151)</f>
        <v>172178289.50999999</v>
      </c>
      <c r="D67" s="1696">
        <f>SUM(D68,D80:D83,D96:D97,D112:D112,D129:D132,D150:D151)</f>
        <v>172674100.72</v>
      </c>
      <c r="E67" s="593"/>
      <c r="F67" s="2218"/>
      <c r="G67" s="1654"/>
      <c r="H67" s="1654"/>
      <c r="I67" s="1654"/>
    </row>
    <row r="68" spans="1:9" s="98" customFormat="1" ht="30" customHeight="1" x14ac:dyDescent="0.2">
      <c r="A68" s="1697">
        <v>2111</v>
      </c>
      <c r="B68" s="1698" t="s">
        <v>1088</v>
      </c>
      <c r="C68" s="1700">
        <f t="shared" ref="C68:D68" si="2">SUM(C69:C79)</f>
        <v>18422000</v>
      </c>
      <c r="D68" s="1700">
        <f t="shared" si="2"/>
        <v>18432000</v>
      </c>
      <c r="E68" s="844"/>
      <c r="F68" s="2220"/>
      <c r="G68" s="1663"/>
      <c r="H68" s="1663"/>
      <c r="I68" s="1662"/>
    </row>
    <row r="69" spans="1:9" s="98" customFormat="1" ht="30" customHeight="1" x14ac:dyDescent="0.2">
      <c r="A69" s="1697"/>
      <c r="B69" s="1701" t="s">
        <v>1089</v>
      </c>
      <c r="C69" s="1704">
        <v>0</v>
      </c>
      <c r="D69" s="1704">
        <v>0</v>
      </c>
      <c r="E69" s="767"/>
      <c r="F69" s="1703"/>
      <c r="G69" s="2200"/>
      <c r="H69" s="2200"/>
      <c r="I69" s="2201"/>
    </row>
    <row r="70" spans="1:9" ht="30" customHeight="1" x14ac:dyDescent="0.2">
      <c r="A70" s="1705"/>
      <c r="B70" s="776" t="s">
        <v>1090</v>
      </c>
      <c r="C70" s="1706">
        <v>800000</v>
      </c>
      <c r="D70" s="1706">
        <v>800000</v>
      </c>
      <c r="E70" s="767"/>
      <c r="F70" s="854"/>
      <c r="G70" s="2200"/>
      <c r="H70" s="2200"/>
      <c r="I70" s="2201"/>
    </row>
    <row r="71" spans="1:9" s="29" customFormat="1" ht="30" customHeight="1" x14ac:dyDescent="0.2">
      <c r="A71" s="1709"/>
      <c r="B71" s="1710" t="s">
        <v>1091</v>
      </c>
      <c r="C71" s="1711">
        <v>1340000</v>
      </c>
      <c r="D71" s="1711">
        <v>1340000</v>
      </c>
      <c r="E71" s="767"/>
      <c r="F71" s="854"/>
      <c r="G71" s="2200"/>
      <c r="H71" s="2200"/>
      <c r="I71" s="2201"/>
    </row>
    <row r="72" spans="1:9" ht="30" customHeight="1" x14ac:dyDescent="0.2">
      <c r="A72" s="1713"/>
      <c r="B72" s="776" t="s">
        <v>1092</v>
      </c>
      <c r="C72" s="1714">
        <v>0</v>
      </c>
      <c r="D72" s="1714">
        <v>10000</v>
      </c>
      <c r="E72" s="767"/>
      <c r="F72" s="1682"/>
      <c r="G72" s="2200"/>
      <c r="H72" s="2200"/>
      <c r="I72" s="2201"/>
    </row>
    <row r="73" spans="1:9" ht="30" customHeight="1" x14ac:dyDescent="0.2">
      <c r="A73" s="1713"/>
      <c r="B73" s="776" t="s">
        <v>1094</v>
      </c>
      <c r="C73" s="1893">
        <v>7120000</v>
      </c>
      <c r="D73" s="1893">
        <v>7120000</v>
      </c>
      <c r="E73" s="738"/>
      <c r="F73" s="1077"/>
      <c r="G73" s="2200"/>
      <c r="H73" s="2200"/>
      <c r="I73" s="2201"/>
    </row>
    <row r="74" spans="1:9" ht="30" customHeight="1" x14ac:dyDescent="0.2">
      <c r="A74" s="1713"/>
      <c r="B74" s="776" t="s">
        <v>1095</v>
      </c>
      <c r="C74" s="1893">
        <v>1961000</v>
      </c>
      <c r="D74" s="1893">
        <v>1961000</v>
      </c>
      <c r="E74" s="738"/>
      <c r="F74" s="1077"/>
      <c r="G74" s="2200"/>
      <c r="H74" s="2200"/>
      <c r="I74" s="2201"/>
    </row>
    <row r="75" spans="1:9" ht="30" customHeight="1" x14ac:dyDescent="0.2">
      <c r="A75" s="1713"/>
      <c r="B75" s="776" t="s">
        <v>1096</v>
      </c>
      <c r="C75" s="1893">
        <v>2940000</v>
      </c>
      <c r="D75" s="1893">
        <v>2940000</v>
      </c>
      <c r="E75" s="738"/>
      <c r="F75" s="1077"/>
      <c r="G75" s="2200"/>
      <c r="H75" s="2200"/>
      <c r="I75" s="2201"/>
    </row>
    <row r="76" spans="1:9" ht="30" customHeight="1" x14ac:dyDescent="0.2">
      <c r="A76" s="1713"/>
      <c r="B76" s="776" t="s">
        <v>1171</v>
      </c>
      <c r="C76" s="1893">
        <v>0</v>
      </c>
      <c r="D76" s="1893">
        <v>0</v>
      </c>
      <c r="E76" s="738"/>
      <c r="F76" s="1077"/>
      <c r="G76" s="2200"/>
      <c r="H76" s="2200"/>
      <c r="I76" s="2201"/>
    </row>
    <row r="77" spans="1:9" ht="30" customHeight="1" x14ac:dyDescent="0.2">
      <c r="A77" s="1713"/>
      <c r="B77" s="776" t="s">
        <v>1097</v>
      </c>
      <c r="C77" s="1893">
        <v>4200000</v>
      </c>
      <c r="D77" s="1893">
        <v>4200000</v>
      </c>
      <c r="E77" s="738"/>
      <c r="F77" s="1077"/>
      <c r="G77" s="2200"/>
      <c r="H77" s="2200"/>
      <c r="I77" s="2201"/>
    </row>
    <row r="78" spans="1:9" ht="30" customHeight="1" x14ac:dyDescent="0.2">
      <c r="A78" s="1713"/>
      <c r="B78" s="776" t="s">
        <v>1098</v>
      </c>
      <c r="C78" s="2224">
        <v>60000</v>
      </c>
      <c r="D78" s="2224">
        <v>60000</v>
      </c>
      <c r="E78" s="738"/>
      <c r="F78" s="1077"/>
      <c r="G78" s="2200"/>
      <c r="H78" s="2200"/>
      <c r="I78" s="2201"/>
    </row>
    <row r="79" spans="1:9" ht="30" customHeight="1" x14ac:dyDescent="0.2">
      <c r="A79" s="1713"/>
      <c r="B79" s="776" t="s">
        <v>1099</v>
      </c>
      <c r="C79" s="2225">
        <v>1000</v>
      </c>
      <c r="D79" s="2225">
        <v>1000</v>
      </c>
      <c r="E79" s="738"/>
      <c r="F79" s="742"/>
      <c r="G79" s="2200"/>
      <c r="H79" s="2200"/>
      <c r="I79" s="2201"/>
    </row>
    <row r="80" spans="1:9" s="98" customFormat="1" ht="30" customHeight="1" x14ac:dyDescent="0.2">
      <c r="A80" s="1705">
        <v>2119</v>
      </c>
      <c r="B80" s="2226" t="s">
        <v>2131</v>
      </c>
      <c r="C80" s="2227">
        <v>1500000</v>
      </c>
      <c r="D80" s="2227">
        <v>1500000</v>
      </c>
      <c r="E80" s="726"/>
      <c r="F80" s="750"/>
      <c r="G80" s="1663"/>
      <c r="H80" s="1663"/>
      <c r="I80" s="1662"/>
    </row>
    <row r="81" spans="1:9" s="98" customFormat="1" ht="30" customHeight="1" x14ac:dyDescent="0.2">
      <c r="A81" s="1705">
        <v>2122</v>
      </c>
      <c r="B81" s="771" t="s">
        <v>2132</v>
      </c>
      <c r="C81" s="2228">
        <v>4810518</v>
      </c>
      <c r="D81" s="2228">
        <f>4810518+99036+145092-10990+(545328.75+160990)+25671.25</f>
        <v>5775646</v>
      </c>
      <c r="E81" s="2229"/>
      <c r="F81" s="2230"/>
      <c r="G81" s="1663"/>
      <c r="H81" s="1663"/>
      <c r="I81" s="1662"/>
    </row>
    <row r="82" spans="1:9" s="98" customFormat="1" ht="30" customHeight="1" x14ac:dyDescent="0.2">
      <c r="A82" s="1705">
        <v>2131</v>
      </c>
      <c r="B82" s="2226" t="s">
        <v>1102</v>
      </c>
      <c r="C82" s="2227">
        <v>1000000</v>
      </c>
      <c r="D82" s="2227">
        <v>1000000</v>
      </c>
      <c r="E82" s="726"/>
      <c r="F82" s="750"/>
      <c r="G82" s="1663"/>
      <c r="H82" s="1663"/>
      <c r="I82" s="1662"/>
    </row>
    <row r="83" spans="1:9" s="98" customFormat="1" ht="30" customHeight="1" x14ac:dyDescent="0.2">
      <c r="A83" s="1705">
        <v>2132</v>
      </c>
      <c r="B83" s="771" t="s">
        <v>2133</v>
      </c>
      <c r="C83" s="755">
        <f t="shared" ref="C83:D83" si="3">SUM(C84:C95)</f>
        <v>109394000</v>
      </c>
      <c r="D83" s="755">
        <f t="shared" si="3"/>
        <v>109394000</v>
      </c>
      <c r="E83" s="726"/>
      <c r="F83" s="750"/>
      <c r="G83" s="1663"/>
      <c r="H83" s="1663"/>
      <c r="I83" s="1662"/>
    </row>
    <row r="84" spans="1:9" ht="30" customHeight="1" x14ac:dyDescent="0.2">
      <c r="A84" s="1713"/>
      <c r="B84" s="776" t="s">
        <v>1104</v>
      </c>
      <c r="C84" s="2231">
        <v>810000</v>
      </c>
      <c r="D84" s="2231">
        <v>810000</v>
      </c>
      <c r="E84" s="750"/>
      <c r="F84" s="750"/>
      <c r="G84" s="2200"/>
      <c r="H84" s="2200"/>
      <c r="I84" s="2201"/>
    </row>
    <row r="85" spans="1:9" ht="30" customHeight="1" x14ac:dyDescent="0.2">
      <c r="A85" s="1713"/>
      <c r="B85" s="776" t="s">
        <v>1105</v>
      </c>
      <c r="C85" s="1702">
        <v>7000</v>
      </c>
      <c r="D85" s="1702">
        <v>7000</v>
      </c>
      <c r="E85" s="750"/>
      <c r="F85" s="750"/>
      <c r="G85" s="2200"/>
      <c r="H85" s="2200"/>
      <c r="I85" s="2201"/>
    </row>
    <row r="86" spans="1:9" ht="30" customHeight="1" x14ac:dyDescent="0.2">
      <c r="A86" s="1713"/>
      <c r="B86" s="776" t="s">
        <v>1106</v>
      </c>
      <c r="C86" s="1702">
        <v>600000</v>
      </c>
      <c r="D86" s="1702">
        <v>600000</v>
      </c>
      <c r="E86" s="750"/>
      <c r="F86" s="750"/>
      <c r="G86" s="2200"/>
      <c r="H86" s="2200"/>
      <c r="I86" s="2201"/>
    </row>
    <row r="87" spans="1:9" ht="30" customHeight="1" x14ac:dyDescent="0.2">
      <c r="A87" s="1713"/>
      <c r="B87" s="776" t="s">
        <v>1107</v>
      </c>
      <c r="C87" s="1893">
        <v>350000</v>
      </c>
      <c r="D87" s="1893">
        <v>350000</v>
      </c>
      <c r="E87" s="738"/>
      <c r="F87" s="1045"/>
      <c r="G87" s="2200"/>
      <c r="H87" s="2200"/>
      <c r="I87" s="2201"/>
    </row>
    <row r="88" spans="1:9" ht="30" customHeight="1" x14ac:dyDescent="0.2">
      <c r="A88" s="1713"/>
      <c r="B88" s="2232" t="s">
        <v>1108</v>
      </c>
      <c r="C88" s="1893">
        <v>77480000</v>
      </c>
      <c r="D88" s="1893">
        <v>77480000</v>
      </c>
      <c r="E88" s="738"/>
      <c r="F88" s="1077"/>
      <c r="G88" s="2200"/>
      <c r="H88" s="2200"/>
      <c r="I88" s="2201"/>
    </row>
    <row r="89" spans="1:9" ht="30" customHeight="1" x14ac:dyDescent="0.2">
      <c r="A89" s="1713"/>
      <c r="B89" s="2232" t="s">
        <v>1109</v>
      </c>
      <c r="C89" s="2225">
        <v>121000</v>
      </c>
      <c r="D89" s="2225">
        <v>121000</v>
      </c>
      <c r="E89" s="738"/>
      <c r="F89" s="742"/>
      <c r="G89" s="2200"/>
      <c r="H89" s="2200"/>
      <c r="I89" s="2201"/>
    </row>
    <row r="90" spans="1:9" ht="30" customHeight="1" x14ac:dyDescent="0.2">
      <c r="A90" s="1713"/>
      <c r="B90" s="776" t="s">
        <v>2134</v>
      </c>
      <c r="C90" s="2231">
        <v>0</v>
      </c>
      <c r="D90" s="2231">
        <v>0</v>
      </c>
      <c r="E90" s="750"/>
      <c r="F90" s="750"/>
      <c r="G90" s="2200"/>
      <c r="H90" s="2200"/>
      <c r="I90" s="2201"/>
    </row>
    <row r="91" spans="1:9" ht="30" customHeight="1" x14ac:dyDescent="0.2">
      <c r="A91" s="1713"/>
      <c r="B91" s="2233" t="s">
        <v>2135</v>
      </c>
      <c r="C91" s="2234">
        <v>17481000</v>
      </c>
      <c r="D91" s="2234">
        <v>17481000</v>
      </c>
      <c r="E91" s="738"/>
      <c r="F91" s="2235"/>
      <c r="G91" s="2200"/>
      <c r="H91" s="2200"/>
      <c r="I91" s="2201"/>
    </row>
    <row r="92" spans="1:9" ht="30" customHeight="1" x14ac:dyDescent="0.2">
      <c r="A92" s="1713"/>
      <c r="B92" s="776" t="s">
        <v>1112</v>
      </c>
      <c r="C92" s="1893">
        <v>12000000</v>
      </c>
      <c r="D92" s="1893">
        <v>12000000</v>
      </c>
      <c r="E92" s="738"/>
      <c r="F92" s="1946"/>
      <c r="G92" s="2200"/>
      <c r="H92" s="2200"/>
      <c r="I92" s="2201"/>
    </row>
    <row r="93" spans="1:9" ht="30" customHeight="1" x14ac:dyDescent="0.2">
      <c r="A93" s="1713"/>
      <c r="B93" s="776" t="s">
        <v>2136</v>
      </c>
      <c r="C93" s="2224">
        <v>500000</v>
      </c>
      <c r="D93" s="2224">
        <v>500000</v>
      </c>
      <c r="E93" s="738"/>
      <c r="F93" s="1946"/>
      <c r="G93" s="2200"/>
      <c r="H93" s="2200"/>
      <c r="I93" s="2201"/>
    </row>
    <row r="94" spans="1:9" ht="30" customHeight="1" x14ac:dyDescent="0.2">
      <c r="A94" s="1713"/>
      <c r="B94" s="776" t="s">
        <v>1113</v>
      </c>
      <c r="C94" s="2224">
        <v>20000</v>
      </c>
      <c r="D94" s="2224">
        <v>20000</v>
      </c>
      <c r="E94" s="738"/>
      <c r="F94" s="740"/>
      <c r="G94" s="2200"/>
      <c r="H94" s="2200"/>
      <c r="I94" s="2201"/>
    </row>
    <row r="95" spans="1:9" ht="30" customHeight="1" x14ac:dyDescent="0.2">
      <c r="A95" s="1727"/>
      <c r="B95" s="790" t="s">
        <v>2137</v>
      </c>
      <c r="C95" s="1717">
        <v>25000</v>
      </c>
      <c r="D95" s="1717">
        <v>25000</v>
      </c>
      <c r="E95" s="767"/>
      <c r="F95" s="1681"/>
      <c r="G95" s="2200"/>
      <c r="H95" s="2200"/>
      <c r="I95" s="2201"/>
    </row>
    <row r="96" spans="1:9" s="98" customFormat="1" ht="30" customHeight="1" x14ac:dyDescent="0.2">
      <c r="A96" s="1718">
        <v>2141</v>
      </c>
      <c r="B96" s="791" t="s">
        <v>118</v>
      </c>
      <c r="C96" s="1689">
        <v>2000000</v>
      </c>
      <c r="D96" s="1689">
        <v>2000000</v>
      </c>
      <c r="E96" s="746"/>
      <c r="F96" s="1681"/>
      <c r="G96" s="1663"/>
      <c r="H96" s="1663"/>
      <c r="I96" s="1662"/>
    </row>
    <row r="97" spans="1:9" s="98" customFormat="1" ht="30" customHeight="1" x14ac:dyDescent="0.2">
      <c r="A97" s="1718">
        <v>2212</v>
      </c>
      <c r="B97" s="791" t="s">
        <v>2138</v>
      </c>
      <c r="C97" s="783">
        <f>SUM(C98:C111)</f>
        <v>18832000</v>
      </c>
      <c r="D97" s="783">
        <f>SUM(D98:D111)</f>
        <v>18842000</v>
      </c>
      <c r="E97" s="734"/>
      <c r="F97" s="772"/>
      <c r="G97" s="1663"/>
      <c r="H97" s="1663"/>
      <c r="I97" s="1662"/>
    </row>
    <row r="98" spans="1:9" ht="30" customHeight="1" x14ac:dyDescent="0.2">
      <c r="A98" s="1740"/>
      <c r="B98" s="790" t="s">
        <v>1117</v>
      </c>
      <c r="C98" s="1711">
        <v>20000</v>
      </c>
      <c r="D98" s="1711">
        <v>20000</v>
      </c>
      <c r="E98" s="767"/>
      <c r="F98" s="1681"/>
      <c r="G98" s="2200"/>
      <c r="H98" s="2200"/>
      <c r="I98" s="2201"/>
    </row>
    <row r="99" spans="1:9" ht="30" customHeight="1" x14ac:dyDescent="0.2">
      <c r="A99" s="1713"/>
      <c r="B99" s="776" t="s">
        <v>121</v>
      </c>
      <c r="C99" s="2225">
        <v>50000</v>
      </c>
      <c r="D99" s="2225">
        <v>50000</v>
      </c>
      <c r="E99" s="738"/>
      <c r="F99" s="742"/>
      <c r="G99" s="2200"/>
      <c r="H99" s="2200"/>
      <c r="I99" s="2201"/>
    </row>
    <row r="100" spans="1:9" ht="30" customHeight="1" x14ac:dyDescent="0.2">
      <c r="A100" s="1713"/>
      <c r="B100" s="776" t="s">
        <v>2605</v>
      </c>
      <c r="C100" s="2239">
        <v>0</v>
      </c>
      <c r="D100" s="2239">
        <v>10000</v>
      </c>
      <c r="E100" s="1316"/>
      <c r="F100" s="1316"/>
      <c r="G100" s="2200"/>
      <c r="H100" s="2200"/>
      <c r="I100" s="2201"/>
    </row>
    <row r="101" spans="1:9" ht="30" customHeight="1" x14ac:dyDescent="0.2">
      <c r="A101" s="1713"/>
      <c r="B101" s="776" t="s">
        <v>1119</v>
      </c>
      <c r="C101" s="2240">
        <v>2500000</v>
      </c>
      <c r="D101" s="2240">
        <v>2500000</v>
      </c>
      <c r="E101" s="2241"/>
      <c r="F101" s="2150"/>
      <c r="G101" s="2200"/>
      <c r="H101" s="2200"/>
      <c r="I101" s="2201"/>
    </row>
    <row r="102" spans="1:9" ht="30" customHeight="1" x14ac:dyDescent="0.2">
      <c r="A102" s="1727"/>
      <c r="B102" s="790" t="s">
        <v>2140</v>
      </c>
      <c r="C102" s="1711">
        <v>15000000</v>
      </c>
      <c r="D102" s="1711">
        <v>15000000</v>
      </c>
      <c r="E102" s="793"/>
      <c r="F102" s="1681"/>
      <c r="G102" s="2200"/>
      <c r="H102" s="2200"/>
      <c r="I102" s="2201"/>
    </row>
    <row r="103" spans="1:9" ht="30" customHeight="1" x14ac:dyDescent="0.2">
      <c r="A103" s="1713"/>
      <c r="B103" s="1034" t="s">
        <v>1121</v>
      </c>
      <c r="C103" s="1893">
        <v>150000</v>
      </c>
      <c r="D103" s="1893">
        <v>150000</v>
      </c>
      <c r="E103" s="2241"/>
      <c r="F103" s="740"/>
      <c r="G103" s="2200"/>
      <c r="H103" s="2200"/>
      <c r="I103" s="2201"/>
    </row>
    <row r="104" spans="1:9" ht="30" customHeight="1" x14ac:dyDescent="0.2">
      <c r="A104" s="1713"/>
      <c r="B104" s="776" t="s">
        <v>2141</v>
      </c>
      <c r="C104" s="1893">
        <v>0</v>
      </c>
      <c r="D104" s="1893">
        <v>0</v>
      </c>
      <c r="E104" s="738"/>
      <c r="F104" s="740"/>
      <c r="G104" s="2200"/>
      <c r="H104" s="2200"/>
      <c r="I104" s="2201"/>
    </row>
    <row r="105" spans="1:9" ht="30" customHeight="1" x14ac:dyDescent="0.2">
      <c r="A105" s="1713"/>
      <c r="B105" s="776" t="s">
        <v>1122</v>
      </c>
      <c r="C105" s="1893">
        <v>50000</v>
      </c>
      <c r="D105" s="1893">
        <v>50000</v>
      </c>
      <c r="E105" s="738"/>
      <c r="F105" s="740"/>
      <c r="G105" s="2200"/>
      <c r="H105" s="2200"/>
      <c r="I105" s="2201"/>
    </row>
    <row r="106" spans="1:9" ht="30" customHeight="1" x14ac:dyDescent="0.2">
      <c r="A106" s="1713"/>
      <c r="B106" s="776" t="s">
        <v>1123</v>
      </c>
      <c r="C106" s="1893">
        <v>50000</v>
      </c>
      <c r="D106" s="1893">
        <v>50000</v>
      </c>
      <c r="E106" s="738"/>
      <c r="F106" s="740"/>
      <c r="G106" s="2200"/>
      <c r="H106" s="2200"/>
      <c r="I106" s="2201"/>
    </row>
    <row r="107" spans="1:9" ht="30" customHeight="1" x14ac:dyDescent="0.2">
      <c r="A107" s="1713"/>
      <c r="B107" s="776" t="s">
        <v>126</v>
      </c>
      <c r="C107" s="1893">
        <v>0</v>
      </c>
      <c r="D107" s="1893">
        <v>0</v>
      </c>
      <c r="E107" s="738"/>
      <c r="F107" s="740"/>
      <c r="G107" s="2200"/>
      <c r="H107" s="2200"/>
      <c r="I107" s="2201"/>
    </row>
    <row r="108" spans="1:9" ht="30" customHeight="1" x14ac:dyDescent="0.2">
      <c r="A108" s="1713"/>
      <c r="B108" s="776" t="s">
        <v>1124</v>
      </c>
      <c r="C108" s="1893">
        <v>650000</v>
      </c>
      <c r="D108" s="1893">
        <v>650000</v>
      </c>
      <c r="E108" s="738"/>
      <c r="F108" s="740"/>
      <c r="G108" s="2200"/>
      <c r="H108" s="2200"/>
      <c r="I108" s="2201"/>
    </row>
    <row r="109" spans="1:9" ht="30" customHeight="1" x14ac:dyDescent="0.2">
      <c r="A109" s="1713"/>
      <c r="B109" s="776" t="s">
        <v>1125</v>
      </c>
      <c r="C109" s="2225">
        <v>350000</v>
      </c>
      <c r="D109" s="2225">
        <v>350000</v>
      </c>
      <c r="E109" s="738"/>
      <c r="F109" s="742"/>
      <c r="G109" s="2200"/>
      <c r="H109" s="2200"/>
      <c r="I109" s="2201"/>
    </row>
    <row r="110" spans="1:9" ht="30" customHeight="1" x14ac:dyDescent="0.2">
      <c r="A110" s="2504"/>
      <c r="B110" s="776" t="s">
        <v>2142</v>
      </c>
      <c r="C110" s="1448">
        <v>12000</v>
      </c>
      <c r="D110" s="1448">
        <v>12000</v>
      </c>
      <c r="E110" s="750"/>
      <c r="F110" s="750"/>
      <c r="G110" s="2200"/>
      <c r="H110" s="2200"/>
      <c r="I110" s="2201"/>
    </row>
    <row r="111" spans="1:9" ht="30" customHeight="1" x14ac:dyDescent="0.2">
      <c r="A111" s="2504"/>
      <c r="B111" s="776" t="s">
        <v>2143</v>
      </c>
      <c r="C111" s="1702">
        <v>0</v>
      </c>
      <c r="D111" s="1702">
        <v>0</v>
      </c>
      <c r="E111" s="738"/>
      <c r="F111" s="738"/>
      <c r="G111" s="2200"/>
      <c r="H111" s="2200"/>
      <c r="I111" s="2201"/>
    </row>
    <row r="112" spans="1:9" ht="30" customHeight="1" x14ac:dyDescent="0.2">
      <c r="A112" s="1705">
        <v>2229</v>
      </c>
      <c r="B112" s="771" t="s">
        <v>2144</v>
      </c>
      <c r="C112" s="755">
        <f>SUM(C113:C123)</f>
        <v>0</v>
      </c>
      <c r="D112" s="755">
        <f>SUM(D113:D129)</f>
        <v>4955496.21</v>
      </c>
      <c r="E112" s="726"/>
      <c r="F112" s="1710"/>
      <c r="G112" s="1663"/>
      <c r="H112" s="1663"/>
      <c r="I112" s="1662"/>
    </row>
    <row r="113" spans="1:9" s="2" customFormat="1" ht="30" customHeight="1" x14ac:dyDescent="0.2">
      <c r="A113" s="2505"/>
      <c r="B113" s="1034" t="s">
        <v>2609</v>
      </c>
      <c r="C113" s="2244">
        <v>0</v>
      </c>
      <c r="D113" s="2244">
        <v>700000</v>
      </c>
      <c r="E113" s="738"/>
      <c r="F113" s="738"/>
      <c r="G113" s="2200"/>
      <c r="H113" s="2200"/>
      <c r="I113" s="2201"/>
    </row>
    <row r="114" spans="1:9" s="2" customFormat="1" ht="30" customHeight="1" x14ac:dyDescent="0.2">
      <c r="A114" s="2505"/>
      <c r="B114" s="1034" t="s">
        <v>2610</v>
      </c>
      <c r="C114" s="2245">
        <v>0</v>
      </c>
      <c r="D114" s="2245">
        <v>463363</v>
      </c>
      <c r="E114" s="738"/>
      <c r="F114" s="738"/>
      <c r="G114" s="2200"/>
      <c r="H114" s="2200"/>
      <c r="I114" s="2201"/>
    </row>
    <row r="115" spans="1:9" ht="30" customHeight="1" x14ac:dyDescent="0.2">
      <c r="A115" s="1713"/>
      <c r="B115" s="776" t="s">
        <v>2611</v>
      </c>
      <c r="C115" s="1893">
        <v>0</v>
      </c>
      <c r="D115" s="1893">
        <f>62538.16</f>
        <v>62538.16</v>
      </c>
      <c r="E115" s="738"/>
      <c r="F115" s="738"/>
      <c r="G115" s="2200"/>
      <c r="H115" s="2200"/>
      <c r="I115" s="2201"/>
    </row>
    <row r="116" spans="1:9" ht="30" customHeight="1" x14ac:dyDescent="0.2">
      <c r="A116" s="1713"/>
      <c r="B116" s="776" t="s">
        <v>2612</v>
      </c>
      <c r="C116" s="1893">
        <v>0</v>
      </c>
      <c r="D116" s="1893">
        <v>129480.7</v>
      </c>
      <c r="E116" s="738"/>
      <c r="F116" s="738"/>
      <c r="G116" s="2200"/>
      <c r="H116" s="2200"/>
      <c r="I116" s="2201"/>
    </row>
    <row r="117" spans="1:9" ht="30" customHeight="1" x14ac:dyDescent="0.2">
      <c r="A117" s="1713"/>
      <c r="B117" s="776" t="s">
        <v>2613</v>
      </c>
      <c r="C117" s="2224">
        <v>0</v>
      </c>
      <c r="D117" s="2224">
        <v>169544.53</v>
      </c>
      <c r="E117" s="738"/>
      <c r="F117" s="738"/>
      <c r="G117" s="2200"/>
      <c r="H117" s="2200"/>
      <c r="I117" s="2201"/>
    </row>
    <row r="118" spans="1:9" ht="30" customHeight="1" x14ac:dyDescent="0.2">
      <c r="A118" s="1713"/>
      <c r="B118" s="776" t="s">
        <v>2614</v>
      </c>
      <c r="C118" s="2224">
        <v>0</v>
      </c>
      <c r="D118" s="2224">
        <v>70270.33</v>
      </c>
      <c r="E118" s="738"/>
      <c r="F118" s="738"/>
      <c r="G118" s="2200"/>
      <c r="H118" s="2200"/>
      <c r="I118" s="2201"/>
    </row>
    <row r="119" spans="1:9" ht="30" customHeight="1" x14ac:dyDescent="0.2">
      <c r="A119" s="1713"/>
      <c r="B119" s="776" t="s">
        <v>2615</v>
      </c>
      <c r="C119" s="2224">
        <v>0</v>
      </c>
      <c r="D119" s="2224">
        <v>2743942.28</v>
      </c>
      <c r="E119" s="738"/>
      <c r="F119" s="738"/>
      <c r="G119" s="2200"/>
      <c r="H119" s="2200"/>
      <c r="I119" s="2201"/>
    </row>
    <row r="120" spans="1:9" ht="30" customHeight="1" x14ac:dyDescent="0.2">
      <c r="A120" s="1713"/>
      <c r="B120" s="776" t="s">
        <v>2151</v>
      </c>
      <c r="C120" s="2224">
        <v>0</v>
      </c>
      <c r="D120" s="2224">
        <v>0</v>
      </c>
      <c r="E120" s="738"/>
      <c r="F120" s="1946"/>
      <c r="G120" s="2200"/>
      <c r="H120" s="2200"/>
      <c r="I120" s="2201"/>
    </row>
    <row r="121" spans="1:9" ht="30" customHeight="1" x14ac:dyDescent="0.2">
      <c r="A121" s="1713"/>
      <c r="B121" s="776" t="s">
        <v>2616</v>
      </c>
      <c r="C121" s="2224">
        <v>0</v>
      </c>
      <c r="D121" s="2224">
        <f>(37912.8+6500+455819.41)</f>
        <v>500232.20999999996</v>
      </c>
      <c r="E121" s="738"/>
      <c r="F121" s="1946"/>
      <c r="G121" s="2200"/>
      <c r="H121" s="2200"/>
      <c r="I121" s="2201"/>
    </row>
    <row r="122" spans="1:9" ht="30" customHeight="1" x14ac:dyDescent="0.2">
      <c r="A122" s="1713"/>
      <c r="B122" s="776" t="s">
        <v>2617</v>
      </c>
      <c r="C122" s="2224">
        <v>0</v>
      </c>
      <c r="D122" s="2224">
        <f>23725+4745+40000+30000+10000</f>
        <v>108470</v>
      </c>
      <c r="E122" s="738"/>
      <c r="F122" s="1946"/>
      <c r="G122" s="2200"/>
      <c r="H122" s="2200"/>
      <c r="I122" s="2201"/>
    </row>
    <row r="123" spans="1:9" s="2" customFormat="1" ht="30" customHeight="1" x14ac:dyDescent="0.2">
      <c r="A123" s="2505"/>
      <c r="B123" s="2246" t="s">
        <v>2153</v>
      </c>
      <c r="C123" s="2247">
        <v>0</v>
      </c>
      <c r="D123" s="2247">
        <v>0</v>
      </c>
      <c r="E123" s="1040"/>
      <c r="F123" s="1077"/>
      <c r="G123" s="2200"/>
      <c r="H123" s="2200"/>
      <c r="I123" s="2201"/>
    </row>
    <row r="124" spans="1:9" s="2" customFormat="1" ht="30" customHeight="1" x14ac:dyDescent="0.2">
      <c r="A124" s="2505"/>
      <c r="B124" s="1751" t="s">
        <v>2619</v>
      </c>
      <c r="C124" s="2248">
        <v>0</v>
      </c>
      <c r="D124" s="2248">
        <f>(913.14+3011.86)</f>
        <v>3925</v>
      </c>
      <c r="E124" s="2248"/>
      <c r="F124" s="2248"/>
      <c r="G124" s="2200"/>
      <c r="H124" s="2200"/>
      <c r="I124" s="2201"/>
    </row>
    <row r="125" spans="1:9" s="2" customFormat="1" ht="30" customHeight="1" x14ac:dyDescent="0.2">
      <c r="A125" s="2505"/>
      <c r="B125" s="1751" t="s">
        <v>2154</v>
      </c>
      <c r="C125" s="2248">
        <v>0</v>
      </c>
      <c r="D125" s="2248">
        <v>0</v>
      </c>
      <c r="E125" s="2248"/>
      <c r="F125" s="2248"/>
      <c r="G125" s="2200"/>
      <c r="H125" s="2200"/>
      <c r="I125" s="2201"/>
    </row>
    <row r="126" spans="1:9" s="2" customFormat="1" ht="30" customHeight="1" x14ac:dyDescent="0.2">
      <c r="A126" s="2505"/>
      <c r="B126" s="1751" t="s">
        <v>2155</v>
      </c>
      <c r="C126" s="2248">
        <v>0</v>
      </c>
      <c r="D126" s="2248">
        <v>0</v>
      </c>
      <c r="E126" s="2248"/>
      <c r="F126" s="2249"/>
      <c r="G126" s="2200"/>
      <c r="H126" s="2200"/>
      <c r="I126" s="2201"/>
    </row>
    <row r="127" spans="1:9" s="2" customFormat="1" ht="30" customHeight="1" x14ac:dyDescent="0.2">
      <c r="A127" s="2505"/>
      <c r="B127" s="1751" t="s">
        <v>2156</v>
      </c>
      <c r="C127" s="2248">
        <v>0</v>
      </c>
      <c r="D127" s="2248">
        <v>0</v>
      </c>
      <c r="E127" s="2248"/>
      <c r="F127" s="2249"/>
      <c r="G127" s="2200"/>
      <c r="H127" s="2200"/>
      <c r="I127" s="2201"/>
    </row>
    <row r="128" spans="1:9" s="2" customFormat="1" ht="30" customHeight="1" x14ac:dyDescent="0.2">
      <c r="A128" s="2505"/>
      <c r="B128" s="1751" t="s">
        <v>2620</v>
      </c>
      <c r="C128" s="2248">
        <v>0</v>
      </c>
      <c r="D128" s="2248">
        <v>3730</v>
      </c>
      <c r="E128" s="2248"/>
      <c r="F128" s="2249"/>
      <c r="G128" s="2200"/>
      <c r="H128" s="2200"/>
      <c r="I128" s="2201"/>
    </row>
    <row r="129" spans="1:10" ht="30" customHeight="1" x14ac:dyDescent="0.2">
      <c r="A129" s="1705">
        <v>2310</v>
      </c>
      <c r="B129" s="1701" t="s">
        <v>2157</v>
      </c>
      <c r="C129" s="2224">
        <v>0</v>
      </c>
      <c r="D129" s="2224">
        <v>0</v>
      </c>
      <c r="E129" s="2251"/>
      <c r="F129" s="1946"/>
      <c r="G129" s="2200"/>
      <c r="H129" s="2200"/>
      <c r="I129" s="2201"/>
    </row>
    <row r="130" spans="1:10" ht="30" customHeight="1" x14ac:dyDescent="0.2">
      <c r="A130" s="1705">
        <v>2321</v>
      </c>
      <c r="B130" s="771" t="s">
        <v>2158</v>
      </c>
      <c r="C130" s="2250">
        <v>100000</v>
      </c>
      <c r="D130" s="2250">
        <v>100000</v>
      </c>
      <c r="E130" s="2251"/>
      <c r="F130" s="2252"/>
      <c r="G130" s="1663"/>
      <c r="H130" s="1663"/>
      <c r="I130" s="1662"/>
    </row>
    <row r="131" spans="1:10" ht="30" customHeight="1" x14ac:dyDescent="0.2">
      <c r="A131" s="1705">
        <v>2322</v>
      </c>
      <c r="B131" s="771" t="s">
        <v>2159</v>
      </c>
      <c r="C131" s="2228">
        <f>50000+50000</f>
        <v>100000</v>
      </c>
      <c r="D131" s="2228">
        <f>(50000+50000)+240187</f>
        <v>340187</v>
      </c>
      <c r="E131" s="731"/>
      <c r="F131" s="1234"/>
      <c r="G131" s="1663"/>
      <c r="H131" s="1663"/>
      <c r="I131" s="1662"/>
    </row>
    <row r="132" spans="1:10" s="98" customFormat="1" ht="30" customHeight="1" x14ac:dyDescent="0.2">
      <c r="A132" s="1705">
        <v>2324</v>
      </c>
      <c r="B132" s="771" t="s">
        <v>2160</v>
      </c>
      <c r="C132" s="755">
        <f t="shared" ref="C132:D132" si="4">SUM(C133:C149)</f>
        <v>3572000</v>
      </c>
      <c r="D132" s="755">
        <f t="shared" si="4"/>
        <v>3587000</v>
      </c>
      <c r="E132" s="726"/>
      <c r="F132" s="750"/>
      <c r="G132" s="1663"/>
      <c r="H132" s="1663"/>
      <c r="I132" s="1662"/>
    </row>
    <row r="133" spans="1:10" s="98" customFormat="1" ht="30" customHeight="1" x14ac:dyDescent="0.2">
      <c r="A133" s="2506"/>
      <c r="B133" s="1034" t="s">
        <v>1146</v>
      </c>
      <c r="C133" s="2247">
        <v>12000</v>
      </c>
      <c r="D133" s="2247">
        <v>12000</v>
      </c>
      <c r="E133" s="738"/>
      <c r="F133" s="1864"/>
      <c r="G133" s="2200"/>
      <c r="H133" s="2200"/>
      <c r="I133" s="2201"/>
    </row>
    <row r="134" spans="1:10" s="98" customFormat="1" ht="30" customHeight="1" x14ac:dyDescent="0.2">
      <c r="A134" s="791"/>
      <c r="B134" s="796" t="s">
        <v>2971</v>
      </c>
      <c r="C134" s="767">
        <v>0</v>
      </c>
      <c r="D134" s="767">
        <f>472672.5-472672.5</f>
        <v>0</v>
      </c>
      <c r="E134" s="738"/>
      <c r="F134" s="738"/>
      <c r="G134" s="2507"/>
      <c r="H134" s="2508"/>
      <c r="I134" s="2509"/>
      <c r="J134" s="29"/>
    </row>
    <row r="135" spans="1:10" s="98" customFormat="1" ht="30" customHeight="1" x14ac:dyDescent="0.2">
      <c r="A135" s="1705"/>
      <c r="B135" s="1034" t="s">
        <v>1148</v>
      </c>
      <c r="C135" s="1702">
        <v>30000</v>
      </c>
      <c r="D135" s="1702">
        <v>30000</v>
      </c>
      <c r="E135" s="738"/>
      <c r="F135" s="738"/>
      <c r="G135" s="2200"/>
      <c r="H135" s="2200"/>
      <c r="I135" s="2201"/>
    </row>
    <row r="136" spans="1:10" s="98" customFormat="1" ht="30" customHeight="1" x14ac:dyDescent="0.2">
      <c r="A136" s="1705"/>
      <c r="B136" s="1034" t="s">
        <v>2161</v>
      </c>
      <c r="C136" s="2247">
        <v>0</v>
      </c>
      <c r="D136" s="2247">
        <v>15000</v>
      </c>
      <c r="E136" s="738"/>
      <c r="F136" s="1864"/>
      <c r="G136" s="2200"/>
      <c r="H136" s="2200"/>
      <c r="I136" s="2201"/>
    </row>
    <row r="137" spans="1:10" s="98" customFormat="1" ht="30" customHeight="1" x14ac:dyDescent="0.2">
      <c r="A137" s="1705"/>
      <c r="B137" s="1034" t="s">
        <v>1149</v>
      </c>
      <c r="C137" s="2247">
        <v>100000</v>
      </c>
      <c r="D137" s="2247">
        <v>100000</v>
      </c>
      <c r="E137" s="738"/>
      <c r="F137" s="1864"/>
      <c r="G137" s="2200"/>
      <c r="H137" s="2200"/>
      <c r="I137" s="2201"/>
    </row>
    <row r="138" spans="1:10" s="98" customFormat="1" ht="30" customHeight="1" x14ac:dyDescent="0.2">
      <c r="A138" s="1705"/>
      <c r="B138" s="1034" t="s">
        <v>1150</v>
      </c>
      <c r="C138" s="1893">
        <v>300000</v>
      </c>
      <c r="D138" s="1893">
        <v>300000</v>
      </c>
      <c r="E138" s="738"/>
      <c r="F138" s="1864"/>
      <c r="G138" s="2200"/>
      <c r="H138" s="2200"/>
      <c r="I138" s="2201"/>
    </row>
    <row r="139" spans="1:10" s="98" customFormat="1" ht="30" customHeight="1" x14ac:dyDescent="0.2">
      <c r="A139" s="1705"/>
      <c r="B139" s="1034" t="s">
        <v>1151</v>
      </c>
      <c r="C139" s="2253">
        <v>15000</v>
      </c>
      <c r="D139" s="2253">
        <v>15000</v>
      </c>
      <c r="E139" s="738"/>
      <c r="F139" s="1234"/>
      <c r="G139" s="2200"/>
      <c r="H139" s="2200"/>
      <c r="I139" s="2201"/>
    </row>
    <row r="140" spans="1:10" s="98" customFormat="1" ht="30" customHeight="1" x14ac:dyDescent="0.2">
      <c r="A140" s="1705"/>
      <c r="B140" s="1034" t="s">
        <v>2162</v>
      </c>
      <c r="C140" s="2231">
        <v>0</v>
      </c>
      <c r="D140" s="2231">
        <v>0</v>
      </c>
      <c r="E140" s="2254"/>
      <c r="F140" s="2255"/>
      <c r="G140" s="2200"/>
      <c r="H140" s="2200"/>
      <c r="I140" s="2201"/>
    </row>
    <row r="141" spans="1:10" s="98" customFormat="1" ht="30" customHeight="1" x14ac:dyDescent="0.2">
      <c r="A141" s="1705"/>
      <c r="B141" s="1034" t="s">
        <v>2163</v>
      </c>
      <c r="C141" s="2244">
        <v>0</v>
      </c>
      <c r="D141" s="2244">
        <v>0</v>
      </c>
      <c r="E141" s="738"/>
      <c r="F141" s="1232"/>
      <c r="G141" s="2200"/>
      <c r="H141" s="2200"/>
      <c r="I141" s="2201"/>
    </row>
    <row r="142" spans="1:10" ht="30" customHeight="1" x14ac:dyDescent="0.2">
      <c r="A142" s="2510"/>
      <c r="B142" s="2257" t="s">
        <v>1154</v>
      </c>
      <c r="C142" s="2247">
        <v>2000</v>
      </c>
      <c r="D142" s="2247">
        <v>2000</v>
      </c>
      <c r="E142" s="738"/>
      <c r="F142" s="1864"/>
      <c r="G142" s="2200"/>
      <c r="H142" s="2200"/>
      <c r="I142" s="2201"/>
    </row>
    <row r="143" spans="1:10" s="158" customFormat="1" ht="30" customHeight="1" x14ac:dyDescent="0.2">
      <c r="A143" s="1713"/>
      <c r="B143" s="776" t="s">
        <v>1156</v>
      </c>
      <c r="C143" s="1702">
        <v>0</v>
      </c>
      <c r="D143" s="1702">
        <v>0</v>
      </c>
      <c r="E143" s="738"/>
      <c r="F143" s="738"/>
      <c r="G143" s="2200"/>
      <c r="H143" s="2200"/>
      <c r="I143" s="2201"/>
    </row>
    <row r="144" spans="1:10" s="158" customFormat="1" ht="30" customHeight="1" x14ac:dyDescent="0.2">
      <c r="A144" s="1727"/>
      <c r="B144" s="790" t="s">
        <v>2164</v>
      </c>
      <c r="C144" s="1770">
        <v>3000000</v>
      </c>
      <c r="D144" s="1770">
        <v>3000000</v>
      </c>
      <c r="E144" s="767"/>
      <c r="F144" s="854"/>
      <c r="G144" s="2200"/>
      <c r="H144" s="2200"/>
      <c r="I144" s="2201"/>
    </row>
    <row r="145" spans="1:9" s="158" customFormat="1" ht="30" customHeight="1" x14ac:dyDescent="0.2">
      <c r="A145" s="1727"/>
      <c r="B145" s="790" t="s">
        <v>1157</v>
      </c>
      <c r="C145" s="1770">
        <v>0</v>
      </c>
      <c r="D145" s="1770">
        <v>0</v>
      </c>
      <c r="E145" s="767"/>
      <c r="F145" s="854"/>
      <c r="G145" s="2200"/>
      <c r="H145" s="2200"/>
      <c r="I145" s="2201"/>
    </row>
    <row r="146" spans="1:9" s="158" customFormat="1" ht="30" customHeight="1" x14ac:dyDescent="0.2">
      <c r="A146" s="1727"/>
      <c r="B146" s="790" t="s">
        <v>1158</v>
      </c>
      <c r="C146" s="1770">
        <v>3000</v>
      </c>
      <c r="D146" s="1770">
        <v>3000</v>
      </c>
      <c r="E146" s="767"/>
      <c r="F146" s="854"/>
      <c r="G146" s="2200"/>
      <c r="H146" s="2200"/>
      <c r="I146" s="2201"/>
    </row>
    <row r="147" spans="1:9" s="158" customFormat="1" ht="30" customHeight="1" x14ac:dyDescent="0.2">
      <c r="A147" s="1713"/>
      <c r="B147" s="776" t="s">
        <v>1159</v>
      </c>
      <c r="C147" s="2258">
        <v>60000</v>
      </c>
      <c r="D147" s="2258">
        <v>60000</v>
      </c>
      <c r="E147" s="738"/>
      <c r="F147" s="1077"/>
      <c r="G147" s="2200"/>
      <c r="H147" s="2200"/>
      <c r="I147" s="2201"/>
    </row>
    <row r="148" spans="1:9" s="158" customFormat="1" ht="30" customHeight="1" x14ac:dyDescent="0.2">
      <c r="A148" s="1713"/>
      <c r="B148" s="776" t="s">
        <v>1160</v>
      </c>
      <c r="C148" s="2258">
        <v>0</v>
      </c>
      <c r="D148" s="2258">
        <v>0</v>
      </c>
      <c r="E148" s="738"/>
      <c r="F148" s="1077"/>
      <c r="G148" s="2200"/>
      <c r="H148" s="2200"/>
      <c r="I148" s="2201"/>
    </row>
    <row r="149" spans="1:9" s="158" customFormat="1" ht="30" customHeight="1" x14ac:dyDescent="0.2">
      <c r="A149" s="2506"/>
      <c r="B149" s="776" t="s">
        <v>1162</v>
      </c>
      <c r="C149" s="2259">
        <v>50000</v>
      </c>
      <c r="D149" s="2259">
        <v>50000</v>
      </c>
      <c r="E149" s="738"/>
      <c r="F149" s="1077"/>
      <c r="G149" s="2200"/>
      <c r="H149" s="2200"/>
      <c r="I149" s="2201"/>
    </row>
    <row r="150" spans="1:9" s="158" customFormat="1" ht="30" customHeight="1" x14ac:dyDescent="0.2">
      <c r="A150" s="2511">
        <v>2328</v>
      </c>
      <c r="B150" s="2226" t="s">
        <v>1167</v>
      </c>
      <c r="C150" s="1956">
        <v>0</v>
      </c>
      <c r="D150" s="1956">
        <v>0</v>
      </c>
      <c r="E150" s="726"/>
      <c r="F150" s="750"/>
      <c r="G150" s="1663"/>
      <c r="H150" s="1663"/>
      <c r="I150" s="2201"/>
    </row>
    <row r="151" spans="1:9" s="98" customFormat="1" ht="30" customHeight="1" x14ac:dyDescent="0.2">
      <c r="A151" s="1705">
        <v>2329</v>
      </c>
      <c r="B151" s="771" t="s">
        <v>164</v>
      </c>
      <c r="C151" s="755">
        <f t="shared" ref="C151:D151" si="5">SUM(C152:C169)</f>
        <v>12447771.50999999</v>
      </c>
      <c r="D151" s="755">
        <f t="shared" si="5"/>
        <v>6747771.5099999905</v>
      </c>
      <c r="E151" s="726"/>
      <c r="F151" s="750"/>
      <c r="G151" s="1663"/>
      <c r="H151" s="1663"/>
      <c r="I151" s="1662"/>
    </row>
    <row r="152" spans="1:9" s="98" customFormat="1" ht="30" customHeight="1" x14ac:dyDescent="0.2">
      <c r="A152" s="1705"/>
      <c r="B152" s="1034" t="s">
        <v>1168</v>
      </c>
      <c r="C152" s="2253">
        <v>200000</v>
      </c>
      <c r="D152" s="2253">
        <f>200000-200000</f>
        <v>0</v>
      </c>
      <c r="E152" s="738"/>
      <c r="F152" s="1234"/>
      <c r="G152" s="2200"/>
      <c r="H152" s="2200"/>
      <c r="I152" s="2201"/>
    </row>
    <row r="153" spans="1:9" ht="30" customHeight="1" x14ac:dyDescent="0.2">
      <c r="A153" s="1713"/>
      <c r="B153" s="776" t="s">
        <v>2165</v>
      </c>
      <c r="C153" s="2231">
        <v>0</v>
      </c>
      <c r="D153" s="2231">
        <v>0</v>
      </c>
      <c r="E153" s="2254"/>
      <c r="F153" s="2255"/>
      <c r="G153" s="2200"/>
      <c r="H153" s="2200"/>
      <c r="I153" s="2201"/>
    </row>
    <row r="154" spans="1:9" ht="30" customHeight="1" x14ac:dyDescent="0.2">
      <c r="A154" s="1713"/>
      <c r="B154" s="776" t="s">
        <v>1169</v>
      </c>
      <c r="C154" s="1702">
        <v>5000</v>
      </c>
      <c r="D154" s="1702">
        <v>5000</v>
      </c>
      <c r="E154" s="2254"/>
      <c r="F154" s="2255"/>
      <c r="G154" s="2200"/>
      <c r="H154" s="2200"/>
      <c r="I154" s="2201"/>
    </row>
    <row r="155" spans="1:9" ht="30" customHeight="1" x14ac:dyDescent="0.2">
      <c r="A155" s="1713"/>
      <c r="B155" s="776" t="s">
        <v>2166</v>
      </c>
      <c r="C155" s="2244">
        <v>280000</v>
      </c>
      <c r="D155" s="2244">
        <v>280000</v>
      </c>
      <c r="E155" s="738"/>
      <c r="F155" s="1232"/>
      <c r="G155" s="2200"/>
      <c r="H155" s="2200"/>
      <c r="I155" s="2201"/>
    </row>
    <row r="156" spans="1:9" ht="30" customHeight="1" x14ac:dyDescent="0.2">
      <c r="A156" s="1713"/>
      <c r="B156" s="776" t="s">
        <v>1170</v>
      </c>
      <c r="C156" s="2247">
        <v>500000</v>
      </c>
      <c r="D156" s="2247">
        <v>500000</v>
      </c>
      <c r="E156" s="738"/>
      <c r="F156" s="1864"/>
      <c r="G156" s="2200"/>
      <c r="H156" s="2200"/>
      <c r="I156" s="2201"/>
    </row>
    <row r="157" spans="1:9" ht="30" customHeight="1" x14ac:dyDescent="0.2">
      <c r="A157" s="1713"/>
      <c r="B157" s="776" t="s">
        <v>2167</v>
      </c>
      <c r="C157" s="2245">
        <v>220000</v>
      </c>
      <c r="D157" s="2245">
        <v>220000</v>
      </c>
      <c r="E157" s="738"/>
      <c r="F157" s="1864"/>
      <c r="G157" s="2200"/>
      <c r="H157" s="2200"/>
      <c r="I157" s="2201"/>
    </row>
    <row r="158" spans="1:9" ht="30" customHeight="1" x14ac:dyDescent="0.2">
      <c r="A158" s="1713"/>
      <c r="B158" s="776" t="s">
        <v>2168</v>
      </c>
      <c r="C158" s="2253">
        <v>0</v>
      </c>
      <c r="D158" s="2253">
        <v>0</v>
      </c>
      <c r="E158" s="738"/>
      <c r="F158" s="1234"/>
      <c r="G158" s="2200"/>
      <c r="H158" s="2200"/>
      <c r="I158" s="2201"/>
    </row>
    <row r="159" spans="1:9" ht="30" customHeight="1" x14ac:dyDescent="0.2">
      <c r="A159" s="1713"/>
      <c r="B159" s="776" t="s">
        <v>2169</v>
      </c>
      <c r="C159" s="2231">
        <v>0</v>
      </c>
      <c r="D159" s="2231">
        <v>0</v>
      </c>
      <c r="E159" s="2254"/>
      <c r="F159" s="2255"/>
      <c r="G159" s="2200"/>
      <c r="H159" s="2200"/>
      <c r="I159" s="2201"/>
    </row>
    <row r="160" spans="1:9" ht="30" customHeight="1" x14ac:dyDescent="0.2">
      <c r="A160" s="1713"/>
      <c r="B160" s="776" t="s">
        <v>1173</v>
      </c>
      <c r="C160" s="2231">
        <v>70000</v>
      </c>
      <c r="D160" s="2231">
        <v>70000</v>
      </c>
      <c r="E160" s="738"/>
      <c r="F160" s="1441"/>
      <c r="G160" s="2200"/>
      <c r="H160" s="2200"/>
      <c r="I160" s="2201"/>
    </row>
    <row r="161" spans="1:9" ht="30" customHeight="1" x14ac:dyDescent="0.2">
      <c r="A161" s="1713"/>
      <c r="B161" s="776" t="s">
        <v>2170</v>
      </c>
      <c r="C161" s="2231">
        <v>40000</v>
      </c>
      <c r="D161" s="2231">
        <v>40000</v>
      </c>
      <c r="E161" s="2254"/>
      <c r="F161" s="2255"/>
      <c r="G161" s="2200"/>
      <c r="H161" s="2200"/>
      <c r="I161" s="2201"/>
    </row>
    <row r="162" spans="1:9" ht="30" customHeight="1" x14ac:dyDescent="0.2">
      <c r="A162" s="1713"/>
      <c r="B162" s="2232" t="s">
        <v>2972</v>
      </c>
      <c r="C162" s="2260">
        <v>5000000</v>
      </c>
      <c r="D162" s="2260">
        <f>5000000-5000000</f>
        <v>0</v>
      </c>
      <c r="E162" s="738"/>
      <c r="F162" s="1045"/>
      <c r="G162" s="2200"/>
      <c r="H162" s="2200"/>
      <c r="I162" s="2201"/>
    </row>
    <row r="163" spans="1:9" ht="30" customHeight="1" x14ac:dyDescent="0.2">
      <c r="A163" s="1713"/>
      <c r="B163" s="2232" t="s">
        <v>1177</v>
      </c>
      <c r="C163" s="1702">
        <v>0</v>
      </c>
      <c r="D163" s="1702">
        <v>0</v>
      </c>
      <c r="E163" s="738"/>
      <c r="F163" s="738"/>
      <c r="G163" s="2200"/>
      <c r="H163" s="2200"/>
      <c r="I163" s="2201"/>
    </row>
    <row r="164" spans="1:9" ht="30" customHeight="1" x14ac:dyDescent="0.2">
      <c r="A164" s="1713"/>
      <c r="B164" s="2232" t="s">
        <v>2172</v>
      </c>
      <c r="C164" s="1702">
        <v>0</v>
      </c>
      <c r="D164" s="1702">
        <v>0</v>
      </c>
      <c r="E164" s="738"/>
      <c r="F164" s="738"/>
      <c r="G164" s="2200"/>
      <c r="H164" s="2200"/>
      <c r="I164" s="2201"/>
    </row>
    <row r="165" spans="1:9" ht="30" customHeight="1" x14ac:dyDescent="0.2">
      <c r="A165" s="2512"/>
      <c r="B165" s="2262" t="s">
        <v>1179</v>
      </c>
      <c r="C165" s="2259">
        <v>500000</v>
      </c>
      <c r="D165" s="2259">
        <v>500000</v>
      </c>
      <c r="E165" s="738"/>
      <c r="F165" s="1809"/>
      <c r="G165" s="2200"/>
      <c r="H165" s="2200"/>
      <c r="I165" s="2201"/>
    </row>
    <row r="166" spans="1:9" ht="30" customHeight="1" x14ac:dyDescent="0.2">
      <c r="A166" s="2506"/>
      <c r="B166" s="2232" t="s">
        <v>2173</v>
      </c>
      <c r="C166" s="2234">
        <v>0</v>
      </c>
      <c r="D166" s="2234">
        <v>0</v>
      </c>
      <c r="E166" s="738"/>
      <c r="F166" s="2042"/>
      <c r="G166" s="2200"/>
      <c r="H166" s="2200"/>
      <c r="I166" s="2201"/>
    </row>
    <row r="167" spans="1:9" ht="30" customHeight="1" x14ac:dyDescent="0.2">
      <c r="A167" s="1713"/>
      <c r="B167" s="776" t="s">
        <v>1183</v>
      </c>
      <c r="C167" s="1893">
        <v>0</v>
      </c>
      <c r="D167" s="1893">
        <v>0</v>
      </c>
      <c r="E167" s="1809"/>
      <c r="F167" s="740"/>
      <c r="G167" s="2200"/>
      <c r="H167" s="2200"/>
      <c r="I167" s="2201"/>
    </row>
    <row r="168" spans="1:9" ht="30" customHeight="1" x14ac:dyDescent="0.2">
      <c r="A168" s="2513"/>
      <c r="B168" s="1529" t="s">
        <v>2174</v>
      </c>
      <c r="C168" s="1893">
        <v>500000</v>
      </c>
      <c r="D168" s="1893">
        <f>500000-500000</f>
        <v>0</v>
      </c>
      <c r="E168" s="1077"/>
      <c r="F168" s="1946"/>
      <c r="G168" s="2200"/>
      <c r="H168" s="2200"/>
      <c r="I168" s="2201"/>
    </row>
    <row r="169" spans="1:9" ht="30" customHeight="1" x14ac:dyDescent="0.2">
      <c r="A169" s="2513"/>
      <c r="B169" s="1529" t="s">
        <v>2175</v>
      </c>
      <c r="C169" s="1702">
        <f>102867431.07+200.98-97734860.54</f>
        <v>5132771.5099999905</v>
      </c>
      <c r="D169" s="1702">
        <f>102867431.07+200.98-97734860.54</f>
        <v>5132771.5099999905</v>
      </c>
      <c r="E169" s="1077"/>
      <c r="F169" s="1077"/>
      <c r="G169" s="2200"/>
      <c r="H169" s="2200"/>
      <c r="I169" s="2201"/>
    </row>
    <row r="170" spans="1:9" ht="30" customHeight="1" x14ac:dyDescent="0.2">
      <c r="A170" s="2514"/>
      <c r="B170" s="2265"/>
      <c r="C170" s="2266"/>
      <c r="D170" s="2266"/>
      <c r="E170" s="1048"/>
      <c r="F170" s="945"/>
      <c r="G170" s="945"/>
      <c r="H170" s="2267"/>
      <c r="I170" s="2266"/>
    </row>
    <row r="171" spans="1:9" s="98" customFormat="1" ht="30" customHeight="1" x14ac:dyDescent="0.25">
      <c r="A171" s="591"/>
      <c r="B171" s="2268" t="s">
        <v>11</v>
      </c>
      <c r="C171" s="652">
        <f>SUM(C172:C174,C182:C182,C183,C185)</f>
        <v>45747371</v>
      </c>
      <c r="D171" s="652">
        <f>SUM(D172:D174,D182:D182,D183,D185)</f>
        <v>57872258</v>
      </c>
      <c r="E171" s="2269"/>
      <c r="F171" s="2270"/>
      <c r="G171" s="1654"/>
      <c r="H171" s="1654"/>
      <c r="I171" s="1654"/>
    </row>
    <row r="172" spans="1:9" s="98" customFormat="1" ht="30" customHeight="1" x14ac:dyDescent="0.2">
      <c r="A172" s="764">
        <v>3111</v>
      </c>
      <c r="B172" s="1208" t="s">
        <v>2636</v>
      </c>
      <c r="C172" s="765">
        <v>2300000</v>
      </c>
      <c r="D172" s="765">
        <f>2300000+5424450</f>
        <v>7724450</v>
      </c>
      <c r="E172" s="1880"/>
      <c r="F172" s="2271"/>
      <c r="G172" s="1663"/>
      <c r="H172" s="1663"/>
      <c r="I172" s="1662"/>
    </row>
    <row r="173" spans="1:9" s="98" customFormat="1" ht="30" customHeight="1" x14ac:dyDescent="0.2">
      <c r="A173" s="764">
        <v>3111</v>
      </c>
      <c r="B173" s="1208" t="s">
        <v>1189</v>
      </c>
      <c r="C173" s="731">
        <v>600000</v>
      </c>
      <c r="D173" s="731">
        <f>600000+5889660</f>
        <v>6489660</v>
      </c>
      <c r="E173" s="1084"/>
      <c r="F173" s="2271"/>
      <c r="G173" s="1663"/>
      <c r="H173" s="1663"/>
      <c r="I173" s="1662"/>
    </row>
    <row r="174" spans="1:9" s="98" customFormat="1" ht="30" customHeight="1" x14ac:dyDescent="0.2">
      <c r="A174" s="771">
        <v>3112</v>
      </c>
      <c r="B174" s="717" t="s">
        <v>2177</v>
      </c>
      <c r="C174" s="726">
        <f>SUM(C175:C181)</f>
        <v>33309049</v>
      </c>
      <c r="D174" s="726">
        <f>SUM(D175:D181)</f>
        <v>34119826</v>
      </c>
      <c r="E174" s="726"/>
      <c r="F174" s="1030"/>
      <c r="G174" s="1663"/>
      <c r="H174" s="1663"/>
      <c r="I174" s="1662"/>
    </row>
    <row r="175" spans="1:9" s="98" customFormat="1" ht="30" customHeight="1" x14ac:dyDescent="0.2">
      <c r="A175" s="771"/>
      <c r="B175" s="1530" t="s">
        <v>1190</v>
      </c>
      <c r="C175" s="2150">
        <v>2975049</v>
      </c>
      <c r="D175" s="2150">
        <v>2975049</v>
      </c>
      <c r="E175" s="750"/>
      <c r="F175" s="2272"/>
      <c r="G175" s="2200"/>
      <c r="H175" s="2200"/>
      <c r="I175" s="2201"/>
    </row>
    <row r="176" spans="1:9" s="98" customFormat="1" ht="30" customHeight="1" x14ac:dyDescent="0.2">
      <c r="A176" s="771"/>
      <c r="B176" s="1530" t="s">
        <v>2178</v>
      </c>
      <c r="C176" s="1946">
        <v>5455000</v>
      </c>
      <c r="D176" s="1946">
        <f>5455000+748448</f>
        <v>6203448</v>
      </c>
      <c r="E176" s="738"/>
      <c r="F176" s="747"/>
      <c r="G176" s="2200"/>
      <c r="H176" s="2200"/>
      <c r="I176" s="2201"/>
    </row>
    <row r="177" spans="1:9" s="98" customFormat="1" ht="30" customHeight="1" x14ac:dyDescent="0.2">
      <c r="A177" s="771"/>
      <c r="B177" s="1530" t="s">
        <v>1192</v>
      </c>
      <c r="C177" s="1864">
        <v>0</v>
      </c>
      <c r="D177" s="1864">
        <v>0</v>
      </c>
      <c r="E177" s="738"/>
      <c r="F177" s="1329"/>
      <c r="G177" s="2200"/>
      <c r="H177" s="2200"/>
      <c r="I177" s="2201"/>
    </row>
    <row r="178" spans="1:9" s="98" customFormat="1" ht="30" customHeight="1" x14ac:dyDescent="0.2">
      <c r="A178" s="771"/>
      <c r="B178" s="1530" t="s">
        <v>1193</v>
      </c>
      <c r="C178" s="740">
        <v>3969000</v>
      </c>
      <c r="D178" s="740">
        <f>3969000+62329</f>
        <v>4031329</v>
      </c>
      <c r="E178" s="738"/>
      <c r="F178" s="747"/>
      <c r="G178" s="2200"/>
      <c r="H178" s="2200"/>
      <c r="I178" s="2201"/>
    </row>
    <row r="179" spans="1:9" s="98" customFormat="1" ht="30" customHeight="1" x14ac:dyDescent="0.2">
      <c r="A179" s="771"/>
      <c r="B179" s="1530" t="s">
        <v>2179</v>
      </c>
      <c r="C179" s="1864">
        <v>0</v>
      </c>
      <c r="D179" s="1864">
        <v>0</v>
      </c>
      <c r="E179" s="738"/>
      <c r="F179" s="1329"/>
      <c r="G179" s="2200"/>
      <c r="H179" s="2200"/>
      <c r="I179" s="2201"/>
    </row>
    <row r="180" spans="1:9" s="98" customFormat="1" ht="30" customHeight="1" x14ac:dyDescent="0.2">
      <c r="A180" s="771"/>
      <c r="B180" s="1530" t="s">
        <v>2180</v>
      </c>
      <c r="C180" s="740">
        <v>20300000</v>
      </c>
      <c r="D180" s="740">
        <v>20300000</v>
      </c>
      <c r="E180" s="738"/>
      <c r="F180" s="1330"/>
      <c r="G180" s="2200"/>
      <c r="H180" s="2200"/>
      <c r="I180" s="2201"/>
    </row>
    <row r="181" spans="1:9" s="98" customFormat="1" ht="30" customHeight="1" x14ac:dyDescent="0.2">
      <c r="A181" s="771"/>
      <c r="B181" s="1530" t="s">
        <v>1195</v>
      </c>
      <c r="C181" s="740">
        <v>610000</v>
      </c>
      <c r="D181" s="740">
        <v>610000</v>
      </c>
      <c r="E181" s="738"/>
      <c r="F181" s="1330"/>
      <c r="G181" s="2200"/>
      <c r="H181" s="2200"/>
      <c r="I181" s="2201"/>
    </row>
    <row r="182" spans="1:9" s="98" customFormat="1" ht="30" customHeight="1" x14ac:dyDescent="0.2">
      <c r="A182" s="771">
        <v>3113</v>
      </c>
      <c r="B182" s="717" t="s">
        <v>2181</v>
      </c>
      <c r="C182" s="730">
        <v>50000</v>
      </c>
      <c r="D182" s="730">
        <v>50000</v>
      </c>
      <c r="E182" s="731"/>
      <c r="F182" s="740"/>
      <c r="G182" s="1663"/>
      <c r="H182" s="1663"/>
      <c r="I182" s="1662"/>
    </row>
    <row r="183" spans="1:9" s="98" customFormat="1" ht="30" customHeight="1" x14ac:dyDescent="0.2">
      <c r="A183" s="771">
        <v>3122</v>
      </c>
      <c r="B183" s="725" t="s">
        <v>1200</v>
      </c>
      <c r="C183" s="1149">
        <f t="shared" ref="C183:D183" si="6">C184</f>
        <v>0</v>
      </c>
      <c r="D183" s="1149">
        <f t="shared" si="6"/>
        <v>0</v>
      </c>
      <c r="E183" s="731"/>
      <c r="F183" s="2515"/>
      <c r="G183" s="1663"/>
      <c r="H183" s="1663"/>
      <c r="I183" s="2201"/>
    </row>
    <row r="184" spans="1:9" s="98" customFormat="1" ht="30" customHeight="1" x14ac:dyDescent="0.2">
      <c r="A184" s="771"/>
      <c r="B184" s="725" t="s">
        <v>1201</v>
      </c>
      <c r="C184" s="2241">
        <v>0</v>
      </c>
      <c r="D184" s="2241">
        <v>0</v>
      </c>
      <c r="E184" s="2516"/>
      <c r="F184" s="1709"/>
      <c r="G184" s="2200"/>
      <c r="H184" s="2200"/>
      <c r="I184" s="2201"/>
    </row>
    <row r="185" spans="1:9" s="98" customFormat="1" ht="30" customHeight="1" x14ac:dyDescent="0.2">
      <c r="A185" s="771">
        <v>3129</v>
      </c>
      <c r="B185" s="717" t="s">
        <v>191</v>
      </c>
      <c r="C185" s="726">
        <f t="shared" ref="C185:D185" si="7">SUM(C186:C195)</f>
        <v>9488322</v>
      </c>
      <c r="D185" s="726">
        <f t="shared" si="7"/>
        <v>9488322</v>
      </c>
      <c r="E185" s="726"/>
      <c r="F185" s="1030"/>
      <c r="G185" s="1663"/>
      <c r="H185" s="1663"/>
      <c r="I185" s="1662"/>
    </row>
    <row r="186" spans="1:9" s="98" customFormat="1" ht="30" customHeight="1" x14ac:dyDescent="0.2">
      <c r="A186" s="1373"/>
      <c r="B186" s="2517" t="s">
        <v>1205</v>
      </c>
      <c r="C186" s="1900">
        <v>0</v>
      </c>
      <c r="D186" s="1900">
        <v>0</v>
      </c>
      <c r="E186" s="1077"/>
      <c r="F186" s="733"/>
      <c r="G186" s="2200"/>
      <c r="H186" s="2200"/>
      <c r="I186" s="2201"/>
    </row>
    <row r="187" spans="1:9" s="98" customFormat="1" ht="30" customHeight="1" x14ac:dyDescent="0.2">
      <c r="A187" s="1373"/>
      <c r="B187" s="809" t="s">
        <v>2182</v>
      </c>
      <c r="C187" s="1900">
        <v>2499999</v>
      </c>
      <c r="D187" s="1900">
        <v>2499999</v>
      </c>
      <c r="E187" s="1077"/>
      <c r="F187" s="733"/>
      <c r="G187" s="2200"/>
      <c r="H187" s="2200"/>
      <c r="I187" s="2201"/>
    </row>
    <row r="188" spans="1:9" s="98" customFormat="1" ht="30" customHeight="1" x14ac:dyDescent="0.2">
      <c r="A188" s="1144"/>
      <c r="B188" s="809" t="s">
        <v>2183</v>
      </c>
      <c r="C188" s="1900">
        <v>1356601</v>
      </c>
      <c r="D188" s="1900">
        <v>1356601</v>
      </c>
      <c r="E188" s="1077"/>
      <c r="F188" s="733"/>
      <c r="G188" s="2200"/>
      <c r="H188" s="2200"/>
      <c r="I188" s="2201"/>
    </row>
    <row r="189" spans="1:9" s="98" customFormat="1" ht="30" customHeight="1" x14ac:dyDescent="0.2">
      <c r="A189" s="1147"/>
      <c r="B189" s="809" t="s">
        <v>2184</v>
      </c>
      <c r="C189" s="1900">
        <v>168585</v>
      </c>
      <c r="D189" s="1900">
        <v>168585</v>
      </c>
      <c r="E189" s="1077"/>
      <c r="F189" s="733"/>
      <c r="G189" s="2200"/>
      <c r="H189" s="2200"/>
      <c r="I189" s="2201"/>
    </row>
    <row r="190" spans="1:9" s="98" customFormat="1" ht="30" customHeight="1" x14ac:dyDescent="0.2">
      <c r="A190" s="1373"/>
      <c r="B190" s="809" t="s">
        <v>2185</v>
      </c>
      <c r="C190" s="1900">
        <v>5312129</v>
      </c>
      <c r="D190" s="1900">
        <v>5312129</v>
      </c>
      <c r="E190" s="1077"/>
      <c r="F190" s="733"/>
      <c r="G190" s="2200"/>
      <c r="H190" s="2200"/>
      <c r="I190" s="2201"/>
    </row>
    <row r="191" spans="1:9" s="98" customFormat="1" ht="30" customHeight="1" x14ac:dyDescent="0.2">
      <c r="A191" s="1373"/>
      <c r="B191" s="158" t="s">
        <v>2186</v>
      </c>
      <c r="C191" s="1900">
        <v>151008</v>
      </c>
      <c r="D191" s="1900">
        <v>151008</v>
      </c>
      <c r="E191" s="1077"/>
      <c r="F191" s="733"/>
      <c r="G191" s="2200"/>
      <c r="H191" s="2200"/>
      <c r="I191" s="2201"/>
    </row>
    <row r="192" spans="1:9" s="98" customFormat="1" ht="30" customHeight="1" x14ac:dyDescent="0.2">
      <c r="A192" s="1373"/>
      <c r="B192" s="2518" t="s">
        <v>2187</v>
      </c>
      <c r="C192" s="1900">
        <v>0</v>
      </c>
      <c r="D192" s="1900">
        <v>0</v>
      </c>
      <c r="E192" s="1077"/>
      <c r="F192" s="733"/>
      <c r="G192" s="2200"/>
      <c r="H192" s="2200"/>
      <c r="I192" s="2201"/>
    </row>
    <row r="193" spans="1:9" s="98" customFormat="1" ht="30" customHeight="1" x14ac:dyDescent="0.2">
      <c r="A193" s="852"/>
      <c r="B193" s="862" t="s">
        <v>2188</v>
      </c>
      <c r="C193" s="1800">
        <v>0</v>
      </c>
      <c r="D193" s="1800">
        <v>0</v>
      </c>
      <c r="E193" s="1781"/>
      <c r="F193" s="860"/>
      <c r="G193" s="2200"/>
      <c r="H193" s="2200"/>
      <c r="I193" s="2201"/>
    </row>
    <row r="194" spans="1:9" s="98" customFormat="1" ht="30" customHeight="1" x14ac:dyDescent="0.2">
      <c r="A194" s="864"/>
      <c r="B194" s="1801" t="s">
        <v>2189</v>
      </c>
      <c r="C194" s="1800">
        <v>0</v>
      </c>
      <c r="D194" s="1800">
        <v>0</v>
      </c>
      <c r="E194" s="854"/>
      <c r="F194" s="1676"/>
      <c r="G194" s="2200"/>
      <c r="H194" s="2200"/>
      <c r="I194" s="2201"/>
    </row>
    <row r="195" spans="1:9" s="98" customFormat="1" ht="30" customHeight="1" x14ac:dyDescent="0.2">
      <c r="A195" s="865"/>
      <c r="B195" s="862" t="s">
        <v>1211</v>
      </c>
      <c r="C195" s="1800">
        <v>0</v>
      </c>
      <c r="D195" s="1800">
        <v>0</v>
      </c>
      <c r="E195" s="854"/>
      <c r="F195" s="1676"/>
      <c r="G195" s="2200"/>
      <c r="H195" s="2200"/>
      <c r="I195" s="2201"/>
    </row>
    <row r="196" spans="1:9" s="98" customFormat="1" ht="30" customHeight="1" x14ac:dyDescent="0.2">
      <c r="A196" s="910"/>
      <c r="B196" s="862" t="s">
        <v>2190</v>
      </c>
      <c r="C196" s="1703">
        <v>0</v>
      </c>
      <c r="D196" s="1703">
        <v>0</v>
      </c>
      <c r="E196" s="854"/>
      <c r="F196" s="1703"/>
      <c r="G196" s="2200"/>
      <c r="H196" s="2200"/>
      <c r="I196" s="2201"/>
    </row>
    <row r="197" spans="1:9" s="98" customFormat="1" ht="30" customHeight="1" x14ac:dyDescent="0.2">
      <c r="A197" s="867"/>
      <c r="B197" s="862"/>
      <c r="C197" s="1802"/>
      <c r="D197" s="2280"/>
      <c r="E197" s="1508"/>
      <c r="F197" s="1790"/>
      <c r="G197" s="1790"/>
      <c r="H197" s="1790"/>
      <c r="I197" s="1802"/>
    </row>
    <row r="198" spans="1:9" s="98" customFormat="1" ht="30" customHeight="1" x14ac:dyDescent="0.25">
      <c r="A198" s="839"/>
      <c r="B198" s="2283" t="s">
        <v>196</v>
      </c>
      <c r="C198" s="637">
        <f t="shared" ref="C198:D198" si="8">SUM(C199,C203,C204,C207,C219,C228,C240,C242:C243,C246,C255)</f>
        <v>91705431.088</v>
      </c>
      <c r="D198" s="637">
        <f t="shared" si="8"/>
        <v>109028813.04799999</v>
      </c>
      <c r="E198" s="637"/>
      <c r="F198" s="2284"/>
      <c r="G198" s="1654"/>
      <c r="H198" s="1654"/>
      <c r="I198" s="1654"/>
    </row>
    <row r="199" spans="1:9" s="98" customFormat="1" ht="30" customHeight="1" x14ac:dyDescent="0.2">
      <c r="A199" s="874">
        <v>4111</v>
      </c>
      <c r="B199" s="875" t="s">
        <v>197</v>
      </c>
      <c r="C199" s="876">
        <f t="shared" ref="C199:D199" si="9">SUM(C200:C201)</f>
        <v>0</v>
      </c>
      <c r="D199" s="876">
        <f t="shared" si="9"/>
        <v>500000</v>
      </c>
      <c r="E199" s="876"/>
      <c r="F199" s="2286"/>
      <c r="G199" s="1663"/>
      <c r="H199" s="1663"/>
      <c r="I199" s="1662"/>
    </row>
    <row r="200" spans="1:9" s="98" customFormat="1" ht="30" customHeight="1" x14ac:dyDescent="0.2">
      <c r="A200" s="877"/>
      <c r="B200" s="878" t="s">
        <v>2644</v>
      </c>
      <c r="C200" s="853">
        <v>0</v>
      </c>
      <c r="D200" s="853">
        <v>500000</v>
      </c>
      <c r="E200" s="879"/>
      <c r="F200" s="879"/>
      <c r="G200" s="2200"/>
      <c r="H200" s="2200"/>
      <c r="I200" s="2201"/>
    </row>
    <row r="201" spans="1:9" s="98" customFormat="1" ht="30" customHeight="1" x14ac:dyDescent="0.2">
      <c r="A201" s="877"/>
      <c r="B201" s="878" t="s">
        <v>2192</v>
      </c>
      <c r="C201" s="1800">
        <v>0</v>
      </c>
      <c r="D201" s="1800">
        <v>0</v>
      </c>
      <c r="E201" s="879"/>
      <c r="F201" s="1676"/>
      <c r="G201" s="2200"/>
      <c r="H201" s="2200"/>
      <c r="I201" s="2201"/>
    </row>
    <row r="202" spans="1:9" s="98" customFormat="1" ht="30" customHeight="1" x14ac:dyDescent="0.2">
      <c r="A202" s="877"/>
      <c r="B202" s="878" t="s">
        <v>2193</v>
      </c>
      <c r="C202" s="1703">
        <v>0</v>
      </c>
      <c r="D202" s="1703">
        <v>0</v>
      </c>
      <c r="E202" s="879"/>
      <c r="F202" s="1703"/>
      <c r="G202" s="2200"/>
      <c r="H202" s="2200"/>
      <c r="I202" s="2201"/>
    </row>
    <row r="203" spans="1:9" ht="30" customHeight="1" x14ac:dyDescent="0.2">
      <c r="A203" s="842">
        <v>4112</v>
      </c>
      <c r="B203" s="843" t="s">
        <v>1219</v>
      </c>
      <c r="C203" s="746">
        <f>(1016932+736317+467712+420864+713728+43008+4253687+8154340+23444493+795804+17710+1525000+1296966+241392+782383+86001+2624+348336+27880+12045)-22</f>
        <v>44387200</v>
      </c>
      <c r="D203" s="746">
        <f>((1016932+736317+467712+420864+713728+43008+4253687+8154340+23444493+795804+17710+1525000+1296966+241392+782383+86001+2624+348336+27880+12045)-22)-432200</f>
        <v>43955000</v>
      </c>
      <c r="E203" s="746"/>
      <c r="F203" s="767"/>
      <c r="G203" s="1663"/>
      <c r="H203" s="1663"/>
      <c r="I203" s="1662"/>
    </row>
    <row r="204" spans="1:9" ht="30" customHeight="1" x14ac:dyDescent="0.2">
      <c r="A204" s="842">
        <v>4113</v>
      </c>
      <c r="B204" s="843" t="s">
        <v>2194</v>
      </c>
      <c r="C204" s="746">
        <f>SUM(C205:C206)</f>
        <v>55091.756999999998</v>
      </c>
      <c r="D204" s="746">
        <f>SUM(D205:D206)</f>
        <v>495091.75699999998</v>
      </c>
      <c r="E204" s="746"/>
      <c r="F204" s="767"/>
      <c r="G204" s="1663"/>
      <c r="H204" s="1663"/>
      <c r="I204" s="1662"/>
    </row>
    <row r="205" spans="1:9" ht="30" customHeight="1" x14ac:dyDescent="0.2">
      <c r="A205" s="842"/>
      <c r="B205" s="1423" t="s">
        <v>2195</v>
      </c>
      <c r="C205" s="1734">
        <v>55091.756999999998</v>
      </c>
      <c r="D205" s="1734">
        <v>55091.756999999998</v>
      </c>
      <c r="E205" s="767"/>
      <c r="F205" s="1803"/>
      <c r="G205" s="2200"/>
      <c r="H205" s="2200"/>
      <c r="I205" s="2201"/>
    </row>
    <row r="206" spans="1:9" ht="30" customHeight="1" x14ac:dyDescent="0.2">
      <c r="A206" s="842"/>
      <c r="B206" s="1423" t="s">
        <v>2973</v>
      </c>
      <c r="C206" s="2289">
        <v>0</v>
      </c>
      <c r="D206" s="2289">
        <v>440000</v>
      </c>
      <c r="E206" s="767"/>
      <c r="F206" s="1803"/>
      <c r="G206" s="2200"/>
      <c r="H206" s="2200"/>
      <c r="I206" s="2201"/>
    </row>
    <row r="207" spans="1:9" s="98" customFormat="1" ht="30" customHeight="1" x14ac:dyDescent="0.2">
      <c r="A207" s="791">
        <v>4116</v>
      </c>
      <c r="B207" s="787" t="s">
        <v>201</v>
      </c>
      <c r="C207" s="734">
        <f>SUM(C208:C218)</f>
        <v>9290603</v>
      </c>
      <c r="D207" s="734">
        <f>SUM(D208:D218)</f>
        <v>13188962.619999999</v>
      </c>
      <c r="E207" s="734"/>
      <c r="F207" s="772"/>
      <c r="G207" s="1663"/>
      <c r="H207" s="1663"/>
      <c r="I207" s="1662"/>
    </row>
    <row r="208" spans="1:9" ht="30" customHeight="1" x14ac:dyDescent="0.2">
      <c r="A208" s="883"/>
      <c r="B208" s="789" t="s">
        <v>1231</v>
      </c>
      <c r="C208" s="767">
        <v>8122800</v>
      </c>
      <c r="D208" s="767">
        <v>8122800</v>
      </c>
      <c r="E208" s="767"/>
      <c r="F208" s="767"/>
      <c r="G208" s="2200"/>
      <c r="H208" s="2200"/>
      <c r="I208" s="2201"/>
    </row>
    <row r="209" spans="1:9" ht="30" customHeight="1" x14ac:dyDescent="0.2">
      <c r="A209" s="883"/>
      <c r="B209" s="789" t="s">
        <v>2196</v>
      </c>
      <c r="C209" s="767">
        <v>1067803</v>
      </c>
      <c r="D209" s="767">
        <v>1067803</v>
      </c>
      <c r="E209" s="767"/>
      <c r="F209" s="767"/>
      <c r="G209" s="2200"/>
      <c r="H209" s="2200"/>
      <c r="I209" s="2201"/>
    </row>
    <row r="210" spans="1:9" s="98" customFormat="1" ht="30" customHeight="1" x14ac:dyDescent="0.2">
      <c r="A210" s="883"/>
      <c r="B210" s="796" t="s">
        <v>2197</v>
      </c>
      <c r="C210" s="1703">
        <v>0</v>
      </c>
      <c r="D210" s="1703">
        <v>0</v>
      </c>
      <c r="E210" s="767"/>
      <c r="F210" s="1676"/>
      <c r="G210" s="2200"/>
      <c r="H210" s="2200"/>
      <c r="I210" s="2201"/>
    </row>
    <row r="211" spans="1:9" s="98" customFormat="1" ht="30" customHeight="1" x14ac:dyDescent="0.2">
      <c r="A211" s="883"/>
      <c r="B211" s="796" t="s">
        <v>2650</v>
      </c>
      <c r="C211" s="1703">
        <v>0</v>
      </c>
      <c r="D211" s="1703">
        <v>472672.5</v>
      </c>
      <c r="E211" s="767"/>
      <c r="F211" s="1676"/>
      <c r="G211" s="2200"/>
      <c r="H211" s="2200"/>
      <c r="I211" s="2201"/>
    </row>
    <row r="212" spans="1:9" s="98" customFormat="1" ht="30" customHeight="1" x14ac:dyDescent="0.2">
      <c r="A212" s="883"/>
      <c r="B212" s="796" t="s">
        <v>2974</v>
      </c>
      <c r="C212" s="1813">
        <v>0</v>
      </c>
      <c r="D212" s="1813">
        <v>71563.929999999993</v>
      </c>
      <c r="E212" s="767"/>
      <c r="F212" s="1813"/>
      <c r="G212" s="2200"/>
      <c r="H212" s="2200"/>
      <c r="I212" s="2201"/>
    </row>
    <row r="213" spans="1:9" s="98" customFormat="1" ht="30" customHeight="1" x14ac:dyDescent="0.2">
      <c r="A213" s="883"/>
      <c r="B213" s="796" t="s">
        <v>2199</v>
      </c>
      <c r="C213" s="1800">
        <v>0</v>
      </c>
      <c r="D213" s="1800">
        <v>0</v>
      </c>
      <c r="E213" s="767"/>
      <c r="F213" s="1676"/>
      <c r="G213" s="2200"/>
      <c r="H213" s="2200"/>
      <c r="I213" s="2201"/>
    </row>
    <row r="214" spans="1:9" s="98" customFormat="1" ht="30" customHeight="1" x14ac:dyDescent="0.2">
      <c r="A214" s="883"/>
      <c r="B214" s="796" t="s">
        <v>2200</v>
      </c>
      <c r="C214" s="767">
        <v>100000</v>
      </c>
      <c r="D214" s="767">
        <v>100000</v>
      </c>
      <c r="E214" s="767"/>
      <c r="F214" s="1676"/>
      <c r="G214" s="2200"/>
      <c r="H214" s="2200"/>
      <c r="I214" s="2201"/>
    </row>
    <row r="215" spans="1:9" s="98" customFormat="1" ht="30" customHeight="1" x14ac:dyDescent="0.2">
      <c r="A215" s="883"/>
      <c r="B215" s="796" t="s">
        <v>2652</v>
      </c>
      <c r="C215" s="767">
        <v>0</v>
      </c>
      <c r="D215" s="767">
        <f>(117955.01+495553.09)</f>
        <v>613508.1</v>
      </c>
      <c r="E215" s="767"/>
      <c r="F215" s="1676"/>
      <c r="G215" s="2200"/>
      <c r="H215" s="2200"/>
      <c r="I215" s="2201"/>
    </row>
    <row r="216" spans="1:9" s="98" customFormat="1" ht="30" customHeight="1" x14ac:dyDescent="0.2">
      <c r="A216" s="883"/>
      <c r="B216" s="796" t="s">
        <v>2975</v>
      </c>
      <c r="C216" s="767">
        <v>0</v>
      </c>
      <c r="D216" s="767">
        <f>(138438.27+581607.57)</f>
        <v>720045.84</v>
      </c>
      <c r="E216" s="767"/>
      <c r="F216" s="1676"/>
      <c r="G216" s="2200"/>
      <c r="H216" s="2200"/>
      <c r="I216" s="2201"/>
    </row>
    <row r="217" spans="1:9" s="98" customFormat="1" ht="30" customHeight="1" x14ac:dyDescent="0.2">
      <c r="A217" s="883"/>
      <c r="B217" s="796" t="s">
        <v>2654</v>
      </c>
      <c r="C217" s="767">
        <v>0</v>
      </c>
      <c r="D217" s="767">
        <f>(108476.76+455733)</f>
        <v>564209.76</v>
      </c>
      <c r="E217" s="767"/>
      <c r="F217" s="1676"/>
      <c r="G217" s="2200"/>
      <c r="H217" s="2200"/>
      <c r="I217" s="2201"/>
    </row>
    <row r="218" spans="1:9" s="98" customFormat="1" ht="30" customHeight="1" x14ac:dyDescent="0.2">
      <c r="A218" s="883"/>
      <c r="B218" s="796" t="s">
        <v>2655</v>
      </c>
      <c r="C218" s="767">
        <v>0</v>
      </c>
      <c r="D218" s="767">
        <f>(280004.26+1176355.23)</f>
        <v>1456359.49</v>
      </c>
      <c r="E218" s="767"/>
      <c r="F218" s="1676"/>
      <c r="G218" s="2200"/>
      <c r="H218" s="2200"/>
      <c r="I218" s="2201"/>
    </row>
    <row r="219" spans="1:9" ht="30" customHeight="1" x14ac:dyDescent="0.2">
      <c r="A219" s="791">
        <v>4121</v>
      </c>
      <c r="B219" s="787" t="s">
        <v>213</v>
      </c>
      <c r="C219" s="734">
        <f>SUM(C220:C227)</f>
        <v>3641716.8</v>
      </c>
      <c r="D219" s="734">
        <f>SUM(D220:D227)</f>
        <v>3641716.8</v>
      </c>
      <c r="E219" s="734"/>
      <c r="F219" s="893"/>
      <c r="G219" s="1663"/>
      <c r="H219" s="1663"/>
      <c r="I219" s="1662"/>
    </row>
    <row r="220" spans="1:9" ht="30" customHeight="1" x14ac:dyDescent="0.2">
      <c r="A220" s="791"/>
      <c r="B220" s="796" t="s">
        <v>1247</v>
      </c>
      <c r="C220" s="1734">
        <v>500000</v>
      </c>
      <c r="D220" s="1734">
        <v>500000</v>
      </c>
      <c r="E220" s="767"/>
      <c r="F220" s="1796"/>
      <c r="G220" s="2200"/>
      <c r="H220" s="2200"/>
      <c r="I220" s="2201"/>
    </row>
    <row r="221" spans="1:9" ht="30" customHeight="1" x14ac:dyDescent="0.2">
      <c r="A221" s="791"/>
      <c r="B221" s="796" t="s">
        <v>1248</v>
      </c>
      <c r="C221" s="1716">
        <v>3000</v>
      </c>
      <c r="D221" s="1716">
        <v>3000</v>
      </c>
      <c r="E221" s="767"/>
      <c r="F221" s="1795"/>
      <c r="G221" s="2200"/>
      <c r="H221" s="2200"/>
      <c r="I221" s="2201"/>
    </row>
    <row r="222" spans="1:9" ht="30" customHeight="1" x14ac:dyDescent="0.2">
      <c r="A222" s="771"/>
      <c r="B222" s="1035" t="s">
        <v>1249</v>
      </c>
      <c r="C222" s="2291">
        <v>1465013</v>
      </c>
      <c r="D222" s="2291">
        <v>1465013</v>
      </c>
      <c r="E222" s="738"/>
      <c r="F222" s="2291"/>
      <c r="G222" s="2200"/>
      <c r="H222" s="2200"/>
      <c r="I222" s="2201"/>
    </row>
    <row r="223" spans="1:9" ht="30" customHeight="1" x14ac:dyDescent="0.2">
      <c r="A223" s="771"/>
      <c r="B223" s="1035" t="s">
        <v>1250</v>
      </c>
      <c r="C223" s="2291">
        <v>1086156</v>
      </c>
      <c r="D223" s="2291">
        <v>1086156</v>
      </c>
      <c r="E223" s="738"/>
      <c r="F223" s="2291"/>
      <c r="G223" s="2200"/>
      <c r="H223" s="2200"/>
      <c r="I223" s="2201"/>
    </row>
    <row r="224" spans="1:9" ht="30" customHeight="1" x14ac:dyDescent="0.2">
      <c r="A224" s="771"/>
      <c r="B224" s="1035" t="s">
        <v>1251</v>
      </c>
      <c r="C224" s="2291">
        <v>258394</v>
      </c>
      <c r="D224" s="2291">
        <v>258394</v>
      </c>
      <c r="E224" s="738"/>
      <c r="F224" s="2291"/>
      <c r="G224" s="2200"/>
      <c r="H224" s="2200"/>
      <c r="I224" s="2201"/>
    </row>
    <row r="225" spans="1:9" ht="30" customHeight="1" x14ac:dyDescent="0.2">
      <c r="A225" s="771"/>
      <c r="B225" s="1035" t="s">
        <v>1252</v>
      </c>
      <c r="C225" s="738">
        <v>328853.8</v>
      </c>
      <c r="D225" s="738">
        <v>328853.8</v>
      </c>
      <c r="E225" s="750"/>
      <c r="F225" s="1030"/>
      <c r="G225" s="2200"/>
      <c r="H225" s="2200"/>
      <c r="I225" s="2201"/>
    </row>
    <row r="226" spans="1:9" ht="30" customHeight="1" x14ac:dyDescent="0.2">
      <c r="A226" s="771"/>
      <c r="B226" s="1035" t="s">
        <v>1253</v>
      </c>
      <c r="C226" s="738">
        <v>300</v>
      </c>
      <c r="D226" s="738">
        <v>300</v>
      </c>
      <c r="E226" s="750"/>
      <c r="F226" s="738"/>
      <c r="G226" s="2200"/>
      <c r="H226" s="2200"/>
      <c r="I226" s="2201"/>
    </row>
    <row r="227" spans="1:9" ht="30" customHeight="1" x14ac:dyDescent="0.2">
      <c r="A227" s="771"/>
      <c r="B227" s="1035" t="s">
        <v>2201</v>
      </c>
      <c r="C227" s="742">
        <v>0</v>
      </c>
      <c r="D227" s="742">
        <v>0</v>
      </c>
      <c r="E227" s="750"/>
      <c r="F227" s="2292"/>
      <c r="G227" s="2200"/>
      <c r="H227" s="2200"/>
      <c r="I227" s="1662"/>
    </row>
    <row r="228" spans="1:9" ht="30" customHeight="1" x14ac:dyDescent="0.2">
      <c r="A228" s="771">
        <v>4122</v>
      </c>
      <c r="B228" s="725" t="s">
        <v>221</v>
      </c>
      <c r="C228" s="726">
        <f>SUM(C229:C239)</f>
        <v>80000</v>
      </c>
      <c r="D228" s="726">
        <f>SUM(D229:D239)</f>
        <v>10543854</v>
      </c>
      <c r="E228" s="726"/>
      <c r="F228" s="1030"/>
      <c r="G228" s="1663"/>
      <c r="H228" s="1663"/>
      <c r="I228" s="1662"/>
    </row>
    <row r="229" spans="1:9" s="98" customFormat="1" ht="30" customHeight="1" x14ac:dyDescent="0.2">
      <c r="A229" s="2519"/>
      <c r="B229" s="2294" t="s">
        <v>2660</v>
      </c>
      <c r="C229" s="1232">
        <v>0</v>
      </c>
      <c r="D229" s="1232">
        <v>110000</v>
      </c>
      <c r="E229" s="738"/>
      <c r="F229" s="2295"/>
      <c r="G229" s="2200"/>
      <c r="H229" s="2200"/>
      <c r="I229" s="2201"/>
    </row>
    <row r="230" spans="1:9" s="98" customFormat="1" ht="30" customHeight="1" x14ac:dyDescent="0.2">
      <c r="A230" s="2519"/>
      <c r="B230" s="2294" t="s">
        <v>1262</v>
      </c>
      <c r="C230" s="1232">
        <v>0</v>
      </c>
      <c r="D230" s="1232">
        <f>4737000</f>
        <v>4737000</v>
      </c>
      <c r="E230" s="738"/>
      <c r="F230" s="2295"/>
      <c r="G230" s="2200"/>
      <c r="H230" s="2200"/>
      <c r="I230" s="2201"/>
    </row>
    <row r="231" spans="1:9" s="98" customFormat="1" ht="30" customHeight="1" x14ac:dyDescent="0.2">
      <c r="A231" s="2519"/>
      <c r="B231" s="2294" t="s">
        <v>2203</v>
      </c>
      <c r="C231" s="1900">
        <v>80000</v>
      </c>
      <c r="D231" s="1900">
        <v>80000</v>
      </c>
      <c r="E231" s="738"/>
      <c r="F231" s="733"/>
      <c r="G231" s="2200"/>
      <c r="H231" s="2200"/>
      <c r="I231" s="2201"/>
    </row>
    <row r="232" spans="1:9" s="98" customFormat="1" ht="30" customHeight="1" x14ac:dyDescent="0.2">
      <c r="A232" s="2519"/>
      <c r="B232" s="2294" t="s">
        <v>2661</v>
      </c>
      <c r="C232" s="1900">
        <v>0</v>
      </c>
      <c r="D232" s="1900">
        <v>140000</v>
      </c>
      <c r="E232" s="738"/>
      <c r="F232" s="733"/>
      <c r="G232" s="2200"/>
      <c r="H232" s="2200"/>
      <c r="I232" s="2201"/>
    </row>
    <row r="233" spans="1:9" s="98" customFormat="1" ht="30" customHeight="1" x14ac:dyDescent="0.2">
      <c r="A233" s="1373"/>
      <c r="B233" s="2294" t="s">
        <v>2204</v>
      </c>
      <c r="C233" s="1900">
        <v>0</v>
      </c>
      <c r="D233" s="1900">
        <v>239800</v>
      </c>
      <c r="E233" s="738"/>
      <c r="F233" s="733"/>
      <c r="G233" s="2200"/>
      <c r="H233" s="2200"/>
      <c r="I233" s="2201"/>
    </row>
    <row r="234" spans="1:9" s="98" customFormat="1" ht="30" customHeight="1" x14ac:dyDescent="0.2">
      <c r="A234" s="2519"/>
      <c r="B234" s="2294" t="s">
        <v>2205</v>
      </c>
      <c r="C234" s="1900">
        <v>0</v>
      </c>
      <c r="D234" s="1900">
        <f>(12834+115506)</f>
        <v>128340</v>
      </c>
      <c r="E234" s="738"/>
      <c r="F234" s="733"/>
      <c r="G234" s="2200"/>
      <c r="H234" s="2200"/>
      <c r="I234" s="2201"/>
    </row>
    <row r="235" spans="1:9" s="98" customFormat="1" ht="30" customHeight="1" x14ac:dyDescent="0.2">
      <c r="A235" s="883"/>
      <c r="B235" s="896" t="s">
        <v>2206</v>
      </c>
      <c r="C235" s="1800">
        <v>0</v>
      </c>
      <c r="D235" s="1800">
        <f>(9850+88650)</f>
        <v>98500</v>
      </c>
      <c r="E235" s="767"/>
      <c r="F235" s="1676"/>
      <c r="G235" s="2200"/>
      <c r="H235" s="2200"/>
      <c r="I235" s="2201"/>
    </row>
    <row r="236" spans="1:9" s="98" customFormat="1" ht="30" customHeight="1" x14ac:dyDescent="0.2">
      <c r="A236" s="883"/>
      <c r="B236" s="896" t="s">
        <v>2207</v>
      </c>
      <c r="C236" s="1800">
        <v>0</v>
      </c>
      <c r="D236" s="1800">
        <f>(17098.2+153883.8)</f>
        <v>170982</v>
      </c>
      <c r="E236" s="767"/>
      <c r="F236" s="1676"/>
      <c r="G236" s="2200"/>
      <c r="H236" s="2200"/>
      <c r="I236" s="2201"/>
    </row>
    <row r="237" spans="1:9" s="98" customFormat="1" ht="30" customHeight="1" x14ac:dyDescent="0.2">
      <c r="A237" s="883"/>
      <c r="B237" s="896" t="s">
        <v>2208</v>
      </c>
      <c r="C237" s="1703">
        <v>0</v>
      </c>
      <c r="D237" s="1703">
        <f>(9159.75+82437.75)</f>
        <v>91597.5</v>
      </c>
      <c r="E237" s="767"/>
      <c r="F237" s="1676"/>
      <c r="G237" s="2200"/>
      <c r="H237" s="2200"/>
      <c r="I237" s="2201"/>
    </row>
    <row r="238" spans="1:9" s="98" customFormat="1" ht="30" customHeight="1" x14ac:dyDescent="0.2">
      <c r="A238" s="883"/>
      <c r="B238" s="896" t="s">
        <v>2209</v>
      </c>
      <c r="C238" s="1800">
        <v>0</v>
      </c>
      <c r="D238" s="1800">
        <f>(11663.45+104971.05)</f>
        <v>116634.5</v>
      </c>
      <c r="E238" s="854"/>
      <c r="F238" s="1676"/>
      <c r="G238" s="2200"/>
      <c r="H238" s="2200"/>
      <c r="I238" s="2201"/>
    </row>
    <row r="239" spans="1:9" ht="30" customHeight="1" x14ac:dyDescent="0.2">
      <c r="A239" s="1240"/>
      <c r="B239" s="809" t="s">
        <v>2210</v>
      </c>
      <c r="C239" s="1800">
        <v>0</v>
      </c>
      <c r="D239" s="1800">
        <v>4631000</v>
      </c>
      <c r="E239" s="854"/>
      <c r="F239" s="1783"/>
      <c r="G239" s="2200"/>
      <c r="H239" s="2200"/>
      <c r="I239" s="2201"/>
    </row>
    <row r="240" spans="1:9" s="98" customFormat="1" ht="30" customHeight="1" x14ac:dyDescent="0.2">
      <c r="A240" s="897">
        <v>4134</v>
      </c>
      <c r="B240" s="787" t="s">
        <v>1273</v>
      </c>
      <c r="C240" s="746">
        <f t="shared" ref="C240:D240" si="10">SUM(C241:C241)</f>
        <v>7800000</v>
      </c>
      <c r="D240" s="746">
        <f t="shared" si="10"/>
        <v>7800000</v>
      </c>
      <c r="E240" s="746"/>
      <c r="F240" s="767"/>
      <c r="G240" s="1663"/>
      <c r="H240" s="1663"/>
      <c r="I240" s="1662"/>
    </row>
    <row r="241" spans="1:9" s="98" customFormat="1" ht="30" customHeight="1" x14ac:dyDescent="0.2">
      <c r="A241" s="812"/>
      <c r="B241" s="796" t="s">
        <v>1275</v>
      </c>
      <c r="C241" s="853">
        <v>7800000</v>
      </c>
      <c r="D241" s="853">
        <v>7800000</v>
      </c>
      <c r="E241" s="772"/>
      <c r="F241" s="1676"/>
      <c r="G241" s="2200"/>
      <c r="H241" s="2200"/>
      <c r="I241" s="2201"/>
    </row>
    <row r="242" spans="1:9" s="98" customFormat="1" ht="30" customHeight="1" x14ac:dyDescent="0.2">
      <c r="A242" s="897">
        <v>4140</v>
      </c>
      <c r="B242" s="787" t="s">
        <v>2211</v>
      </c>
      <c r="C242" s="1690">
        <v>0</v>
      </c>
      <c r="D242" s="1690">
        <v>0</v>
      </c>
      <c r="E242" s="746"/>
      <c r="F242" s="1795"/>
      <c r="G242" s="1663"/>
      <c r="H242" s="1663"/>
      <c r="I242" s="2201"/>
    </row>
    <row r="243" spans="1:9" s="98" customFormat="1" ht="30" customHeight="1" x14ac:dyDescent="0.2">
      <c r="A243" s="791">
        <v>4213</v>
      </c>
      <c r="B243" s="787" t="s">
        <v>1279</v>
      </c>
      <c r="C243" s="734">
        <f>SUM(C244:C245)</f>
        <v>2919192.531</v>
      </c>
      <c r="D243" s="734">
        <f>SUM(D244:D245)</f>
        <v>2919192.531</v>
      </c>
      <c r="E243" s="734"/>
      <c r="F243" s="772"/>
      <c r="G243" s="1663"/>
      <c r="H243" s="1663"/>
      <c r="I243" s="1662"/>
    </row>
    <row r="244" spans="1:9" s="2" customFormat="1" ht="30" customHeight="1" x14ac:dyDescent="0.2">
      <c r="A244" s="900"/>
      <c r="B244" s="903" t="s">
        <v>2212</v>
      </c>
      <c r="C244" s="1800">
        <v>1817357.44</v>
      </c>
      <c r="D244" s="1800">
        <v>1817357.44</v>
      </c>
      <c r="E244" s="772"/>
      <c r="F244" s="1676"/>
      <c r="G244" s="2200"/>
      <c r="H244" s="2200"/>
      <c r="I244" s="2201"/>
    </row>
    <row r="245" spans="1:9" s="2" customFormat="1" ht="30" customHeight="1" x14ac:dyDescent="0.2">
      <c r="A245" s="900"/>
      <c r="B245" s="1423" t="s">
        <v>2213</v>
      </c>
      <c r="C245" s="1763">
        <v>1101835.091</v>
      </c>
      <c r="D245" s="1763">
        <v>1101835.091</v>
      </c>
      <c r="E245" s="772"/>
      <c r="F245" s="1811"/>
      <c r="G245" s="2200"/>
      <c r="H245" s="2200"/>
      <c r="I245" s="2201"/>
    </row>
    <row r="246" spans="1:9" s="98" customFormat="1" ht="30" customHeight="1" x14ac:dyDescent="0.2">
      <c r="A246" s="791">
        <v>4216</v>
      </c>
      <c r="B246" s="843" t="s">
        <v>234</v>
      </c>
      <c r="C246" s="904">
        <f>SUM(C247:C254)</f>
        <v>22851647</v>
      </c>
      <c r="D246" s="904">
        <f>SUM(D247:D254)</f>
        <v>25445015.34</v>
      </c>
      <c r="E246" s="904"/>
      <c r="F246" s="2300"/>
      <c r="G246" s="1663"/>
      <c r="H246" s="1663"/>
      <c r="I246" s="1662"/>
    </row>
    <row r="247" spans="1:9" s="98" customFormat="1" ht="30" customHeight="1" x14ac:dyDescent="0.2">
      <c r="A247" s="886"/>
      <c r="B247" s="1018" t="s">
        <v>2214</v>
      </c>
      <c r="C247" s="1800">
        <v>0</v>
      </c>
      <c r="D247" s="1800">
        <v>0</v>
      </c>
      <c r="E247" s="767"/>
      <c r="F247" s="1676"/>
      <c r="G247" s="2200"/>
      <c r="H247" s="2200"/>
      <c r="I247" s="2201"/>
    </row>
    <row r="248" spans="1:9" s="98" customFormat="1" ht="30" customHeight="1" x14ac:dyDescent="0.2">
      <c r="A248" s="888"/>
      <c r="B248" s="1018" t="s">
        <v>2215</v>
      </c>
      <c r="C248" s="1703">
        <v>13964800</v>
      </c>
      <c r="D248" s="1703">
        <v>13964800</v>
      </c>
      <c r="E248" s="767"/>
      <c r="F248" s="1676"/>
      <c r="G248" s="2200"/>
      <c r="H248" s="2200"/>
      <c r="I248" s="2201"/>
    </row>
    <row r="249" spans="1:9" s="98" customFormat="1" ht="30" customHeight="1" x14ac:dyDescent="0.2">
      <c r="A249" s="883"/>
      <c r="B249" s="1018" t="s">
        <v>2216</v>
      </c>
      <c r="C249" s="1703">
        <v>8886847</v>
      </c>
      <c r="D249" s="1703">
        <v>8886847</v>
      </c>
      <c r="E249" s="767"/>
      <c r="F249" s="1676"/>
      <c r="G249" s="2200"/>
      <c r="H249" s="2200"/>
      <c r="I249" s="2201"/>
    </row>
    <row r="250" spans="1:9" s="98" customFormat="1" ht="30" customHeight="1" x14ac:dyDescent="0.2">
      <c r="A250" s="883"/>
      <c r="B250" s="1018" t="s">
        <v>2666</v>
      </c>
      <c r="C250" s="1703">
        <v>0</v>
      </c>
      <c r="D250" s="1703">
        <v>1571026.45</v>
      </c>
      <c r="E250" s="767"/>
      <c r="F250" s="1676"/>
      <c r="G250" s="2200"/>
      <c r="H250" s="2200"/>
      <c r="I250" s="2201"/>
    </row>
    <row r="251" spans="1:9" s="98" customFormat="1" ht="30" customHeight="1" x14ac:dyDescent="0.2">
      <c r="A251" s="883"/>
      <c r="B251" s="796" t="s">
        <v>2218</v>
      </c>
      <c r="C251" s="1763">
        <v>0</v>
      </c>
      <c r="D251" s="1763">
        <v>0</v>
      </c>
      <c r="E251" s="767"/>
      <c r="F251" s="1703"/>
      <c r="G251" s="2200"/>
      <c r="H251" s="2200"/>
      <c r="I251" s="2201"/>
    </row>
    <row r="252" spans="1:9" s="98" customFormat="1" ht="30" customHeight="1" x14ac:dyDescent="0.2">
      <c r="A252" s="883"/>
      <c r="B252" s="796" t="s">
        <v>2219</v>
      </c>
      <c r="C252" s="1813">
        <v>0</v>
      </c>
      <c r="D252" s="1813">
        <v>1022341.89</v>
      </c>
      <c r="E252" s="767"/>
      <c r="F252" s="1813"/>
      <c r="G252" s="2200"/>
      <c r="H252" s="2200"/>
      <c r="I252" s="2201"/>
    </row>
    <row r="253" spans="1:9" s="98" customFormat="1" ht="30" customHeight="1" x14ac:dyDescent="0.2">
      <c r="A253" s="852"/>
      <c r="B253" s="901" t="s">
        <v>2220</v>
      </c>
      <c r="C253" s="772">
        <v>0</v>
      </c>
      <c r="D253" s="772">
        <v>0</v>
      </c>
      <c r="E253" s="767"/>
      <c r="F253" s="893"/>
      <c r="G253" s="2200"/>
      <c r="H253" s="2200"/>
      <c r="I253" s="2201"/>
    </row>
    <row r="254" spans="1:9" s="98" customFormat="1" ht="30" customHeight="1" x14ac:dyDescent="0.2">
      <c r="A254" s="852"/>
      <c r="B254" s="901" t="s">
        <v>2221</v>
      </c>
      <c r="C254" s="772">
        <v>0</v>
      </c>
      <c r="D254" s="772">
        <v>0</v>
      </c>
      <c r="E254" s="767"/>
      <c r="F254" s="893"/>
      <c r="G254" s="2200"/>
      <c r="H254" s="2200"/>
      <c r="I254" s="2201"/>
    </row>
    <row r="255" spans="1:9" s="98" customFormat="1" ht="30" customHeight="1" x14ac:dyDescent="0.2">
      <c r="A255" s="791">
        <v>4222</v>
      </c>
      <c r="B255" s="782" t="s">
        <v>245</v>
      </c>
      <c r="C255" s="904">
        <f t="shared" ref="C255:D255" si="11">SUM(C256:C260)</f>
        <v>679980</v>
      </c>
      <c r="D255" s="904">
        <f t="shared" si="11"/>
        <v>539980</v>
      </c>
      <c r="E255" s="904"/>
      <c r="F255" s="2300"/>
      <c r="G255" s="1663"/>
      <c r="H255" s="1663"/>
      <c r="I255" s="1662"/>
    </row>
    <row r="256" spans="1:9" s="98" customFormat="1" ht="30" customHeight="1" x14ac:dyDescent="0.2">
      <c r="A256" s="883"/>
      <c r="B256" s="824" t="s">
        <v>2669</v>
      </c>
      <c r="C256" s="1800">
        <v>300000</v>
      </c>
      <c r="D256" s="1800">
        <f>300000-140000</f>
        <v>160000</v>
      </c>
      <c r="E256" s="767"/>
      <c r="F256" s="1676"/>
      <c r="G256" s="2200"/>
      <c r="H256" s="2200"/>
      <c r="I256" s="2201"/>
    </row>
    <row r="257" spans="1:9" s="98" customFormat="1" ht="30" customHeight="1" x14ac:dyDescent="0.2">
      <c r="A257" s="883"/>
      <c r="B257" s="778" t="s">
        <v>2223</v>
      </c>
      <c r="C257" s="1800">
        <v>0</v>
      </c>
      <c r="D257" s="1800">
        <v>0</v>
      </c>
      <c r="E257" s="767"/>
      <c r="F257" s="1676"/>
      <c r="G257" s="2200"/>
      <c r="H257" s="2200"/>
      <c r="I257" s="2201"/>
    </row>
    <row r="258" spans="1:9" s="98" customFormat="1" ht="30" customHeight="1" x14ac:dyDescent="0.2">
      <c r="A258" s="852"/>
      <c r="B258" s="907" t="s">
        <v>1300</v>
      </c>
      <c r="C258" s="1800">
        <v>79980</v>
      </c>
      <c r="D258" s="1800">
        <v>79980</v>
      </c>
      <c r="E258" s="767"/>
      <c r="F258" s="1676"/>
      <c r="G258" s="2200"/>
      <c r="H258" s="2200"/>
      <c r="I258" s="2201"/>
    </row>
    <row r="259" spans="1:9" s="98" customFormat="1" ht="30" customHeight="1" x14ac:dyDescent="0.2">
      <c r="A259" s="910"/>
      <c r="B259" s="911" t="s">
        <v>1301</v>
      </c>
      <c r="C259" s="1800">
        <v>0</v>
      </c>
      <c r="D259" s="1800">
        <v>0</v>
      </c>
      <c r="E259" s="854"/>
      <c r="F259" s="1676"/>
      <c r="G259" s="2200"/>
      <c r="H259" s="2200"/>
      <c r="I259" s="2201"/>
    </row>
    <row r="260" spans="1:9" s="98" customFormat="1" ht="30" customHeight="1" x14ac:dyDescent="0.2">
      <c r="A260" s="910"/>
      <c r="B260" s="1077" t="s">
        <v>2224</v>
      </c>
      <c r="C260" s="1703">
        <v>300000</v>
      </c>
      <c r="D260" s="1703">
        <v>300000</v>
      </c>
      <c r="E260" s="1800"/>
      <c r="F260" s="1703"/>
      <c r="G260" s="2200"/>
      <c r="H260" s="2200"/>
      <c r="I260" s="2201"/>
    </row>
    <row r="261" spans="1:9" s="98" customFormat="1" ht="30" customHeight="1" x14ac:dyDescent="0.2">
      <c r="A261" s="912"/>
      <c r="B261" s="913"/>
      <c r="C261" s="1802"/>
      <c r="D261" s="1802"/>
      <c r="E261" s="833"/>
      <c r="F261" s="1682"/>
      <c r="G261" s="1682"/>
      <c r="H261" s="1682"/>
      <c r="I261" s="1802"/>
    </row>
    <row r="262" spans="1:9" s="98" customFormat="1" ht="30" customHeight="1" x14ac:dyDescent="0.3">
      <c r="A262" s="915"/>
      <c r="B262" s="916" t="s">
        <v>13</v>
      </c>
      <c r="C262" s="917">
        <f>SUM(C32+C67+C171+C198)</f>
        <v>880607447.43799996</v>
      </c>
      <c r="D262" s="917">
        <f>SUM(D32+D67+D171+D198)</f>
        <v>936147837.60800004</v>
      </c>
      <c r="E262" s="917"/>
      <c r="F262" s="2307"/>
      <c r="G262" s="949"/>
      <c r="H262" s="949"/>
      <c r="I262" s="949"/>
    </row>
    <row r="263" spans="1:9" s="98" customFormat="1" ht="30" customHeight="1" x14ac:dyDescent="0.25">
      <c r="A263" s="918"/>
      <c r="B263" s="919"/>
      <c r="C263" s="1674"/>
      <c r="D263" s="1674"/>
      <c r="E263" s="920"/>
      <c r="F263" s="1682"/>
      <c r="G263" s="1682"/>
      <c r="H263" s="1682"/>
      <c r="I263" s="1674"/>
    </row>
    <row r="264" spans="1:9" s="98" customFormat="1" ht="30" customHeight="1" x14ac:dyDescent="0.25">
      <c r="A264" s="839"/>
      <c r="B264" s="2310" t="s">
        <v>14</v>
      </c>
      <c r="C264" s="608">
        <f>SUM(C265:C268)</f>
        <v>240886192.56</v>
      </c>
      <c r="D264" s="608">
        <f>SUM(D265:D268)</f>
        <v>262407060.73000002</v>
      </c>
      <c r="E264" s="608"/>
      <c r="F264" s="2311"/>
      <c r="G264" s="1654"/>
      <c r="H264" s="1654"/>
      <c r="I264" s="1654"/>
    </row>
    <row r="265" spans="1:9" ht="30" customHeight="1" x14ac:dyDescent="0.2">
      <c r="A265" s="842">
        <v>8115</v>
      </c>
      <c r="B265" s="926" t="s">
        <v>2225</v>
      </c>
      <c r="C265" s="1815">
        <f>248167864.56-615000</f>
        <v>247552864.56</v>
      </c>
      <c r="D265" s="1815">
        <f>248167864.56-615000+21520868.17</f>
        <v>269073732.73000002</v>
      </c>
      <c r="E265" s="882"/>
      <c r="F265" s="2312"/>
      <c r="G265" s="1663"/>
      <c r="H265" s="1663"/>
      <c r="I265" s="1662"/>
    </row>
    <row r="266" spans="1:9" ht="30" customHeight="1" x14ac:dyDescent="0.2">
      <c r="A266" s="842">
        <v>8124</v>
      </c>
      <c r="B266" s="928" t="s">
        <v>1304</v>
      </c>
      <c r="C266" s="746">
        <f>-(555556*12)</f>
        <v>-6666672</v>
      </c>
      <c r="D266" s="746">
        <f>-(555556*12)</f>
        <v>-6666672</v>
      </c>
      <c r="E266" s="882"/>
      <c r="F266" s="767"/>
      <c r="G266" s="1663"/>
      <c r="H266" s="1663"/>
      <c r="I266" s="1662"/>
    </row>
    <row r="267" spans="1:9" ht="30" customHeight="1" x14ac:dyDescent="0.2">
      <c r="A267" s="842">
        <v>8125</v>
      </c>
      <c r="B267" s="928" t="s">
        <v>2226</v>
      </c>
      <c r="C267" s="1671">
        <v>0</v>
      </c>
      <c r="D267" s="1671">
        <v>0</v>
      </c>
      <c r="E267" s="882"/>
      <c r="F267" s="793"/>
      <c r="G267" s="1663"/>
      <c r="H267" s="1663"/>
      <c r="I267" s="1662"/>
    </row>
    <row r="268" spans="1:9" s="235" customFormat="1" ht="30" customHeight="1" x14ac:dyDescent="0.4">
      <c r="A268" s="791">
        <v>8901</v>
      </c>
      <c r="B268" s="782" t="s">
        <v>254</v>
      </c>
      <c r="C268" s="734">
        <f t="shared" ref="C268:D268" si="12">SUM(C269:C270)</f>
        <v>0</v>
      </c>
      <c r="D268" s="734">
        <f t="shared" si="12"/>
        <v>0</v>
      </c>
      <c r="E268" s="998"/>
      <c r="F268" s="893"/>
      <c r="G268" s="1663"/>
      <c r="H268" s="1663"/>
      <c r="I268" s="1662"/>
    </row>
    <row r="269" spans="1:9" s="236" customFormat="1" ht="30" customHeight="1" x14ac:dyDescent="0.35">
      <c r="A269" s="887"/>
      <c r="B269" s="933" t="s">
        <v>1306</v>
      </c>
      <c r="C269" s="854">
        <v>0</v>
      </c>
      <c r="D269" s="854">
        <v>0</v>
      </c>
      <c r="E269" s="993"/>
      <c r="F269" s="1805"/>
      <c r="G269" s="2200"/>
      <c r="H269" s="2200"/>
      <c r="I269" s="2201"/>
    </row>
    <row r="270" spans="1:9" s="236" customFormat="1" ht="30" customHeight="1" x14ac:dyDescent="0.35">
      <c r="A270" s="887"/>
      <c r="B270" s="933" t="s">
        <v>2227</v>
      </c>
      <c r="C270" s="854">
        <v>0</v>
      </c>
      <c r="D270" s="854">
        <v>0</v>
      </c>
      <c r="E270" s="993"/>
      <c r="F270" s="854"/>
      <c r="G270" s="2200"/>
      <c r="H270" s="2200"/>
      <c r="I270" s="2201"/>
    </row>
    <row r="271" spans="1:9" ht="30" customHeight="1" x14ac:dyDescent="0.2">
      <c r="A271" s="938"/>
      <c r="B271" s="939"/>
      <c r="C271" s="1793"/>
      <c r="D271" s="1793"/>
      <c r="E271" s="1821"/>
      <c r="F271" s="1793"/>
      <c r="G271" s="1793"/>
      <c r="H271" s="1793"/>
      <c r="I271" s="1793"/>
    </row>
    <row r="272" spans="1:9" s="85" customFormat="1" ht="30" customHeight="1" x14ac:dyDescent="0.4">
      <c r="A272" s="946"/>
      <c r="B272" s="947" t="s">
        <v>15</v>
      </c>
      <c r="C272" s="2316">
        <f t="shared" ref="C272:D272" si="13">SUM(C262+C264)</f>
        <v>1121493639.9979999</v>
      </c>
      <c r="D272" s="2316">
        <f t="shared" si="13"/>
        <v>1198554898.3380001</v>
      </c>
      <c r="E272" s="2316"/>
      <c r="F272" s="2520"/>
      <c r="G272" s="2318"/>
      <c r="H272" s="2318"/>
      <c r="I272" s="2318"/>
    </row>
    <row r="273" spans="1:9" s="98" customFormat="1" ht="30" customHeight="1" x14ac:dyDescent="0.3">
      <c r="A273" s="950"/>
      <c r="B273" s="951" t="s">
        <v>2228</v>
      </c>
      <c r="C273" s="1674"/>
      <c r="D273" s="1674"/>
      <c r="E273" s="952"/>
      <c r="F273" s="1682"/>
      <c r="G273" s="1682"/>
      <c r="H273" s="1682"/>
      <c r="I273" s="1674"/>
    </row>
    <row r="274" spans="1:9" ht="30" customHeight="1" x14ac:dyDescent="0.3">
      <c r="A274" s="956"/>
      <c r="B274" s="951" t="s">
        <v>258</v>
      </c>
      <c r="C274" s="2321">
        <f>C275+C289+C321+C331</f>
        <v>79616000</v>
      </c>
      <c r="D274" s="2321">
        <f>D275+D289+D321+D331</f>
        <v>83571807.640000001</v>
      </c>
      <c r="E274" s="2321"/>
      <c r="F274" s="2521"/>
      <c r="G274" s="949"/>
      <c r="H274" s="949"/>
      <c r="I274" s="949"/>
    </row>
    <row r="275" spans="1:9" s="19" customFormat="1" ht="30" customHeight="1" x14ac:dyDescent="0.25">
      <c r="A275" s="958"/>
      <c r="B275" s="959" t="s">
        <v>259</v>
      </c>
      <c r="C275" s="960">
        <f>SUM(C276+C280+C286)</f>
        <v>5835000</v>
      </c>
      <c r="D275" s="960">
        <f>SUM(D276+D280+D286)</f>
        <v>5835000</v>
      </c>
      <c r="E275" s="960"/>
      <c r="F275" s="2522"/>
      <c r="G275" s="2325"/>
      <c r="H275" s="2325"/>
      <c r="I275" s="2325"/>
    </row>
    <row r="276" spans="1:9" ht="30" customHeight="1" x14ac:dyDescent="0.2">
      <c r="A276" s="962">
        <v>2310</v>
      </c>
      <c r="B276" s="963" t="s">
        <v>1307</v>
      </c>
      <c r="C276" s="964">
        <f t="shared" ref="C276:D276" si="14">SUM(C277:C279)</f>
        <v>265000</v>
      </c>
      <c r="D276" s="964">
        <f t="shared" si="14"/>
        <v>265000</v>
      </c>
      <c r="E276" s="964"/>
      <c r="F276" s="2327"/>
      <c r="G276" s="1663"/>
      <c r="H276" s="1663"/>
      <c r="I276" s="1662"/>
    </row>
    <row r="277" spans="1:9" ht="30" customHeight="1" x14ac:dyDescent="0.2">
      <c r="A277" s="967" t="s">
        <v>261</v>
      </c>
      <c r="B277" s="778" t="s">
        <v>262</v>
      </c>
      <c r="C277" s="1828">
        <v>15000</v>
      </c>
      <c r="D277" s="1828">
        <v>15000</v>
      </c>
      <c r="E277" s="968"/>
      <c r="F277" s="2329"/>
      <c r="G277" s="2200"/>
      <c r="H277" s="2200"/>
      <c r="I277" s="2201"/>
    </row>
    <row r="278" spans="1:9" ht="30" customHeight="1" x14ac:dyDescent="0.2">
      <c r="A278" s="967" t="s">
        <v>263</v>
      </c>
      <c r="B278" s="778" t="s">
        <v>2229</v>
      </c>
      <c r="C278" s="767">
        <v>50000</v>
      </c>
      <c r="D278" s="767">
        <v>50000</v>
      </c>
      <c r="E278" s="968"/>
      <c r="F278" s="2330"/>
      <c r="G278" s="2200"/>
      <c r="H278" s="2200"/>
      <c r="I278" s="2201"/>
    </row>
    <row r="279" spans="1:9" ht="30" customHeight="1" x14ac:dyDescent="0.2">
      <c r="A279" s="967" t="s">
        <v>265</v>
      </c>
      <c r="B279" s="778" t="s">
        <v>2230</v>
      </c>
      <c r="C279" s="767">
        <v>200000</v>
      </c>
      <c r="D279" s="767">
        <v>200000</v>
      </c>
      <c r="E279" s="970"/>
      <c r="F279" s="2331"/>
      <c r="G279" s="2200"/>
      <c r="H279" s="2200"/>
      <c r="I279" s="2201"/>
    </row>
    <row r="280" spans="1:9" ht="30" customHeight="1" x14ac:dyDescent="0.2">
      <c r="A280" s="791">
        <v>2321</v>
      </c>
      <c r="B280" s="787" t="s">
        <v>1314</v>
      </c>
      <c r="C280" s="734">
        <f t="shared" ref="C280:D280" si="15">SUM(C281:C285)</f>
        <v>5410000</v>
      </c>
      <c r="D280" s="734">
        <f t="shared" si="15"/>
        <v>5410000</v>
      </c>
      <c r="E280" s="734"/>
      <c r="F280" s="772"/>
      <c r="G280" s="1663"/>
      <c r="H280" s="1663"/>
      <c r="I280" s="1662"/>
    </row>
    <row r="281" spans="1:9" ht="30" customHeight="1" x14ac:dyDescent="0.2">
      <c r="A281" s="967" t="s">
        <v>268</v>
      </c>
      <c r="B281" s="778" t="s">
        <v>269</v>
      </c>
      <c r="C281" s="767">
        <v>300000</v>
      </c>
      <c r="D281" s="767">
        <v>300000</v>
      </c>
      <c r="E281" s="968"/>
      <c r="F281" s="2330"/>
      <c r="G281" s="2200"/>
      <c r="H281" s="2200"/>
      <c r="I281" s="2201"/>
    </row>
    <row r="282" spans="1:9" s="2" customFormat="1" ht="30" customHeight="1" x14ac:dyDescent="0.2">
      <c r="A282" s="967" t="s">
        <v>270</v>
      </c>
      <c r="B282" s="778" t="s">
        <v>2231</v>
      </c>
      <c r="C282" s="1835">
        <v>910000</v>
      </c>
      <c r="D282" s="1835">
        <f>910000+195569.92</f>
        <v>1105569.92</v>
      </c>
      <c r="E282" s="968"/>
      <c r="F282" s="2330"/>
      <c r="G282" s="2200"/>
      <c r="H282" s="2200"/>
      <c r="I282" s="2201"/>
    </row>
    <row r="283" spans="1:9" ht="30" customHeight="1" x14ac:dyDescent="0.2">
      <c r="A283" s="1009" t="s">
        <v>2976</v>
      </c>
      <c r="B283" s="818" t="s">
        <v>1316</v>
      </c>
      <c r="C283" s="820">
        <v>3000000</v>
      </c>
      <c r="D283" s="820">
        <f>3000000-195569.92</f>
        <v>2804430.08</v>
      </c>
      <c r="E283" s="934"/>
      <c r="F283" s="1839"/>
      <c r="G283" s="2200"/>
      <c r="H283" s="2200"/>
      <c r="I283" s="2201"/>
    </row>
    <row r="284" spans="1:9" ht="30" customHeight="1" x14ac:dyDescent="0.2">
      <c r="A284" s="1066" t="s">
        <v>417</v>
      </c>
      <c r="B284" s="1039" t="s">
        <v>2232</v>
      </c>
      <c r="C284" s="854">
        <v>1000000</v>
      </c>
      <c r="D284" s="854">
        <v>1000000</v>
      </c>
      <c r="E284" s="1730"/>
      <c r="F284" s="779"/>
      <c r="G284" s="2200"/>
      <c r="H284" s="2200"/>
      <c r="I284" s="2201"/>
    </row>
    <row r="285" spans="1:9" ht="30" customHeight="1" x14ac:dyDescent="0.2">
      <c r="A285" s="967" t="s">
        <v>272</v>
      </c>
      <c r="B285" s="789" t="s">
        <v>1317</v>
      </c>
      <c r="C285" s="767">
        <v>200000</v>
      </c>
      <c r="D285" s="767">
        <v>200000</v>
      </c>
      <c r="E285" s="968"/>
      <c r="F285" s="2330"/>
      <c r="G285" s="2200"/>
      <c r="H285" s="2200"/>
      <c r="I285" s="2201"/>
    </row>
    <row r="286" spans="1:9" ht="30" customHeight="1" x14ac:dyDescent="0.2">
      <c r="A286" s="842">
        <v>2333</v>
      </c>
      <c r="B286" s="973" t="s">
        <v>1318</v>
      </c>
      <c r="C286" s="974">
        <f t="shared" ref="C286:D286" si="16">SUM(C287:C288)</f>
        <v>160000</v>
      </c>
      <c r="D286" s="974">
        <f t="shared" si="16"/>
        <v>160000</v>
      </c>
      <c r="E286" s="974"/>
      <c r="F286" s="820"/>
      <c r="G286" s="1663"/>
      <c r="H286" s="1663"/>
      <c r="I286" s="1662"/>
    </row>
    <row r="287" spans="1:9" ht="30" customHeight="1" x14ac:dyDescent="0.2">
      <c r="A287" s="967" t="s">
        <v>276</v>
      </c>
      <c r="B287" s="778" t="s">
        <v>1319</v>
      </c>
      <c r="C287" s="767">
        <v>80000</v>
      </c>
      <c r="D287" s="767">
        <v>80000</v>
      </c>
      <c r="E287" s="968"/>
      <c r="F287" s="2330"/>
      <c r="G287" s="2200"/>
      <c r="H287" s="2200"/>
      <c r="I287" s="2201"/>
    </row>
    <row r="288" spans="1:9" ht="30" customHeight="1" x14ac:dyDescent="0.2">
      <c r="A288" s="967" t="s">
        <v>278</v>
      </c>
      <c r="B288" s="778" t="s">
        <v>2233</v>
      </c>
      <c r="C288" s="779">
        <v>80000</v>
      </c>
      <c r="D288" s="779">
        <v>80000</v>
      </c>
      <c r="E288" s="935"/>
      <c r="F288" s="2334"/>
      <c r="G288" s="2200"/>
      <c r="H288" s="2200"/>
      <c r="I288" s="2201"/>
    </row>
    <row r="289" spans="1:11" s="98" customFormat="1" ht="30" customHeight="1" x14ac:dyDescent="0.25">
      <c r="A289" s="980"/>
      <c r="B289" s="925" t="s">
        <v>279</v>
      </c>
      <c r="C289" s="981">
        <f>SUM(C290+C304+C314)</f>
        <v>40696000</v>
      </c>
      <c r="D289" s="981">
        <f>SUM(D290+D304+D314)</f>
        <v>40946000</v>
      </c>
      <c r="E289" s="981"/>
      <c r="F289" s="2336"/>
      <c r="G289" s="2325"/>
      <c r="H289" s="2325"/>
      <c r="I289" s="2325"/>
    </row>
    <row r="290" spans="1:11" s="98" customFormat="1" ht="30" customHeight="1" x14ac:dyDescent="0.2">
      <c r="A290" s="867">
        <v>2212</v>
      </c>
      <c r="B290" s="963" t="s">
        <v>1321</v>
      </c>
      <c r="C290" s="984">
        <f t="shared" ref="C290:D290" si="17">SUM(C292:C303)</f>
        <v>34970000</v>
      </c>
      <c r="D290" s="984">
        <f t="shared" si="17"/>
        <v>34970000</v>
      </c>
      <c r="E290" s="984"/>
      <c r="F290" s="2338"/>
      <c r="G290" s="1663"/>
      <c r="H290" s="1663"/>
      <c r="I290" s="1662"/>
    </row>
    <row r="291" spans="1:11" s="2" customFormat="1" ht="30" customHeight="1" x14ac:dyDescent="0.2">
      <c r="A291" s="900"/>
      <c r="B291" s="889" t="s">
        <v>2234</v>
      </c>
      <c r="C291" s="772">
        <f>SUM(C292:C293)</f>
        <v>0</v>
      </c>
      <c r="D291" s="772">
        <f>SUM(D292:D293)</f>
        <v>0</v>
      </c>
      <c r="E291" s="772"/>
      <c r="F291" s="772"/>
      <c r="G291" s="2200"/>
      <c r="H291" s="2200"/>
      <c r="I291" s="2201"/>
    </row>
    <row r="292" spans="1:11" s="98" customFormat="1" ht="30" customHeight="1" x14ac:dyDescent="0.2">
      <c r="A292" s="967" t="s">
        <v>282</v>
      </c>
      <c r="B292" s="989" t="s">
        <v>2235</v>
      </c>
      <c r="C292" s="767">
        <v>0</v>
      </c>
      <c r="D292" s="767">
        <v>0</v>
      </c>
      <c r="E292" s="990"/>
      <c r="F292" s="794"/>
      <c r="G292" s="2200"/>
      <c r="H292" s="2200"/>
      <c r="I292" s="2201"/>
    </row>
    <row r="293" spans="1:11" s="98" customFormat="1" ht="30" customHeight="1" x14ac:dyDescent="0.2">
      <c r="A293" s="1028" t="s">
        <v>282</v>
      </c>
      <c r="B293" s="2523" t="s">
        <v>2236</v>
      </c>
      <c r="C293" s="738">
        <v>0</v>
      </c>
      <c r="D293" s="738">
        <v>0</v>
      </c>
      <c r="E293" s="1709"/>
      <c r="F293" s="1710"/>
      <c r="G293" s="2200"/>
      <c r="H293" s="2200"/>
      <c r="I293" s="2201"/>
    </row>
    <row r="294" spans="1:11" s="98" customFormat="1" ht="30" customHeight="1" x14ac:dyDescent="0.2">
      <c r="A294" s="1028" t="s">
        <v>286</v>
      </c>
      <c r="B294" s="737" t="s">
        <v>2237</v>
      </c>
      <c r="C294" s="738">
        <v>4800000</v>
      </c>
      <c r="D294" s="738">
        <v>4800000</v>
      </c>
      <c r="E294" s="1709"/>
      <c r="F294" s="1710"/>
      <c r="G294" s="2200"/>
      <c r="H294" s="2200"/>
      <c r="I294" s="2201"/>
    </row>
    <row r="295" spans="1:11" s="98" customFormat="1" ht="30" customHeight="1" x14ac:dyDescent="0.2">
      <c r="A295" s="1028" t="s">
        <v>286</v>
      </c>
      <c r="B295" s="737" t="s">
        <v>2238</v>
      </c>
      <c r="C295" s="738">
        <v>24500000</v>
      </c>
      <c r="D295" s="738">
        <v>24500000</v>
      </c>
      <c r="E295" s="1709"/>
      <c r="F295" s="1710"/>
      <c r="G295" s="2200"/>
      <c r="H295" s="2200"/>
      <c r="I295" s="2201"/>
      <c r="K295" s="1245"/>
    </row>
    <row r="296" spans="1:11" s="98" customFormat="1" ht="30" customHeight="1" x14ac:dyDescent="0.2">
      <c r="A296" s="1028" t="s">
        <v>2239</v>
      </c>
      <c r="B296" s="737" t="s">
        <v>1383</v>
      </c>
      <c r="C296" s="738">
        <v>20000</v>
      </c>
      <c r="D296" s="738">
        <f>20000+18732.1</f>
        <v>38732.1</v>
      </c>
      <c r="E296" s="1709"/>
      <c r="F296" s="1710"/>
      <c r="G296" s="2200"/>
      <c r="H296" s="2200"/>
      <c r="I296" s="2201"/>
    </row>
    <row r="297" spans="1:11" s="98" customFormat="1" ht="30" customHeight="1" x14ac:dyDescent="0.2">
      <c r="A297" s="1028" t="s">
        <v>291</v>
      </c>
      <c r="B297" s="2342" t="s">
        <v>2240</v>
      </c>
      <c r="C297" s="738">
        <v>3000000</v>
      </c>
      <c r="D297" s="738">
        <f>3000000-98736</f>
        <v>2901264</v>
      </c>
      <c r="E297" s="1709"/>
      <c r="F297" s="1710"/>
      <c r="G297" s="2200"/>
      <c r="H297" s="2200"/>
      <c r="I297" s="2201"/>
    </row>
    <row r="298" spans="1:11" s="98" customFormat="1" ht="30" customHeight="1" x14ac:dyDescent="0.2">
      <c r="A298" s="1028" t="s">
        <v>291</v>
      </c>
      <c r="B298" s="737" t="s">
        <v>1332</v>
      </c>
      <c r="C298" s="738">
        <v>0</v>
      </c>
      <c r="D298" s="738">
        <v>0</v>
      </c>
      <c r="E298" s="1709"/>
      <c r="F298" s="1710"/>
      <c r="G298" s="2200"/>
      <c r="H298" s="2200"/>
      <c r="I298" s="2201"/>
    </row>
    <row r="299" spans="1:11" s="98" customFormat="1" ht="30" customHeight="1" x14ac:dyDescent="0.2">
      <c r="A299" s="1028" t="s">
        <v>1330</v>
      </c>
      <c r="B299" s="737" t="s">
        <v>2241</v>
      </c>
      <c r="C299" s="2241">
        <v>1700000</v>
      </c>
      <c r="D299" s="2241">
        <f>1700000+370000</f>
        <v>2070000</v>
      </c>
      <c r="E299" s="1709"/>
      <c r="F299" s="1710"/>
      <c r="G299" s="2200"/>
      <c r="H299" s="2200"/>
      <c r="I299" s="2201"/>
      <c r="K299" s="1846"/>
    </row>
    <row r="300" spans="1:11" s="98" customFormat="1" ht="30" customHeight="1" x14ac:dyDescent="0.2">
      <c r="A300" s="1028" t="s">
        <v>293</v>
      </c>
      <c r="B300" s="737" t="s">
        <v>2242</v>
      </c>
      <c r="C300" s="2241">
        <v>500000</v>
      </c>
      <c r="D300" s="2241">
        <f>500000-18732.1</f>
        <v>481267.9</v>
      </c>
      <c r="E300" s="2343"/>
      <c r="F300" s="2235"/>
      <c r="G300" s="2200"/>
      <c r="H300" s="2200"/>
      <c r="I300" s="2201"/>
      <c r="K300" s="1846"/>
    </row>
    <row r="301" spans="1:11" s="98" customFormat="1" ht="30" customHeight="1" x14ac:dyDescent="0.2">
      <c r="A301" s="1028" t="s">
        <v>1334</v>
      </c>
      <c r="B301" s="737" t="s">
        <v>1335</v>
      </c>
      <c r="C301" s="2241">
        <v>450000</v>
      </c>
      <c r="D301" s="2241">
        <f>450000-370000</f>
        <v>80000</v>
      </c>
      <c r="E301" s="2340"/>
      <c r="F301" s="2341"/>
      <c r="G301" s="2200"/>
      <c r="H301" s="2200"/>
      <c r="I301" s="2201"/>
    </row>
    <row r="302" spans="1:11" s="98" customFormat="1" ht="30" customHeight="1" x14ac:dyDescent="0.2">
      <c r="A302" s="1028" t="s">
        <v>1336</v>
      </c>
      <c r="B302" s="737" t="s">
        <v>2243</v>
      </c>
      <c r="C302" s="738">
        <v>0</v>
      </c>
      <c r="D302" s="738">
        <v>0</v>
      </c>
      <c r="E302" s="2340"/>
      <c r="F302" s="2341"/>
      <c r="G302" s="2200"/>
      <c r="H302" s="2200"/>
      <c r="I302" s="2201"/>
    </row>
    <row r="303" spans="1:11" s="98" customFormat="1" ht="30" customHeight="1" x14ac:dyDescent="0.2">
      <c r="A303" s="1028" t="s">
        <v>1338</v>
      </c>
      <c r="B303" s="737" t="s">
        <v>2244</v>
      </c>
      <c r="C303" s="738">
        <v>0</v>
      </c>
      <c r="D303" s="738">
        <v>98736</v>
      </c>
      <c r="E303" s="2340"/>
      <c r="F303" s="2341"/>
      <c r="G303" s="2200"/>
      <c r="H303" s="2200"/>
      <c r="I303" s="2201"/>
    </row>
    <row r="304" spans="1:11" s="98" customFormat="1" ht="30" customHeight="1" x14ac:dyDescent="0.2">
      <c r="A304" s="771">
        <v>2219</v>
      </c>
      <c r="B304" s="717" t="s">
        <v>1342</v>
      </c>
      <c r="C304" s="726">
        <f>SUM(C305+C312+C313+C311)</f>
        <v>5260000</v>
      </c>
      <c r="D304" s="726">
        <f>SUM(D305+D312+D313+D311)</f>
        <v>5260000</v>
      </c>
      <c r="E304" s="726"/>
      <c r="F304" s="750"/>
      <c r="G304" s="1663"/>
      <c r="H304" s="1663"/>
      <c r="I304" s="1662"/>
    </row>
    <row r="305" spans="1:9" s="98" customFormat="1" ht="30" customHeight="1" x14ac:dyDescent="0.2">
      <c r="A305" s="900"/>
      <c r="B305" s="889" t="s">
        <v>2245</v>
      </c>
      <c r="C305" s="772">
        <f>SUM(C307:C310)</f>
        <v>150000</v>
      </c>
      <c r="D305" s="772">
        <f>SUM(D306:D310)</f>
        <v>270160.08</v>
      </c>
      <c r="E305" s="772"/>
      <c r="F305" s="772"/>
      <c r="G305" s="2200"/>
      <c r="H305" s="2200"/>
      <c r="I305" s="2201"/>
    </row>
    <row r="306" spans="1:9" s="98" customFormat="1" ht="30" customHeight="1" x14ac:dyDescent="0.2">
      <c r="A306" s="967" t="s">
        <v>2682</v>
      </c>
      <c r="B306" s="778" t="s">
        <v>2683</v>
      </c>
      <c r="C306" s="767">
        <v>0</v>
      </c>
      <c r="D306" s="767">
        <v>90212.58</v>
      </c>
      <c r="E306" s="990"/>
      <c r="F306" s="794"/>
      <c r="G306" s="2200"/>
      <c r="H306" s="2200"/>
      <c r="I306" s="2201"/>
    </row>
    <row r="307" spans="1:9" s="98" customFormat="1" ht="30" customHeight="1" x14ac:dyDescent="0.2">
      <c r="A307" s="967" t="s">
        <v>1345</v>
      </c>
      <c r="B307" s="796" t="s">
        <v>1346</v>
      </c>
      <c r="C307" s="767">
        <v>0</v>
      </c>
      <c r="D307" s="767">
        <v>0</v>
      </c>
      <c r="E307" s="990"/>
      <c r="F307" s="794"/>
      <c r="G307" s="2200"/>
      <c r="H307" s="2200"/>
      <c r="I307" s="2201"/>
    </row>
    <row r="308" spans="1:9" s="98" customFormat="1" ht="30" customHeight="1" x14ac:dyDescent="0.2">
      <c r="A308" s="967" t="s">
        <v>477</v>
      </c>
      <c r="B308" s="778" t="s">
        <v>1347</v>
      </c>
      <c r="C308" s="767">
        <v>0</v>
      </c>
      <c r="D308" s="767">
        <v>29947.5</v>
      </c>
      <c r="E308" s="990"/>
      <c r="F308" s="794"/>
      <c r="G308" s="2200"/>
      <c r="H308" s="2200"/>
      <c r="I308" s="2201"/>
    </row>
    <row r="309" spans="1:9" s="98" customFormat="1" ht="30" customHeight="1" x14ac:dyDescent="0.2">
      <c r="A309" s="967" t="s">
        <v>1525</v>
      </c>
      <c r="B309" s="778" t="s">
        <v>2247</v>
      </c>
      <c r="C309" s="767">
        <v>0</v>
      </c>
      <c r="D309" s="767">
        <v>0</v>
      </c>
      <c r="E309" s="990"/>
      <c r="F309" s="794"/>
      <c r="G309" s="2200"/>
      <c r="H309" s="2200"/>
      <c r="I309" s="2201"/>
    </row>
    <row r="310" spans="1:9" s="98" customFormat="1" ht="30" customHeight="1" x14ac:dyDescent="0.2">
      <c r="A310" s="967" t="s">
        <v>501</v>
      </c>
      <c r="B310" s="778" t="s">
        <v>1350</v>
      </c>
      <c r="C310" s="767">
        <v>150000</v>
      </c>
      <c r="D310" s="767">
        <v>150000</v>
      </c>
      <c r="E310" s="990"/>
      <c r="F310" s="794"/>
      <c r="G310" s="2200"/>
      <c r="H310" s="2200"/>
      <c r="I310" s="2201"/>
    </row>
    <row r="311" spans="1:9" s="98" customFormat="1" ht="30" customHeight="1" x14ac:dyDescent="0.2">
      <c r="A311" s="967" t="s">
        <v>1351</v>
      </c>
      <c r="B311" s="778" t="s">
        <v>2248</v>
      </c>
      <c r="C311" s="767">
        <v>10000</v>
      </c>
      <c r="D311" s="767">
        <v>10000</v>
      </c>
      <c r="E311" s="990"/>
      <c r="F311" s="794"/>
      <c r="G311" s="2200"/>
      <c r="H311" s="2200"/>
      <c r="I311" s="2201"/>
    </row>
    <row r="312" spans="1:9" ht="30" customHeight="1" x14ac:dyDescent="0.2">
      <c r="A312" s="995" t="s">
        <v>299</v>
      </c>
      <c r="B312" s="824" t="s">
        <v>1353</v>
      </c>
      <c r="C312" s="1828">
        <v>100000</v>
      </c>
      <c r="D312" s="1828">
        <v>100000</v>
      </c>
      <c r="E312" s="990"/>
      <c r="F312" s="794"/>
      <c r="G312" s="2200"/>
      <c r="H312" s="2200"/>
      <c r="I312" s="2201"/>
    </row>
    <row r="313" spans="1:9" s="2" customFormat="1" ht="30" customHeight="1" x14ac:dyDescent="0.2">
      <c r="A313" s="997" t="s">
        <v>301</v>
      </c>
      <c r="B313" s="1847" t="s">
        <v>2249</v>
      </c>
      <c r="C313" s="793">
        <v>5000000</v>
      </c>
      <c r="D313" s="793">
        <f>5000000-29947.5-90212.58</f>
        <v>4879839.92</v>
      </c>
      <c r="E313" s="893"/>
      <c r="F313" s="772"/>
      <c r="G313" s="2200"/>
      <c r="H313" s="2200"/>
      <c r="I313" s="2201"/>
    </row>
    <row r="314" spans="1:9" ht="30" customHeight="1" x14ac:dyDescent="0.2">
      <c r="A314" s="791">
        <v>2221</v>
      </c>
      <c r="B314" s="787" t="s">
        <v>1355</v>
      </c>
      <c r="C314" s="734">
        <f t="shared" ref="C314:D314" si="18">SUM(C315:C320)</f>
        <v>466000</v>
      </c>
      <c r="D314" s="734">
        <f t="shared" si="18"/>
        <v>716000</v>
      </c>
      <c r="E314" s="734"/>
      <c r="F314" s="772"/>
      <c r="G314" s="1663"/>
      <c r="H314" s="1663"/>
      <c r="I314" s="1662"/>
    </row>
    <row r="315" spans="1:9" ht="30" customHeight="1" x14ac:dyDescent="0.2">
      <c r="A315" s="967" t="s">
        <v>1356</v>
      </c>
      <c r="B315" s="889" t="s">
        <v>2250</v>
      </c>
      <c r="C315" s="767">
        <v>200000</v>
      </c>
      <c r="D315" s="767">
        <v>200000</v>
      </c>
      <c r="E315" s="892"/>
      <c r="F315" s="856"/>
      <c r="G315" s="2200"/>
      <c r="H315" s="2200"/>
      <c r="I315" s="2201"/>
    </row>
    <row r="316" spans="1:9" ht="30" customHeight="1" x14ac:dyDescent="0.2">
      <c r="A316" s="2524" t="s">
        <v>1356</v>
      </c>
      <c r="B316" s="1112" t="s">
        <v>2687</v>
      </c>
      <c r="C316" s="1077">
        <v>0</v>
      </c>
      <c r="D316" s="1077">
        <v>19312.5</v>
      </c>
      <c r="E316" s="1077"/>
      <c r="F316" s="1076"/>
      <c r="G316" s="2200"/>
      <c r="H316" s="2200"/>
      <c r="I316" s="2201"/>
    </row>
    <row r="317" spans="1:9" ht="30" customHeight="1" x14ac:dyDescent="0.2">
      <c r="A317" s="2524" t="s">
        <v>2688</v>
      </c>
      <c r="B317" s="1112" t="s">
        <v>2689</v>
      </c>
      <c r="C317" s="1077">
        <v>0</v>
      </c>
      <c r="D317" s="1077">
        <v>250000</v>
      </c>
      <c r="E317" s="1077"/>
      <c r="F317" s="1077"/>
      <c r="G317" s="2200"/>
      <c r="H317" s="2200"/>
      <c r="I317" s="2201"/>
    </row>
    <row r="318" spans="1:9" ht="30" customHeight="1" x14ac:dyDescent="0.2">
      <c r="A318" s="999" t="s">
        <v>2251</v>
      </c>
      <c r="B318" s="2348" t="s">
        <v>2252</v>
      </c>
      <c r="C318" s="890">
        <v>16000</v>
      </c>
      <c r="D318" s="890">
        <v>16000</v>
      </c>
      <c r="E318" s="890"/>
      <c r="F318" s="779"/>
      <c r="G318" s="2200"/>
      <c r="H318" s="2200"/>
      <c r="I318" s="2201"/>
    </row>
    <row r="319" spans="1:9" ht="30" customHeight="1" x14ac:dyDescent="0.2">
      <c r="A319" s="999" t="s">
        <v>308</v>
      </c>
      <c r="B319" s="889" t="s">
        <v>2253</v>
      </c>
      <c r="C319" s="767">
        <v>100000</v>
      </c>
      <c r="D319" s="767">
        <f>100000-19312.5</f>
        <v>80687.5</v>
      </c>
      <c r="E319" s="893"/>
      <c r="F319" s="772"/>
      <c r="G319" s="2200"/>
      <c r="H319" s="2200"/>
      <c r="I319" s="2201"/>
    </row>
    <row r="320" spans="1:9" ht="30" customHeight="1" x14ac:dyDescent="0.2">
      <c r="A320" s="999" t="s">
        <v>310</v>
      </c>
      <c r="B320" s="889" t="s">
        <v>2254</v>
      </c>
      <c r="C320" s="767">
        <v>150000</v>
      </c>
      <c r="D320" s="767">
        <v>150000</v>
      </c>
      <c r="E320" s="892"/>
      <c r="F320" s="856"/>
      <c r="G320" s="2200"/>
      <c r="H320" s="2200"/>
      <c r="I320" s="2201"/>
    </row>
    <row r="321" spans="1:9" ht="30" customHeight="1" x14ac:dyDescent="0.25">
      <c r="A321" s="980"/>
      <c r="B321" s="925" t="s">
        <v>312</v>
      </c>
      <c r="C321" s="1002">
        <f t="shared" ref="C321:D321" si="19">C322</f>
        <v>5120000</v>
      </c>
      <c r="D321" s="1002">
        <f t="shared" si="19"/>
        <v>8495008.6400000006</v>
      </c>
      <c r="E321" s="1002"/>
      <c r="F321" s="2349"/>
      <c r="G321" s="2325"/>
      <c r="H321" s="2325"/>
      <c r="I321" s="2325"/>
    </row>
    <row r="322" spans="1:9" ht="30" customHeight="1" x14ac:dyDescent="0.2">
      <c r="A322" s="962">
        <v>3639</v>
      </c>
      <c r="B322" s="963" t="s">
        <v>313</v>
      </c>
      <c r="C322" s="984">
        <f t="shared" ref="C322:D322" si="20">SUM(C323:C330)</f>
        <v>5120000</v>
      </c>
      <c r="D322" s="984">
        <f t="shared" si="20"/>
        <v>8495008.6400000006</v>
      </c>
      <c r="E322" s="984"/>
      <c r="F322" s="2338"/>
      <c r="G322" s="1663"/>
      <c r="H322" s="1663"/>
      <c r="I322" s="1662"/>
    </row>
    <row r="323" spans="1:9" ht="30" customHeight="1" x14ac:dyDescent="0.2">
      <c r="A323" s="967" t="s">
        <v>314</v>
      </c>
      <c r="B323" s="1852" t="s">
        <v>2255</v>
      </c>
      <c r="C323" s="767">
        <v>4400000</v>
      </c>
      <c r="D323" s="767">
        <f>4400000+3375008.64</f>
        <v>7775008.6400000006</v>
      </c>
      <c r="E323" s="990"/>
      <c r="F323" s="794"/>
      <c r="G323" s="2200"/>
      <c r="H323" s="2200"/>
      <c r="I323" s="2201"/>
    </row>
    <row r="324" spans="1:9" ht="30" customHeight="1" x14ac:dyDescent="0.2">
      <c r="A324" s="1009" t="s">
        <v>316</v>
      </c>
      <c r="B324" s="818" t="s">
        <v>1361</v>
      </c>
      <c r="C324" s="820">
        <v>40000</v>
      </c>
      <c r="D324" s="820">
        <v>40000</v>
      </c>
      <c r="E324" s="829"/>
      <c r="F324" s="829"/>
      <c r="G324" s="2200"/>
      <c r="H324" s="2200"/>
      <c r="I324" s="2201"/>
    </row>
    <row r="325" spans="1:9" ht="30" customHeight="1" x14ac:dyDescent="0.2">
      <c r="A325" s="1010" t="s">
        <v>316</v>
      </c>
      <c r="B325" s="939" t="s">
        <v>1362</v>
      </c>
      <c r="C325" s="890">
        <v>30000</v>
      </c>
      <c r="D325" s="890">
        <v>30000</v>
      </c>
      <c r="E325" s="1011"/>
      <c r="F325" s="891"/>
      <c r="G325" s="2200"/>
      <c r="H325" s="2200"/>
      <c r="I325" s="2201"/>
    </row>
    <row r="326" spans="1:9" ht="30" customHeight="1" x14ac:dyDescent="0.2">
      <c r="A326" s="967" t="s">
        <v>325</v>
      </c>
      <c r="B326" s="778" t="s">
        <v>326</v>
      </c>
      <c r="C326" s="767">
        <v>200000</v>
      </c>
      <c r="D326" s="767">
        <v>200000</v>
      </c>
      <c r="E326" s="893"/>
      <c r="F326" s="772"/>
      <c r="G326" s="2200"/>
      <c r="H326" s="2200"/>
      <c r="I326" s="2201"/>
    </row>
    <row r="327" spans="1:9" ht="30" customHeight="1" x14ac:dyDescent="0.2">
      <c r="A327" s="967" t="s">
        <v>321</v>
      </c>
      <c r="B327" s="778" t="s">
        <v>327</v>
      </c>
      <c r="C327" s="767">
        <v>150000</v>
      </c>
      <c r="D327" s="767">
        <v>150000</v>
      </c>
      <c r="E327" s="893"/>
      <c r="F327" s="772"/>
      <c r="G327" s="2200"/>
      <c r="H327" s="2200"/>
      <c r="I327" s="2201"/>
    </row>
    <row r="328" spans="1:9" ht="30" customHeight="1" x14ac:dyDescent="0.2">
      <c r="A328" s="967" t="s">
        <v>323</v>
      </c>
      <c r="B328" s="778" t="s">
        <v>328</v>
      </c>
      <c r="C328" s="767">
        <v>210000</v>
      </c>
      <c r="D328" s="767">
        <v>210000</v>
      </c>
      <c r="E328" s="893"/>
      <c r="F328" s="772"/>
      <c r="G328" s="2200"/>
      <c r="H328" s="2200"/>
      <c r="I328" s="2201"/>
    </row>
    <row r="329" spans="1:9" ht="30" customHeight="1" x14ac:dyDescent="0.2">
      <c r="A329" s="999" t="s">
        <v>331</v>
      </c>
      <c r="B329" s="796" t="s">
        <v>332</v>
      </c>
      <c r="C329" s="767">
        <v>0</v>
      </c>
      <c r="D329" s="767">
        <v>0</v>
      </c>
      <c r="E329" s="893"/>
      <c r="F329" s="772"/>
      <c r="G329" s="2200"/>
      <c r="H329" s="2200"/>
      <c r="I329" s="2201"/>
    </row>
    <row r="330" spans="1:9" ht="30" customHeight="1" x14ac:dyDescent="0.2">
      <c r="A330" s="999" t="s">
        <v>333</v>
      </c>
      <c r="B330" s="1012" t="s">
        <v>334</v>
      </c>
      <c r="C330" s="767">
        <v>90000</v>
      </c>
      <c r="D330" s="767">
        <v>90000</v>
      </c>
      <c r="E330" s="893"/>
      <c r="F330" s="772"/>
      <c r="G330" s="2200"/>
      <c r="H330" s="2200"/>
      <c r="I330" s="2201"/>
    </row>
    <row r="331" spans="1:9" ht="30" customHeight="1" x14ac:dyDescent="0.25">
      <c r="A331" s="980"/>
      <c r="B331" s="925" t="s">
        <v>335</v>
      </c>
      <c r="C331" s="1013">
        <f>SUM(C332+C337+C346+C349+C354+C361+C380+C383+C385+C388)</f>
        <v>27965000</v>
      </c>
      <c r="D331" s="1013">
        <f>SUM(D332+D337+D346+D349+D354+D361+D380+D383+D385+D388)</f>
        <v>28295799</v>
      </c>
      <c r="E331" s="1013"/>
      <c r="F331" s="2351"/>
      <c r="G331" s="2325"/>
      <c r="H331" s="2325"/>
      <c r="I331" s="2325"/>
    </row>
    <row r="332" spans="1:9" ht="30" customHeight="1" x14ac:dyDescent="0.2">
      <c r="A332" s="962">
        <v>3341</v>
      </c>
      <c r="B332" s="963" t="s">
        <v>1363</v>
      </c>
      <c r="C332" s="844">
        <f t="shared" ref="C332:D332" si="21">SUM(C333:C336)</f>
        <v>1205000</v>
      </c>
      <c r="D332" s="844">
        <f t="shared" si="21"/>
        <v>1205000</v>
      </c>
      <c r="E332" s="844"/>
      <c r="F332" s="2220"/>
      <c r="G332" s="1663"/>
      <c r="H332" s="1663"/>
      <c r="I332" s="1662"/>
    </row>
    <row r="333" spans="1:9" ht="30" customHeight="1" x14ac:dyDescent="0.2">
      <c r="A333" s="967" t="s">
        <v>337</v>
      </c>
      <c r="B333" s="796" t="s">
        <v>338</v>
      </c>
      <c r="C333" s="1828">
        <v>300000</v>
      </c>
      <c r="D333" s="1828">
        <v>300000</v>
      </c>
      <c r="E333" s="990"/>
      <c r="F333" s="794"/>
      <c r="G333" s="2200"/>
      <c r="H333" s="2200"/>
      <c r="I333" s="2201"/>
    </row>
    <row r="334" spans="1:9" ht="30" customHeight="1" x14ac:dyDescent="0.2">
      <c r="A334" s="967" t="s">
        <v>339</v>
      </c>
      <c r="B334" s="796" t="s">
        <v>1364</v>
      </c>
      <c r="C334" s="1828">
        <v>5000</v>
      </c>
      <c r="D334" s="1828">
        <v>5000</v>
      </c>
      <c r="E334" s="990"/>
      <c r="F334" s="794"/>
      <c r="G334" s="2200"/>
      <c r="H334" s="2200"/>
      <c r="I334" s="2201"/>
    </row>
    <row r="335" spans="1:9" ht="30" customHeight="1" x14ac:dyDescent="0.2">
      <c r="A335" s="967" t="s">
        <v>2256</v>
      </c>
      <c r="B335" s="901" t="s">
        <v>2257</v>
      </c>
      <c r="C335" s="1828">
        <v>300000</v>
      </c>
      <c r="D335" s="1828">
        <v>300000</v>
      </c>
      <c r="E335" s="990"/>
      <c r="F335" s="794"/>
      <c r="G335" s="2200"/>
      <c r="H335" s="2200"/>
      <c r="I335" s="2201"/>
    </row>
    <row r="336" spans="1:9" ht="30" customHeight="1" x14ac:dyDescent="0.2">
      <c r="A336" s="967" t="s">
        <v>1365</v>
      </c>
      <c r="B336" s="1852" t="s">
        <v>2258</v>
      </c>
      <c r="C336" s="1828">
        <v>600000</v>
      </c>
      <c r="D336" s="1828">
        <v>600000</v>
      </c>
      <c r="E336" s="794"/>
      <c r="F336" s="794"/>
      <c r="G336" s="2200"/>
      <c r="H336" s="2200"/>
      <c r="I336" s="2201"/>
    </row>
    <row r="337" spans="1:11" ht="30" customHeight="1" x14ac:dyDescent="0.2">
      <c r="A337" s="842">
        <v>3421</v>
      </c>
      <c r="B337" s="787" t="s">
        <v>1368</v>
      </c>
      <c r="C337" s="785">
        <f>SUM(C338:C345)</f>
        <v>3970000</v>
      </c>
      <c r="D337" s="785">
        <f>SUM(D338:D345)</f>
        <v>3970000</v>
      </c>
      <c r="E337" s="734"/>
      <c r="F337" s="772"/>
      <c r="G337" s="1663"/>
      <c r="H337" s="1663"/>
      <c r="I337" s="1662"/>
    </row>
    <row r="338" spans="1:11" ht="30" customHeight="1" x14ac:dyDescent="0.2">
      <c r="A338" s="967" t="s">
        <v>350</v>
      </c>
      <c r="B338" s="1017" t="s">
        <v>1369</v>
      </c>
      <c r="C338" s="1856">
        <v>550000</v>
      </c>
      <c r="D338" s="1856">
        <v>550000</v>
      </c>
      <c r="E338" s="990"/>
      <c r="F338" s="794"/>
      <c r="G338" s="2200"/>
      <c r="H338" s="2200"/>
      <c r="I338" s="2201"/>
    </row>
    <row r="339" spans="1:11" ht="30" customHeight="1" x14ac:dyDescent="0.2">
      <c r="A339" s="967" t="s">
        <v>342</v>
      </c>
      <c r="B339" s="1018" t="s">
        <v>1370</v>
      </c>
      <c r="C339" s="1828">
        <v>300000</v>
      </c>
      <c r="D339" s="1828">
        <v>300000</v>
      </c>
      <c r="E339" s="990"/>
      <c r="F339" s="794"/>
      <c r="G339" s="2200"/>
      <c r="H339" s="2200"/>
      <c r="I339" s="2201"/>
    </row>
    <row r="340" spans="1:11" ht="30" customHeight="1" x14ac:dyDescent="0.2">
      <c r="A340" s="967" t="s">
        <v>344</v>
      </c>
      <c r="B340" s="1018" t="s">
        <v>2259</v>
      </c>
      <c r="C340" s="1828">
        <v>20000</v>
      </c>
      <c r="D340" s="1828">
        <f>20000+775379.13</f>
        <v>795379.13</v>
      </c>
      <c r="E340" s="990"/>
      <c r="F340" s="794"/>
      <c r="G340" s="2200"/>
      <c r="H340" s="2200"/>
      <c r="I340" s="2201"/>
    </row>
    <row r="341" spans="1:11" ht="30" customHeight="1" x14ac:dyDescent="0.2">
      <c r="A341" s="967" t="s">
        <v>346</v>
      </c>
      <c r="B341" s="1018" t="s">
        <v>2260</v>
      </c>
      <c r="C341" s="1828">
        <v>100000</v>
      </c>
      <c r="D341" s="1828">
        <f>100000+199650</f>
        <v>299650</v>
      </c>
      <c r="E341" s="990"/>
      <c r="F341" s="794"/>
      <c r="G341" s="2200"/>
      <c r="H341" s="2200"/>
      <c r="I341" s="2201"/>
      <c r="K341" s="1858"/>
    </row>
    <row r="342" spans="1:11" ht="30" customHeight="1" x14ac:dyDescent="0.2">
      <c r="A342" s="967" t="s">
        <v>348</v>
      </c>
      <c r="B342" s="1017" t="s">
        <v>2261</v>
      </c>
      <c r="C342" s="1828">
        <v>2500000</v>
      </c>
      <c r="D342" s="1828">
        <f>2500000-96485.4-199650-775379.13</f>
        <v>1428485.4700000002</v>
      </c>
      <c r="E342" s="990"/>
      <c r="F342" s="794"/>
      <c r="G342" s="2200"/>
      <c r="H342" s="2200"/>
      <c r="I342" s="2201"/>
    </row>
    <row r="343" spans="1:11" ht="30" customHeight="1" x14ac:dyDescent="0.2">
      <c r="A343" s="967" t="s">
        <v>1374</v>
      </c>
      <c r="B343" s="1859" t="s">
        <v>2262</v>
      </c>
      <c r="C343" s="1828">
        <v>0</v>
      </c>
      <c r="D343" s="1828">
        <v>0</v>
      </c>
      <c r="E343" s="990"/>
      <c r="F343" s="794"/>
      <c r="G343" s="2200"/>
      <c r="H343" s="2200"/>
      <c r="I343" s="2201"/>
      <c r="K343" s="1858"/>
    </row>
    <row r="344" spans="1:11" ht="30" customHeight="1" x14ac:dyDescent="0.2">
      <c r="A344" s="967" t="s">
        <v>1374</v>
      </c>
      <c r="B344" s="1859" t="s">
        <v>2263</v>
      </c>
      <c r="C344" s="1828">
        <v>500000</v>
      </c>
      <c r="D344" s="1828">
        <v>500000</v>
      </c>
      <c r="E344" s="990"/>
      <c r="F344" s="794"/>
      <c r="G344" s="2200"/>
      <c r="H344" s="2200"/>
      <c r="I344" s="2201"/>
      <c r="K344" s="1858"/>
    </row>
    <row r="345" spans="1:11" ht="30" customHeight="1" x14ac:dyDescent="0.2">
      <c r="A345" s="967" t="s">
        <v>1374</v>
      </c>
      <c r="B345" s="1859" t="s">
        <v>2977</v>
      </c>
      <c r="C345" s="1828">
        <v>0</v>
      </c>
      <c r="D345" s="1828">
        <v>96485.4</v>
      </c>
      <c r="E345" s="990"/>
      <c r="F345" s="794"/>
      <c r="G345" s="2200"/>
      <c r="H345" s="2200"/>
      <c r="I345" s="2201"/>
      <c r="K345" s="1858"/>
    </row>
    <row r="346" spans="1:11" ht="30" customHeight="1" x14ac:dyDescent="0.2">
      <c r="A346" s="842">
        <v>3412</v>
      </c>
      <c r="B346" s="787" t="s">
        <v>2264</v>
      </c>
      <c r="C346" s="785">
        <f t="shared" ref="C346:D346" si="22">SUM(C347:C348)</f>
        <v>150000</v>
      </c>
      <c r="D346" s="785">
        <f t="shared" si="22"/>
        <v>150000</v>
      </c>
      <c r="E346" s="734"/>
      <c r="F346" s="772"/>
      <c r="G346" s="1663"/>
      <c r="H346" s="1663"/>
      <c r="I346" s="1662"/>
    </row>
    <row r="347" spans="1:11" ht="30" customHeight="1" x14ac:dyDescent="0.2">
      <c r="A347" s="967" t="s">
        <v>2265</v>
      </c>
      <c r="B347" s="1018" t="s">
        <v>2266</v>
      </c>
      <c r="C347" s="1828">
        <v>50000</v>
      </c>
      <c r="D347" s="1828">
        <v>50000</v>
      </c>
      <c r="E347" s="990"/>
      <c r="F347" s="794"/>
      <c r="G347" s="2200"/>
      <c r="H347" s="2200"/>
      <c r="I347" s="2201"/>
    </row>
    <row r="348" spans="1:11" ht="30" customHeight="1" x14ac:dyDescent="0.2">
      <c r="A348" s="967" t="s">
        <v>2267</v>
      </c>
      <c r="B348" s="1018" t="s">
        <v>2268</v>
      </c>
      <c r="C348" s="1828">
        <v>100000</v>
      </c>
      <c r="D348" s="1828">
        <v>100000</v>
      </c>
      <c r="E348" s="990"/>
      <c r="F348" s="794"/>
      <c r="G348" s="2200"/>
      <c r="H348" s="2200"/>
      <c r="I348" s="2201"/>
    </row>
    <row r="349" spans="1:11" ht="30" customHeight="1" x14ac:dyDescent="0.2">
      <c r="A349" s="842">
        <v>3429</v>
      </c>
      <c r="B349" s="787" t="s">
        <v>2269</v>
      </c>
      <c r="C349" s="785">
        <f t="shared" ref="C349:D349" si="23">SUM(C350:C353)</f>
        <v>140000</v>
      </c>
      <c r="D349" s="785">
        <f t="shared" si="23"/>
        <v>140000</v>
      </c>
      <c r="E349" s="734"/>
      <c r="F349" s="772"/>
      <c r="G349" s="1663"/>
      <c r="H349" s="1663"/>
      <c r="I349" s="1662"/>
    </row>
    <row r="350" spans="1:11" ht="30" customHeight="1" x14ac:dyDescent="0.2">
      <c r="A350" s="967" t="s">
        <v>2270</v>
      </c>
      <c r="B350" s="1018" t="s">
        <v>2271</v>
      </c>
      <c r="C350" s="1828">
        <v>20000</v>
      </c>
      <c r="D350" s="1828">
        <v>20000</v>
      </c>
      <c r="E350" s="990"/>
      <c r="F350" s="794"/>
      <c r="G350" s="2200"/>
      <c r="H350" s="2200"/>
      <c r="I350" s="2201"/>
    </row>
    <row r="351" spans="1:11" ht="30" customHeight="1" x14ac:dyDescent="0.2">
      <c r="A351" s="967" t="s">
        <v>2272</v>
      </c>
      <c r="B351" s="1018" t="s">
        <v>2273</v>
      </c>
      <c r="C351" s="1828">
        <v>20000</v>
      </c>
      <c r="D351" s="1828">
        <v>20000</v>
      </c>
      <c r="E351" s="990"/>
      <c r="F351" s="794"/>
      <c r="G351" s="2200"/>
      <c r="H351" s="2200"/>
      <c r="I351" s="2201"/>
    </row>
    <row r="352" spans="1:11" ht="30" customHeight="1" x14ac:dyDescent="0.2">
      <c r="A352" s="967" t="s">
        <v>2274</v>
      </c>
      <c r="B352" s="1018" t="s">
        <v>2268</v>
      </c>
      <c r="C352" s="1828">
        <v>100000</v>
      </c>
      <c r="D352" s="1828">
        <v>100000</v>
      </c>
      <c r="E352" s="990"/>
      <c r="F352" s="794"/>
      <c r="G352" s="2200"/>
      <c r="H352" s="2200"/>
      <c r="I352" s="2201"/>
    </row>
    <row r="353" spans="1:9" ht="30" customHeight="1" x14ac:dyDescent="0.2">
      <c r="A353" s="967" t="s">
        <v>2275</v>
      </c>
      <c r="B353" s="1859" t="s">
        <v>2276</v>
      </c>
      <c r="C353" s="1828">
        <v>0</v>
      </c>
      <c r="D353" s="1828">
        <v>0</v>
      </c>
      <c r="E353" s="990"/>
      <c r="F353" s="794"/>
      <c r="G353" s="2200"/>
      <c r="H353" s="2200"/>
      <c r="I353" s="2201"/>
    </row>
    <row r="354" spans="1:9" ht="30" customHeight="1" x14ac:dyDescent="0.2">
      <c r="A354" s="791">
        <v>3613</v>
      </c>
      <c r="B354" s="787" t="s">
        <v>1379</v>
      </c>
      <c r="C354" s="785">
        <f t="shared" ref="C354:D354" si="24">SUM(C355:C360)</f>
        <v>2380000</v>
      </c>
      <c r="D354" s="785">
        <f t="shared" si="24"/>
        <v>2606282</v>
      </c>
      <c r="E354" s="734"/>
      <c r="F354" s="772"/>
      <c r="G354" s="1663"/>
      <c r="H354" s="1663"/>
      <c r="I354" s="1662"/>
    </row>
    <row r="355" spans="1:9" ht="30" customHeight="1" x14ac:dyDescent="0.2">
      <c r="A355" s="999" t="s">
        <v>353</v>
      </c>
      <c r="B355" s="889" t="s">
        <v>1382</v>
      </c>
      <c r="C355" s="1828">
        <v>5000</v>
      </c>
      <c r="D355" s="1828">
        <v>5000</v>
      </c>
      <c r="E355" s="990"/>
      <c r="F355" s="794"/>
      <c r="G355" s="2200"/>
      <c r="H355" s="2200"/>
      <c r="I355" s="2201"/>
    </row>
    <row r="356" spans="1:9" ht="30" customHeight="1" x14ac:dyDescent="0.2">
      <c r="A356" s="999" t="s">
        <v>355</v>
      </c>
      <c r="B356" s="889" t="s">
        <v>1383</v>
      </c>
      <c r="C356" s="1828">
        <v>15000</v>
      </c>
      <c r="D356" s="1828">
        <v>15000</v>
      </c>
      <c r="E356" s="990"/>
      <c r="F356" s="794"/>
      <c r="G356" s="2200"/>
      <c r="H356" s="2200"/>
      <c r="I356" s="2201"/>
    </row>
    <row r="357" spans="1:9" ht="30" customHeight="1" x14ac:dyDescent="0.2">
      <c r="A357" s="999" t="s">
        <v>357</v>
      </c>
      <c r="B357" s="796" t="s">
        <v>1384</v>
      </c>
      <c r="C357" s="1828">
        <v>200000</v>
      </c>
      <c r="D357" s="1828">
        <v>200000</v>
      </c>
      <c r="E357" s="1023"/>
      <c r="F357" s="810"/>
      <c r="G357" s="2200"/>
      <c r="H357" s="2200"/>
      <c r="I357" s="2201"/>
    </row>
    <row r="358" spans="1:9" ht="30" customHeight="1" x14ac:dyDescent="0.2">
      <c r="A358" s="999" t="s">
        <v>359</v>
      </c>
      <c r="B358" s="796" t="s">
        <v>1385</v>
      </c>
      <c r="C358" s="767">
        <v>560000</v>
      </c>
      <c r="D358" s="767">
        <v>560000</v>
      </c>
      <c r="E358" s="894"/>
      <c r="F358" s="767"/>
      <c r="G358" s="2200"/>
      <c r="H358" s="2200"/>
      <c r="I358" s="2201"/>
    </row>
    <row r="359" spans="1:9" ht="30" customHeight="1" x14ac:dyDescent="0.2">
      <c r="A359" s="999" t="s">
        <v>361</v>
      </c>
      <c r="B359" s="796" t="s">
        <v>1386</v>
      </c>
      <c r="C359" s="767">
        <v>100000</v>
      </c>
      <c r="D359" s="767">
        <v>100000</v>
      </c>
      <c r="E359" s="894"/>
      <c r="F359" s="767"/>
      <c r="G359" s="2200"/>
      <c r="H359" s="2200"/>
      <c r="I359" s="2201"/>
    </row>
    <row r="360" spans="1:9" ht="30" customHeight="1" x14ac:dyDescent="0.2">
      <c r="A360" s="999" t="s">
        <v>364</v>
      </c>
      <c r="B360" s="1860" t="s">
        <v>2277</v>
      </c>
      <c r="C360" s="767">
        <v>1500000</v>
      </c>
      <c r="D360" s="767">
        <f>1500000+226282</f>
        <v>1726282</v>
      </c>
      <c r="E360" s="894"/>
      <c r="F360" s="767"/>
      <c r="G360" s="2200"/>
      <c r="H360" s="2200"/>
      <c r="I360" s="2201"/>
    </row>
    <row r="361" spans="1:9" ht="30" customHeight="1" x14ac:dyDescent="0.2">
      <c r="A361" s="791">
        <v>3631</v>
      </c>
      <c r="B361" s="787" t="s">
        <v>1390</v>
      </c>
      <c r="C361" s="734">
        <f t="shared" ref="C361:D361" si="25">SUM(C362++C363+C364+C365+C366+C367+C368)</f>
        <v>15650000</v>
      </c>
      <c r="D361" s="734">
        <f t="shared" si="25"/>
        <v>15650000</v>
      </c>
      <c r="E361" s="734"/>
      <c r="F361" s="772"/>
      <c r="G361" s="1663"/>
      <c r="H361" s="1663"/>
      <c r="I361" s="1662"/>
    </row>
    <row r="362" spans="1:9" ht="30" customHeight="1" x14ac:dyDescent="0.2">
      <c r="A362" s="967" t="s">
        <v>371</v>
      </c>
      <c r="B362" s="778" t="s">
        <v>1391</v>
      </c>
      <c r="C362" s="767">
        <v>5450000</v>
      </c>
      <c r="D362" s="767">
        <v>5450000</v>
      </c>
      <c r="E362" s="1023"/>
      <c r="F362" s="810"/>
      <c r="G362" s="2200"/>
      <c r="H362" s="2200"/>
      <c r="I362" s="2201"/>
    </row>
    <row r="363" spans="1:9" ht="30" customHeight="1" x14ac:dyDescent="0.2">
      <c r="A363" s="1025" t="s">
        <v>1392</v>
      </c>
      <c r="B363" s="778" t="s">
        <v>1393</v>
      </c>
      <c r="C363" s="767">
        <v>0</v>
      </c>
      <c r="D363" s="767">
        <v>0</v>
      </c>
      <c r="E363" s="1023"/>
      <c r="F363" s="810"/>
      <c r="G363" s="2200"/>
      <c r="H363" s="2200"/>
      <c r="I363" s="2201"/>
    </row>
    <row r="364" spans="1:9" ht="30" customHeight="1" x14ac:dyDescent="0.2">
      <c r="A364" s="999" t="s">
        <v>367</v>
      </c>
      <c r="B364" s="778" t="s">
        <v>1394</v>
      </c>
      <c r="C364" s="767">
        <v>50000</v>
      </c>
      <c r="D364" s="767">
        <v>50000</v>
      </c>
      <c r="E364" s="893"/>
      <c r="F364" s="772"/>
      <c r="G364" s="2200"/>
      <c r="H364" s="2200"/>
      <c r="I364" s="2201"/>
    </row>
    <row r="365" spans="1:9" ht="30" customHeight="1" x14ac:dyDescent="0.2">
      <c r="A365" s="999" t="s">
        <v>369</v>
      </c>
      <c r="B365" s="778" t="s">
        <v>1395</v>
      </c>
      <c r="C365" s="1829">
        <v>0</v>
      </c>
      <c r="D365" s="1829">
        <v>0</v>
      </c>
      <c r="E365" s="1023"/>
      <c r="F365" s="810"/>
      <c r="G365" s="2200"/>
      <c r="H365" s="2200"/>
      <c r="I365" s="2201"/>
    </row>
    <row r="366" spans="1:9" ht="30" customHeight="1" x14ac:dyDescent="0.2">
      <c r="A366" s="999" t="s">
        <v>369</v>
      </c>
      <c r="B366" s="778" t="s">
        <v>2278</v>
      </c>
      <c r="C366" s="767">
        <v>1500000</v>
      </c>
      <c r="D366" s="767">
        <v>1500000</v>
      </c>
      <c r="E366" s="893"/>
      <c r="F366" s="772"/>
      <c r="G366" s="2200"/>
      <c r="H366" s="2200"/>
      <c r="I366" s="2201"/>
    </row>
    <row r="367" spans="1:9" ht="30" customHeight="1" x14ac:dyDescent="0.2">
      <c r="A367" s="967" t="s">
        <v>373</v>
      </c>
      <c r="B367" s="778" t="s">
        <v>374</v>
      </c>
      <c r="C367" s="767">
        <v>6300000</v>
      </c>
      <c r="D367" s="767">
        <v>6300000</v>
      </c>
      <c r="E367" s="1026"/>
      <c r="F367" s="767"/>
      <c r="G367" s="2200"/>
      <c r="H367" s="2200"/>
      <c r="I367" s="2201"/>
    </row>
    <row r="368" spans="1:9" ht="30" customHeight="1" x14ac:dyDescent="0.2">
      <c r="A368" s="967"/>
      <c r="B368" s="889" t="s">
        <v>2279</v>
      </c>
      <c r="C368" s="772">
        <f>SUM(C369:C379)</f>
        <v>2350000</v>
      </c>
      <c r="D368" s="772">
        <f>SUM(D369:D379)</f>
        <v>2350000</v>
      </c>
      <c r="E368" s="772"/>
      <c r="F368" s="772"/>
      <c r="G368" s="2200"/>
      <c r="H368" s="2200"/>
      <c r="I368" s="2201"/>
    </row>
    <row r="369" spans="1:9" ht="30" customHeight="1" x14ac:dyDescent="0.2">
      <c r="A369" s="967" t="s">
        <v>2280</v>
      </c>
      <c r="B369" s="1018" t="s">
        <v>2281</v>
      </c>
      <c r="C369" s="767">
        <v>0</v>
      </c>
      <c r="D369" s="767">
        <v>0</v>
      </c>
      <c r="E369" s="990"/>
      <c r="F369" s="794"/>
      <c r="G369" s="2200"/>
      <c r="H369" s="2200"/>
      <c r="I369" s="2201"/>
    </row>
    <row r="370" spans="1:9" ht="30" customHeight="1" x14ac:dyDescent="0.2">
      <c r="A370" s="967" t="s">
        <v>2280</v>
      </c>
      <c r="B370" s="1018" t="s">
        <v>2282</v>
      </c>
      <c r="C370" s="767">
        <v>0</v>
      </c>
      <c r="D370" s="767">
        <v>0</v>
      </c>
      <c r="E370" s="990"/>
      <c r="F370" s="794"/>
      <c r="G370" s="2200"/>
      <c r="H370" s="2200"/>
      <c r="I370" s="2201"/>
    </row>
    <row r="371" spans="1:9" ht="30" customHeight="1" x14ac:dyDescent="0.2">
      <c r="A371" s="967" t="s">
        <v>585</v>
      </c>
      <c r="B371" s="1018" t="s">
        <v>2283</v>
      </c>
      <c r="C371" s="767">
        <v>650000</v>
      </c>
      <c r="D371" s="767">
        <v>650000</v>
      </c>
      <c r="E371" s="990"/>
      <c r="F371" s="794"/>
      <c r="G371" s="2200"/>
      <c r="H371" s="2200"/>
      <c r="I371" s="2201"/>
    </row>
    <row r="372" spans="1:9" ht="30" customHeight="1" x14ac:dyDescent="0.2">
      <c r="A372" s="967" t="s">
        <v>2724</v>
      </c>
      <c r="B372" s="1018" t="s">
        <v>2978</v>
      </c>
      <c r="C372" s="767">
        <v>0</v>
      </c>
      <c r="D372" s="767">
        <v>40838</v>
      </c>
      <c r="E372" s="990"/>
      <c r="F372" s="794"/>
      <c r="G372" s="2200"/>
      <c r="H372" s="2200"/>
      <c r="I372" s="2201"/>
    </row>
    <row r="373" spans="1:9" ht="30" customHeight="1" x14ac:dyDescent="0.2">
      <c r="A373" s="967" t="s">
        <v>577</v>
      </c>
      <c r="B373" s="1018" t="s">
        <v>2286</v>
      </c>
      <c r="C373" s="767">
        <v>0</v>
      </c>
      <c r="D373" s="767">
        <v>0</v>
      </c>
      <c r="E373" s="1026"/>
      <c r="F373" s="1027"/>
      <c r="G373" s="2200"/>
      <c r="H373" s="2200"/>
      <c r="I373" s="2201"/>
    </row>
    <row r="374" spans="1:9" s="2" customFormat="1" ht="30" customHeight="1" x14ac:dyDescent="0.2">
      <c r="A374" s="967" t="s">
        <v>1401</v>
      </c>
      <c r="B374" s="1018" t="s">
        <v>2287</v>
      </c>
      <c r="C374" s="767">
        <v>0</v>
      </c>
      <c r="D374" s="767">
        <v>0</v>
      </c>
      <c r="E374" s="1026"/>
      <c r="F374" s="1027"/>
      <c r="G374" s="2200"/>
      <c r="H374" s="2200"/>
      <c r="I374" s="2201"/>
    </row>
    <row r="375" spans="1:9" s="98" customFormat="1" ht="30" customHeight="1" x14ac:dyDescent="0.2">
      <c r="A375" s="967" t="s">
        <v>1403</v>
      </c>
      <c r="B375" s="1018" t="s">
        <v>2288</v>
      </c>
      <c r="C375" s="767">
        <v>0</v>
      </c>
      <c r="D375" s="767">
        <v>0</v>
      </c>
      <c r="E375" s="1026"/>
      <c r="F375" s="1027"/>
      <c r="G375" s="2200"/>
      <c r="H375" s="2200"/>
      <c r="I375" s="2201"/>
    </row>
    <row r="376" spans="1:9" s="98" customFormat="1" ht="30" customHeight="1" x14ac:dyDescent="0.2">
      <c r="A376" s="1009" t="s">
        <v>1405</v>
      </c>
      <c r="B376" s="1862" t="s">
        <v>2289</v>
      </c>
      <c r="C376" s="820">
        <v>0</v>
      </c>
      <c r="D376" s="820">
        <v>0</v>
      </c>
      <c r="E376" s="1863"/>
      <c r="F376" s="1863"/>
      <c r="G376" s="2200"/>
      <c r="H376" s="2200"/>
      <c r="I376" s="2201"/>
    </row>
    <row r="377" spans="1:9" ht="30" customHeight="1" x14ac:dyDescent="0.2">
      <c r="A377" s="1150" t="s">
        <v>1759</v>
      </c>
      <c r="B377" s="809" t="s">
        <v>2290</v>
      </c>
      <c r="C377" s="1077">
        <v>700000</v>
      </c>
      <c r="D377" s="1077">
        <v>700000</v>
      </c>
      <c r="E377" s="1077"/>
      <c r="F377" s="1077"/>
      <c r="G377" s="2200"/>
      <c r="H377" s="2200"/>
      <c r="I377" s="2201"/>
    </row>
    <row r="378" spans="1:9" s="98" customFormat="1" ht="30" customHeight="1" x14ac:dyDescent="0.2">
      <c r="A378" s="999" t="s">
        <v>1407</v>
      </c>
      <c r="B378" s="1017" t="s">
        <v>2291</v>
      </c>
      <c r="C378" s="767">
        <v>0</v>
      </c>
      <c r="D378" s="767">
        <v>0</v>
      </c>
      <c r="E378" s="1865"/>
      <c r="F378" s="1355"/>
      <c r="G378" s="2200"/>
      <c r="H378" s="2200"/>
      <c r="I378" s="2201"/>
    </row>
    <row r="379" spans="1:9" s="98" customFormat="1" ht="30" customHeight="1" x14ac:dyDescent="0.2">
      <c r="A379" s="1028" t="s">
        <v>591</v>
      </c>
      <c r="B379" s="1029" t="s">
        <v>2292</v>
      </c>
      <c r="C379" s="738">
        <v>1000000</v>
      </c>
      <c r="D379" s="738">
        <f>1000000-40838</f>
        <v>959162</v>
      </c>
      <c r="E379" s="1031"/>
      <c r="F379" s="1032"/>
      <c r="G379" s="2200"/>
      <c r="H379" s="2200"/>
      <c r="I379" s="2201"/>
    </row>
    <row r="380" spans="1:9" s="98" customFormat="1" ht="30" customHeight="1" x14ac:dyDescent="0.2">
      <c r="A380" s="771">
        <v>3632</v>
      </c>
      <c r="B380" s="717" t="s">
        <v>2293</v>
      </c>
      <c r="C380" s="726">
        <f>SUM(C381,C382)</f>
        <v>4015000</v>
      </c>
      <c r="D380" s="726">
        <f>SUM(D381:D382)</f>
        <v>4119517</v>
      </c>
      <c r="E380" s="726"/>
      <c r="F380" s="750"/>
      <c r="G380" s="1663"/>
      <c r="H380" s="1663"/>
      <c r="I380" s="1662"/>
    </row>
    <row r="381" spans="1:9" s="98" customFormat="1" ht="30" customHeight="1" x14ac:dyDescent="0.2">
      <c r="A381" s="1028" t="s">
        <v>383</v>
      </c>
      <c r="B381" s="737" t="s">
        <v>2299</v>
      </c>
      <c r="C381" s="1710">
        <f>50000+400000+245000+120000+3100000</f>
        <v>3915000</v>
      </c>
      <c r="D381" s="1710">
        <f>(50000+400000+245000+120000+3100000)+104517</f>
        <v>4019517</v>
      </c>
      <c r="E381" s="1710"/>
      <c r="F381" s="750"/>
      <c r="G381" s="2200"/>
      <c r="H381" s="2200"/>
      <c r="I381" s="2201"/>
    </row>
    <row r="382" spans="1:9" s="98" customFormat="1" ht="30" customHeight="1" x14ac:dyDescent="0.2">
      <c r="A382" s="1028" t="s">
        <v>2729</v>
      </c>
      <c r="B382" s="737" t="s">
        <v>2979</v>
      </c>
      <c r="C382" s="738">
        <v>100000</v>
      </c>
      <c r="D382" s="738">
        <v>100000</v>
      </c>
      <c r="E382" s="1030"/>
      <c r="F382" s="750"/>
      <c r="G382" s="2200"/>
      <c r="H382" s="2200"/>
      <c r="I382" s="2201"/>
    </row>
    <row r="383" spans="1:9" s="98" customFormat="1" ht="30" customHeight="1" x14ac:dyDescent="0.2">
      <c r="A383" s="771">
        <v>3639</v>
      </c>
      <c r="B383" s="717" t="s">
        <v>1418</v>
      </c>
      <c r="C383" s="726">
        <f t="shared" ref="C383:D383" si="26">SUM(C384:C384)</f>
        <v>5000</v>
      </c>
      <c r="D383" s="726">
        <f t="shared" si="26"/>
        <v>5000</v>
      </c>
      <c r="E383" s="726"/>
      <c r="F383" s="750"/>
      <c r="G383" s="1663"/>
      <c r="H383" s="1663"/>
      <c r="I383" s="1662"/>
    </row>
    <row r="384" spans="1:9" s="98" customFormat="1" ht="30" customHeight="1" x14ac:dyDescent="0.2">
      <c r="A384" s="1037" t="s">
        <v>392</v>
      </c>
      <c r="B384" s="737" t="s">
        <v>2301</v>
      </c>
      <c r="C384" s="738">
        <v>5000</v>
      </c>
      <c r="D384" s="738">
        <v>5000</v>
      </c>
      <c r="E384" s="1030"/>
      <c r="F384" s="750"/>
      <c r="G384" s="2200"/>
      <c r="H384" s="2200"/>
      <c r="I384" s="2201"/>
    </row>
    <row r="385" spans="1:9" s="98" customFormat="1" ht="30" customHeight="1" x14ac:dyDescent="0.2">
      <c r="A385" s="771">
        <v>3699</v>
      </c>
      <c r="B385" s="717" t="s">
        <v>1421</v>
      </c>
      <c r="C385" s="726">
        <f t="shared" ref="C385:D385" si="27">SUM(C386:C387)</f>
        <v>450000</v>
      </c>
      <c r="D385" s="726">
        <f t="shared" si="27"/>
        <v>450000</v>
      </c>
      <c r="E385" s="726"/>
      <c r="F385" s="750"/>
      <c r="G385" s="1663"/>
      <c r="H385" s="1663"/>
      <c r="I385" s="1662"/>
    </row>
    <row r="386" spans="1:9" s="98" customFormat="1" ht="30" customHeight="1" x14ac:dyDescent="0.2">
      <c r="A386" s="1038" t="s">
        <v>1422</v>
      </c>
      <c r="B386" s="1039" t="s">
        <v>2302</v>
      </c>
      <c r="C386" s="1867">
        <v>100000</v>
      </c>
      <c r="D386" s="1867">
        <v>100000</v>
      </c>
      <c r="E386" s="1041"/>
      <c r="F386" s="1042"/>
      <c r="G386" s="2200"/>
      <c r="H386" s="2200"/>
      <c r="I386" s="2201"/>
    </row>
    <row r="387" spans="1:9" ht="30" customHeight="1" x14ac:dyDescent="0.2">
      <c r="A387" s="1043" t="s">
        <v>395</v>
      </c>
      <c r="B387" s="1044" t="s">
        <v>2303</v>
      </c>
      <c r="C387" s="1045">
        <v>350000</v>
      </c>
      <c r="D387" s="1045">
        <v>350000</v>
      </c>
      <c r="E387" s="1042"/>
      <c r="F387" s="1045"/>
      <c r="G387" s="2200"/>
      <c r="H387" s="2200"/>
      <c r="I387" s="2201"/>
    </row>
    <row r="388" spans="1:9" s="98" customFormat="1" ht="30" customHeight="1" x14ac:dyDescent="0.2">
      <c r="A388" s="1870">
        <v>3900</v>
      </c>
      <c r="B388" s="1240" t="s">
        <v>2304</v>
      </c>
      <c r="C388" s="727">
        <f t="shared" ref="C388:D388" si="28">SUM(C389:C389)</f>
        <v>0</v>
      </c>
      <c r="D388" s="727">
        <f t="shared" si="28"/>
        <v>0</v>
      </c>
      <c r="E388" s="727"/>
      <c r="F388" s="1077"/>
      <c r="G388" s="1663"/>
      <c r="H388" s="1663"/>
      <c r="I388" s="1662"/>
    </row>
    <row r="389" spans="1:9" s="98" customFormat="1" ht="30" customHeight="1" x14ac:dyDescent="0.2">
      <c r="A389" s="1871" t="s">
        <v>2305</v>
      </c>
      <c r="B389" s="1872" t="s">
        <v>2306</v>
      </c>
      <c r="C389" s="1873">
        <v>0</v>
      </c>
      <c r="D389" s="1873">
        <v>0</v>
      </c>
      <c r="E389" s="1341"/>
      <c r="F389" s="1158"/>
      <c r="G389" s="2200"/>
      <c r="H389" s="2200"/>
      <c r="I389" s="2201"/>
    </row>
    <row r="390" spans="1:9" ht="30" customHeight="1" x14ac:dyDescent="0.3">
      <c r="A390" s="1050"/>
      <c r="B390" s="1051" t="s">
        <v>1031</v>
      </c>
      <c r="C390" s="1052">
        <f>C391+C404+C471+C501+C513+C526+C531+C543+C588+C608</f>
        <v>323519700</v>
      </c>
      <c r="D390" s="1052">
        <f>D391+D404+D471+D501+D513+D526+D531+D543+D588+D608</f>
        <v>330318200</v>
      </c>
      <c r="E390" s="1052"/>
      <c r="F390" s="2359"/>
      <c r="G390" s="949"/>
      <c r="H390" s="949"/>
      <c r="I390" s="949"/>
    </row>
    <row r="391" spans="1:9" s="98" customFormat="1" ht="30" customHeight="1" x14ac:dyDescent="0.25">
      <c r="A391" s="1053"/>
      <c r="B391" s="1054" t="s">
        <v>398</v>
      </c>
      <c r="C391" s="1055">
        <f t="shared" ref="C391:D391" si="29">SUM(C392+C396)</f>
        <v>9902000</v>
      </c>
      <c r="D391" s="1055">
        <f t="shared" si="29"/>
        <v>9902000</v>
      </c>
      <c r="E391" s="1055"/>
      <c r="F391" s="2361"/>
      <c r="G391" s="2325"/>
      <c r="H391" s="2325"/>
      <c r="I391" s="2325"/>
    </row>
    <row r="392" spans="1:9" s="98" customFormat="1" ht="30" customHeight="1" x14ac:dyDescent="0.2">
      <c r="A392" s="1137">
        <v>2310</v>
      </c>
      <c r="B392" s="2363" t="s">
        <v>1425</v>
      </c>
      <c r="C392" s="1138">
        <f t="shared" ref="C392:D392" si="30">SUM(C393:C395)</f>
        <v>4560000</v>
      </c>
      <c r="D392" s="1138">
        <f t="shared" si="30"/>
        <v>4560000</v>
      </c>
      <c r="E392" s="1138"/>
      <c r="F392" s="2364"/>
      <c r="G392" s="1663"/>
      <c r="H392" s="1663"/>
      <c r="I392" s="1662"/>
    </row>
    <row r="393" spans="1:9" ht="30" customHeight="1" x14ac:dyDescent="0.2">
      <c r="A393" s="1150" t="s">
        <v>404</v>
      </c>
      <c r="B393" s="2365" t="s">
        <v>1426</v>
      </c>
      <c r="C393" s="1077">
        <v>5000</v>
      </c>
      <c r="D393" s="1077">
        <v>5000</v>
      </c>
      <c r="E393" s="2046"/>
      <c r="F393" s="1077"/>
      <c r="G393" s="2200"/>
      <c r="H393" s="2200"/>
      <c r="I393" s="2201"/>
    </row>
    <row r="394" spans="1:9" ht="30" customHeight="1" x14ac:dyDescent="0.2">
      <c r="A394" s="1150" t="s">
        <v>1427</v>
      </c>
      <c r="B394" s="2365" t="s">
        <v>1428</v>
      </c>
      <c r="C394" s="1077">
        <v>5000</v>
      </c>
      <c r="D394" s="1077">
        <v>5000</v>
      </c>
      <c r="E394" s="2046"/>
      <c r="F394" s="1077"/>
      <c r="G394" s="2200"/>
      <c r="H394" s="2200"/>
      <c r="I394" s="2201"/>
    </row>
    <row r="395" spans="1:9" ht="30" customHeight="1" x14ac:dyDescent="0.2">
      <c r="A395" s="1150" t="s">
        <v>2307</v>
      </c>
      <c r="B395" s="2365" t="s">
        <v>2308</v>
      </c>
      <c r="C395" s="1077">
        <v>4550000</v>
      </c>
      <c r="D395" s="1077">
        <v>4550000</v>
      </c>
      <c r="E395" s="2046"/>
      <c r="F395" s="1077"/>
      <c r="G395" s="2200"/>
      <c r="H395" s="2200"/>
      <c r="I395" s="2201"/>
    </row>
    <row r="396" spans="1:9" ht="30" customHeight="1" x14ac:dyDescent="0.2">
      <c r="A396" s="1240">
        <v>2321</v>
      </c>
      <c r="B396" s="2366" t="s">
        <v>1429</v>
      </c>
      <c r="C396" s="727">
        <f t="shared" ref="C396:D396" si="31">SUM(C397:C403)</f>
        <v>5342000</v>
      </c>
      <c r="D396" s="727">
        <f t="shared" si="31"/>
        <v>5342000</v>
      </c>
      <c r="E396" s="727"/>
      <c r="F396" s="2341"/>
      <c r="G396" s="1663"/>
      <c r="H396" s="1663"/>
      <c r="I396" s="1662"/>
    </row>
    <row r="397" spans="1:9" ht="30" customHeight="1" x14ac:dyDescent="0.2">
      <c r="A397" s="1150" t="s">
        <v>1430</v>
      </c>
      <c r="B397" s="2365" t="s">
        <v>1431</v>
      </c>
      <c r="C397" s="1077">
        <v>5000</v>
      </c>
      <c r="D397" s="1077">
        <v>5000</v>
      </c>
      <c r="E397" s="2046"/>
      <c r="F397" s="1077"/>
      <c r="G397" s="2200"/>
      <c r="H397" s="2200"/>
      <c r="I397" s="2201"/>
    </row>
    <row r="398" spans="1:9" ht="30" customHeight="1" x14ac:dyDescent="0.2">
      <c r="A398" s="1150" t="s">
        <v>1432</v>
      </c>
      <c r="B398" s="2365" t="s">
        <v>1433</v>
      </c>
      <c r="C398" s="2341">
        <v>750000</v>
      </c>
      <c r="D398" s="2341">
        <f>750000-300000-80000-20000</f>
        <v>350000</v>
      </c>
      <c r="E398" s="2367"/>
      <c r="F398" s="2341"/>
      <c r="G398" s="2200"/>
      <c r="H398" s="2200"/>
      <c r="I398" s="2201"/>
    </row>
    <row r="399" spans="1:9" ht="30" customHeight="1" x14ac:dyDescent="0.2">
      <c r="A399" s="1150" t="s">
        <v>1434</v>
      </c>
      <c r="B399" s="2365" t="s">
        <v>2309</v>
      </c>
      <c r="C399" s="1077">
        <v>5000</v>
      </c>
      <c r="D399" s="1077">
        <v>5000</v>
      </c>
      <c r="E399" s="2046"/>
      <c r="F399" s="1077"/>
      <c r="G399" s="2200"/>
      <c r="H399" s="2200"/>
      <c r="I399" s="2201"/>
    </row>
    <row r="400" spans="1:9" ht="30" customHeight="1" x14ac:dyDescent="0.2">
      <c r="A400" s="1150" t="s">
        <v>1436</v>
      </c>
      <c r="B400" s="2365" t="s">
        <v>1437</v>
      </c>
      <c r="C400" s="1077">
        <v>67000</v>
      </c>
      <c r="D400" s="1077">
        <f>67000+450000</f>
        <v>517000</v>
      </c>
      <c r="E400" s="2046"/>
      <c r="F400" s="1077"/>
      <c r="G400" s="2200"/>
      <c r="H400" s="2200"/>
      <c r="I400" s="2201"/>
    </row>
    <row r="401" spans="1:9" ht="30" customHeight="1" x14ac:dyDescent="0.2">
      <c r="A401" s="1150" t="s">
        <v>413</v>
      </c>
      <c r="B401" s="2365" t="s">
        <v>414</v>
      </c>
      <c r="C401" s="1077">
        <v>4200000</v>
      </c>
      <c r="D401" s="1077">
        <f>4200000-450000</f>
        <v>3750000</v>
      </c>
      <c r="E401" s="2046"/>
      <c r="F401" s="1077"/>
      <c r="G401" s="2200"/>
      <c r="H401" s="2200"/>
      <c r="I401" s="2201"/>
    </row>
    <row r="402" spans="1:9" ht="30" customHeight="1" x14ac:dyDescent="0.2">
      <c r="A402" s="1150" t="s">
        <v>417</v>
      </c>
      <c r="B402" s="2365" t="s">
        <v>2980</v>
      </c>
      <c r="C402" s="1077">
        <v>0</v>
      </c>
      <c r="D402" s="1077">
        <f>300000-29900</f>
        <v>270100</v>
      </c>
      <c r="E402" s="2046"/>
      <c r="F402" s="1077"/>
      <c r="G402" s="2200"/>
      <c r="H402" s="2200"/>
      <c r="I402" s="2201"/>
    </row>
    <row r="403" spans="1:9" ht="30" customHeight="1" x14ac:dyDescent="0.2">
      <c r="A403" s="1046" t="s">
        <v>415</v>
      </c>
      <c r="B403" s="2369" t="s">
        <v>1438</v>
      </c>
      <c r="C403" s="1048">
        <v>315000</v>
      </c>
      <c r="D403" s="1048">
        <f>315000+80000+20000+29900</f>
        <v>444900</v>
      </c>
      <c r="E403" s="2370"/>
      <c r="F403" s="1048"/>
      <c r="G403" s="2200"/>
      <c r="H403" s="2200"/>
      <c r="I403" s="2201"/>
    </row>
    <row r="404" spans="1:9" ht="30" customHeight="1" x14ac:dyDescent="0.25">
      <c r="A404" s="690"/>
      <c r="B404" s="1062" t="s">
        <v>424</v>
      </c>
      <c r="C404" s="1055">
        <f t="shared" ref="C404:D404" si="32">SUM(C405+C432+C467)</f>
        <v>53790000</v>
      </c>
      <c r="D404" s="1055">
        <f t="shared" si="32"/>
        <v>59118500</v>
      </c>
      <c r="E404" s="1055"/>
      <c r="F404" s="2361"/>
      <c r="G404" s="2325"/>
      <c r="H404" s="2325"/>
      <c r="I404" s="2325"/>
    </row>
    <row r="405" spans="1:9" ht="30" customHeight="1" x14ac:dyDescent="0.2">
      <c r="A405" s="1137">
        <v>2212</v>
      </c>
      <c r="B405" s="1137" t="s">
        <v>1440</v>
      </c>
      <c r="C405" s="1138">
        <f t="shared" ref="C405:D405" si="33">SUM(C406:C431)</f>
        <v>35411000</v>
      </c>
      <c r="D405" s="1138">
        <f t="shared" si="33"/>
        <v>38201000</v>
      </c>
      <c r="E405" s="1138"/>
      <c r="F405" s="2364"/>
      <c r="G405" s="1663"/>
      <c r="H405" s="1663"/>
      <c r="I405" s="1662"/>
    </row>
    <row r="406" spans="1:9" ht="30" customHeight="1" x14ac:dyDescent="0.2">
      <c r="A406" s="1150" t="s">
        <v>293</v>
      </c>
      <c r="B406" s="809" t="s">
        <v>426</v>
      </c>
      <c r="C406" s="1077">
        <v>300000</v>
      </c>
      <c r="D406" s="1077">
        <v>300000</v>
      </c>
      <c r="E406" s="1077"/>
      <c r="F406" s="1077"/>
      <c r="G406" s="2200"/>
      <c r="H406" s="2200"/>
      <c r="I406" s="2201"/>
    </row>
    <row r="407" spans="1:9" ht="30" customHeight="1" x14ac:dyDescent="0.2">
      <c r="A407" s="1150" t="s">
        <v>291</v>
      </c>
      <c r="B407" s="809" t="s">
        <v>427</v>
      </c>
      <c r="C407" s="1077">
        <v>4000000</v>
      </c>
      <c r="D407" s="1077">
        <f>4000000-210000</f>
        <v>3790000</v>
      </c>
      <c r="E407" s="1077"/>
      <c r="F407" s="1077"/>
      <c r="G407" s="2200"/>
      <c r="H407" s="2200"/>
      <c r="I407" s="2201"/>
    </row>
    <row r="408" spans="1:9" ht="30" customHeight="1" x14ac:dyDescent="0.2">
      <c r="A408" s="1150" t="s">
        <v>293</v>
      </c>
      <c r="B408" s="809" t="s">
        <v>2311</v>
      </c>
      <c r="C408" s="1077">
        <v>0</v>
      </c>
      <c r="D408" s="1077">
        <v>0</v>
      </c>
      <c r="E408" s="1077"/>
      <c r="F408" s="1077"/>
      <c r="G408" s="2200"/>
      <c r="H408" s="2200"/>
      <c r="I408" s="2201"/>
    </row>
    <row r="409" spans="1:9" ht="30" customHeight="1" x14ac:dyDescent="0.2">
      <c r="A409" s="1150" t="s">
        <v>1442</v>
      </c>
      <c r="B409" s="809" t="s">
        <v>1443</v>
      </c>
      <c r="C409" s="2341">
        <v>750000</v>
      </c>
      <c r="D409" s="2341">
        <v>750000</v>
      </c>
      <c r="E409" s="2341"/>
      <c r="F409" s="2341"/>
      <c r="G409" s="2200"/>
      <c r="H409" s="2200"/>
      <c r="I409" s="2201"/>
    </row>
    <row r="410" spans="1:9" ht="30" customHeight="1" x14ac:dyDescent="0.2">
      <c r="A410" s="1150" t="s">
        <v>440</v>
      </c>
      <c r="B410" s="809" t="s">
        <v>1444</v>
      </c>
      <c r="C410" s="1077">
        <v>10000</v>
      </c>
      <c r="D410" s="1077">
        <v>10000</v>
      </c>
      <c r="E410" s="1077"/>
      <c r="F410" s="1077"/>
      <c r="G410" s="2200"/>
      <c r="H410" s="2200"/>
      <c r="I410" s="2201"/>
    </row>
    <row r="411" spans="1:9" s="98" customFormat="1" ht="30" customHeight="1" x14ac:dyDescent="0.2">
      <c r="A411" s="1150" t="s">
        <v>442</v>
      </c>
      <c r="B411" s="1112" t="s">
        <v>2312</v>
      </c>
      <c r="C411" s="1077">
        <v>10000</v>
      </c>
      <c r="D411" s="1077">
        <v>10000</v>
      </c>
      <c r="E411" s="1077"/>
      <c r="F411" s="1077"/>
      <c r="G411" s="2200"/>
      <c r="H411" s="2200"/>
      <c r="I411" s="2201"/>
    </row>
    <row r="412" spans="1:9" s="98" customFormat="1" ht="30" customHeight="1" x14ac:dyDescent="0.2">
      <c r="A412" s="1150" t="s">
        <v>1447</v>
      </c>
      <c r="B412" s="809" t="s">
        <v>2313</v>
      </c>
      <c r="C412" s="1077">
        <v>2400000</v>
      </c>
      <c r="D412" s="1077">
        <v>2400000</v>
      </c>
      <c r="E412" s="1077"/>
      <c r="F412" s="1077"/>
      <c r="G412" s="2200"/>
      <c r="H412" s="2200"/>
      <c r="I412" s="2201"/>
    </row>
    <row r="413" spans="1:9" s="98" customFormat="1" ht="30" customHeight="1" x14ac:dyDescent="0.2">
      <c r="A413" s="1150" t="s">
        <v>449</v>
      </c>
      <c r="B413" s="809" t="s">
        <v>1449</v>
      </c>
      <c r="C413" s="1077">
        <v>18000000</v>
      </c>
      <c r="D413" s="1077">
        <f>18000000+3000000</f>
        <v>21000000</v>
      </c>
      <c r="E413" s="1077"/>
      <c r="F413" s="1077"/>
      <c r="G413" s="2200"/>
      <c r="H413" s="2200"/>
      <c r="I413" s="2201"/>
    </row>
    <row r="414" spans="1:9" s="98" customFormat="1" ht="30" customHeight="1" x14ac:dyDescent="0.2">
      <c r="A414" s="1150" t="s">
        <v>1450</v>
      </c>
      <c r="B414" s="809" t="s">
        <v>2314</v>
      </c>
      <c r="C414" s="1077">
        <v>10000</v>
      </c>
      <c r="D414" s="1077">
        <v>10000</v>
      </c>
      <c r="E414" s="1077"/>
      <c r="F414" s="1077"/>
      <c r="G414" s="2200"/>
      <c r="H414" s="2200"/>
      <c r="I414" s="2201"/>
    </row>
    <row r="415" spans="1:9" s="98" customFormat="1" ht="30" customHeight="1" x14ac:dyDescent="0.2">
      <c r="A415" s="1150" t="s">
        <v>1452</v>
      </c>
      <c r="B415" s="809" t="s">
        <v>2315</v>
      </c>
      <c r="C415" s="1077">
        <v>6080000</v>
      </c>
      <c r="D415" s="1077">
        <f>6080000-80000-35000</f>
        <v>5965000</v>
      </c>
      <c r="E415" s="1077"/>
      <c r="F415" s="1077"/>
      <c r="G415" s="2200"/>
      <c r="H415" s="2200"/>
      <c r="I415" s="2201"/>
    </row>
    <row r="416" spans="1:9" s="98" customFormat="1" ht="30" customHeight="1" x14ac:dyDescent="0.2">
      <c r="A416" s="1150" t="s">
        <v>453</v>
      </c>
      <c r="B416" s="809" t="s">
        <v>1454</v>
      </c>
      <c r="C416" s="1077">
        <v>200000</v>
      </c>
      <c r="D416" s="1077">
        <v>200000</v>
      </c>
      <c r="E416" s="1077"/>
      <c r="F416" s="1077"/>
      <c r="G416" s="2200"/>
      <c r="H416" s="2200"/>
      <c r="I416" s="2201"/>
    </row>
    <row r="417" spans="1:9" s="98" customFormat="1" ht="30" customHeight="1" x14ac:dyDescent="0.2">
      <c r="A417" s="1150" t="s">
        <v>2316</v>
      </c>
      <c r="B417" s="809" t="s">
        <v>1456</v>
      </c>
      <c r="C417" s="2341">
        <v>500000</v>
      </c>
      <c r="D417" s="2341">
        <v>500000</v>
      </c>
      <c r="E417" s="2341"/>
      <c r="F417" s="2341"/>
      <c r="G417" s="2200"/>
      <c r="H417" s="2200"/>
      <c r="I417" s="2201"/>
    </row>
    <row r="418" spans="1:9" s="98" customFormat="1" ht="30" customHeight="1" x14ac:dyDescent="0.2">
      <c r="A418" s="1150" t="s">
        <v>2317</v>
      </c>
      <c r="B418" s="809" t="s">
        <v>2318</v>
      </c>
      <c r="C418" s="2341">
        <v>0</v>
      </c>
      <c r="D418" s="2341">
        <v>0</v>
      </c>
      <c r="E418" s="2341"/>
      <c r="F418" s="2341"/>
      <c r="G418" s="2200"/>
      <c r="H418" s="2200"/>
      <c r="I418" s="2201"/>
    </row>
    <row r="419" spans="1:9" s="98" customFormat="1" ht="30" customHeight="1" x14ac:dyDescent="0.2">
      <c r="A419" s="1150" t="s">
        <v>1336</v>
      </c>
      <c r="B419" s="809" t="s">
        <v>2319</v>
      </c>
      <c r="C419" s="1077">
        <v>250000</v>
      </c>
      <c r="D419" s="1077">
        <f>250000+35000</f>
        <v>285000</v>
      </c>
      <c r="E419" s="1077"/>
      <c r="F419" s="1077"/>
      <c r="G419" s="2200"/>
      <c r="H419" s="2200"/>
      <c r="I419" s="2201"/>
    </row>
    <row r="420" spans="1:9" ht="30" customHeight="1" x14ac:dyDescent="0.2">
      <c r="A420" s="1150" t="s">
        <v>1458</v>
      </c>
      <c r="B420" s="809" t="s">
        <v>1459</v>
      </c>
      <c r="C420" s="1077">
        <v>91000</v>
      </c>
      <c r="D420" s="1077">
        <v>91000</v>
      </c>
      <c r="E420" s="1077"/>
      <c r="F420" s="1077"/>
      <c r="G420" s="2200"/>
      <c r="H420" s="2200"/>
      <c r="I420" s="2201"/>
    </row>
    <row r="421" spans="1:9" ht="30" customHeight="1" x14ac:dyDescent="0.2">
      <c r="A421" s="1150" t="s">
        <v>1460</v>
      </c>
      <c r="B421" s="809" t="s">
        <v>2320</v>
      </c>
      <c r="C421" s="1077">
        <v>0</v>
      </c>
      <c r="D421" s="1077">
        <v>0</v>
      </c>
      <c r="E421" s="1077"/>
      <c r="F421" s="1077"/>
      <c r="G421" s="2200"/>
      <c r="H421" s="2200"/>
      <c r="I421" s="2201"/>
    </row>
    <row r="422" spans="1:9" ht="30" customHeight="1" x14ac:dyDescent="0.2">
      <c r="A422" s="1150" t="s">
        <v>1462</v>
      </c>
      <c r="B422" s="809" t="s">
        <v>2321</v>
      </c>
      <c r="C422" s="1077">
        <v>10000</v>
      </c>
      <c r="D422" s="1077">
        <v>10000</v>
      </c>
      <c r="E422" s="1077"/>
      <c r="F422" s="1077"/>
      <c r="G422" s="2200"/>
      <c r="H422" s="2200"/>
      <c r="I422" s="2201"/>
    </row>
    <row r="423" spans="1:9" ht="30" customHeight="1" x14ac:dyDescent="0.2">
      <c r="A423" s="1150" t="s">
        <v>2754</v>
      </c>
      <c r="B423" s="809" t="s">
        <v>2323</v>
      </c>
      <c r="C423" s="1077">
        <v>1800000</v>
      </c>
      <c r="D423" s="1077">
        <v>1800000</v>
      </c>
      <c r="E423" s="1077"/>
      <c r="F423" s="1077"/>
      <c r="G423" s="2200"/>
      <c r="H423" s="2200"/>
      <c r="I423" s="2201"/>
    </row>
    <row r="424" spans="1:9" ht="30" customHeight="1" x14ac:dyDescent="0.2">
      <c r="A424" s="1150" t="s">
        <v>1464</v>
      </c>
      <c r="B424" s="809" t="s">
        <v>2324</v>
      </c>
      <c r="C424" s="1077">
        <v>0</v>
      </c>
      <c r="D424" s="1077">
        <v>0</v>
      </c>
      <c r="E424" s="1077"/>
      <c r="F424" s="1077"/>
      <c r="G424" s="2200"/>
      <c r="H424" s="2200"/>
      <c r="I424" s="2201"/>
    </row>
    <row r="425" spans="1:9" ht="30" customHeight="1" x14ac:dyDescent="0.2">
      <c r="A425" s="2525" t="s">
        <v>1466</v>
      </c>
      <c r="B425" s="2372" t="s">
        <v>2325</v>
      </c>
      <c r="C425" s="2341">
        <v>300000</v>
      </c>
      <c r="D425" s="2341">
        <v>300000</v>
      </c>
      <c r="E425" s="2341"/>
      <c r="F425" s="2341"/>
      <c r="G425" s="2200"/>
      <c r="H425" s="2200"/>
      <c r="I425" s="2201"/>
    </row>
    <row r="426" spans="1:9" ht="30" customHeight="1" x14ac:dyDescent="0.2">
      <c r="A426" s="2525" t="s">
        <v>2326</v>
      </c>
      <c r="B426" s="809" t="s">
        <v>2327</v>
      </c>
      <c r="C426" s="2341">
        <v>200000</v>
      </c>
      <c r="D426" s="2341">
        <v>200000</v>
      </c>
      <c r="E426" s="2341"/>
      <c r="F426" s="2341"/>
      <c r="G426" s="2200"/>
      <c r="H426" s="2200"/>
      <c r="I426" s="2201"/>
    </row>
    <row r="427" spans="1:9" ht="30" customHeight="1" x14ac:dyDescent="0.2">
      <c r="A427" s="2525" t="s">
        <v>2328</v>
      </c>
      <c r="B427" s="809" t="s">
        <v>2329</v>
      </c>
      <c r="C427" s="2341">
        <v>0</v>
      </c>
      <c r="D427" s="2341">
        <v>0</v>
      </c>
      <c r="E427" s="2341"/>
      <c r="F427" s="2341"/>
      <c r="G427" s="2200"/>
      <c r="H427" s="2200"/>
      <c r="I427" s="2201"/>
    </row>
    <row r="428" spans="1:9" ht="30" customHeight="1" x14ac:dyDescent="0.2">
      <c r="A428" s="2525" t="s">
        <v>2330</v>
      </c>
      <c r="B428" s="809" t="s">
        <v>2331</v>
      </c>
      <c r="C428" s="2341">
        <v>0</v>
      </c>
      <c r="D428" s="2341">
        <v>0</v>
      </c>
      <c r="E428" s="2341"/>
      <c r="F428" s="2341"/>
      <c r="G428" s="2200"/>
      <c r="H428" s="2200"/>
      <c r="I428" s="2201"/>
    </row>
    <row r="429" spans="1:9" ht="30" customHeight="1" x14ac:dyDescent="0.2">
      <c r="A429" s="2525" t="s">
        <v>2332</v>
      </c>
      <c r="B429" s="809" t="s">
        <v>2333</v>
      </c>
      <c r="C429" s="2341">
        <v>200000</v>
      </c>
      <c r="D429" s="2341">
        <v>200000</v>
      </c>
      <c r="E429" s="2341"/>
      <c r="F429" s="2341"/>
      <c r="G429" s="2200"/>
      <c r="H429" s="2200"/>
      <c r="I429" s="2201"/>
    </row>
    <row r="430" spans="1:9" ht="30" customHeight="1" x14ac:dyDescent="0.2">
      <c r="A430" s="2525" t="s">
        <v>2334</v>
      </c>
      <c r="B430" s="809" t="s">
        <v>2335</v>
      </c>
      <c r="C430" s="2341">
        <v>200000</v>
      </c>
      <c r="D430" s="2341">
        <v>200000</v>
      </c>
      <c r="E430" s="2341"/>
      <c r="F430" s="2341"/>
      <c r="G430" s="2200"/>
      <c r="H430" s="2200"/>
      <c r="I430" s="2201"/>
    </row>
    <row r="431" spans="1:9" ht="30" customHeight="1" x14ac:dyDescent="0.2">
      <c r="A431" s="2525" t="s">
        <v>436</v>
      </c>
      <c r="B431" s="809" t="s">
        <v>2336</v>
      </c>
      <c r="C431" s="2341">
        <v>100000</v>
      </c>
      <c r="D431" s="2341">
        <f>100000+80000</f>
        <v>180000</v>
      </c>
      <c r="E431" s="2341"/>
      <c r="F431" s="2341"/>
      <c r="G431" s="2200"/>
      <c r="H431" s="2200"/>
      <c r="I431" s="2201"/>
    </row>
    <row r="432" spans="1:9" ht="30" customHeight="1" x14ac:dyDescent="0.2">
      <c r="A432" s="2526">
        <v>2219</v>
      </c>
      <c r="B432" s="1240" t="s">
        <v>1470</v>
      </c>
      <c r="C432" s="727">
        <f t="shared" ref="C432:D432" si="34">SUM(C433:C466)</f>
        <v>17979000</v>
      </c>
      <c r="D432" s="727">
        <f t="shared" si="34"/>
        <v>20557500</v>
      </c>
      <c r="E432" s="727"/>
      <c r="F432" s="2341"/>
      <c r="G432" s="1663"/>
      <c r="H432" s="1663"/>
      <c r="I432" s="1662"/>
    </row>
    <row r="433" spans="1:9" ht="30" customHeight="1" x14ac:dyDescent="0.2">
      <c r="A433" s="1150" t="s">
        <v>299</v>
      </c>
      <c r="B433" s="809" t="s">
        <v>463</v>
      </c>
      <c r="C433" s="1077">
        <v>200000</v>
      </c>
      <c r="D433" s="1077">
        <f>200000-90000</f>
        <v>110000</v>
      </c>
      <c r="E433" s="1077"/>
      <c r="F433" s="1077"/>
      <c r="G433" s="2200"/>
      <c r="H433" s="2200"/>
      <c r="I433" s="2201"/>
    </row>
    <row r="434" spans="1:9" ht="30" customHeight="1" x14ac:dyDescent="0.2">
      <c r="A434" s="1150" t="s">
        <v>301</v>
      </c>
      <c r="B434" s="809" t="s">
        <v>464</v>
      </c>
      <c r="C434" s="1077">
        <v>1500000</v>
      </c>
      <c r="D434" s="1077">
        <f>1500000-32000-104000-17000</f>
        <v>1347000</v>
      </c>
      <c r="E434" s="1077"/>
      <c r="F434" s="1077"/>
      <c r="G434" s="2200"/>
      <c r="H434" s="2200"/>
      <c r="I434" s="2201"/>
    </row>
    <row r="435" spans="1:9" ht="30" customHeight="1" x14ac:dyDescent="0.2">
      <c r="A435" s="1150" t="s">
        <v>467</v>
      </c>
      <c r="B435" s="809" t="s">
        <v>2337</v>
      </c>
      <c r="C435" s="1077">
        <v>130000</v>
      </c>
      <c r="D435" s="1077">
        <f>130000+104000</f>
        <v>234000</v>
      </c>
      <c r="E435" s="1077"/>
      <c r="F435" s="1077"/>
      <c r="G435" s="2200"/>
      <c r="H435" s="2200"/>
      <c r="I435" s="2201"/>
    </row>
    <row r="436" spans="1:9" ht="30" customHeight="1" x14ac:dyDescent="0.2">
      <c r="A436" s="1150" t="s">
        <v>471</v>
      </c>
      <c r="B436" s="2372" t="s">
        <v>2338</v>
      </c>
      <c r="C436" s="1077">
        <v>0</v>
      </c>
      <c r="D436" s="1077">
        <f>90000</f>
        <v>90000</v>
      </c>
      <c r="E436" s="1077"/>
      <c r="F436" s="1077"/>
      <c r="G436" s="2200"/>
      <c r="H436" s="2200"/>
      <c r="I436" s="2201"/>
    </row>
    <row r="437" spans="1:9" ht="30" customHeight="1" x14ac:dyDescent="0.2">
      <c r="A437" s="1150" t="s">
        <v>1473</v>
      </c>
      <c r="B437" s="1112" t="s">
        <v>2339</v>
      </c>
      <c r="C437" s="1077">
        <v>102000</v>
      </c>
      <c r="D437" s="1077">
        <v>102000</v>
      </c>
      <c r="E437" s="1077"/>
      <c r="F437" s="1077"/>
      <c r="G437" s="2200"/>
      <c r="H437" s="2200"/>
      <c r="I437" s="2201"/>
    </row>
    <row r="438" spans="1:9" ht="30" customHeight="1" x14ac:dyDescent="0.2">
      <c r="A438" s="1150" t="s">
        <v>473</v>
      </c>
      <c r="B438" s="1112" t="s">
        <v>1475</v>
      </c>
      <c r="C438" s="1077">
        <v>10000</v>
      </c>
      <c r="D438" s="1077">
        <f>10000+17000</f>
        <v>27000</v>
      </c>
      <c r="E438" s="1077"/>
      <c r="F438" s="1077"/>
      <c r="G438" s="2200"/>
      <c r="H438" s="2200"/>
      <c r="I438" s="2201"/>
    </row>
    <row r="439" spans="1:9" ht="30" customHeight="1" x14ac:dyDescent="0.2">
      <c r="A439" s="1150" t="s">
        <v>495</v>
      </c>
      <c r="B439" s="1112" t="s">
        <v>2340</v>
      </c>
      <c r="C439" s="1077">
        <v>0</v>
      </c>
      <c r="D439" s="1077">
        <v>0</v>
      </c>
      <c r="E439" s="1077"/>
      <c r="F439" s="1077"/>
      <c r="G439" s="2200"/>
      <c r="H439" s="2200"/>
      <c r="I439" s="2201"/>
    </row>
    <row r="440" spans="1:9" ht="30" customHeight="1" x14ac:dyDescent="0.2">
      <c r="A440" s="1150" t="s">
        <v>1478</v>
      </c>
      <c r="B440" s="1112" t="s">
        <v>2341</v>
      </c>
      <c r="C440" s="1077">
        <v>0</v>
      </c>
      <c r="D440" s="1077">
        <f>685000</f>
        <v>685000</v>
      </c>
      <c r="E440" s="1077"/>
      <c r="F440" s="1077"/>
      <c r="G440" s="2200"/>
      <c r="H440" s="2200"/>
      <c r="I440" s="2201"/>
    </row>
    <row r="441" spans="1:9" ht="30" customHeight="1" x14ac:dyDescent="0.2">
      <c r="A441" s="1150" t="s">
        <v>1480</v>
      </c>
      <c r="B441" s="1112" t="s">
        <v>1481</v>
      </c>
      <c r="C441" s="1077">
        <v>10000</v>
      </c>
      <c r="D441" s="1077">
        <f>10000+32000+21000</f>
        <v>63000</v>
      </c>
      <c r="E441" s="1077"/>
      <c r="F441" s="1077"/>
      <c r="G441" s="2200"/>
      <c r="H441" s="2200"/>
      <c r="I441" s="2201"/>
    </row>
    <row r="442" spans="1:9" ht="30" customHeight="1" x14ac:dyDescent="0.2">
      <c r="A442" s="1150" t="s">
        <v>1491</v>
      </c>
      <c r="B442" s="1112" t="s">
        <v>2342</v>
      </c>
      <c r="C442" s="1077">
        <v>0</v>
      </c>
      <c r="D442" s="1077">
        <f>472200+32000</f>
        <v>504200</v>
      </c>
      <c r="E442" s="1077"/>
      <c r="F442" s="1077"/>
      <c r="G442" s="2200"/>
      <c r="H442" s="2200"/>
      <c r="I442" s="2201"/>
    </row>
    <row r="443" spans="1:9" ht="30" customHeight="1" x14ac:dyDescent="0.2">
      <c r="A443" s="1150" t="s">
        <v>1495</v>
      </c>
      <c r="B443" s="1112" t="s">
        <v>1496</v>
      </c>
      <c r="C443" s="1077">
        <v>20000</v>
      </c>
      <c r="D443" s="1077">
        <v>20000</v>
      </c>
      <c r="E443" s="1077"/>
      <c r="F443" s="1077"/>
      <c r="G443" s="2200"/>
      <c r="H443" s="2200"/>
      <c r="I443" s="2201"/>
    </row>
    <row r="444" spans="1:9" ht="30" customHeight="1" x14ac:dyDescent="0.2">
      <c r="A444" s="1150" t="s">
        <v>1497</v>
      </c>
      <c r="B444" s="1112" t="s">
        <v>2343</v>
      </c>
      <c r="C444" s="1077">
        <v>5000</v>
      </c>
      <c r="D444" s="1077">
        <v>5000</v>
      </c>
      <c r="E444" s="1077"/>
      <c r="F444" s="1077"/>
      <c r="G444" s="2200"/>
      <c r="H444" s="2200"/>
      <c r="I444" s="2201"/>
    </row>
    <row r="445" spans="1:9" ht="30" customHeight="1" x14ac:dyDescent="0.2">
      <c r="A445" s="1150" t="s">
        <v>1499</v>
      </c>
      <c r="B445" s="1112" t="s">
        <v>1500</v>
      </c>
      <c r="C445" s="1077">
        <v>327000</v>
      </c>
      <c r="D445" s="1077">
        <v>327000</v>
      </c>
      <c r="E445" s="1077"/>
      <c r="F445" s="1077"/>
      <c r="G445" s="2200"/>
      <c r="H445" s="2200"/>
      <c r="I445" s="2201"/>
    </row>
    <row r="446" spans="1:9" ht="30" customHeight="1" x14ac:dyDescent="0.2">
      <c r="A446" s="1150" t="s">
        <v>1501</v>
      </c>
      <c r="B446" s="1112" t="s">
        <v>1502</v>
      </c>
      <c r="C446" s="1077">
        <v>370000</v>
      </c>
      <c r="D446" s="1077">
        <f>370000-32000-21000</f>
        <v>317000</v>
      </c>
      <c r="E446" s="1077"/>
      <c r="F446" s="1077"/>
      <c r="G446" s="2200"/>
      <c r="H446" s="2200"/>
      <c r="I446" s="2201"/>
    </row>
    <row r="447" spans="1:9" ht="30" customHeight="1" x14ac:dyDescent="0.2">
      <c r="A447" s="1150" t="s">
        <v>1503</v>
      </c>
      <c r="B447" s="1112" t="s">
        <v>2344</v>
      </c>
      <c r="C447" s="1077">
        <v>5000</v>
      </c>
      <c r="D447" s="1077">
        <v>5000</v>
      </c>
      <c r="E447" s="1077"/>
      <c r="F447" s="1077"/>
      <c r="G447" s="2200"/>
      <c r="H447" s="2200"/>
      <c r="I447" s="2201"/>
    </row>
    <row r="448" spans="1:9" ht="30" customHeight="1" x14ac:dyDescent="0.2">
      <c r="A448" s="1150" t="s">
        <v>1505</v>
      </c>
      <c r="B448" s="1112" t="s">
        <v>1506</v>
      </c>
      <c r="C448" s="1077">
        <v>64000</v>
      </c>
      <c r="D448" s="1077">
        <v>64000</v>
      </c>
      <c r="E448" s="1077"/>
      <c r="F448" s="1077"/>
      <c r="G448" s="2200"/>
      <c r="H448" s="2200"/>
      <c r="I448" s="2201"/>
    </row>
    <row r="449" spans="1:9" ht="30" customHeight="1" x14ac:dyDescent="0.2">
      <c r="A449" s="1150" t="s">
        <v>1507</v>
      </c>
      <c r="B449" s="1112" t="s">
        <v>1508</v>
      </c>
      <c r="C449" s="1077">
        <v>57000</v>
      </c>
      <c r="D449" s="1077">
        <v>57000</v>
      </c>
      <c r="E449" s="1077"/>
      <c r="F449" s="1077"/>
      <c r="G449" s="2200"/>
      <c r="H449" s="2200"/>
      <c r="I449" s="2201"/>
    </row>
    <row r="450" spans="1:9" ht="30" customHeight="1" x14ac:dyDescent="0.2">
      <c r="A450" s="1150" t="s">
        <v>1509</v>
      </c>
      <c r="B450" s="1112" t="s">
        <v>1510</v>
      </c>
      <c r="C450" s="1077">
        <v>0</v>
      </c>
      <c r="D450" s="1077">
        <v>0</v>
      </c>
      <c r="E450" s="1077"/>
      <c r="F450" s="1077"/>
      <c r="G450" s="2200"/>
      <c r="H450" s="2200"/>
      <c r="I450" s="2201"/>
    </row>
    <row r="451" spans="1:9" ht="30" customHeight="1" x14ac:dyDescent="0.2">
      <c r="A451" s="1150" t="s">
        <v>1513</v>
      </c>
      <c r="B451" s="1112" t="s">
        <v>2345</v>
      </c>
      <c r="C451" s="1077">
        <v>9300000</v>
      </c>
      <c r="D451" s="1077">
        <f>9300000-1000000</f>
        <v>8300000</v>
      </c>
      <c r="E451" s="1077"/>
      <c r="F451" s="1077"/>
      <c r="G451" s="2200"/>
      <c r="H451" s="2200"/>
      <c r="I451" s="2201"/>
    </row>
    <row r="452" spans="1:9" ht="30" customHeight="1" x14ac:dyDescent="0.2">
      <c r="A452" s="1150" t="s">
        <v>1515</v>
      </c>
      <c r="B452" s="1112" t="s">
        <v>2346</v>
      </c>
      <c r="C452" s="1077">
        <v>350000</v>
      </c>
      <c r="D452" s="1077">
        <f>350000+437000</f>
        <v>787000</v>
      </c>
      <c r="E452" s="1077"/>
      <c r="F452" s="1077"/>
      <c r="G452" s="2200"/>
      <c r="H452" s="2200"/>
      <c r="I452" s="2201"/>
    </row>
    <row r="453" spans="1:9" ht="30" customHeight="1" x14ac:dyDescent="0.2">
      <c r="A453" s="1150" t="s">
        <v>1517</v>
      </c>
      <c r="B453" s="1112" t="s">
        <v>2347</v>
      </c>
      <c r="C453" s="1077">
        <v>10000</v>
      </c>
      <c r="D453" s="1077">
        <v>10000</v>
      </c>
      <c r="E453" s="1077"/>
      <c r="F453" s="1077"/>
      <c r="G453" s="2200"/>
      <c r="H453" s="2200"/>
      <c r="I453" s="2201"/>
    </row>
    <row r="454" spans="1:9" ht="30" customHeight="1" x14ac:dyDescent="0.2">
      <c r="A454" s="1150" t="s">
        <v>1519</v>
      </c>
      <c r="B454" s="1112" t="s">
        <v>1520</v>
      </c>
      <c r="C454" s="1077">
        <v>79000</v>
      </c>
      <c r="D454" s="1077">
        <v>79000</v>
      </c>
      <c r="E454" s="1077"/>
      <c r="F454" s="1077"/>
      <c r="G454" s="2200"/>
      <c r="H454" s="2200"/>
      <c r="I454" s="2201"/>
    </row>
    <row r="455" spans="1:9" ht="30" customHeight="1" x14ac:dyDescent="0.2">
      <c r="A455" s="1150" t="s">
        <v>1521</v>
      </c>
      <c r="B455" s="1112" t="s">
        <v>1522</v>
      </c>
      <c r="C455" s="1077">
        <v>1000</v>
      </c>
      <c r="D455" s="1077">
        <v>1000</v>
      </c>
      <c r="E455" s="1077"/>
      <c r="F455" s="1077"/>
      <c r="G455" s="2200"/>
      <c r="H455" s="2200"/>
      <c r="I455" s="2201"/>
    </row>
    <row r="456" spans="1:9" ht="30" customHeight="1" x14ac:dyDescent="0.2">
      <c r="A456" s="1150" t="s">
        <v>1523</v>
      </c>
      <c r="B456" s="1112" t="s">
        <v>2348</v>
      </c>
      <c r="C456" s="1077">
        <v>3600000</v>
      </c>
      <c r="D456" s="1077">
        <f>3600000+400000</f>
        <v>4000000</v>
      </c>
      <c r="E456" s="1077"/>
      <c r="F456" s="1077"/>
      <c r="G456" s="2200"/>
      <c r="H456" s="2200"/>
      <c r="I456" s="2201"/>
    </row>
    <row r="457" spans="1:9" ht="30" customHeight="1" x14ac:dyDescent="0.2">
      <c r="A457" s="1150" t="s">
        <v>1525</v>
      </c>
      <c r="B457" s="1112" t="s">
        <v>2349</v>
      </c>
      <c r="C457" s="1077">
        <v>0</v>
      </c>
      <c r="D457" s="1077">
        <v>0</v>
      </c>
      <c r="E457" s="1077"/>
      <c r="F457" s="1077"/>
      <c r="G457" s="2200"/>
      <c r="H457" s="2200"/>
      <c r="I457" s="2201"/>
    </row>
    <row r="458" spans="1:9" ht="30" customHeight="1" x14ac:dyDescent="0.2">
      <c r="A458" s="1150" t="s">
        <v>1527</v>
      </c>
      <c r="B458" s="1112" t="s">
        <v>2350</v>
      </c>
      <c r="C458" s="1077">
        <v>0</v>
      </c>
      <c r="D458" s="1077">
        <f>2021300</f>
        <v>2021300</v>
      </c>
      <c r="E458" s="1077"/>
      <c r="F458" s="1077"/>
      <c r="G458" s="2200"/>
      <c r="H458" s="2200"/>
      <c r="I458" s="2201"/>
    </row>
    <row r="459" spans="1:9" ht="30" customHeight="1" x14ac:dyDescent="0.2">
      <c r="A459" s="1150" t="s">
        <v>1529</v>
      </c>
      <c r="B459" s="1112" t="s">
        <v>2351</v>
      </c>
      <c r="C459" s="1077">
        <v>0</v>
      </c>
      <c r="D459" s="1077">
        <v>0</v>
      </c>
      <c r="E459" s="1077"/>
      <c r="F459" s="1077"/>
      <c r="G459" s="2200"/>
      <c r="H459" s="2200"/>
      <c r="I459" s="2201"/>
    </row>
    <row r="460" spans="1:9" ht="30" customHeight="1" x14ac:dyDescent="0.2">
      <c r="A460" s="1150" t="s">
        <v>1531</v>
      </c>
      <c r="B460" s="1112" t="s">
        <v>1532</v>
      </c>
      <c r="C460" s="1077">
        <v>50000</v>
      </c>
      <c r="D460" s="1077">
        <v>50000</v>
      </c>
      <c r="E460" s="1077"/>
      <c r="F460" s="1077"/>
      <c r="G460" s="2200"/>
      <c r="H460" s="2200"/>
      <c r="I460" s="2201"/>
    </row>
    <row r="461" spans="1:9" ht="30" customHeight="1" x14ac:dyDescent="0.2">
      <c r="A461" s="1150" t="s">
        <v>503</v>
      </c>
      <c r="B461" s="1112" t="s">
        <v>2352</v>
      </c>
      <c r="C461" s="1077">
        <v>5000</v>
      </c>
      <c r="D461" s="1077">
        <v>5000</v>
      </c>
      <c r="E461" s="1077"/>
      <c r="F461" s="1077"/>
      <c r="G461" s="2200"/>
      <c r="H461" s="2200"/>
      <c r="I461" s="2201"/>
    </row>
    <row r="462" spans="1:9" ht="30" customHeight="1" x14ac:dyDescent="0.2">
      <c r="A462" s="1150" t="s">
        <v>2762</v>
      </c>
      <c r="B462" s="1112" t="s">
        <v>2353</v>
      </c>
      <c r="C462" s="1077">
        <v>150000</v>
      </c>
      <c r="D462" s="1077">
        <v>150000</v>
      </c>
      <c r="E462" s="1077"/>
      <c r="F462" s="1077"/>
      <c r="G462" s="2200"/>
      <c r="H462" s="2200"/>
      <c r="I462" s="2201"/>
    </row>
    <row r="463" spans="1:9" ht="30" customHeight="1" x14ac:dyDescent="0.2">
      <c r="A463" s="1150" t="s">
        <v>2784</v>
      </c>
      <c r="B463" s="1112" t="s">
        <v>2354</v>
      </c>
      <c r="C463" s="1077">
        <v>441000</v>
      </c>
      <c r="D463" s="1077">
        <f>441000-437000</f>
        <v>4000</v>
      </c>
      <c r="E463" s="1077"/>
      <c r="F463" s="1077"/>
      <c r="G463" s="2200"/>
      <c r="H463" s="2200"/>
      <c r="I463" s="2201"/>
    </row>
    <row r="464" spans="1:9" ht="30" customHeight="1" x14ac:dyDescent="0.2">
      <c r="A464" s="1150" t="s">
        <v>2786</v>
      </c>
      <c r="B464" s="1112" t="s">
        <v>2355</v>
      </c>
      <c r="C464" s="1077">
        <v>303000</v>
      </c>
      <c r="D464" s="1077">
        <v>303000</v>
      </c>
      <c r="E464" s="1077"/>
      <c r="F464" s="1077"/>
      <c r="G464" s="2200"/>
      <c r="H464" s="2200"/>
      <c r="I464" s="2201"/>
    </row>
    <row r="465" spans="1:9" ht="30" customHeight="1" x14ac:dyDescent="0.2">
      <c r="A465" s="1150" t="s">
        <v>2356</v>
      </c>
      <c r="B465" s="809" t="s">
        <v>2357</v>
      </c>
      <c r="C465" s="2341">
        <v>740000</v>
      </c>
      <c r="D465" s="2341">
        <v>740000</v>
      </c>
      <c r="E465" s="2341"/>
      <c r="F465" s="2341"/>
      <c r="G465" s="2200"/>
      <c r="H465" s="2200"/>
      <c r="I465" s="2201"/>
    </row>
    <row r="466" spans="1:9" ht="30" customHeight="1" x14ac:dyDescent="0.2">
      <c r="A466" s="1150" t="s">
        <v>2788</v>
      </c>
      <c r="B466" s="809" t="s">
        <v>2358</v>
      </c>
      <c r="C466" s="2341">
        <v>150000</v>
      </c>
      <c r="D466" s="2341">
        <v>150000</v>
      </c>
      <c r="E466" s="2341"/>
      <c r="F466" s="2341"/>
      <c r="G466" s="2200"/>
      <c r="H466" s="2200"/>
      <c r="I466" s="2201"/>
    </row>
    <row r="467" spans="1:9" ht="30" customHeight="1" x14ac:dyDescent="0.2">
      <c r="A467" s="1240">
        <v>2221</v>
      </c>
      <c r="B467" s="1240" t="s">
        <v>1534</v>
      </c>
      <c r="C467" s="727">
        <f t="shared" ref="C467:D467" si="35">SUM(C468:C470)</f>
        <v>400000</v>
      </c>
      <c r="D467" s="727">
        <f t="shared" si="35"/>
        <v>360000</v>
      </c>
      <c r="E467" s="727"/>
      <c r="F467" s="2341"/>
      <c r="G467" s="1663"/>
      <c r="H467" s="1663"/>
      <c r="I467" s="1662"/>
    </row>
    <row r="468" spans="1:9" ht="30" customHeight="1" x14ac:dyDescent="0.2">
      <c r="A468" s="1150" t="s">
        <v>1536</v>
      </c>
      <c r="B468" s="1112" t="s">
        <v>2359</v>
      </c>
      <c r="C468" s="1077">
        <v>0</v>
      </c>
      <c r="D468" s="1077">
        <v>0</v>
      </c>
      <c r="E468" s="1077"/>
      <c r="F468" s="1077"/>
      <c r="G468" s="2200"/>
      <c r="H468" s="2200"/>
      <c r="I468" s="2201"/>
    </row>
    <row r="469" spans="1:9" ht="30" customHeight="1" x14ac:dyDescent="0.2">
      <c r="A469" s="1150" t="s">
        <v>1538</v>
      </c>
      <c r="B469" s="1112" t="s">
        <v>2360</v>
      </c>
      <c r="C469" s="1077">
        <v>150000</v>
      </c>
      <c r="D469" s="1077">
        <f>150000+210000</f>
        <v>360000</v>
      </c>
      <c r="E469" s="1077"/>
      <c r="F469" s="1077"/>
      <c r="G469" s="2200"/>
      <c r="H469" s="2200"/>
      <c r="I469" s="2201"/>
    </row>
    <row r="470" spans="1:9" ht="30" customHeight="1" x14ac:dyDescent="0.2">
      <c r="A470" s="2524" t="s">
        <v>2688</v>
      </c>
      <c r="B470" s="1078" t="s">
        <v>2361</v>
      </c>
      <c r="C470" s="1048">
        <v>250000</v>
      </c>
      <c r="D470" s="1048">
        <f>250000-250000</f>
        <v>0</v>
      </c>
      <c r="E470" s="1048"/>
      <c r="F470" s="1048"/>
      <c r="G470" s="2200"/>
      <c r="H470" s="2200"/>
      <c r="I470" s="2201"/>
    </row>
    <row r="471" spans="1:9" ht="30" customHeight="1" x14ac:dyDescent="0.25">
      <c r="A471" s="1915"/>
      <c r="B471" s="1195" t="s">
        <v>1540</v>
      </c>
      <c r="C471" s="1916">
        <f t="shared" ref="C471:D471" si="36">SUM(C472,C483,C496,C498)</f>
        <v>48595000</v>
      </c>
      <c r="D471" s="1916">
        <f t="shared" si="36"/>
        <v>61698000</v>
      </c>
      <c r="E471" s="1916"/>
      <c r="F471" s="2374"/>
      <c r="G471" s="2325"/>
      <c r="H471" s="2325"/>
      <c r="I471" s="2325"/>
    </row>
    <row r="472" spans="1:9" ht="30" customHeight="1" x14ac:dyDescent="0.2">
      <c r="A472" s="1953">
        <v>3111</v>
      </c>
      <c r="B472" s="1953" t="s">
        <v>1541</v>
      </c>
      <c r="C472" s="1138">
        <f t="shared" ref="C472:D472" si="37">SUM(C473:C482)</f>
        <v>3730000</v>
      </c>
      <c r="D472" s="1138">
        <f t="shared" si="37"/>
        <v>3730000</v>
      </c>
      <c r="E472" s="1138"/>
      <c r="F472" s="2364"/>
      <c r="G472" s="1663"/>
      <c r="H472" s="1663"/>
      <c r="I472" s="1662"/>
    </row>
    <row r="473" spans="1:9" ht="30" customHeight="1" x14ac:dyDescent="0.2">
      <c r="A473" s="1150" t="s">
        <v>1542</v>
      </c>
      <c r="B473" s="809" t="s">
        <v>2362</v>
      </c>
      <c r="C473" s="1077">
        <v>0</v>
      </c>
      <c r="D473" s="1077">
        <v>0</v>
      </c>
      <c r="E473" s="1077"/>
      <c r="F473" s="1077"/>
      <c r="G473" s="2200"/>
      <c r="H473" s="2200"/>
      <c r="I473" s="2201"/>
    </row>
    <row r="474" spans="1:9" ht="30" customHeight="1" x14ac:dyDescent="0.2">
      <c r="A474" s="1150" t="s">
        <v>1550</v>
      </c>
      <c r="B474" s="2376" t="s">
        <v>2363</v>
      </c>
      <c r="C474" s="1077">
        <v>5000</v>
      </c>
      <c r="D474" s="1077">
        <v>5000</v>
      </c>
      <c r="E474" s="854"/>
      <c r="F474" s="854"/>
      <c r="G474" s="2200"/>
      <c r="H474" s="2200"/>
      <c r="I474" s="2201"/>
    </row>
    <row r="475" spans="1:9" ht="30" customHeight="1" x14ac:dyDescent="0.2">
      <c r="A475" s="1150" t="s">
        <v>1552</v>
      </c>
      <c r="B475" s="2376" t="s">
        <v>2364</v>
      </c>
      <c r="C475" s="1077">
        <v>3000000</v>
      </c>
      <c r="D475" s="1077">
        <v>3000000</v>
      </c>
      <c r="E475" s="854"/>
      <c r="F475" s="854"/>
      <c r="G475" s="2200"/>
      <c r="H475" s="2200"/>
      <c r="I475" s="2201"/>
    </row>
    <row r="476" spans="1:9" ht="30" customHeight="1" x14ac:dyDescent="0.2">
      <c r="A476" s="1150" t="s">
        <v>2794</v>
      </c>
      <c r="B476" s="2376" t="s">
        <v>2365</v>
      </c>
      <c r="C476" s="1077">
        <v>300000</v>
      </c>
      <c r="D476" s="1077">
        <f>300000-25000-9000</f>
        <v>266000</v>
      </c>
      <c r="E476" s="854"/>
      <c r="F476" s="854"/>
      <c r="G476" s="2200"/>
      <c r="H476" s="2200"/>
      <c r="I476" s="2201"/>
    </row>
    <row r="477" spans="1:9" ht="30" customHeight="1" x14ac:dyDescent="0.2">
      <c r="A477" s="1150" t="s">
        <v>1546</v>
      </c>
      <c r="B477" s="809" t="s">
        <v>2366</v>
      </c>
      <c r="C477" s="1077">
        <v>10000</v>
      </c>
      <c r="D477" s="1077">
        <v>10000</v>
      </c>
      <c r="E477" s="1077"/>
      <c r="F477" s="1077"/>
      <c r="G477" s="2200"/>
      <c r="H477" s="2200"/>
      <c r="I477" s="2201"/>
    </row>
    <row r="478" spans="1:9" ht="30" customHeight="1" x14ac:dyDescent="0.2">
      <c r="A478" s="1150" t="s">
        <v>2797</v>
      </c>
      <c r="B478" s="2376" t="s">
        <v>2367</v>
      </c>
      <c r="C478" s="854">
        <v>100000</v>
      </c>
      <c r="D478" s="854">
        <f>100000-18000</f>
        <v>82000</v>
      </c>
      <c r="E478" s="854"/>
      <c r="F478" s="854"/>
      <c r="G478" s="2200"/>
      <c r="H478" s="2200"/>
      <c r="I478" s="2201"/>
    </row>
    <row r="479" spans="1:9" ht="30" customHeight="1" x14ac:dyDescent="0.2">
      <c r="A479" s="1150" t="s">
        <v>1548</v>
      </c>
      <c r="B479" s="809" t="s">
        <v>2368</v>
      </c>
      <c r="C479" s="1077">
        <v>5000</v>
      </c>
      <c r="D479" s="1077">
        <v>5000</v>
      </c>
      <c r="E479" s="1077"/>
      <c r="F479" s="1077"/>
      <c r="G479" s="2200"/>
      <c r="H479" s="2200"/>
      <c r="I479" s="2201"/>
    </row>
    <row r="480" spans="1:9" ht="30" customHeight="1" x14ac:dyDescent="0.2">
      <c r="A480" s="1150" t="s">
        <v>1558</v>
      </c>
      <c r="B480" s="2376" t="s">
        <v>1559</v>
      </c>
      <c r="C480" s="854">
        <v>200000</v>
      </c>
      <c r="D480" s="854">
        <f>200000+25000</f>
        <v>225000</v>
      </c>
      <c r="E480" s="854"/>
      <c r="F480" s="854"/>
      <c r="G480" s="2200"/>
      <c r="H480" s="2200"/>
      <c r="I480" s="2201"/>
    </row>
    <row r="481" spans="1:9" ht="30" customHeight="1" x14ac:dyDescent="0.2">
      <c r="A481" s="1150" t="s">
        <v>1556</v>
      </c>
      <c r="B481" s="2376" t="s">
        <v>2369</v>
      </c>
      <c r="C481" s="1077">
        <v>100000</v>
      </c>
      <c r="D481" s="1077">
        <f>100000+27000</f>
        <v>127000</v>
      </c>
      <c r="E481" s="854"/>
      <c r="F481" s="854"/>
      <c r="G481" s="2200"/>
      <c r="H481" s="2200"/>
      <c r="I481" s="2201"/>
    </row>
    <row r="482" spans="1:9" ht="30" customHeight="1" x14ac:dyDescent="0.2">
      <c r="A482" s="1150" t="s">
        <v>1554</v>
      </c>
      <c r="B482" s="2376" t="s">
        <v>2370</v>
      </c>
      <c r="C482" s="1077">
        <v>10000</v>
      </c>
      <c r="D482" s="1077">
        <v>10000</v>
      </c>
      <c r="E482" s="854"/>
      <c r="F482" s="854"/>
      <c r="G482" s="2200"/>
      <c r="H482" s="2200"/>
      <c r="I482" s="2201"/>
    </row>
    <row r="483" spans="1:9" ht="30" customHeight="1" x14ac:dyDescent="0.2">
      <c r="A483" s="910">
        <v>3113</v>
      </c>
      <c r="B483" s="903" t="s">
        <v>1560</v>
      </c>
      <c r="C483" s="1671">
        <f t="shared" ref="C483:D483" si="38">SUM(C484:C495)</f>
        <v>44850000</v>
      </c>
      <c r="D483" s="1671">
        <f t="shared" si="38"/>
        <v>57949850</v>
      </c>
      <c r="E483" s="1671"/>
      <c r="F483" s="854"/>
      <c r="G483" s="1663"/>
      <c r="H483" s="1663"/>
      <c r="I483" s="1662"/>
    </row>
    <row r="484" spans="1:9" ht="30" customHeight="1" x14ac:dyDescent="0.2">
      <c r="A484" s="2527" t="s">
        <v>1561</v>
      </c>
      <c r="B484" s="2376" t="s">
        <v>2371</v>
      </c>
      <c r="C484" s="854">
        <v>34700000</v>
      </c>
      <c r="D484" s="854">
        <f>34700000+14800000</f>
        <v>49500000</v>
      </c>
      <c r="E484" s="854"/>
      <c r="F484" s="854"/>
      <c r="G484" s="2200"/>
      <c r="H484" s="2200"/>
      <c r="I484" s="2201"/>
    </row>
    <row r="485" spans="1:9" ht="30" customHeight="1" x14ac:dyDescent="0.2">
      <c r="A485" s="1150" t="s">
        <v>1571</v>
      </c>
      <c r="B485" s="809" t="s">
        <v>1572</v>
      </c>
      <c r="C485" s="1077">
        <v>220000</v>
      </c>
      <c r="D485" s="1077">
        <f>220000+10000</f>
        <v>230000</v>
      </c>
      <c r="E485" s="854"/>
      <c r="F485" s="1077"/>
      <c r="G485" s="2200"/>
      <c r="H485" s="2200"/>
      <c r="I485" s="2201"/>
    </row>
    <row r="486" spans="1:9" ht="30" customHeight="1" x14ac:dyDescent="0.2">
      <c r="A486" s="2528" t="s">
        <v>2805</v>
      </c>
      <c r="B486" s="809" t="s">
        <v>2372</v>
      </c>
      <c r="C486" s="1077">
        <v>2100000</v>
      </c>
      <c r="D486" s="1077">
        <f>2100000+(-55000+75000)</f>
        <v>2120000</v>
      </c>
      <c r="E486" s="854"/>
      <c r="F486" s="1077"/>
      <c r="G486" s="2200"/>
      <c r="H486" s="2200"/>
      <c r="I486" s="2201"/>
    </row>
    <row r="487" spans="1:9" ht="30" customHeight="1" x14ac:dyDescent="0.2">
      <c r="A487" s="2527" t="s">
        <v>1563</v>
      </c>
      <c r="B487" s="2376" t="s">
        <v>2373</v>
      </c>
      <c r="C487" s="1077">
        <v>5000</v>
      </c>
      <c r="D487" s="1077">
        <v>5000</v>
      </c>
      <c r="E487" s="854"/>
      <c r="F487" s="854"/>
      <c r="G487" s="2200"/>
      <c r="H487" s="2200"/>
      <c r="I487" s="2201"/>
    </row>
    <row r="488" spans="1:9" ht="30" customHeight="1" x14ac:dyDescent="0.2">
      <c r="A488" s="1150" t="s">
        <v>2808</v>
      </c>
      <c r="B488" s="2376" t="s">
        <v>2374</v>
      </c>
      <c r="C488" s="2341">
        <v>3000000</v>
      </c>
      <c r="D488" s="2341">
        <f>3000000-10000+(-1443000-254000)</f>
        <v>1293000</v>
      </c>
      <c r="E488" s="831"/>
      <c r="F488" s="831"/>
      <c r="G488" s="2200"/>
      <c r="H488" s="2200"/>
      <c r="I488" s="2201"/>
    </row>
    <row r="489" spans="1:9" ht="30" customHeight="1" x14ac:dyDescent="0.2">
      <c r="A489" s="1150" t="s">
        <v>2810</v>
      </c>
      <c r="B489" s="2376" t="s">
        <v>2375</v>
      </c>
      <c r="C489" s="2341">
        <v>355000</v>
      </c>
      <c r="D489" s="2341">
        <v>355000</v>
      </c>
      <c r="E489" s="831"/>
      <c r="F489" s="831"/>
      <c r="G489" s="2200"/>
      <c r="H489" s="2200"/>
      <c r="I489" s="2201"/>
    </row>
    <row r="490" spans="1:9" ht="30" customHeight="1" x14ac:dyDescent="0.2">
      <c r="A490" s="1150" t="s">
        <v>1573</v>
      </c>
      <c r="B490" s="2376" t="s">
        <v>2376</v>
      </c>
      <c r="C490" s="1077">
        <v>10000</v>
      </c>
      <c r="D490" s="1077">
        <f>10000-3150</f>
        <v>6850</v>
      </c>
      <c r="E490" s="854"/>
      <c r="F490" s="854"/>
      <c r="G490" s="2200"/>
      <c r="H490" s="2200"/>
      <c r="I490" s="2201"/>
    </row>
    <row r="491" spans="1:9" ht="30" customHeight="1" x14ac:dyDescent="0.2">
      <c r="A491" s="1150" t="s">
        <v>1575</v>
      </c>
      <c r="B491" s="2376" t="s">
        <v>1576</v>
      </c>
      <c r="C491" s="1077">
        <v>10000</v>
      </c>
      <c r="D491" s="1077">
        <v>10000</v>
      </c>
      <c r="E491" s="854"/>
      <c r="F491" s="854"/>
      <c r="G491" s="2200"/>
      <c r="H491" s="2200"/>
      <c r="I491" s="2201"/>
    </row>
    <row r="492" spans="1:9" ht="30" customHeight="1" x14ac:dyDescent="0.2">
      <c r="A492" s="1150" t="s">
        <v>1577</v>
      </c>
      <c r="B492" s="2376" t="s">
        <v>2377</v>
      </c>
      <c r="C492" s="854">
        <v>0</v>
      </c>
      <c r="D492" s="854">
        <v>0</v>
      </c>
      <c r="E492" s="854"/>
      <c r="F492" s="854"/>
      <c r="G492" s="2200"/>
      <c r="H492" s="2200"/>
      <c r="I492" s="2201"/>
    </row>
    <row r="493" spans="1:9" ht="30" customHeight="1" x14ac:dyDescent="0.2">
      <c r="A493" s="1150" t="s">
        <v>1579</v>
      </c>
      <c r="B493" s="2376" t="s">
        <v>1580</v>
      </c>
      <c r="C493" s="854">
        <v>150000</v>
      </c>
      <c r="D493" s="854">
        <f>150000-20000</f>
        <v>130000</v>
      </c>
      <c r="E493" s="854"/>
      <c r="F493" s="854"/>
      <c r="G493" s="2200"/>
      <c r="H493" s="2200"/>
      <c r="I493" s="2201"/>
    </row>
    <row r="494" spans="1:9" ht="30" customHeight="1" x14ac:dyDescent="0.2">
      <c r="A494" s="1150" t="s">
        <v>2815</v>
      </c>
      <c r="B494" s="2376" t="s">
        <v>2378</v>
      </c>
      <c r="C494" s="831">
        <v>4300000</v>
      </c>
      <c r="D494" s="831">
        <v>4300000</v>
      </c>
      <c r="E494" s="831"/>
      <c r="F494" s="831"/>
      <c r="G494" s="2200"/>
      <c r="H494" s="2200"/>
      <c r="I494" s="2201"/>
    </row>
    <row r="495" spans="1:9" ht="30" customHeight="1" x14ac:dyDescent="0.2">
      <c r="A495" s="2527" t="s">
        <v>1569</v>
      </c>
      <c r="B495" s="2376" t="s">
        <v>2379</v>
      </c>
      <c r="C495" s="854">
        <v>0</v>
      </c>
      <c r="D495" s="854">
        <v>0</v>
      </c>
      <c r="E495" s="854"/>
      <c r="F495" s="854"/>
      <c r="G495" s="2200"/>
      <c r="H495" s="2200"/>
      <c r="I495" s="2201"/>
    </row>
    <row r="496" spans="1:9" ht="30" customHeight="1" x14ac:dyDescent="0.2">
      <c r="A496" s="910">
        <v>3233</v>
      </c>
      <c r="B496" s="910" t="s">
        <v>2380</v>
      </c>
      <c r="C496" s="1671">
        <f t="shared" ref="C496:D496" si="39">SUM(C497)</f>
        <v>0</v>
      </c>
      <c r="D496" s="1671">
        <f t="shared" si="39"/>
        <v>0</v>
      </c>
      <c r="E496" s="1671"/>
      <c r="F496" s="854"/>
      <c r="G496" s="1663"/>
      <c r="H496" s="1663"/>
      <c r="I496" s="2201"/>
    </row>
    <row r="497" spans="1:9" ht="30" customHeight="1" x14ac:dyDescent="0.2">
      <c r="A497" s="1150" t="s">
        <v>1587</v>
      </c>
      <c r="B497" s="2376" t="s">
        <v>1588</v>
      </c>
      <c r="C497" s="831">
        <v>0</v>
      </c>
      <c r="D497" s="831">
        <v>0</v>
      </c>
      <c r="E497" s="831"/>
      <c r="F497" s="831"/>
      <c r="G497" s="2200"/>
      <c r="H497" s="2200"/>
      <c r="I497" s="2201"/>
    </row>
    <row r="498" spans="1:9" ht="30" customHeight="1" x14ac:dyDescent="0.2">
      <c r="A498" s="910">
        <v>3412</v>
      </c>
      <c r="B498" s="910" t="s">
        <v>1581</v>
      </c>
      <c r="C498" s="1671">
        <f t="shared" ref="C498:D498" si="40">SUM(C499:C500)</f>
        <v>15000</v>
      </c>
      <c r="D498" s="1671">
        <f t="shared" si="40"/>
        <v>18150</v>
      </c>
      <c r="E498" s="1671"/>
      <c r="F498" s="854"/>
      <c r="G498" s="1663"/>
      <c r="H498" s="1663"/>
      <c r="I498" s="1662"/>
    </row>
    <row r="499" spans="1:9" ht="30" customHeight="1" x14ac:dyDescent="0.2">
      <c r="A499" s="2527" t="s">
        <v>1582</v>
      </c>
      <c r="B499" s="2376" t="s">
        <v>2381</v>
      </c>
      <c r="C499" s="1077">
        <v>15000</v>
      </c>
      <c r="D499" s="1077">
        <f>15000+3150</f>
        <v>18150</v>
      </c>
      <c r="E499" s="854"/>
      <c r="F499" s="854"/>
      <c r="G499" s="2200"/>
      <c r="H499" s="2200"/>
      <c r="I499" s="2201"/>
    </row>
    <row r="500" spans="1:9" ht="30" customHeight="1" x14ac:dyDescent="0.2">
      <c r="A500" s="2529" t="s">
        <v>1584</v>
      </c>
      <c r="B500" s="2385" t="s">
        <v>2382</v>
      </c>
      <c r="C500" s="1508">
        <v>0</v>
      </c>
      <c r="D500" s="1508">
        <v>0</v>
      </c>
      <c r="E500" s="1508"/>
      <c r="F500" s="1508"/>
      <c r="G500" s="2200"/>
      <c r="H500" s="2200"/>
      <c r="I500" s="2201"/>
    </row>
    <row r="501" spans="1:9" ht="30" customHeight="1" x14ac:dyDescent="0.25">
      <c r="A501" s="1951"/>
      <c r="B501" s="1107" t="s">
        <v>527</v>
      </c>
      <c r="C501" s="1952">
        <f t="shared" ref="C501:D501" si="41">SUM(C502+C504+C507)</f>
        <v>6871000</v>
      </c>
      <c r="D501" s="1952">
        <f t="shared" si="41"/>
        <v>6871000</v>
      </c>
      <c r="E501" s="1952"/>
      <c r="F501" s="2380"/>
      <c r="G501" s="2325"/>
      <c r="H501" s="2325"/>
      <c r="I501" s="2325"/>
    </row>
    <row r="502" spans="1:9" ht="30" customHeight="1" x14ac:dyDescent="0.2">
      <c r="A502" s="2530">
        <v>2219</v>
      </c>
      <c r="B502" s="1953" t="s">
        <v>1470</v>
      </c>
      <c r="C502" s="1138">
        <f t="shared" ref="C502:D502" si="42">SUM(C503)</f>
        <v>2300000</v>
      </c>
      <c r="D502" s="1138">
        <f t="shared" si="42"/>
        <v>2300000</v>
      </c>
      <c r="E502" s="2382"/>
      <c r="F502" s="2364"/>
      <c r="G502" s="1663"/>
      <c r="H502" s="1663"/>
      <c r="I502" s="1662"/>
    </row>
    <row r="503" spans="1:9" ht="30" customHeight="1" x14ac:dyDescent="0.2">
      <c r="A503" s="1150" t="s">
        <v>2383</v>
      </c>
      <c r="B503" s="1112" t="s">
        <v>2384</v>
      </c>
      <c r="C503" s="1077">
        <v>2300000</v>
      </c>
      <c r="D503" s="1077">
        <v>2300000</v>
      </c>
      <c r="E503" s="1077"/>
      <c r="F503" s="1077"/>
      <c r="G503" s="2200"/>
      <c r="H503" s="2200"/>
      <c r="I503" s="2201"/>
    </row>
    <row r="504" spans="1:9" ht="30" customHeight="1" x14ac:dyDescent="0.2">
      <c r="A504" s="910">
        <v>3613</v>
      </c>
      <c r="B504" s="910" t="s">
        <v>1589</v>
      </c>
      <c r="C504" s="727">
        <f t="shared" ref="C504:D504" si="43">SUM(C505:C506)</f>
        <v>550000</v>
      </c>
      <c r="D504" s="727">
        <f t="shared" si="43"/>
        <v>500000</v>
      </c>
      <c r="E504" s="727"/>
      <c r="F504" s="2341"/>
      <c r="G504" s="1663"/>
      <c r="H504" s="1663"/>
      <c r="I504" s="1662"/>
    </row>
    <row r="505" spans="1:9" ht="30" customHeight="1" x14ac:dyDescent="0.2">
      <c r="A505" s="1150" t="s">
        <v>1590</v>
      </c>
      <c r="B505" s="1958" t="s">
        <v>1591</v>
      </c>
      <c r="C505" s="1077">
        <v>150000</v>
      </c>
      <c r="D505" s="1077">
        <v>150000</v>
      </c>
      <c r="E505" s="1077"/>
      <c r="F505" s="1077"/>
      <c r="G505" s="2200"/>
      <c r="H505" s="2200"/>
      <c r="I505" s="2201"/>
    </row>
    <row r="506" spans="1:9" ht="30" customHeight="1" x14ac:dyDescent="0.2">
      <c r="A506" s="1150" t="s">
        <v>529</v>
      </c>
      <c r="B506" s="1958" t="s">
        <v>530</v>
      </c>
      <c r="C506" s="1077">
        <v>400000</v>
      </c>
      <c r="D506" s="1077">
        <f>400000-50000</f>
        <v>350000</v>
      </c>
      <c r="E506" s="1077"/>
      <c r="F506" s="1077"/>
      <c r="G506" s="2200"/>
      <c r="H506" s="2200"/>
      <c r="I506" s="2201"/>
    </row>
    <row r="507" spans="1:9" ht="30" customHeight="1" x14ac:dyDescent="0.2">
      <c r="A507" s="1240">
        <v>3639</v>
      </c>
      <c r="B507" s="1240" t="s">
        <v>1593</v>
      </c>
      <c r="C507" s="727">
        <f t="shared" ref="C507:D507" si="44">SUM(C508:C512)</f>
        <v>4021000</v>
      </c>
      <c r="D507" s="727">
        <f t="shared" si="44"/>
        <v>4071000</v>
      </c>
      <c r="E507" s="727"/>
      <c r="F507" s="2341"/>
      <c r="G507" s="1663"/>
      <c r="H507" s="1663"/>
      <c r="I507" s="1662"/>
    </row>
    <row r="508" spans="1:9" ht="30" customHeight="1" x14ac:dyDescent="0.2">
      <c r="A508" s="1150" t="s">
        <v>534</v>
      </c>
      <c r="B508" s="1112" t="s">
        <v>2385</v>
      </c>
      <c r="C508" s="1077">
        <v>45000</v>
      </c>
      <c r="D508" s="1077">
        <v>45000</v>
      </c>
      <c r="E508" s="1077"/>
      <c r="F508" s="1077"/>
      <c r="G508" s="2200"/>
      <c r="H508" s="2200"/>
      <c r="I508" s="2201"/>
    </row>
    <row r="509" spans="1:9" ht="30" customHeight="1" x14ac:dyDescent="0.2">
      <c r="A509" s="1150" t="s">
        <v>538</v>
      </c>
      <c r="B509" s="1112" t="s">
        <v>2386</v>
      </c>
      <c r="C509" s="1077">
        <v>412500</v>
      </c>
      <c r="D509" s="1077">
        <v>412500</v>
      </c>
      <c r="E509" s="1077"/>
      <c r="F509" s="1077"/>
      <c r="G509" s="2200"/>
      <c r="H509" s="2200"/>
      <c r="I509" s="2201"/>
    </row>
    <row r="510" spans="1:9" ht="30" customHeight="1" x14ac:dyDescent="0.2">
      <c r="A510" s="1150" t="s">
        <v>540</v>
      </c>
      <c r="B510" s="1958" t="s">
        <v>2387</v>
      </c>
      <c r="C510" s="1077">
        <v>3538500</v>
      </c>
      <c r="D510" s="1077">
        <v>3538500</v>
      </c>
      <c r="E510" s="1077"/>
      <c r="F510" s="1077"/>
      <c r="G510" s="2200"/>
      <c r="H510" s="2200"/>
      <c r="I510" s="2201"/>
    </row>
    <row r="511" spans="1:9" ht="30" customHeight="1" x14ac:dyDescent="0.2">
      <c r="A511" s="1150" t="s">
        <v>542</v>
      </c>
      <c r="B511" s="1112" t="s">
        <v>1598</v>
      </c>
      <c r="C511" s="1077">
        <v>25000</v>
      </c>
      <c r="D511" s="1077">
        <v>25000</v>
      </c>
      <c r="E511" s="1077"/>
      <c r="F511" s="1077"/>
      <c r="G511" s="2200"/>
      <c r="H511" s="2200"/>
      <c r="I511" s="2201"/>
    </row>
    <row r="512" spans="1:9" ht="30" customHeight="1" x14ac:dyDescent="0.2">
      <c r="A512" s="1046" t="s">
        <v>2388</v>
      </c>
      <c r="B512" s="1078" t="s">
        <v>2389</v>
      </c>
      <c r="C512" s="1048">
        <v>0</v>
      </c>
      <c r="D512" s="1048">
        <f>50000</f>
        <v>50000</v>
      </c>
      <c r="E512" s="1048"/>
      <c r="F512" s="1048"/>
      <c r="G512" s="2200"/>
      <c r="H512" s="2200"/>
      <c r="I512" s="2201"/>
    </row>
    <row r="513" spans="1:9" ht="30" customHeight="1" x14ac:dyDescent="0.25">
      <c r="A513" s="1114"/>
      <c r="B513" s="1115" t="s">
        <v>1603</v>
      </c>
      <c r="C513" s="1055">
        <f t="shared" ref="C513:D513" si="45">SUM(C514,C519,C521)</f>
        <v>21805000</v>
      </c>
      <c r="D513" s="1055">
        <f t="shared" si="45"/>
        <v>19005000</v>
      </c>
      <c r="E513" s="1055"/>
      <c r="F513" s="2384"/>
      <c r="G513" s="2325"/>
      <c r="H513" s="2325"/>
      <c r="I513" s="2325"/>
    </row>
    <row r="514" spans="1:9" ht="30" customHeight="1" x14ac:dyDescent="0.2">
      <c r="A514" s="1137">
        <v>3311</v>
      </c>
      <c r="B514" s="1137" t="s">
        <v>1604</v>
      </c>
      <c r="C514" s="1138">
        <f>SUM(C515:C518)</f>
        <v>20410000</v>
      </c>
      <c r="D514" s="1138">
        <f>SUM(D515:D518)</f>
        <v>17610000</v>
      </c>
      <c r="E514" s="1138"/>
      <c r="F514" s="2364"/>
      <c r="G514" s="1663"/>
      <c r="H514" s="1663"/>
      <c r="I514" s="1662"/>
    </row>
    <row r="515" spans="1:9" ht="30" customHeight="1" x14ac:dyDescent="0.2">
      <c r="A515" s="2527" t="s">
        <v>2390</v>
      </c>
      <c r="B515" s="2376" t="s">
        <v>2391</v>
      </c>
      <c r="C515" s="1077">
        <v>14900000</v>
      </c>
      <c r="D515" s="1077">
        <f>14900000-2800000</f>
        <v>12100000</v>
      </c>
      <c r="E515" s="854"/>
      <c r="F515" s="854"/>
      <c r="G515" s="2200"/>
      <c r="H515" s="2200"/>
      <c r="I515" s="2201"/>
    </row>
    <row r="516" spans="1:9" ht="30" customHeight="1" x14ac:dyDescent="0.2">
      <c r="A516" s="2527" t="s">
        <v>2392</v>
      </c>
      <c r="B516" s="2376" t="s">
        <v>2393</v>
      </c>
      <c r="C516" s="1077">
        <v>5100000</v>
      </c>
      <c r="D516" s="1077">
        <v>5100000</v>
      </c>
      <c r="E516" s="854"/>
      <c r="F516" s="854"/>
      <c r="G516" s="2200"/>
      <c r="H516" s="2200"/>
      <c r="I516" s="2201"/>
    </row>
    <row r="517" spans="1:9" ht="30" customHeight="1" x14ac:dyDescent="0.2">
      <c r="A517" s="1150" t="s">
        <v>1609</v>
      </c>
      <c r="B517" s="2376" t="s">
        <v>1610</v>
      </c>
      <c r="C517" s="1077">
        <v>210000</v>
      </c>
      <c r="D517" s="1077">
        <v>210000</v>
      </c>
      <c r="E517" s="854"/>
      <c r="F517" s="854"/>
      <c r="G517" s="2200"/>
      <c r="H517" s="2200"/>
      <c r="I517" s="2201"/>
    </row>
    <row r="518" spans="1:9" ht="30" customHeight="1" x14ac:dyDescent="0.2">
      <c r="A518" s="1150" t="s">
        <v>2828</v>
      </c>
      <c r="B518" s="809" t="s">
        <v>2394</v>
      </c>
      <c r="C518" s="1077">
        <v>200000</v>
      </c>
      <c r="D518" s="1077">
        <v>200000</v>
      </c>
      <c r="E518" s="1077"/>
      <c r="F518" s="1077"/>
      <c r="G518" s="2200"/>
      <c r="H518" s="2200"/>
      <c r="I518" s="2201"/>
    </row>
    <row r="519" spans="1:9" ht="30" customHeight="1" x14ac:dyDescent="0.2">
      <c r="A519" s="910">
        <v>3326</v>
      </c>
      <c r="B519" s="910" t="s">
        <v>2395</v>
      </c>
      <c r="C519" s="1671">
        <f t="shared" ref="C519:D519" si="46">SUM(C520)</f>
        <v>0</v>
      </c>
      <c r="D519" s="1671">
        <f t="shared" si="46"/>
        <v>0</v>
      </c>
      <c r="E519" s="1671"/>
      <c r="F519" s="831"/>
      <c r="G519" s="2200"/>
      <c r="H519" s="2200"/>
      <c r="I519" s="2201"/>
    </row>
    <row r="520" spans="1:9" ht="30" customHeight="1" x14ac:dyDescent="0.2">
      <c r="A520" s="1150" t="s">
        <v>2396</v>
      </c>
      <c r="B520" s="2376" t="s">
        <v>2397</v>
      </c>
      <c r="C520" s="854">
        <v>0</v>
      </c>
      <c r="D520" s="854">
        <v>0</v>
      </c>
      <c r="E520" s="854"/>
      <c r="F520" s="854"/>
      <c r="G520" s="2200"/>
      <c r="H520" s="2200"/>
      <c r="I520" s="2201"/>
    </row>
    <row r="521" spans="1:9" ht="30" customHeight="1" x14ac:dyDescent="0.2">
      <c r="A521" s="910">
        <v>3392</v>
      </c>
      <c r="B521" s="910" t="s">
        <v>1611</v>
      </c>
      <c r="C521" s="1671">
        <f t="shared" ref="C521:D521" si="47">SUM(C522:C525)</f>
        <v>1395000</v>
      </c>
      <c r="D521" s="1671">
        <f t="shared" si="47"/>
        <v>1395000</v>
      </c>
      <c r="E521" s="1671"/>
      <c r="F521" s="831"/>
      <c r="G521" s="1663"/>
      <c r="H521" s="1663"/>
      <c r="I521" s="1662"/>
    </row>
    <row r="522" spans="1:9" ht="30" customHeight="1" x14ac:dyDescent="0.2">
      <c r="A522" s="2527" t="s">
        <v>1612</v>
      </c>
      <c r="B522" s="809" t="s">
        <v>2398</v>
      </c>
      <c r="C522" s="2341">
        <v>50000</v>
      </c>
      <c r="D522" s="2341">
        <v>50000</v>
      </c>
      <c r="E522" s="2341"/>
      <c r="F522" s="2341"/>
      <c r="G522" s="2200"/>
      <c r="H522" s="2200"/>
      <c r="I522" s="2201"/>
    </row>
    <row r="523" spans="1:9" ht="30" customHeight="1" x14ac:dyDescent="0.2">
      <c r="A523" s="2527" t="s">
        <v>1616</v>
      </c>
      <c r="B523" s="2376" t="s">
        <v>1617</v>
      </c>
      <c r="C523" s="854">
        <v>0</v>
      </c>
      <c r="D523" s="854">
        <v>0</v>
      </c>
      <c r="E523" s="854"/>
      <c r="F523" s="854"/>
      <c r="G523" s="2200"/>
      <c r="H523" s="2200"/>
      <c r="I523" s="2201"/>
    </row>
    <row r="524" spans="1:9" ht="30" customHeight="1" x14ac:dyDescent="0.2">
      <c r="A524" s="2527" t="s">
        <v>1618</v>
      </c>
      <c r="B524" s="2376" t="s">
        <v>2399</v>
      </c>
      <c r="C524" s="1077">
        <v>1340000</v>
      </c>
      <c r="D524" s="1077">
        <v>1340000</v>
      </c>
      <c r="E524" s="854"/>
      <c r="F524" s="854"/>
      <c r="G524" s="2200"/>
      <c r="H524" s="2200"/>
      <c r="I524" s="2201"/>
    </row>
    <row r="525" spans="1:9" ht="30" customHeight="1" x14ac:dyDescent="0.2">
      <c r="A525" s="1046" t="s">
        <v>1620</v>
      </c>
      <c r="B525" s="2385" t="s">
        <v>1621</v>
      </c>
      <c r="C525" s="1048">
        <v>5000</v>
      </c>
      <c r="D525" s="1048">
        <v>5000</v>
      </c>
      <c r="E525" s="1508"/>
      <c r="F525" s="1508"/>
      <c r="G525" s="2200"/>
      <c r="H525" s="2200"/>
      <c r="I525" s="2201"/>
    </row>
    <row r="526" spans="1:9" ht="30" customHeight="1" x14ac:dyDescent="0.25">
      <c r="A526" s="1122"/>
      <c r="B526" s="1123" t="s">
        <v>1624</v>
      </c>
      <c r="C526" s="1109">
        <f t="shared" ref="C526:D526" si="48">SUM(C527)</f>
        <v>4105000</v>
      </c>
      <c r="D526" s="1109">
        <f t="shared" si="48"/>
        <v>13675000</v>
      </c>
      <c r="E526" s="1109"/>
      <c r="F526" s="2387"/>
      <c r="G526" s="2325"/>
      <c r="H526" s="2325"/>
      <c r="I526" s="2325"/>
    </row>
    <row r="527" spans="1:9" ht="30" customHeight="1" x14ac:dyDescent="0.2">
      <c r="A527" s="2389">
        <v>6171</v>
      </c>
      <c r="B527" s="2389" t="s">
        <v>1625</v>
      </c>
      <c r="C527" s="1815">
        <f>SUM(C528:C530)</f>
        <v>4105000</v>
      </c>
      <c r="D527" s="1815">
        <f>SUM(D528:D530)</f>
        <v>13675000</v>
      </c>
      <c r="E527" s="1815"/>
      <c r="F527" s="2390"/>
      <c r="G527" s="1663"/>
      <c r="H527" s="1663"/>
      <c r="I527" s="1662"/>
    </row>
    <row r="528" spans="1:9" ht="30" customHeight="1" x14ac:dyDescent="0.2">
      <c r="A528" s="1150" t="s">
        <v>2833</v>
      </c>
      <c r="B528" s="809" t="s">
        <v>1633</v>
      </c>
      <c r="C528" s="1077">
        <v>4100000</v>
      </c>
      <c r="D528" s="1077">
        <f>4100000+6020000+500000</f>
        <v>10620000</v>
      </c>
      <c r="E528" s="1077"/>
      <c r="F528" s="1077"/>
      <c r="G528" s="2200"/>
      <c r="H528" s="2200"/>
      <c r="I528" s="2201"/>
    </row>
    <row r="529" spans="1:9" ht="30" customHeight="1" x14ac:dyDescent="0.2">
      <c r="A529" s="1150" t="s">
        <v>1634</v>
      </c>
      <c r="B529" s="809" t="s">
        <v>1635</v>
      </c>
      <c r="C529" s="1077">
        <v>5000</v>
      </c>
      <c r="D529" s="1077">
        <v>5000</v>
      </c>
      <c r="E529" s="1077"/>
      <c r="F529" s="1077"/>
      <c r="G529" s="2200"/>
      <c r="H529" s="2200"/>
      <c r="I529" s="2201"/>
    </row>
    <row r="530" spans="1:9" ht="30" customHeight="1" x14ac:dyDescent="0.2">
      <c r="A530" s="1046" t="s">
        <v>2836</v>
      </c>
      <c r="B530" s="1047" t="s">
        <v>2981</v>
      </c>
      <c r="C530" s="1048">
        <v>0</v>
      </c>
      <c r="D530" s="1048">
        <v>3050000</v>
      </c>
      <c r="E530" s="1048"/>
      <c r="F530" s="1048"/>
      <c r="G530" s="2200"/>
      <c r="H530" s="2200"/>
      <c r="I530" s="2201"/>
    </row>
    <row r="531" spans="1:9" ht="30" customHeight="1" x14ac:dyDescent="0.25">
      <c r="A531" s="1114"/>
      <c r="B531" s="1134" t="s">
        <v>1636</v>
      </c>
      <c r="C531" s="1055">
        <f>SUM(C532,C534,C536,C538,C541)</f>
        <v>5921000</v>
      </c>
      <c r="D531" s="1055">
        <f>SUM(D532,D534,D536,D538,D541)</f>
        <v>7991000</v>
      </c>
      <c r="E531" s="1055"/>
      <c r="F531" s="2384"/>
      <c r="G531" s="2325"/>
      <c r="H531" s="2325"/>
      <c r="I531" s="2325"/>
    </row>
    <row r="532" spans="1:9" ht="30" customHeight="1" x14ac:dyDescent="0.2">
      <c r="A532" s="1137">
        <v>3745</v>
      </c>
      <c r="B532" s="1137" t="s">
        <v>1637</v>
      </c>
      <c r="C532" s="1138">
        <f t="shared" ref="C532:D536" si="49">SUM(C533:C533)</f>
        <v>5000</v>
      </c>
      <c r="D532" s="1138">
        <f t="shared" si="49"/>
        <v>5000</v>
      </c>
      <c r="E532" s="1138"/>
      <c r="F532" s="2364"/>
      <c r="G532" s="1663"/>
      <c r="H532" s="1663"/>
      <c r="I532" s="1662"/>
    </row>
    <row r="533" spans="1:9" ht="30" customHeight="1" x14ac:dyDescent="0.2">
      <c r="A533" s="1150" t="s">
        <v>1638</v>
      </c>
      <c r="B533" s="809" t="s">
        <v>1639</v>
      </c>
      <c r="C533" s="1077">
        <v>5000</v>
      </c>
      <c r="D533" s="1077">
        <v>5000</v>
      </c>
      <c r="E533" s="1077"/>
      <c r="F533" s="1077"/>
      <c r="G533" s="2200"/>
      <c r="H533" s="2200"/>
      <c r="I533" s="2201"/>
    </row>
    <row r="534" spans="1:9" ht="30" customHeight="1" x14ac:dyDescent="0.2">
      <c r="A534" s="1240">
        <v>2321</v>
      </c>
      <c r="B534" s="1240" t="s">
        <v>1429</v>
      </c>
      <c r="C534" s="727">
        <f t="shared" si="49"/>
        <v>250000</v>
      </c>
      <c r="D534" s="727">
        <f t="shared" si="49"/>
        <v>250000</v>
      </c>
      <c r="E534" s="727"/>
      <c r="F534" s="2341"/>
      <c r="G534" s="1663"/>
      <c r="H534" s="1663"/>
      <c r="I534" s="1662"/>
    </row>
    <row r="535" spans="1:9" ht="30" customHeight="1" x14ac:dyDescent="0.2">
      <c r="A535" s="1150" t="s">
        <v>1642</v>
      </c>
      <c r="B535" s="809" t="s">
        <v>1643</v>
      </c>
      <c r="C535" s="1077">
        <v>250000</v>
      </c>
      <c r="D535" s="1077">
        <v>250000</v>
      </c>
      <c r="E535" s="1077"/>
      <c r="F535" s="1077"/>
      <c r="G535" s="2200"/>
      <c r="H535" s="2200"/>
      <c r="I535" s="2201"/>
    </row>
    <row r="536" spans="1:9" ht="30" customHeight="1" x14ac:dyDescent="0.2">
      <c r="A536" s="1240">
        <v>3612</v>
      </c>
      <c r="B536" s="1240" t="s">
        <v>1644</v>
      </c>
      <c r="C536" s="727">
        <f t="shared" si="49"/>
        <v>5000</v>
      </c>
      <c r="D536" s="727">
        <f t="shared" si="49"/>
        <v>5000</v>
      </c>
      <c r="E536" s="727"/>
      <c r="F536" s="2341"/>
      <c r="G536" s="1663"/>
      <c r="H536" s="1663"/>
      <c r="I536" s="1662"/>
    </row>
    <row r="537" spans="1:9" ht="30" customHeight="1" x14ac:dyDescent="0.2">
      <c r="A537" s="1150" t="s">
        <v>2401</v>
      </c>
      <c r="B537" s="809" t="s">
        <v>1645</v>
      </c>
      <c r="C537" s="1077">
        <v>5000</v>
      </c>
      <c r="D537" s="1077">
        <v>5000</v>
      </c>
      <c r="E537" s="1077"/>
      <c r="F537" s="1077"/>
      <c r="G537" s="2200"/>
      <c r="H537" s="2200"/>
      <c r="I537" s="2201"/>
    </row>
    <row r="538" spans="1:9" ht="30" customHeight="1" x14ac:dyDescent="0.2">
      <c r="A538" s="1155">
        <v>3613</v>
      </c>
      <c r="B538" s="1240" t="s">
        <v>1646</v>
      </c>
      <c r="C538" s="727">
        <f t="shared" ref="C538:D538" si="50">SUM(C539:C540)</f>
        <v>11000</v>
      </c>
      <c r="D538" s="727">
        <f t="shared" si="50"/>
        <v>31000</v>
      </c>
      <c r="E538" s="727"/>
      <c r="F538" s="2341"/>
      <c r="G538" s="1663"/>
      <c r="H538" s="1663"/>
      <c r="I538" s="1662"/>
    </row>
    <row r="539" spans="1:9" ht="30" customHeight="1" x14ac:dyDescent="0.2">
      <c r="A539" s="1150" t="s">
        <v>1647</v>
      </c>
      <c r="B539" s="809" t="s">
        <v>2402</v>
      </c>
      <c r="C539" s="1077">
        <v>10000</v>
      </c>
      <c r="D539" s="1077">
        <f>10000+20000</f>
        <v>30000</v>
      </c>
      <c r="E539" s="1077"/>
      <c r="F539" s="1077"/>
      <c r="G539" s="2200"/>
      <c r="H539" s="2200"/>
      <c r="I539" s="2201"/>
    </row>
    <row r="540" spans="1:9" ht="30" customHeight="1" x14ac:dyDescent="0.2">
      <c r="A540" s="1150" t="s">
        <v>1649</v>
      </c>
      <c r="B540" s="809" t="s">
        <v>1650</v>
      </c>
      <c r="C540" s="1077">
        <v>1000</v>
      </c>
      <c r="D540" s="1077">
        <v>1000</v>
      </c>
      <c r="E540" s="1077"/>
      <c r="F540" s="1077"/>
      <c r="G540" s="2200"/>
      <c r="H540" s="2200"/>
      <c r="I540" s="2201"/>
    </row>
    <row r="541" spans="1:9" ht="30" customHeight="1" x14ac:dyDescent="0.2">
      <c r="A541" s="1155">
        <v>3722</v>
      </c>
      <c r="B541" s="1240" t="s">
        <v>1651</v>
      </c>
      <c r="C541" s="727">
        <f t="shared" ref="C541:D541" si="51">SUM(C542:C542)</f>
        <v>5650000</v>
      </c>
      <c r="D541" s="727">
        <f t="shared" si="51"/>
        <v>7700000</v>
      </c>
      <c r="E541" s="727"/>
      <c r="F541" s="2341"/>
      <c r="G541" s="1663"/>
      <c r="H541" s="1663"/>
      <c r="I541" s="1662"/>
    </row>
    <row r="542" spans="1:9" s="2" customFormat="1" ht="30" customHeight="1" x14ac:dyDescent="0.2">
      <c r="A542" s="1046" t="s">
        <v>2843</v>
      </c>
      <c r="B542" s="1047" t="s">
        <v>2403</v>
      </c>
      <c r="C542" s="1048">
        <v>5650000</v>
      </c>
      <c r="D542" s="1048">
        <f>5650000+(1750000+300000)</f>
        <v>7700000</v>
      </c>
      <c r="E542" s="1048"/>
      <c r="F542" s="1048"/>
      <c r="G542" s="2200"/>
      <c r="H542" s="2200"/>
      <c r="I542" s="2201"/>
    </row>
    <row r="543" spans="1:9" ht="30" customHeight="1" x14ac:dyDescent="0.25">
      <c r="A543" s="690"/>
      <c r="B543" s="1062" t="s">
        <v>1654</v>
      </c>
      <c r="C543" s="1080">
        <f>SUM(C549,C544,C566,C577,C584,C586)</f>
        <v>157228000</v>
      </c>
      <c r="D543" s="1080">
        <f>SUM(D549,D544,D566,D577,D584,D586)</f>
        <v>135455000</v>
      </c>
      <c r="E543" s="1080"/>
      <c r="F543" s="2392"/>
      <c r="G543" s="2325"/>
      <c r="H543" s="2325"/>
      <c r="I543" s="2325"/>
    </row>
    <row r="544" spans="1:9" ht="30" customHeight="1" x14ac:dyDescent="0.2">
      <c r="A544" s="987">
        <v>3412</v>
      </c>
      <c r="B544" s="987" t="s">
        <v>1655</v>
      </c>
      <c r="C544" s="715">
        <f t="shared" ref="C544:D544" si="52">SUM(C545:C548)</f>
        <v>102310000</v>
      </c>
      <c r="D544" s="715">
        <f t="shared" si="52"/>
        <v>75680000</v>
      </c>
      <c r="E544" s="715"/>
      <c r="F544" s="2394"/>
      <c r="G544" s="1663"/>
      <c r="H544" s="1663"/>
      <c r="I544" s="1662"/>
    </row>
    <row r="545" spans="1:9" ht="30" customHeight="1" x14ac:dyDescent="0.2">
      <c r="A545" s="1150" t="s">
        <v>1656</v>
      </c>
      <c r="B545" s="815" t="s">
        <v>1657</v>
      </c>
      <c r="C545" s="1864">
        <v>102000000</v>
      </c>
      <c r="D545" s="1864">
        <f>102000000-500000-500000-450000-25000000-630000</f>
        <v>74920000</v>
      </c>
      <c r="E545" s="1864"/>
      <c r="F545" s="1864"/>
      <c r="G545" s="2200"/>
      <c r="H545" s="2200"/>
      <c r="I545" s="2201"/>
    </row>
    <row r="546" spans="1:9" ht="30" customHeight="1" x14ac:dyDescent="0.2">
      <c r="A546" s="1150" t="s">
        <v>1658</v>
      </c>
      <c r="B546" s="815" t="s">
        <v>2404</v>
      </c>
      <c r="C546" s="1864">
        <v>5000</v>
      </c>
      <c r="D546" s="1864">
        <f>5000+450000</f>
        <v>455000</v>
      </c>
      <c r="E546" s="1864"/>
      <c r="F546" s="1864"/>
      <c r="G546" s="2200"/>
      <c r="H546" s="2200"/>
      <c r="I546" s="2201"/>
    </row>
    <row r="547" spans="1:9" ht="30" customHeight="1" x14ac:dyDescent="0.2">
      <c r="A547" s="1150" t="s">
        <v>1660</v>
      </c>
      <c r="B547" s="815" t="s">
        <v>2405</v>
      </c>
      <c r="C547" s="1864">
        <v>5000</v>
      </c>
      <c r="D547" s="1864">
        <v>5000</v>
      </c>
      <c r="E547" s="1864"/>
      <c r="F547" s="1864"/>
      <c r="G547" s="2200"/>
      <c r="H547" s="2200"/>
      <c r="I547" s="2201"/>
    </row>
    <row r="548" spans="1:9" ht="30" customHeight="1" x14ac:dyDescent="0.2">
      <c r="A548" s="1150" t="s">
        <v>1662</v>
      </c>
      <c r="B548" s="815" t="s">
        <v>2406</v>
      </c>
      <c r="C548" s="1864">
        <v>300000</v>
      </c>
      <c r="D548" s="1864">
        <v>300000</v>
      </c>
      <c r="E548" s="1864"/>
      <c r="F548" s="1864"/>
      <c r="G548" s="2200"/>
      <c r="H548" s="2200"/>
      <c r="I548" s="2201"/>
    </row>
    <row r="549" spans="1:9" ht="30" customHeight="1" x14ac:dyDescent="0.2">
      <c r="A549" s="1240">
        <v>3612</v>
      </c>
      <c r="B549" s="1240" t="s">
        <v>1644</v>
      </c>
      <c r="C549" s="722">
        <f t="shared" ref="C549:D549" si="53">SUM(C550:C565)</f>
        <v>32440000</v>
      </c>
      <c r="D549" s="722">
        <f t="shared" si="53"/>
        <v>22627000</v>
      </c>
      <c r="E549" s="722"/>
      <c r="F549" s="1864"/>
      <c r="G549" s="1663"/>
      <c r="H549" s="1663"/>
      <c r="I549" s="1662"/>
    </row>
    <row r="550" spans="1:9" ht="30" customHeight="1" x14ac:dyDescent="0.2">
      <c r="A550" s="1150" t="s">
        <v>1666</v>
      </c>
      <c r="B550" s="1112" t="s">
        <v>2407</v>
      </c>
      <c r="C550" s="1077">
        <v>10100000</v>
      </c>
      <c r="D550" s="1077">
        <f>10100000+10000-503000</f>
        <v>9607000</v>
      </c>
      <c r="E550" s="1077"/>
      <c r="F550" s="1077"/>
      <c r="G550" s="2200"/>
      <c r="H550" s="2200"/>
      <c r="I550" s="2201"/>
    </row>
    <row r="551" spans="1:9" ht="30" customHeight="1" x14ac:dyDescent="0.2">
      <c r="A551" s="1150" t="s">
        <v>1668</v>
      </c>
      <c r="B551" s="1112" t="s">
        <v>2408</v>
      </c>
      <c r="C551" s="1077">
        <v>0</v>
      </c>
      <c r="D551" s="1077">
        <v>0</v>
      </c>
      <c r="E551" s="1077"/>
      <c r="F551" s="1077"/>
      <c r="G551" s="2200"/>
      <c r="H551" s="2200"/>
      <c r="I551" s="2201"/>
    </row>
    <row r="552" spans="1:9" ht="30" customHeight="1" x14ac:dyDescent="0.2">
      <c r="A552" s="1150" t="s">
        <v>1670</v>
      </c>
      <c r="B552" s="1958" t="s">
        <v>2409</v>
      </c>
      <c r="C552" s="1077">
        <v>0</v>
      </c>
      <c r="D552" s="1077">
        <v>0</v>
      </c>
      <c r="E552" s="1077"/>
      <c r="F552" s="1077"/>
      <c r="G552" s="2200"/>
      <c r="H552" s="2200"/>
      <c r="I552" s="2201"/>
    </row>
    <row r="553" spans="1:9" ht="30" customHeight="1" x14ac:dyDescent="0.2">
      <c r="A553" s="1150" t="s">
        <v>2849</v>
      </c>
      <c r="B553" s="2372" t="s">
        <v>2410</v>
      </c>
      <c r="C553" s="1077">
        <v>5000000</v>
      </c>
      <c r="D553" s="1077">
        <f>5000000-20000-550000-2050000</f>
        <v>2380000</v>
      </c>
      <c r="E553" s="1077"/>
      <c r="F553" s="1077"/>
      <c r="G553" s="2200"/>
      <c r="H553" s="2200"/>
      <c r="I553" s="2201"/>
    </row>
    <row r="554" spans="1:9" ht="30" customHeight="1" x14ac:dyDescent="0.2">
      <c r="A554" s="1150" t="s">
        <v>1678</v>
      </c>
      <c r="B554" s="1958" t="s">
        <v>2411</v>
      </c>
      <c r="C554" s="1077">
        <v>550000</v>
      </c>
      <c r="D554" s="1077">
        <v>550000</v>
      </c>
      <c r="E554" s="1077"/>
      <c r="F554" s="1077"/>
      <c r="G554" s="2200"/>
      <c r="H554" s="2200"/>
      <c r="I554" s="2201"/>
    </row>
    <row r="555" spans="1:9" ht="30" customHeight="1" x14ac:dyDescent="0.2">
      <c r="A555" s="1150" t="s">
        <v>1680</v>
      </c>
      <c r="B555" s="2395" t="s">
        <v>2412</v>
      </c>
      <c r="C555" s="1077">
        <v>2750000</v>
      </c>
      <c r="D555" s="1077">
        <v>2750000</v>
      </c>
      <c r="E555" s="1077"/>
      <c r="F555" s="1077"/>
      <c r="G555" s="2200"/>
      <c r="H555" s="2200"/>
      <c r="I555" s="2201"/>
    </row>
    <row r="556" spans="1:9" ht="30" customHeight="1" x14ac:dyDescent="0.2">
      <c r="A556" s="1150" t="s">
        <v>1682</v>
      </c>
      <c r="B556" s="1112" t="s">
        <v>2413</v>
      </c>
      <c r="C556" s="1077">
        <v>250000</v>
      </c>
      <c r="D556" s="1077">
        <f>250000+460000</f>
        <v>710000</v>
      </c>
      <c r="E556" s="1077"/>
      <c r="F556" s="1077"/>
      <c r="G556" s="2200"/>
      <c r="H556" s="2200"/>
      <c r="I556" s="2201"/>
    </row>
    <row r="557" spans="1:9" ht="30" customHeight="1" x14ac:dyDescent="0.2">
      <c r="A557" s="1150" t="s">
        <v>2854</v>
      </c>
      <c r="B557" s="1958" t="s">
        <v>2414</v>
      </c>
      <c r="C557" s="1077">
        <v>5750000</v>
      </c>
      <c r="D557" s="1077">
        <f>5750000-290000-5450000-10000</f>
        <v>0</v>
      </c>
      <c r="E557" s="1077"/>
      <c r="F557" s="1077"/>
      <c r="G557" s="2200"/>
      <c r="H557" s="2200"/>
      <c r="I557" s="2201"/>
    </row>
    <row r="558" spans="1:9" ht="30" customHeight="1" x14ac:dyDescent="0.2">
      <c r="A558" s="1150" t="s">
        <v>1686</v>
      </c>
      <c r="B558" s="1958" t="s">
        <v>2415</v>
      </c>
      <c r="C558" s="1077">
        <v>400000</v>
      </c>
      <c r="D558" s="1077">
        <f>400000-400000</f>
        <v>0</v>
      </c>
      <c r="E558" s="1077"/>
      <c r="F558" s="1077"/>
      <c r="G558" s="2200"/>
      <c r="H558" s="2200"/>
      <c r="I558" s="2201"/>
    </row>
    <row r="559" spans="1:9" ht="30" customHeight="1" x14ac:dyDescent="0.2">
      <c r="A559" s="1150" t="s">
        <v>1688</v>
      </c>
      <c r="B559" s="1958" t="s">
        <v>1689</v>
      </c>
      <c r="C559" s="1077">
        <v>300000</v>
      </c>
      <c r="D559" s="1077">
        <v>300000</v>
      </c>
      <c r="E559" s="1077"/>
      <c r="F559" s="1077"/>
      <c r="G559" s="2200"/>
      <c r="H559" s="2200"/>
      <c r="I559" s="2201"/>
    </row>
    <row r="560" spans="1:9" s="2" customFormat="1" ht="30" customHeight="1" x14ac:dyDescent="0.2">
      <c r="A560" s="1150" t="s">
        <v>2416</v>
      </c>
      <c r="B560" s="1958" t="s">
        <v>2417</v>
      </c>
      <c r="C560" s="1077">
        <v>300000</v>
      </c>
      <c r="D560" s="1077">
        <v>300000</v>
      </c>
      <c r="E560" s="1077"/>
      <c r="F560" s="1077"/>
      <c r="G560" s="2200"/>
      <c r="H560" s="2200"/>
      <c r="I560" s="2201"/>
    </row>
    <row r="561" spans="1:9" ht="30" customHeight="1" x14ac:dyDescent="0.2">
      <c r="A561" s="1150" t="s">
        <v>2859</v>
      </c>
      <c r="B561" s="1958" t="s">
        <v>2418</v>
      </c>
      <c r="C561" s="1077">
        <v>3500000</v>
      </c>
      <c r="D561" s="1077">
        <v>3500000</v>
      </c>
      <c r="E561" s="1077"/>
      <c r="F561" s="1077"/>
      <c r="G561" s="2200"/>
      <c r="H561" s="2200"/>
      <c r="I561" s="2201"/>
    </row>
    <row r="562" spans="1:9" ht="30" customHeight="1" x14ac:dyDescent="0.2">
      <c r="A562" s="1150" t="s">
        <v>1690</v>
      </c>
      <c r="B562" s="2372" t="s">
        <v>1691</v>
      </c>
      <c r="C562" s="1077">
        <v>2240000</v>
      </c>
      <c r="D562" s="1077">
        <f>2240000+290000</f>
        <v>2530000</v>
      </c>
      <c r="E562" s="1077"/>
      <c r="F562" s="1077"/>
      <c r="G562" s="2200"/>
      <c r="H562" s="2200"/>
      <c r="I562" s="2201"/>
    </row>
    <row r="563" spans="1:9" ht="30" customHeight="1" x14ac:dyDescent="0.2">
      <c r="A563" s="1150" t="s">
        <v>1692</v>
      </c>
      <c r="B563" s="809" t="s">
        <v>2419</v>
      </c>
      <c r="C563" s="1077">
        <v>0</v>
      </c>
      <c r="D563" s="1077">
        <v>0</v>
      </c>
      <c r="E563" s="1077"/>
      <c r="F563" s="1077"/>
      <c r="G563" s="2200"/>
      <c r="H563" s="2200"/>
      <c r="I563" s="2201"/>
    </row>
    <row r="564" spans="1:9" ht="30" customHeight="1" x14ac:dyDescent="0.2">
      <c r="A564" s="1150" t="s">
        <v>2861</v>
      </c>
      <c r="B564" s="2372" t="s">
        <v>2420</v>
      </c>
      <c r="C564" s="2341">
        <v>500000</v>
      </c>
      <c r="D564" s="2341">
        <f>500000-500000</f>
        <v>0</v>
      </c>
      <c r="E564" s="2341"/>
      <c r="F564" s="2341"/>
      <c r="G564" s="2200"/>
      <c r="H564" s="2200"/>
      <c r="I564" s="2201"/>
    </row>
    <row r="565" spans="1:9" ht="30" customHeight="1" x14ac:dyDescent="0.2">
      <c r="A565" s="1150" t="s">
        <v>2863</v>
      </c>
      <c r="B565" s="2372" t="s">
        <v>2421</v>
      </c>
      <c r="C565" s="2341">
        <v>800000</v>
      </c>
      <c r="D565" s="2341">
        <f>800000-800000</f>
        <v>0</v>
      </c>
      <c r="E565" s="2341"/>
      <c r="F565" s="2341"/>
      <c r="G565" s="2200"/>
      <c r="H565" s="2200"/>
      <c r="I565" s="2201"/>
    </row>
    <row r="566" spans="1:9" ht="30" customHeight="1" x14ac:dyDescent="0.2">
      <c r="A566" s="1155">
        <v>3613</v>
      </c>
      <c r="B566" s="1240" t="s">
        <v>1646</v>
      </c>
      <c r="C566" s="727">
        <f t="shared" ref="C566:D566" si="54">SUM(C567:C576)</f>
        <v>11470000</v>
      </c>
      <c r="D566" s="727">
        <f t="shared" si="54"/>
        <v>25640000</v>
      </c>
      <c r="E566" s="727"/>
      <c r="F566" s="2341"/>
      <c r="G566" s="1663"/>
      <c r="H566" s="1663"/>
      <c r="I566" s="1662"/>
    </row>
    <row r="567" spans="1:9" ht="30" customHeight="1" x14ac:dyDescent="0.2">
      <c r="A567" s="1150" t="s">
        <v>1694</v>
      </c>
      <c r="B567" s="1112" t="s">
        <v>2422</v>
      </c>
      <c r="C567" s="1077">
        <v>1000000</v>
      </c>
      <c r="D567" s="1077">
        <v>1000000</v>
      </c>
      <c r="E567" s="1077"/>
      <c r="F567" s="1077"/>
      <c r="G567" s="2200"/>
      <c r="H567" s="2200"/>
      <c r="I567" s="2201"/>
    </row>
    <row r="568" spans="1:9" ht="30" customHeight="1" x14ac:dyDescent="0.2">
      <c r="A568" s="1150" t="s">
        <v>1698</v>
      </c>
      <c r="B568" s="1112" t="s">
        <v>2423</v>
      </c>
      <c r="C568" s="1077">
        <v>5000000</v>
      </c>
      <c r="D568" s="1077">
        <f>5000000+6000000</f>
        <v>11000000</v>
      </c>
      <c r="E568" s="1077"/>
      <c r="F568" s="1077"/>
      <c r="G568" s="2200"/>
      <c r="H568" s="2200"/>
      <c r="I568" s="2201"/>
    </row>
    <row r="569" spans="1:9" ht="30" customHeight="1" x14ac:dyDescent="0.2">
      <c r="A569" s="1150" t="s">
        <v>2867</v>
      </c>
      <c r="B569" s="1958" t="s">
        <v>2414</v>
      </c>
      <c r="C569" s="1077">
        <v>0</v>
      </c>
      <c r="D569" s="1077">
        <f>5450000</f>
        <v>5450000</v>
      </c>
      <c r="E569" s="1077"/>
      <c r="F569" s="1077"/>
      <c r="G569" s="2200"/>
      <c r="H569" s="2200"/>
      <c r="I569" s="2201"/>
    </row>
    <row r="570" spans="1:9" ht="30" customHeight="1" x14ac:dyDescent="0.2">
      <c r="A570" s="2531" t="s">
        <v>2868</v>
      </c>
      <c r="B570" s="1112" t="s">
        <v>1711</v>
      </c>
      <c r="C570" s="1077">
        <v>3200000</v>
      </c>
      <c r="D570" s="1077">
        <f>3200000+2000000+550000</f>
        <v>5750000</v>
      </c>
      <c r="E570" s="1077"/>
      <c r="F570" s="1077"/>
      <c r="G570" s="2200"/>
      <c r="H570" s="2200"/>
      <c r="I570" s="2201"/>
    </row>
    <row r="571" spans="1:9" ht="30" customHeight="1" x14ac:dyDescent="0.2">
      <c r="A571" s="1150" t="s">
        <v>1712</v>
      </c>
      <c r="B571" s="1112" t="s">
        <v>1713</v>
      </c>
      <c r="C571" s="1864">
        <v>10000</v>
      </c>
      <c r="D571" s="1864">
        <f>10000+170000</f>
        <v>180000</v>
      </c>
      <c r="E571" s="1077"/>
      <c r="F571" s="1077"/>
      <c r="G571" s="2200"/>
      <c r="H571" s="2200"/>
      <c r="I571" s="2201"/>
    </row>
    <row r="572" spans="1:9" ht="30" customHeight="1" x14ac:dyDescent="0.2">
      <c r="A572" s="1150" t="s">
        <v>1714</v>
      </c>
      <c r="B572" s="1112" t="s">
        <v>1715</v>
      </c>
      <c r="C572" s="1077">
        <v>0</v>
      </c>
      <c r="D572" s="1077">
        <v>0</v>
      </c>
      <c r="E572" s="1077"/>
      <c r="F572" s="1077"/>
      <c r="G572" s="2200"/>
      <c r="H572" s="2200"/>
      <c r="I572" s="2201"/>
    </row>
    <row r="573" spans="1:9" ht="30" customHeight="1" x14ac:dyDescent="0.2">
      <c r="A573" s="2525" t="s">
        <v>2871</v>
      </c>
      <c r="B573" s="1112" t="s">
        <v>2425</v>
      </c>
      <c r="C573" s="1077">
        <v>750000</v>
      </c>
      <c r="D573" s="1077">
        <v>750000</v>
      </c>
      <c r="E573" s="1077"/>
      <c r="F573" s="1077"/>
      <c r="G573" s="2200"/>
      <c r="H573" s="2200"/>
      <c r="I573" s="2201"/>
    </row>
    <row r="574" spans="1:9" ht="30" customHeight="1" x14ac:dyDescent="0.2">
      <c r="A574" s="2525" t="s">
        <v>2873</v>
      </c>
      <c r="B574" s="1112" t="s">
        <v>2426</v>
      </c>
      <c r="C574" s="1077">
        <v>400000</v>
      </c>
      <c r="D574" s="1077">
        <v>400000</v>
      </c>
      <c r="E574" s="1077"/>
      <c r="F574" s="1077"/>
      <c r="G574" s="2200"/>
      <c r="H574" s="2200"/>
      <c r="I574" s="2201"/>
    </row>
    <row r="575" spans="1:9" ht="30" customHeight="1" x14ac:dyDescent="0.2">
      <c r="A575" s="2525" t="s">
        <v>2874</v>
      </c>
      <c r="B575" s="1112" t="s">
        <v>2427</v>
      </c>
      <c r="C575" s="1077">
        <v>10000</v>
      </c>
      <c r="D575" s="1077">
        <v>10000</v>
      </c>
      <c r="E575" s="1077"/>
      <c r="F575" s="1077"/>
      <c r="G575" s="2200"/>
      <c r="H575" s="2200"/>
      <c r="I575" s="2201"/>
    </row>
    <row r="576" spans="1:9" ht="30" customHeight="1" x14ac:dyDescent="0.2">
      <c r="A576" s="2525" t="s">
        <v>2876</v>
      </c>
      <c r="B576" s="809" t="s">
        <v>2428</v>
      </c>
      <c r="C576" s="1077">
        <v>1100000</v>
      </c>
      <c r="D576" s="1077">
        <v>1100000</v>
      </c>
      <c r="E576" s="1077"/>
      <c r="F576" s="1077"/>
      <c r="G576" s="2200"/>
      <c r="H576" s="2200"/>
      <c r="I576" s="2201"/>
    </row>
    <row r="577" spans="1:9" ht="30" customHeight="1" x14ac:dyDescent="0.2">
      <c r="A577" s="1240">
        <v>3634</v>
      </c>
      <c r="B577" s="1240" t="s">
        <v>1716</v>
      </c>
      <c r="C577" s="727">
        <f t="shared" ref="C577:D577" si="55">SUM(C578:C583)</f>
        <v>7105000</v>
      </c>
      <c r="D577" s="727">
        <f t="shared" si="55"/>
        <v>7605000</v>
      </c>
      <c r="E577" s="727"/>
      <c r="F577" s="2341"/>
      <c r="G577" s="1663"/>
      <c r="H577" s="1663"/>
      <c r="I577" s="1662"/>
    </row>
    <row r="578" spans="1:9" ht="30" customHeight="1" x14ac:dyDescent="0.2">
      <c r="A578" s="1150" t="s">
        <v>1719</v>
      </c>
      <c r="B578" s="809" t="s">
        <v>2429</v>
      </c>
      <c r="C578" s="1077">
        <v>0</v>
      </c>
      <c r="D578" s="1077">
        <v>0</v>
      </c>
      <c r="E578" s="1077"/>
      <c r="F578" s="1077"/>
      <c r="G578" s="2200"/>
      <c r="H578" s="2200"/>
      <c r="I578" s="2201"/>
    </row>
    <row r="579" spans="1:9" ht="30" customHeight="1" x14ac:dyDescent="0.2">
      <c r="A579" s="1150" t="s">
        <v>1721</v>
      </c>
      <c r="B579" s="809" t="s">
        <v>1722</v>
      </c>
      <c r="C579" s="2341">
        <v>800000</v>
      </c>
      <c r="D579" s="2341">
        <v>800000</v>
      </c>
      <c r="E579" s="2341"/>
      <c r="F579" s="2341"/>
      <c r="G579" s="2200"/>
      <c r="H579" s="2200"/>
      <c r="I579" s="2201"/>
    </row>
    <row r="580" spans="1:9" ht="30" customHeight="1" x14ac:dyDescent="0.2">
      <c r="A580" s="1150" t="s">
        <v>1723</v>
      </c>
      <c r="B580" s="809" t="s">
        <v>2430</v>
      </c>
      <c r="C580" s="1077">
        <v>2000000</v>
      </c>
      <c r="D580" s="1077">
        <v>2000000</v>
      </c>
      <c r="E580" s="1077"/>
      <c r="F580" s="1077"/>
      <c r="G580" s="2200"/>
      <c r="H580" s="2200"/>
      <c r="I580" s="2201"/>
    </row>
    <row r="581" spans="1:9" ht="30" customHeight="1" x14ac:dyDescent="0.2">
      <c r="A581" s="1150" t="s">
        <v>1725</v>
      </c>
      <c r="B581" s="809" t="s">
        <v>2431</v>
      </c>
      <c r="C581" s="1077">
        <v>5000</v>
      </c>
      <c r="D581" s="1077">
        <v>5000</v>
      </c>
      <c r="E581" s="1077"/>
      <c r="F581" s="1077"/>
      <c r="G581" s="2200"/>
      <c r="H581" s="2200"/>
      <c r="I581" s="2201"/>
    </row>
    <row r="582" spans="1:9" ht="30" customHeight="1" x14ac:dyDescent="0.2">
      <c r="A582" s="1150" t="s">
        <v>1737</v>
      </c>
      <c r="B582" s="809" t="s">
        <v>2432</v>
      </c>
      <c r="C582" s="1077">
        <v>0</v>
      </c>
      <c r="D582" s="1077">
        <v>0</v>
      </c>
      <c r="E582" s="1077"/>
      <c r="F582" s="1077"/>
      <c r="G582" s="2200"/>
      <c r="H582" s="2200"/>
      <c r="I582" s="2201"/>
    </row>
    <row r="583" spans="1:9" s="2" customFormat="1" ht="30" customHeight="1" x14ac:dyDescent="0.2">
      <c r="A583" s="1150" t="s">
        <v>2880</v>
      </c>
      <c r="B583" s="809" t="s">
        <v>2433</v>
      </c>
      <c r="C583" s="1077">
        <v>4300000</v>
      </c>
      <c r="D583" s="1077">
        <f>4300000+500000</f>
        <v>4800000</v>
      </c>
      <c r="E583" s="1077"/>
      <c r="F583" s="1077"/>
      <c r="G583" s="2200"/>
      <c r="H583" s="2200"/>
      <c r="I583" s="2201"/>
    </row>
    <row r="584" spans="1:9" ht="30" customHeight="1" x14ac:dyDescent="0.2">
      <c r="A584" s="1240">
        <v>4351</v>
      </c>
      <c r="B584" s="1240" t="s">
        <v>2434</v>
      </c>
      <c r="C584" s="727">
        <f t="shared" ref="C584:D586" si="56">SUM(C585)</f>
        <v>3850000</v>
      </c>
      <c r="D584" s="727">
        <f t="shared" si="56"/>
        <v>3850000</v>
      </c>
      <c r="E584" s="727"/>
      <c r="F584" s="2341"/>
      <c r="G584" s="1663"/>
      <c r="H584" s="1663"/>
      <c r="I584" s="1662"/>
    </row>
    <row r="585" spans="1:9" ht="30" customHeight="1" x14ac:dyDescent="0.2">
      <c r="A585" s="1150" t="s">
        <v>2882</v>
      </c>
      <c r="B585" s="1112" t="s">
        <v>2436</v>
      </c>
      <c r="C585" s="1077">
        <v>3850000</v>
      </c>
      <c r="D585" s="1077">
        <v>3850000</v>
      </c>
      <c r="E585" s="1077"/>
      <c r="F585" s="1077"/>
      <c r="G585" s="2200"/>
      <c r="H585" s="2200"/>
      <c r="I585" s="2201"/>
    </row>
    <row r="586" spans="1:9" ht="30" customHeight="1" x14ac:dyDescent="0.2">
      <c r="A586" s="1240">
        <v>4374</v>
      </c>
      <c r="B586" s="1240" t="s">
        <v>2437</v>
      </c>
      <c r="C586" s="727">
        <f t="shared" si="56"/>
        <v>53000</v>
      </c>
      <c r="D586" s="727">
        <f t="shared" si="56"/>
        <v>53000</v>
      </c>
      <c r="E586" s="727"/>
      <c r="F586" s="2341"/>
      <c r="G586" s="1663"/>
      <c r="H586" s="1663"/>
      <c r="I586" s="1662"/>
    </row>
    <row r="587" spans="1:9" ht="30" customHeight="1" x14ac:dyDescent="0.2">
      <c r="A587" s="2532" t="s">
        <v>2438</v>
      </c>
      <c r="B587" s="2398" t="s">
        <v>1705</v>
      </c>
      <c r="C587" s="1189">
        <v>53000</v>
      </c>
      <c r="D587" s="1189">
        <v>53000</v>
      </c>
      <c r="E587" s="1189"/>
      <c r="F587" s="1189"/>
      <c r="G587" s="2200"/>
      <c r="H587" s="2200"/>
      <c r="I587" s="2201"/>
    </row>
    <row r="588" spans="1:9" ht="30" customHeight="1" x14ac:dyDescent="0.25">
      <c r="A588" s="649"/>
      <c r="B588" s="1998" t="s">
        <v>2439</v>
      </c>
      <c r="C588" s="2001">
        <f t="shared" ref="C588:D588" si="57">C589+C595+C597+C601+C606</f>
        <v>15102700</v>
      </c>
      <c r="D588" s="2001">
        <f t="shared" si="57"/>
        <v>16402700</v>
      </c>
      <c r="E588" s="1197"/>
      <c r="F588" s="2399"/>
      <c r="G588" s="2325"/>
      <c r="H588" s="2325"/>
      <c r="I588" s="2325"/>
    </row>
    <row r="589" spans="1:9" ht="30" customHeight="1" x14ac:dyDescent="0.2">
      <c r="A589" s="1953">
        <v>3412</v>
      </c>
      <c r="B589" s="1137" t="s">
        <v>1739</v>
      </c>
      <c r="C589" s="1138">
        <f t="shared" ref="C589:D589" si="58">SUM(C590:C594)</f>
        <v>14527700</v>
      </c>
      <c r="D589" s="1138">
        <f t="shared" si="58"/>
        <v>15827700</v>
      </c>
      <c r="E589" s="2029"/>
      <c r="F589" s="2042"/>
      <c r="G589" s="1663"/>
      <c r="H589" s="1663"/>
      <c r="I589" s="1662"/>
    </row>
    <row r="590" spans="1:9" ht="30" customHeight="1" x14ac:dyDescent="0.2">
      <c r="A590" s="1150" t="s">
        <v>1744</v>
      </c>
      <c r="B590" s="809" t="s">
        <v>1745</v>
      </c>
      <c r="C590" s="1077">
        <v>622000</v>
      </c>
      <c r="D590" s="1077">
        <f>622000+363000</f>
        <v>985000</v>
      </c>
      <c r="E590" s="1077"/>
      <c r="F590" s="1077"/>
      <c r="G590" s="2200"/>
      <c r="H590" s="2200"/>
      <c r="I590" s="2201"/>
    </row>
    <row r="591" spans="1:9" ht="30" customHeight="1" x14ac:dyDescent="0.2">
      <c r="A591" s="1150" t="s">
        <v>1746</v>
      </c>
      <c r="B591" s="809" t="s">
        <v>1747</v>
      </c>
      <c r="C591" s="1077">
        <v>205700</v>
      </c>
      <c r="D591" s="1077">
        <f>205700+121000</f>
        <v>326700</v>
      </c>
      <c r="E591" s="1077"/>
      <c r="F591" s="1077"/>
      <c r="G591" s="2200"/>
      <c r="H591" s="2200"/>
      <c r="I591" s="2201"/>
    </row>
    <row r="592" spans="1:9" ht="30" customHeight="1" x14ac:dyDescent="0.2">
      <c r="A592" s="1150" t="s">
        <v>1748</v>
      </c>
      <c r="B592" s="1112" t="s">
        <v>2440</v>
      </c>
      <c r="C592" s="1077">
        <v>6200000</v>
      </c>
      <c r="D592" s="1077">
        <f>6200000+1300000</f>
        <v>7500000</v>
      </c>
      <c r="E592" s="1077"/>
      <c r="F592" s="1077"/>
      <c r="G592" s="2200"/>
      <c r="H592" s="2200"/>
      <c r="I592" s="2201"/>
    </row>
    <row r="593" spans="1:9" ht="30" customHeight="1" x14ac:dyDescent="0.2">
      <c r="A593" s="1150" t="s">
        <v>1750</v>
      </c>
      <c r="B593" s="1112" t="s">
        <v>1751</v>
      </c>
      <c r="C593" s="1077">
        <v>4000000</v>
      </c>
      <c r="D593" s="1077">
        <f>4000000-3000000+3000000-321000</f>
        <v>3679000</v>
      </c>
      <c r="E593" s="1077"/>
      <c r="F593" s="1077"/>
      <c r="G593" s="2200"/>
      <c r="H593" s="2200"/>
      <c r="I593" s="2201"/>
    </row>
    <row r="594" spans="1:9" ht="30" customHeight="1" x14ac:dyDescent="0.2">
      <c r="A594" s="1150" t="s">
        <v>2887</v>
      </c>
      <c r="B594" s="1112" t="s">
        <v>1753</v>
      </c>
      <c r="C594" s="1077">
        <v>3500000</v>
      </c>
      <c r="D594" s="1077">
        <f>3500000-163000</f>
        <v>3337000</v>
      </c>
      <c r="E594" s="1077"/>
      <c r="F594" s="1077"/>
      <c r="G594" s="2200"/>
      <c r="H594" s="2200"/>
      <c r="I594" s="2201"/>
    </row>
    <row r="595" spans="1:9" ht="30" customHeight="1" x14ac:dyDescent="0.2">
      <c r="A595" s="1240">
        <v>3613</v>
      </c>
      <c r="B595" s="1240" t="s">
        <v>1646</v>
      </c>
      <c r="C595" s="727">
        <f t="shared" ref="C595:D595" si="59">SUM(C596:C596)</f>
        <v>300000</v>
      </c>
      <c r="D595" s="727">
        <f t="shared" si="59"/>
        <v>300000</v>
      </c>
      <c r="E595" s="727"/>
      <c r="F595" s="2341"/>
      <c r="G595" s="1663"/>
      <c r="H595" s="1663"/>
      <c r="I595" s="1662"/>
    </row>
    <row r="596" spans="1:9" s="2" customFormat="1" ht="30" customHeight="1" x14ac:dyDescent="0.2">
      <c r="A596" s="1150" t="s">
        <v>558</v>
      </c>
      <c r="B596" s="809" t="s">
        <v>1754</v>
      </c>
      <c r="C596" s="1077">
        <v>300000</v>
      </c>
      <c r="D596" s="1077">
        <v>300000</v>
      </c>
      <c r="E596" s="1077"/>
      <c r="F596" s="1077"/>
      <c r="G596" s="2200"/>
      <c r="H596" s="2200"/>
      <c r="I596" s="2201"/>
    </row>
    <row r="597" spans="1:9" ht="30" customHeight="1" x14ac:dyDescent="0.2">
      <c r="A597" s="1240">
        <v>3631</v>
      </c>
      <c r="B597" s="1240" t="s">
        <v>1755</v>
      </c>
      <c r="C597" s="727">
        <f t="shared" ref="C597:D597" si="60">SUM(C598:C600)</f>
        <v>5000</v>
      </c>
      <c r="D597" s="727">
        <f t="shared" si="60"/>
        <v>5000</v>
      </c>
      <c r="E597" s="727"/>
      <c r="F597" s="2341"/>
      <c r="G597" s="1663"/>
      <c r="H597" s="1663"/>
      <c r="I597" s="1662"/>
    </row>
    <row r="598" spans="1:9" s="2" customFormat="1" ht="30" customHeight="1" x14ac:dyDescent="0.2">
      <c r="A598" s="1150" t="s">
        <v>573</v>
      </c>
      <c r="B598" s="809" t="s">
        <v>1756</v>
      </c>
      <c r="C598" s="1077">
        <v>0</v>
      </c>
      <c r="D598" s="1077">
        <v>0</v>
      </c>
      <c r="E598" s="1077"/>
      <c r="F598" s="1077"/>
      <c r="G598" s="2200"/>
      <c r="H598" s="2200"/>
      <c r="I598" s="2201"/>
    </row>
    <row r="599" spans="1:9" s="2" customFormat="1" ht="30" customHeight="1" x14ac:dyDescent="0.2">
      <c r="A599" s="1150"/>
      <c r="B599" s="809" t="s">
        <v>2441</v>
      </c>
      <c r="C599" s="1077">
        <v>5000</v>
      </c>
      <c r="D599" s="1077">
        <v>5000</v>
      </c>
      <c r="E599" s="1077"/>
      <c r="F599" s="1077"/>
      <c r="G599" s="2200"/>
      <c r="H599" s="2200"/>
      <c r="I599" s="2201"/>
    </row>
    <row r="600" spans="1:9" s="2" customFormat="1" ht="30" customHeight="1" x14ac:dyDescent="0.2">
      <c r="A600" s="1150" t="s">
        <v>1759</v>
      </c>
      <c r="B600" s="809" t="s">
        <v>2442</v>
      </c>
      <c r="C600" s="1077">
        <v>0</v>
      </c>
      <c r="D600" s="1077">
        <v>0</v>
      </c>
      <c r="E600" s="1077"/>
      <c r="F600" s="1077"/>
      <c r="G600" s="2200"/>
      <c r="H600" s="2200"/>
      <c r="I600" s="2201"/>
    </row>
    <row r="601" spans="1:9" ht="30" customHeight="1" x14ac:dyDescent="0.2">
      <c r="A601" s="1240">
        <v>3632</v>
      </c>
      <c r="B601" s="1240" t="s">
        <v>1410</v>
      </c>
      <c r="C601" s="727">
        <f t="shared" ref="C601:D601" si="61">SUM(C602:C605)</f>
        <v>20000</v>
      </c>
      <c r="D601" s="727">
        <f t="shared" si="61"/>
        <v>20000</v>
      </c>
      <c r="E601" s="727"/>
      <c r="F601" s="2341"/>
      <c r="G601" s="1663"/>
      <c r="H601" s="1663"/>
      <c r="I601" s="1662"/>
    </row>
    <row r="602" spans="1:9" ht="30" customHeight="1" x14ac:dyDescent="0.2">
      <c r="A602" s="1150" t="s">
        <v>1762</v>
      </c>
      <c r="B602" s="809" t="s">
        <v>2443</v>
      </c>
      <c r="C602" s="1077">
        <v>10000</v>
      </c>
      <c r="D602" s="1077">
        <v>10000</v>
      </c>
      <c r="E602" s="1077"/>
      <c r="F602" s="1077"/>
      <c r="G602" s="2200"/>
      <c r="H602" s="2200"/>
      <c r="I602" s="2201"/>
    </row>
    <row r="603" spans="1:9" ht="30" customHeight="1" x14ac:dyDescent="0.2">
      <c r="A603" s="1150" t="s">
        <v>1762</v>
      </c>
      <c r="B603" s="1112" t="s">
        <v>1764</v>
      </c>
      <c r="C603" s="1077">
        <v>5000</v>
      </c>
      <c r="D603" s="1077">
        <v>5000</v>
      </c>
      <c r="E603" s="1077"/>
      <c r="F603" s="1077"/>
      <c r="G603" s="2200"/>
      <c r="H603" s="2200"/>
      <c r="I603" s="2201"/>
    </row>
    <row r="604" spans="1:9" ht="30" customHeight="1" x14ac:dyDescent="0.2">
      <c r="A604" s="1150" t="s">
        <v>594</v>
      </c>
      <c r="B604" s="1112" t="s">
        <v>2444</v>
      </c>
      <c r="C604" s="1077">
        <v>0</v>
      </c>
      <c r="D604" s="1077">
        <v>0</v>
      </c>
      <c r="E604" s="1077"/>
      <c r="F604" s="1077"/>
      <c r="G604" s="2200"/>
      <c r="H604" s="2200"/>
      <c r="I604" s="2201"/>
    </row>
    <row r="605" spans="1:9" ht="30" customHeight="1" x14ac:dyDescent="0.2">
      <c r="A605" s="1150" t="s">
        <v>1766</v>
      </c>
      <c r="B605" s="1112" t="s">
        <v>1767</v>
      </c>
      <c r="C605" s="1077">
        <v>5000</v>
      </c>
      <c r="D605" s="1077">
        <v>5000</v>
      </c>
      <c r="E605" s="1077"/>
      <c r="F605" s="1077"/>
      <c r="G605" s="2200"/>
      <c r="H605" s="2200"/>
      <c r="I605" s="2201"/>
    </row>
    <row r="606" spans="1:9" s="2" customFormat="1" ht="30" customHeight="1" x14ac:dyDescent="0.2">
      <c r="A606" s="1240">
        <v>3633</v>
      </c>
      <c r="B606" s="1240" t="s">
        <v>1416</v>
      </c>
      <c r="C606" s="727">
        <f t="shared" ref="C606:D611" si="62">SUM(C607:C607)</f>
        <v>250000</v>
      </c>
      <c r="D606" s="727">
        <f t="shared" si="62"/>
        <v>250000</v>
      </c>
      <c r="E606" s="727"/>
      <c r="F606" s="2341"/>
      <c r="G606" s="1663"/>
      <c r="H606" s="1663"/>
      <c r="I606" s="1662"/>
    </row>
    <row r="607" spans="1:9" s="2" customFormat="1" ht="30" customHeight="1" x14ac:dyDescent="0.2">
      <c r="A607" s="1154" t="s">
        <v>1768</v>
      </c>
      <c r="B607" s="1075" t="s">
        <v>1769</v>
      </c>
      <c r="C607" s="1048">
        <v>250000</v>
      </c>
      <c r="D607" s="1048">
        <v>250000</v>
      </c>
      <c r="E607" s="1048"/>
      <c r="F607" s="1048"/>
      <c r="G607" s="2200"/>
      <c r="H607" s="2200"/>
      <c r="I607" s="2201"/>
    </row>
    <row r="608" spans="1:9" s="2" customFormat="1" ht="30" customHeight="1" x14ac:dyDescent="0.25">
      <c r="A608" s="649"/>
      <c r="B608" s="1998" t="s">
        <v>1770</v>
      </c>
      <c r="C608" s="1055">
        <f t="shared" si="62"/>
        <v>200000</v>
      </c>
      <c r="D608" s="1055">
        <f t="shared" si="62"/>
        <v>200000</v>
      </c>
      <c r="E608" s="2401"/>
      <c r="F608" s="2402"/>
      <c r="G608" s="2325"/>
      <c r="H608" s="2325"/>
      <c r="I608" s="2325"/>
    </row>
    <row r="609" spans="1:241" ht="30" customHeight="1" x14ac:dyDescent="0.2">
      <c r="A609" s="1199" t="s">
        <v>609</v>
      </c>
      <c r="B609" s="1200" t="s">
        <v>1771</v>
      </c>
      <c r="C609" s="1809">
        <v>200000</v>
      </c>
      <c r="D609" s="1809">
        <v>200000</v>
      </c>
      <c r="E609" s="1131"/>
      <c r="F609" s="1201"/>
      <c r="G609" s="2200"/>
      <c r="H609" s="2200"/>
      <c r="I609" s="2201"/>
    </row>
    <row r="610" spans="1:241" s="1973" customFormat="1" ht="30" customHeight="1" x14ac:dyDescent="0.2">
      <c r="A610" s="2023"/>
      <c r="B610" s="1988"/>
      <c r="C610" s="1190"/>
      <c r="D610" s="1190"/>
      <c r="E610" s="1190"/>
      <c r="F610" s="1048"/>
      <c r="G610" s="1048"/>
      <c r="H610" s="1048"/>
      <c r="I610" s="1190"/>
      <c r="J610" s="2"/>
      <c r="K610" s="2"/>
      <c r="L610" s="2"/>
      <c r="M610" s="2"/>
      <c r="N610" s="2"/>
      <c r="O610" s="2"/>
      <c r="P610" s="2"/>
      <c r="Q610" s="2"/>
      <c r="R610" s="2"/>
      <c r="S610" s="2"/>
      <c r="T610" s="2"/>
      <c r="U610" s="2"/>
      <c r="V610" s="2"/>
      <c r="W610" s="2"/>
      <c r="X610" s="2"/>
      <c r="Y610" s="2"/>
      <c r="Z610" s="2"/>
      <c r="AA610" s="2"/>
      <c r="AB610" s="2"/>
      <c r="AC610" s="2"/>
      <c r="AD610" s="2"/>
      <c r="AE610" s="2"/>
      <c r="AF610" s="2"/>
      <c r="AG610" s="2"/>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c r="FL610" s="2"/>
      <c r="FM610" s="2"/>
      <c r="FN610" s="2"/>
      <c r="FO610" s="2"/>
      <c r="FP610" s="2"/>
      <c r="FQ610" s="2"/>
      <c r="FR610" s="2"/>
      <c r="FS610" s="2"/>
      <c r="FT610" s="2"/>
      <c r="FU610" s="2"/>
      <c r="FV610" s="2"/>
      <c r="FW610" s="2"/>
      <c r="FX610" s="2"/>
      <c r="FY610" s="2"/>
      <c r="FZ610" s="2"/>
      <c r="GA610" s="2"/>
      <c r="GB610" s="2"/>
      <c r="GC610" s="2"/>
      <c r="GD610" s="2"/>
      <c r="GE610" s="2"/>
      <c r="GF610" s="2"/>
      <c r="GG610" s="2"/>
      <c r="GH610" s="2"/>
      <c r="GI610" s="2"/>
      <c r="GJ610" s="2"/>
      <c r="GK610" s="2"/>
      <c r="GL610" s="2"/>
      <c r="GM610" s="2"/>
      <c r="GN610" s="2"/>
      <c r="GO610" s="2"/>
      <c r="GP610" s="2"/>
      <c r="GQ610" s="2"/>
      <c r="GR610" s="2"/>
      <c r="GS610" s="2"/>
      <c r="GT610" s="2"/>
      <c r="GU610" s="2"/>
      <c r="GV610" s="2"/>
      <c r="GW610" s="2"/>
      <c r="GX610" s="2"/>
      <c r="GY610" s="2"/>
      <c r="GZ610" s="2"/>
      <c r="HA610" s="2"/>
      <c r="HB610" s="2"/>
      <c r="HC610" s="2"/>
      <c r="HD610" s="2"/>
      <c r="HE610" s="2"/>
      <c r="HF610" s="2"/>
      <c r="HG610" s="2"/>
      <c r="HH610" s="2"/>
      <c r="HI610" s="2"/>
      <c r="HJ610" s="2"/>
      <c r="HK610" s="2"/>
      <c r="HL610" s="2"/>
      <c r="HM610" s="2"/>
      <c r="HN610" s="2"/>
      <c r="HO610" s="2"/>
      <c r="HP610" s="2"/>
      <c r="HQ610" s="2"/>
      <c r="HR610" s="2"/>
      <c r="HS610" s="2"/>
      <c r="HT610" s="2"/>
      <c r="HU610" s="2"/>
      <c r="HV610" s="2"/>
      <c r="HW610" s="2"/>
      <c r="HX610" s="2"/>
      <c r="HY610" s="2"/>
      <c r="HZ610" s="2"/>
      <c r="IA610" s="2"/>
      <c r="IB610" s="2"/>
      <c r="IC610" s="2"/>
      <c r="ID610" s="2"/>
      <c r="IE610" s="2"/>
      <c r="IF610" s="2"/>
      <c r="IG610" s="2"/>
    </row>
    <row r="611" spans="1:241" ht="30" customHeight="1" x14ac:dyDescent="0.3">
      <c r="A611" s="659"/>
      <c r="B611" s="1204" t="s">
        <v>31</v>
      </c>
      <c r="C611" s="1403">
        <f t="shared" si="62"/>
        <v>15000</v>
      </c>
      <c r="D611" s="1403">
        <f t="shared" si="62"/>
        <v>15000</v>
      </c>
      <c r="E611" s="1403"/>
      <c r="F611" s="2384"/>
      <c r="G611" s="949"/>
      <c r="H611" s="949"/>
      <c r="I611" s="949"/>
    </row>
    <row r="612" spans="1:241" ht="30" customHeight="1" x14ac:dyDescent="0.2">
      <c r="A612" s="2025">
        <v>2141</v>
      </c>
      <c r="B612" s="1208" t="s">
        <v>1773</v>
      </c>
      <c r="C612" s="731">
        <v>15000</v>
      </c>
      <c r="D612" s="731">
        <v>15000</v>
      </c>
      <c r="E612" s="731"/>
      <c r="F612" s="2407"/>
      <c r="G612" s="1663"/>
      <c r="H612" s="1663"/>
      <c r="I612" s="1662"/>
    </row>
    <row r="613" spans="1:241" s="244" customFormat="1" ht="30" customHeight="1" x14ac:dyDescent="0.25">
      <c r="A613" s="1212"/>
      <c r="B613" s="1213"/>
      <c r="C613" s="2026"/>
      <c r="D613" s="2026"/>
      <c r="E613" s="1042"/>
      <c r="F613" s="2409"/>
      <c r="G613" s="2409"/>
      <c r="H613" s="2409"/>
      <c r="I613" s="2026"/>
    </row>
    <row r="614" spans="1:241" s="98" customFormat="1" ht="30" customHeight="1" x14ac:dyDescent="0.3">
      <c r="A614" s="649"/>
      <c r="B614" s="701" t="s">
        <v>614</v>
      </c>
      <c r="C614" s="2410">
        <f>SUM(C615:C619)</f>
        <v>17594633</v>
      </c>
      <c r="D614" s="2410">
        <f>SUM(D615:D619)</f>
        <v>17974633</v>
      </c>
      <c r="E614" s="2410"/>
      <c r="F614" s="2411"/>
      <c r="G614" s="949"/>
      <c r="H614" s="949"/>
      <c r="I614" s="949"/>
    </row>
    <row r="615" spans="1:241" s="98" customFormat="1" ht="30" customHeight="1" x14ac:dyDescent="0.2">
      <c r="A615" s="764">
        <v>2141</v>
      </c>
      <c r="B615" s="1977" t="s">
        <v>2445</v>
      </c>
      <c r="C615" s="2028">
        <f>(15+50+129+1264.741+6.5+100)*1000</f>
        <v>1565241</v>
      </c>
      <c r="D615" s="2028">
        <f>(15+50+129+1264.741+6.5+100)*1000</f>
        <v>1565241</v>
      </c>
      <c r="E615" s="731"/>
      <c r="F615" s="2364"/>
      <c r="G615" s="1663"/>
      <c r="H615" s="1663"/>
      <c r="I615" s="1662"/>
    </row>
    <row r="616" spans="1:241" s="98" customFormat="1" ht="79.5" customHeight="1" x14ac:dyDescent="0.2">
      <c r="A616" s="771">
        <v>2143</v>
      </c>
      <c r="B616" s="725" t="s">
        <v>2446</v>
      </c>
      <c r="C616" s="727">
        <f>(4610+230+600+1143.28+57.04+414.9+20.7+10+1300+1130+400+1+7.5+10+50+900+130+2050+235.972+130+15+200+5+50+5+200+490)*1000</f>
        <v>14395391.999999998</v>
      </c>
      <c r="D616" s="727">
        <f>((4610+230+600+1143.28+57.04+414.9+20.7+10+1300+1130+400+1+7.5+10+50+900+130+2050+235.972+130+15+200+5+50+5+200+490)*1000)+300000+80000</f>
        <v>14775391.999999998</v>
      </c>
      <c r="E616" s="731"/>
      <c r="F616" s="2341"/>
      <c r="G616" s="1663"/>
      <c r="H616" s="1663"/>
      <c r="I616" s="1662"/>
    </row>
    <row r="617" spans="1:241" s="98" customFormat="1" ht="30" customHeight="1" x14ac:dyDescent="0.2">
      <c r="A617" s="771">
        <v>3399</v>
      </c>
      <c r="B617" s="725" t="s">
        <v>1776</v>
      </c>
      <c r="C617" s="727">
        <v>130000</v>
      </c>
      <c r="D617" s="727">
        <v>130000</v>
      </c>
      <c r="E617" s="731"/>
      <c r="F617" s="2042"/>
      <c r="G617" s="1663"/>
      <c r="H617" s="1663"/>
      <c r="I617" s="1662"/>
    </row>
    <row r="618" spans="1:241" s="98" customFormat="1" ht="30" customHeight="1" x14ac:dyDescent="0.2">
      <c r="A618" s="771">
        <v>6171</v>
      </c>
      <c r="B618" s="725" t="s">
        <v>2447</v>
      </c>
      <c r="C618" s="2029">
        <v>0</v>
      </c>
      <c r="D618" s="2029">
        <v>0</v>
      </c>
      <c r="E618" s="731"/>
      <c r="F618" s="2042"/>
      <c r="G618" s="1663"/>
      <c r="H618" s="1663"/>
      <c r="I618" s="1662"/>
    </row>
    <row r="619" spans="1:241" s="98" customFormat="1" ht="30" customHeight="1" x14ac:dyDescent="0.2">
      <c r="A619" s="771">
        <v>6223</v>
      </c>
      <c r="B619" s="725" t="s">
        <v>2448</v>
      </c>
      <c r="C619" s="727">
        <f>(150+50+15+40+900+77+250+5.5+5.5+5.5+5.5)*1000</f>
        <v>1504000</v>
      </c>
      <c r="D619" s="727">
        <f>(150+50+15+40+900+77+250+5.5+5.5+5.5+5.5)*1000</f>
        <v>1504000</v>
      </c>
      <c r="E619" s="731"/>
      <c r="F619" s="2042"/>
      <c r="G619" s="1663"/>
      <c r="H619" s="1663"/>
      <c r="I619" s="1662"/>
    </row>
    <row r="620" spans="1:241" s="98" customFormat="1" ht="30" customHeight="1" x14ac:dyDescent="0.2">
      <c r="A620" s="1220"/>
      <c r="B620" s="1221"/>
      <c r="C620" s="899"/>
      <c r="D620" s="899"/>
      <c r="E620" s="1042"/>
      <c r="F620" s="979"/>
      <c r="G620" s="979"/>
      <c r="H620" s="979"/>
      <c r="I620" s="899"/>
    </row>
    <row r="621" spans="1:241" s="98" customFormat="1" ht="30" customHeight="1" x14ac:dyDescent="0.3">
      <c r="A621" s="1225"/>
      <c r="B621" s="1226" t="s">
        <v>33</v>
      </c>
      <c r="C621" s="1403">
        <f t="shared" ref="C621:D621" si="63">SUM(C622,C623)</f>
        <v>11914064</v>
      </c>
      <c r="D621" s="1403">
        <f t="shared" si="63"/>
        <v>11914064</v>
      </c>
      <c r="E621" s="2414"/>
      <c r="F621" s="2384"/>
      <c r="G621" s="949"/>
      <c r="H621" s="949"/>
      <c r="I621" s="949"/>
    </row>
    <row r="622" spans="1:241" s="98" customFormat="1" ht="30" customHeight="1" x14ac:dyDescent="0.2">
      <c r="A622" s="771">
        <v>2223</v>
      </c>
      <c r="B622" s="725" t="s">
        <v>1778</v>
      </c>
      <c r="C622" s="1138">
        <v>110000</v>
      </c>
      <c r="D622" s="1138">
        <v>110000</v>
      </c>
      <c r="E622" s="765"/>
      <c r="F622" s="2364"/>
      <c r="G622" s="1663"/>
      <c r="H622" s="1663"/>
      <c r="I622" s="1662"/>
    </row>
    <row r="623" spans="1:241" s="98" customFormat="1" ht="30" customHeight="1" x14ac:dyDescent="0.2">
      <c r="A623" s="771">
        <v>2292</v>
      </c>
      <c r="B623" s="717" t="s">
        <v>2449</v>
      </c>
      <c r="C623" s="731">
        <f t="shared" ref="C623:D623" si="64">SUM(C624:C628)</f>
        <v>11804064</v>
      </c>
      <c r="D623" s="731">
        <f t="shared" si="64"/>
        <v>11804064</v>
      </c>
      <c r="E623" s="731"/>
      <c r="F623" s="738"/>
      <c r="G623" s="1663"/>
      <c r="H623" s="1663"/>
      <c r="I623" s="1662"/>
    </row>
    <row r="624" spans="1:241" s="98" customFormat="1" ht="30" customHeight="1" x14ac:dyDescent="0.2">
      <c r="A624" s="771"/>
      <c r="B624" s="737" t="s">
        <v>623</v>
      </c>
      <c r="C624" s="1232">
        <v>2234064</v>
      </c>
      <c r="D624" s="1232">
        <v>2234064</v>
      </c>
      <c r="E624" s="738"/>
      <c r="F624" s="1232"/>
      <c r="G624" s="2200"/>
      <c r="H624" s="2200"/>
      <c r="I624" s="2201"/>
    </row>
    <row r="625" spans="1:10" s="98" customFormat="1" ht="30" customHeight="1" x14ac:dyDescent="0.2">
      <c r="A625" s="771"/>
      <c r="B625" s="737" t="s">
        <v>2450</v>
      </c>
      <c r="C625" s="1900">
        <v>8800000</v>
      </c>
      <c r="D625" s="1900">
        <v>8800000</v>
      </c>
      <c r="E625" s="738"/>
      <c r="F625" s="1864"/>
      <c r="G625" s="2200"/>
      <c r="H625" s="2200"/>
      <c r="I625" s="2201"/>
    </row>
    <row r="626" spans="1:10" s="98" customFormat="1" ht="30" customHeight="1" x14ac:dyDescent="0.2">
      <c r="A626" s="771"/>
      <c r="B626" s="749" t="s">
        <v>2451</v>
      </c>
      <c r="C626" s="1900">
        <v>350000</v>
      </c>
      <c r="D626" s="1900">
        <v>350000</v>
      </c>
      <c r="E626" s="738"/>
      <c r="F626" s="1864"/>
      <c r="G626" s="2200"/>
      <c r="H626" s="2200"/>
      <c r="I626" s="2201"/>
    </row>
    <row r="627" spans="1:10" s="98" customFormat="1" ht="30" customHeight="1" x14ac:dyDescent="0.2">
      <c r="A627" s="1228"/>
      <c r="B627" s="1229" t="s">
        <v>2452</v>
      </c>
      <c r="C627" s="1900">
        <v>400000</v>
      </c>
      <c r="D627" s="1900">
        <v>400000</v>
      </c>
      <c r="E627" s="750"/>
      <c r="F627" s="1864"/>
      <c r="G627" s="2200"/>
      <c r="H627" s="2200"/>
      <c r="I627" s="2201"/>
    </row>
    <row r="628" spans="1:10" s="98" customFormat="1" ht="30" customHeight="1" x14ac:dyDescent="0.2">
      <c r="A628" s="2030"/>
      <c r="B628" s="1231" t="s">
        <v>2453</v>
      </c>
      <c r="C628" s="1900">
        <v>20000</v>
      </c>
      <c r="D628" s="1900">
        <v>20000</v>
      </c>
      <c r="E628" s="1045"/>
      <c r="F628" s="1864"/>
      <c r="G628" s="2200"/>
      <c r="H628" s="2200"/>
      <c r="I628" s="2201"/>
    </row>
    <row r="629" spans="1:10" s="98" customFormat="1" ht="30" customHeight="1" x14ac:dyDescent="0.2">
      <c r="A629" s="2031"/>
      <c r="B629" s="1231"/>
      <c r="C629" s="899"/>
      <c r="D629" s="899"/>
      <c r="E629" s="1158"/>
      <c r="F629" s="838"/>
      <c r="G629" s="979"/>
      <c r="H629" s="979"/>
      <c r="I629" s="899"/>
    </row>
    <row r="630" spans="1:10" s="98" customFormat="1" ht="30" customHeight="1" x14ac:dyDescent="0.3">
      <c r="A630" s="649"/>
      <c r="B630" s="701" t="s">
        <v>34</v>
      </c>
      <c r="C630" s="652">
        <f t="shared" ref="C630:D630" si="65">SUM(C631:C632)</f>
        <v>162000</v>
      </c>
      <c r="D630" s="652">
        <f t="shared" si="65"/>
        <v>162000</v>
      </c>
      <c r="E630" s="652"/>
      <c r="F630" s="2270"/>
      <c r="G630" s="949"/>
      <c r="H630" s="949"/>
      <c r="I630" s="949"/>
    </row>
    <row r="631" spans="1:10" s="98" customFormat="1" ht="30" customHeight="1" x14ac:dyDescent="0.2">
      <c r="A631" s="771">
        <v>2223</v>
      </c>
      <c r="B631" s="717" t="s">
        <v>1784</v>
      </c>
      <c r="C631" s="715">
        <v>150000</v>
      </c>
      <c r="D631" s="715">
        <v>150000</v>
      </c>
      <c r="E631" s="731"/>
      <c r="F631" s="2418"/>
      <c r="G631" s="1663"/>
      <c r="H631" s="1663"/>
      <c r="I631" s="1662"/>
    </row>
    <row r="632" spans="1:10" s="98" customFormat="1" ht="30" customHeight="1" x14ac:dyDescent="0.2">
      <c r="A632" s="771">
        <v>6171</v>
      </c>
      <c r="B632" s="717" t="s">
        <v>1785</v>
      </c>
      <c r="C632" s="722">
        <v>12000</v>
      </c>
      <c r="D632" s="722">
        <v>12000</v>
      </c>
      <c r="E632" s="731"/>
      <c r="F632" s="740"/>
      <c r="G632" s="1663"/>
      <c r="H632" s="1663"/>
      <c r="I632" s="1662"/>
    </row>
    <row r="633" spans="1:10" s="98" customFormat="1" ht="30" customHeight="1" x14ac:dyDescent="0.2">
      <c r="A633" s="682"/>
      <c r="B633" s="1236"/>
      <c r="C633" s="899"/>
      <c r="D633" s="899"/>
      <c r="E633" s="1517"/>
      <c r="F633" s="838"/>
      <c r="G633" s="2420"/>
      <c r="H633" s="2420"/>
      <c r="I633" s="899"/>
    </row>
    <row r="634" spans="1:10" s="98" customFormat="1" ht="30" customHeight="1" x14ac:dyDescent="0.3">
      <c r="A634" s="1225"/>
      <c r="B634" s="1238" t="s">
        <v>630</v>
      </c>
      <c r="C634" s="1239">
        <f t="shared" ref="C634:D634" si="66">SUM(C635:C637)</f>
        <v>500000</v>
      </c>
      <c r="D634" s="1239">
        <f t="shared" si="66"/>
        <v>500000</v>
      </c>
      <c r="E634" s="1239"/>
      <c r="F634" s="2421"/>
      <c r="G634" s="949"/>
      <c r="H634" s="949"/>
      <c r="I634" s="949"/>
    </row>
    <row r="635" spans="1:10" s="98" customFormat="1" ht="30" customHeight="1" x14ac:dyDescent="0.2">
      <c r="A635" s="864">
        <v>6114</v>
      </c>
      <c r="B635" s="842" t="s">
        <v>2896</v>
      </c>
      <c r="C635" s="998">
        <v>500000</v>
      </c>
      <c r="D635" s="984">
        <v>500000</v>
      </c>
      <c r="E635" s="984"/>
      <c r="F635" s="772"/>
      <c r="G635" s="1663"/>
      <c r="H635" s="1663"/>
      <c r="I635" s="1662"/>
      <c r="J635" s="898"/>
    </row>
    <row r="636" spans="1:10" s="98" customFormat="1" ht="30" customHeight="1" x14ac:dyDescent="0.2">
      <c r="A636" s="2033">
        <v>6115</v>
      </c>
      <c r="B636" s="1147" t="s">
        <v>631</v>
      </c>
      <c r="C636" s="731">
        <v>0</v>
      </c>
      <c r="D636" s="731">
        <v>0</v>
      </c>
      <c r="E636" s="731"/>
      <c r="F636" s="738"/>
      <c r="G636" s="1663"/>
      <c r="H636" s="1663"/>
      <c r="I636" s="1662"/>
      <c r="J636" s="898"/>
    </row>
    <row r="637" spans="1:10" s="98" customFormat="1" ht="30" customHeight="1" x14ac:dyDescent="0.2">
      <c r="A637" s="1240">
        <v>6117</v>
      </c>
      <c r="B637" s="771" t="s">
        <v>1787</v>
      </c>
      <c r="C637" s="734">
        <v>0</v>
      </c>
      <c r="D637" s="734">
        <v>0</v>
      </c>
      <c r="E637" s="731"/>
      <c r="F637" s="772"/>
      <c r="G637" s="1663"/>
      <c r="H637" s="1663"/>
      <c r="I637" s="1662"/>
      <c r="J637" s="898"/>
    </row>
    <row r="638" spans="1:10" s="98" customFormat="1" ht="30" customHeight="1" x14ac:dyDescent="0.2">
      <c r="A638" s="867"/>
      <c r="B638" s="2034"/>
      <c r="C638" s="1006"/>
      <c r="D638" s="869"/>
      <c r="E638" s="869"/>
      <c r="F638" s="779"/>
      <c r="G638" s="1102"/>
      <c r="H638" s="1102"/>
      <c r="I638" s="1359"/>
      <c r="J638" s="898"/>
    </row>
    <row r="639" spans="1:10" customFormat="1" ht="30" customHeight="1" x14ac:dyDescent="0.3">
      <c r="A639" s="659"/>
      <c r="B639" s="1246" t="s">
        <v>36</v>
      </c>
      <c r="C639" s="1247">
        <f>C640+C685+C712+C715</f>
        <v>125656247</v>
      </c>
      <c r="D639" s="1247">
        <f>D640+D685+D712+D715</f>
        <v>140482051.32999998</v>
      </c>
      <c r="E639" s="1247"/>
      <c r="F639" s="2270"/>
      <c r="G639" s="2325"/>
      <c r="H639" s="2325"/>
      <c r="I639" s="2325"/>
    </row>
    <row r="640" spans="1:10" customFormat="1" ht="30" customHeight="1" x14ac:dyDescent="0.25">
      <c r="A640" s="690"/>
      <c r="B640" s="1249" t="s">
        <v>633</v>
      </c>
      <c r="C640" s="1080">
        <f t="shared" ref="C640:D640" si="67">SUM(C641,C657,C683,C678)</f>
        <v>47677600</v>
      </c>
      <c r="D640" s="1080">
        <f t="shared" si="67"/>
        <v>51568795.189999998</v>
      </c>
      <c r="E640" s="1080"/>
      <c r="F640" s="2270"/>
      <c r="G640" s="2325"/>
      <c r="H640" s="2325"/>
      <c r="I640" s="2325"/>
    </row>
    <row r="641" spans="1:9" customFormat="1" ht="30" customHeight="1" x14ac:dyDescent="0.2">
      <c r="A641" s="1250">
        <v>3111</v>
      </c>
      <c r="B641" s="1251" t="s">
        <v>2455</v>
      </c>
      <c r="C641" s="1138">
        <f t="shared" ref="C641:D641" si="68">SUM(C642:C644)</f>
        <v>11790900</v>
      </c>
      <c r="D641" s="1138">
        <f t="shared" si="68"/>
        <v>13806013.699999999</v>
      </c>
      <c r="E641" s="1138"/>
      <c r="F641" s="2424"/>
      <c r="G641" s="1663"/>
      <c r="H641" s="1663"/>
      <c r="I641" s="1662"/>
    </row>
    <row r="642" spans="1:9" customFormat="1" ht="30" customHeight="1" x14ac:dyDescent="0.2">
      <c r="A642" s="809"/>
      <c r="B642" s="1255" t="s">
        <v>635</v>
      </c>
      <c r="C642" s="1256">
        <f t="shared" ref="C642:D644" si="69">+C646+C650+C654</f>
        <v>10198900</v>
      </c>
      <c r="D642" s="1256">
        <f>+D646+D650+D654</f>
        <v>12214013.699999999</v>
      </c>
      <c r="E642" s="1256"/>
      <c r="F642" s="1256"/>
      <c r="G642" s="2200"/>
      <c r="H642" s="2200"/>
      <c r="I642" s="2201"/>
    </row>
    <row r="643" spans="1:9" customFormat="1" ht="30" customHeight="1" x14ac:dyDescent="0.2">
      <c r="A643" s="809"/>
      <c r="B643" s="1255" t="s">
        <v>1788</v>
      </c>
      <c r="C643" s="1256">
        <f t="shared" si="69"/>
        <v>1462000</v>
      </c>
      <c r="D643" s="1256">
        <f t="shared" si="69"/>
        <v>1462000</v>
      </c>
      <c r="E643" s="1256"/>
      <c r="F643" s="1256"/>
      <c r="G643" s="2200"/>
      <c r="H643" s="2200"/>
      <c r="I643" s="2201"/>
    </row>
    <row r="644" spans="1:9" customFormat="1" ht="30" customHeight="1" x14ac:dyDescent="0.2">
      <c r="A644" s="809"/>
      <c r="B644" s="1255" t="s">
        <v>1789</v>
      </c>
      <c r="C644" s="1256">
        <f t="shared" si="69"/>
        <v>130000</v>
      </c>
      <c r="D644" s="1256">
        <f t="shared" si="69"/>
        <v>130000</v>
      </c>
      <c r="E644" s="1256"/>
      <c r="F644" s="1256"/>
      <c r="G644" s="2200"/>
      <c r="H644" s="2200"/>
      <c r="I644" s="2201"/>
    </row>
    <row r="645" spans="1:9" customFormat="1" ht="30" customHeight="1" x14ac:dyDescent="0.2">
      <c r="A645" s="809"/>
      <c r="B645" s="1258" t="s">
        <v>1790</v>
      </c>
      <c r="C645" s="727">
        <f t="shared" ref="C645:D645" si="70">C646+C647+C648</f>
        <v>3361300</v>
      </c>
      <c r="D645" s="727">
        <f t="shared" si="70"/>
        <v>3963818.1</v>
      </c>
      <c r="E645" s="727"/>
      <c r="F645" s="1077"/>
      <c r="G645" s="1663"/>
      <c r="H645" s="1663"/>
      <c r="I645" s="1662"/>
    </row>
    <row r="646" spans="1:9" customFormat="1" ht="30" customHeight="1" x14ac:dyDescent="0.2">
      <c r="A646" s="809"/>
      <c r="B646" s="1258" t="s">
        <v>2456</v>
      </c>
      <c r="C646" s="1234">
        <f>2997000+32300</f>
        <v>3029300</v>
      </c>
      <c r="D646" s="1234">
        <f>2997000+32300-10990+(117955.01+495553.09)</f>
        <v>3631818.1</v>
      </c>
      <c r="E646" s="1077"/>
      <c r="F646" s="1864"/>
      <c r="G646" s="2200"/>
      <c r="H646" s="2200"/>
      <c r="I646" s="2201"/>
    </row>
    <row r="647" spans="1:9" customFormat="1" ht="30" customHeight="1" x14ac:dyDescent="0.2">
      <c r="A647" s="809" t="s">
        <v>640</v>
      </c>
      <c r="B647" s="1258" t="s">
        <v>2457</v>
      </c>
      <c r="C647" s="1234">
        <v>332000</v>
      </c>
      <c r="D647" s="1234">
        <v>332000</v>
      </c>
      <c r="E647" s="1809"/>
      <c r="F647" s="1864"/>
      <c r="G647" s="2200"/>
      <c r="H647" s="2200"/>
      <c r="I647" s="2201"/>
    </row>
    <row r="648" spans="1:9" customFormat="1" ht="30" customHeight="1" x14ac:dyDescent="0.2">
      <c r="A648" s="809"/>
      <c r="B648" s="1258" t="s">
        <v>1793</v>
      </c>
      <c r="C648" s="1234">
        <v>0</v>
      </c>
      <c r="D648" s="1234">
        <v>0</v>
      </c>
      <c r="E648" s="1809"/>
      <c r="F648" s="815"/>
      <c r="G648" s="2200"/>
      <c r="H648" s="2200"/>
      <c r="I648" s="2201"/>
    </row>
    <row r="649" spans="1:9" customFormat="1" ht="30" customHeight="1" x14ac:dyDescent="0.2">
      <c r="A649" s="809"/>
      <c r="B649" s="1261" t="s">
        <v>1794</v>
      </c>
      <c r="C649" s="1262">
        <f t="shared" ref="C649:D649" si="71">SUM(C650:C652)</f>
        <v>4337900</v>
      </c>
      <c r="D649" s="1262">
        <f t="shared" si="71"/>
        <v>5057945.84</v>
      </c>
      <c r="E649" s="1262"/>
      <c r="F649" s="1256"/>
      <c r="G649" s="1663"/>
      <c r="H649" s="1663"/>
      <c r="I649" s="1662"/>
    </row>
    <row r="650" spans="1:9" customFormat="1" ht="30" customHeight="1" x14ac:dyDescent="0.2">
      <c r="A650" s="809"/>
      <c r="B650" s="1258" t="s">
        <v>1795</v>
      </c>
      <c r="C650" s="1234">
        <f>3579000+37900+21000</f>
        <v>3637900</v>
      </c>
      <c r="D650" s="1234">
        <f>3579000+37900+21000+(138438.27+581607.57)</f>
        <v>4357945.84</v>
      </c>
      <c r="E650" s="1077"/>
      <c r="F650" s="1864"/>
      <c r="G650" s="2200"/>
      <c r="H650" s="2200"/>
      <c r="I650" s="2201"/>
    </row>
    <row r="651" spans="1:9" customFormat="1" ht="30" customHeight="1" x14ac:dyDescent="0.2">
      <c r="A651" s="809"/>
      <c r="B651" s="1258" t="s">
        <v>2458</v>
      </c>
      <c r="C651" s="2036">
        <v>700000</v>
      </c>
      <c r="D651" s="2036">
        <v>700000</v>
      </c>
      <c r="E651" s="1077"/>
      <c r="F651" s="2035"/>
      <c r="G651" s="2200"/>
      <c r="H651" s="2200"/>
      <c r="I651" s="2201"/>
    </row>
    <row r="652" spans="1:9" customFormat="1" ht="30" customHeight="1" x14ac:dyDescent="0.2">
      <c r="A652" s="809"/>
      <c r="B652" s="1258" t="s">
        <v>2459</v>
      </c>
      <c r="C652" s="1234">
        <v>0</v>
      </c>
      <c r="D652" s="1234">
        <v>0</v>
      </c>
      <c r="E652" s="1809"/>
      <c r="F652" s="1864"/>
      <c r="G652" s="2200"/>
      <c r="H652" s="2200"/>
      <c r="I652" s="2201"/>
    </row>
    <row r="653" spans="1:9" customFormat="1" ht="30" customHeight="1" x14ac:dyDescent="0.2">
      <c r="A653" s="809"/>
      <c r="B653" s="1258" t="s">
        <v>1798</v>
      </c>
      <c r="C653" s="1262">
        <f t="shared" ref="C653:D653" si="72">SUM(C654:C656)</f>
        <v>4091700</v>
      </c>
      <c r="D653" s="1262">
        <f t="shared" si="72"/>
        <v>4784249.76</v>
      </c>
      <c r="E653" s="1262"/>
      <c r="F653" s="1256"/>
      <c r="G653" s="1663"/>
      <c r="H653" s="1663"/>
      <c r="I653" s="1662"/>
    </row>
    <row r="654" spans="1:9" customFormat="1" ht="30" customHeight="1" x14ac:dyDescent="0.2">
      <c r="A654" s="809"/>
      <c r="B654" s="1258" t="s">
        <v>2460</v>
      </c>
      <c r="C654" s="1864">
        <f>3502000+29700</f>
        <v>3531700</v>
      </c>
      <c r="D654" s="1864">
        <f>3502000+29700+(12834+115506)+(108476.76+455733)</f>
        <v>4224249.76</v>
      </c>
      <c r="E654" s="1809"/>
      <c r="F654" s="1864"/>
      <c r="G654" s="2200"/>
      <c r="H654" s="2200"/>
      <c r="I654" s="2201"/>
    </row>
    <row r="655" spans="1:9" customFormat="1" ht="30" customHeight="1" x14ac:dyDescent="0.2">
      <c r="A655" s="809"/>
      <c r="B655" s="1258" t="s">
        <v>2461</v>
      </c>
      <c r="C655" s="1864">
        <v>430000</v>
      </c>
      <c r="D655" s="1864">
        <v>430000</v>
      </c>
      <c r="E655" s="1809"/>
      <c r="F655" s="1864"/>
      <c r="G655" s="2200"/>
      <c r="H655" s="2200"/>
      <c r="I655" s="2201"/>
    </row>
    <row r="656" spans="1:9" customFormat="1" ht="30" customHeight="1" x14ac:dyDescent="0.2">
      <c r="A656" s="809"/>
      <c r="B656" s="1258" t="s">
        <v>2462</v>
      </c>
      <c r="C656" s="1234">
        <v>130000</v>
      </c>
      <c r="D656" s="1234">
        <v>130000</v>
      </c>
      <c r="E656" s="1077"/>
      <c r="F656" s="1864"/>
      <c r="G656" s="2200"/>
      <c r="H656" s="2200"/>
      <c r="I656" s="2201"/>
    </row>
    <row r="657" spans="1:9" customFormat="1" ht="30" customHeight="1" x14ac:dyDescent="0.2">
      <c r="A657" s="1240">
        <v>3113</v>
      </c>
      <c r="B657" s="1266" t="s">
        <v>650</v>
      </c>
      <c r="C657" s="1262">
        <f t="shared" ref="C657:D657" si="73">SUM(C658:C661)</f>
        <v>32723700</v>
      </c>
      <c r="D657" s="1262">
        <f t="shared" si="73"/>
        <v>34359981.490000002</v>
      </c>
      <c r="E657" s="1262"/>
      <c r="F657" s="1256"/>
      <c r="G657" s="1663"/>
      <c r="H657" s="1663"/>
      <c r="I657" s="1662"/>
    </row>
    <row r="658" spans="1:9" customFormat="1" ht="30" customHeight="1" x14ac:dyDescent="0.2">
      <c r="A658" s="1240"/>
      <c r="B658" s="1258" t="s">
        <v>651</v>
      </c>
      <c r="C658" s="1234">
        <v>400000</v>
      </c>
      <c r="D658" s="1234">
        <v>400000</v>
      </c>
      <c r="E658" s="1809"/>
      <c r="F658" s="1864"/>
      <c r="G658" s="2200"/>
      <c r="H658" s="2200"/>
      <c r="I658" s="2201"/>
    </row>
    <row r="659" spans="1:9" customFormat="1" ht="30" customHeight="1" x14ac:dyDescent="0.2">
      <c r="A659" s="809"/>
      <c r="B659" s="1258" t="s">
        <v>652</v>
      </c>
      <c r="C659" s="1256">
        <f t="shared" ref="C659:D660" si="74">+C663+C667+C671+C675</f>
        <v>28271700</v>
      </c>
      <c r="D659" s="1256">
        <f t="shared" si="74"/>
        <v>29907981.490000002</v>
      </c>
      <c r="E659" s="1256"/>
      <c r="F659" s="1256"/>
      <c r="G659" s="2200"/>
      <c r="H659" s="2200"/>
      <c r="I659" s="2201"/>
    </row>
    <row r="660" spans="1:9" customFormat="1" ht="30" customHeight="1" x14ac:dyDescent="0.2">
      <c r="A660" s="809"/>
      <c r="B660" s="1258" t="s">
        <v>1802</v>
      </c>
      <c r="C660" s="1256">
        <f t="shared" si="74"/>
        <v>3453000</v>
      </c>
      <c r="D660" s="1256">
        <f t="shared" si="74"/>
        <v>3453000</v>
      </c>
      <c r="E660" s="1256"/>
      <c r="F660" s="1256"/>
      <c r="G660" s="2200"/>
      <c r="H660" s="2200"/>
      <c r="I660" s="2201"/>
    </row>
    <row r="661" spans="1:9" customFormat="1" ht="30" customHeight="1" x14ac:dyDescent="0.2">
      <c r="A661" s="809"/>
      <c r="B661" s="1258" t="s">
        <v>1803</v>
      </c>
      <c r="C661" s="1256">
        <f>+C665+C673+C677+C669</f>
        <v>599000</v>
      </c>
      <c r="D661" s="1256">
        <f>+D665+D673+D677+D669</f>
        <v>599000</v>
      </c>
      <c r="E661" s="1256"/>
      <c r="F661" s="1256"/>
      <c r="G661" s="2200"/>
      <c r="H661" s="2200"/>
      <c r="I661" s="2201"/>
    </row>
    <row r="662" spans="1:9" customFormat="1" ht="30" customHeight="1" x14ac:dyDescent="0.2">
      <c r="A662" s="809"/>
      <c r="B662" s="1258" t="s">
        <v>1804</v>
      </c>
      <c r="C662" s="1262">
        <f t="shared" ref="C662:D662" si="75">SUM(C663:C665)</f>
        <v>11483000</v>
      </c>
      <c r="D662" s="1262">
        <f t="shared" si="75"/>
        <v>11581500</v>
      </c>
      <c r="E662" s="1262"/>
      <c r="F662" s="1256"/>
      <c r="G662" s="1663"/>
      <c r="H662" s="1663"/>
      <c r="I662" s="1662"/>
    </row>
    <row r="663" spans="1:9" customFormat="1" ht="30" customHeight="1" x14ac:dyDescent="0.2">
      <c r="A663" s="809"/>
      <c r="B663" s="1258" t="s">
        <v>2463</v>
      </c>
      <c r="C663" s="1864">
        <f>10280000-612000</f>
        <v>9668000</v>
      </c>
      <c r="D663" s="1864">
        <f>10280000-612000+(9850+88650)</f>
        <v>9766500</v>
      </c>
      <c r="E663" s="1077"/>
      <c r="F663" s="1864"/>
      <c r="G663" s="2200"/>
      <c r="H663" s="2200"/>
      <c r="I663" s="2201"/>
    </row>
    <row r="664" spans="1:9" customFormat="1" ht="59.25" customHeight="1" x14ac:dyDescent="0.2">
      <c r="A664" s="809"/>
      <c r="B664" s="1258" t="s">
        <v>2464</v>
      </c>
      <c r="C664" s="1077">
        <v>1815000</v>
      </c>
      <c r="D664" s="1077">
        <v>1815000</v>
      </c>
      <c r="E664" s="1077"/>
      <c r="F664" s="1077"/>
      <c r="G664" s="2200"/>
      <c r="H664" s="2200"/>
      <c r="I664" s="2201"/>
    </row>
    <row r="665" spans="1:9" customFormat="1" ht="30" customHeight="1" x14ac:dyDescent="0.2">
      <c r="A665" s="809"/>
      <c r="B665" s="1258" t="s">
        <v>2465</v>
      </c>
      <c r="C665" s="1234">
        <v>0</v>
      </c>
      <c r="D665" s="1234">
        <v>0</v>
      </c>
      <c r="E665" s="1256"/>
      <c r="F665" s="1271"/>
      <c r="G665" s="2200"/>
      <c r="H665" s="2200"/>
      <c r="I665" s="2201"/>
    </row>
    <row r="666" spans="1:9" customFormat="1" ht="30" customHeight="1" x14ac:dyDescent="0.2">
      <c r="A666" s="809"/>
      <c r="B666" s="1258" t="s">
        <v>1808</v>
      </c>
      <c r="C666" s="1262">
        <f t="shared" ref="C666:D666" si="76">SUM(C667:C668)</f>
        <v>6861000</v>
      </c>
      <c r="D666" s="1262">
        <f t="shared" si="76"/>
        <v>6734190</v>
      </c>
      <c r="E666" s="1262"/>
      <c r="F666" s="1256"/>
      <c r="G666" s="1663"/>
      <c r="H666" s="1663"/>
      <c r="I666" s="1662"/>
    </row>
    <row r="667" spans="1:9" customFormat="1" ht="30" customHeight="1" x14ac:dyDescent="0.2">
      <c r="A667" s="809"/>
      <c r="B667" s="1258" t="s">
        <v>2466</v>
      </c>
      <c r="C667" s="1864">
        <v>6033000</v>
      </c>
      <c r="D667" s="1864">
        <f>6033000-297792+(17098.2+153883.8)</f>
        <v>5906190</v>
      </c>
      <c r="E667" s="1077"/>
      <c r="F667" s="1864"/>
      <c r="G667" s="2200"/>
      <c r="H667" s="2200"/>
      <c r="I667" s="2201"/>
    </row>
    <row r="668" spans="1:9" customFormat="1" ht="30" customHeight="1" x14ac:dyDescent="0.2">
      <c r="A668" s="809"/>
      <c r="B668" s="1258" t="s">
        <v>2467</v>
      </c>
      <c r="C668" s="1077">
        <v>828000</v>
      </c>
      <c r="D668" s="1077">
        <v>828000</v>
      </c>
      <c r="E668" s="1809"/>
      <c r="F668" s="1077"/>
      <c r="G668" s="2200"/>
      <c r="H668" s="2200"/>
      <c r="I668" s="2201"/>
    </row>
    <row r="669" spans="1:9" customFormat="1" ht="30" customHeight="1" x14ac:dyDescent="0.2">
      <c r="A669" s="809"/>
      <c r="B669" s="1258" t="s">
        <v>2468</v>
      </c>
      <c r="C669" s="1234">
        <v>149000</v>
      </c>
      <c r="D669" s="1234">
        <v>149000</v>
      </c>
      <c r="E669" s="1809"/>
      <c r="F669" s="1864"/>
      <c r="G669" s="2200"/>
      <c r="H669" s="2200"/>
      <c r="I669" s="2201"/>
    </row>
    <row r="670" spans="1:9" customFormat="1" ht="30" customHeight="1" x14ac:dyDescent="0.2">
      <c r="A670" s="809"/>
      <c r="B670" s="1258" t="s">
        <v>1811</v>
      </c>
      <c r="C670" s="1262">
        <f t="shared" ref="C670:D674" si="77">SUM(C671:C673)</f>
        <v>6230000</v>
      </c>
      <c r="D670" s="1262">
        <f t="shared" si="77"/>
        <v>6321597.5</v>
      </c>
      <c r="E670" s="1262"/>
      <c r="F670" s="1256"/>
      <c r="G670" s="1663"/>
      <c r="H670" s="1663"/>
      <c r="I670" s="1662"/>
    </row>
    <row r="671" spans="1:9" customFormat="1" ht="30" customHeight="1" x14ac:dyDescent="0.2">
      <c r="A671" s="809"/>
      <c r="B671" s="1258" t="s">
        <v>2469</v>
      </c>
      <c r="C671" s="1864">
        <v>5090000</v>
      </c>
      <c r="D671" s="1864">
        <f>5090000+(9159.75+82437.75)</f>
        <v>5181597.5</v>
      </c>
      <c r="E671" s="1809"/>
      <c r="F671" s="1864"/>
      <c r="G671" s="2200"/>
      <c r="H671" s="2200"/>
      <c r="I671" s="2201"/>
    </row>
    <row r="672" spans="1:9" customFormat="1" ht="30" customHeight="1" x14ac:dyDescent="0.2">
      <c r="A672" s="809"/>
      <c r="B672" s="1258" t="s">
        <v>2470</v>
      </c>
      <c r="C672" s="1809">
        <v>690000</v>
      </c>
      <c r="D672" s="1809">
        <v>690000</v>
      </c>
      <c r="E672" s="1077"/>
      <c r="F672" s="1077"/>
      <c r="G672" s="2200"/>
      <c r="H672" s="2200"/>
      <c r="I672" s="2201"/>
    </row>
    <row r="673" spans="1:9" customFormat="1" ht="30" customHeight="1" x14ac:dyDescent="0.2">
      <c r="A673" s="809"/>
      <c r="B673" s="1258" t="s">
        <v>2471</v>
      </c>
      <c r="C673" s="1040">
        <v>450000</v>
      </c>
      <c r="D673" s="1040">
        <v>450000</v>
      </c>
      <c r="E673" s="1077"/>
      <c r="F673" s="1077"/>
      <c r="G673" s="2200"/>
      <c r="H673" s="2200"/>
      <c r="I673" s="2201"/>
    </row>
    <row r="674" spans="1:9" customFormat="1" ht="30" customHeight="1" x14ac:dyDescent="0.2">
      <c r="A674" s="809"/>
      <c r="B674" s="1258" t="s">
        <v>1815</v>
      </c>
      <c r="C674" s="1262">
        <f t="shared" si="77"/>
        <v>7600700</v>
      </c>
      <c r="D674" s="1262">
        <f t="shared" si="77"/>
        <v>9173693.9900000002</v>
      </c>
      <c r="E674" s="1262"/>
      <c r="F674" s="1256"/>
      <c r="G674" s="1663"/>
      <c r="H674" s="1663"/>
      <c r="I674" s="1662"/>
    </row>
    <row r="675" spans="1:9" customFormat="1" ht="30" customHeight="1" x14ac:dyDescent="0.2">
      <c r="A675" s="809"/>
      <c r="B675" s="1258" t="s">
        <v>2472</v>
      </c>
      <c r="C675" s="1864">
        <f>7404000+76700</f>
        <v>7480700</v>
      </c>
      <c r="D675" s="1864">
        <f>7404000+76700+(11663.45+104971.05)+(280004.26+1176355.23)</f>
        <v>9053693.9900000002</v>
      </c>
      <c r="E675" s="1809"/>
      <c r="F675" s="1864"/>
      <c r="G675" s="2200"/>
      <c r="H675" s="2200"/>
      <c r="I675" s="2201"/>
    </row>
    <row r="676" spans="1:9" customFormat="1" ht="48" customHeight="1" x14ac:dyDescent="0.2">
      <c r="A676" s="809"/>
      <c r="B676" s="1258" t="s">
        <v>2473</v>
      </c>
      <c r="C676" s="1077">
        <v>120000</v>
      </c>
      <c r="D676" s="1077">
        <v>120000</v>
      </c>
      <c r="E676" s="1809"/>
      <c r="F676" s="1077"/>
      <c r="G676" s="2200"/>
      <c r="H676" s="2200"/>
      <c r="I676" s="2201"/>
    </row>
    <row r="677" spans="1:9" customFormat="1" ht="30" customHeight="1" x14ac:dyDescent="0.2">
      <c r="A677" s="809"/>
      <c r="B677" s="1258" t="s">
        <v>2474</v>
      </c>
      <c r="C677" s="1234">
        <v>0</v>
      </c>
      <c r="D677" s="1234">
        <v>0</v>
      </c>
      <c r="E677" s="1077"/>
      <c r="F677" s="1864"/>
      <c r="G677" s="2200"/>
      <c r="H677" s="2200"/>
      <c r="I677" s="2201"/>
    </row>
    <row r="678" spans="1:9" customFormat="1" ht="30" customHeight="1" x14ac:dyDescent="0.2">
      <c r="A678" s="1240">
        <v>3233</v>
      </c>
      <c r="B678" s="1266" t="s">
        <v>671</v>
      </c>
      <c r="C678" s="1262">
        <f t="shared" ref="C678:D678" si="78">C679</f>
        <v>3023000</v>
      </c>
      <c r="D678" s="1262">
        <f t="shared" si="78"/>
        <v>3262800</v>
      </c>
      <c r="E678" s="1262"/>
      <c r="F678" s="1256"/>
      <c r="G678" s="1663"/>
      <c r="H678" s="1663"/>
      <c r="I678" s="1662"/>
    </row>
    <row r="679" spans="1:9" customFormat="1" ht="30" customHeight="1" x14ac:dyDescent="0.2">
      <c r="A679" s="1240"/>
      <c r="B679" s="1258" t="s">
        <v>1819</v>
      </c>
      <c r="C679" s="1256">
        <f t="shared" ref="C679:D679" si="79">SUM(C680:C682)</f>
        <v>3023000</v>
      </c>
      <c r="D679" s="1256">
        <f t="shared" si="79"/>
        <v>3262800</v>
      </c>
      <c r="E679" s="1256"/>
      <c r="F679" s="1256"/>
      <c r="G679" s="2200"/>
      <c r="H679" s="2200"/>
      <c r="I679" s="2201"/>
    </row>
    <row r="680" spans="1:9" customFormat="1" ht="30" customHeight="1" x14ac:dyDescent="0.2">
      <c r="A680" s="1240"/>
      <c r="B680" s="1258" t="s">
        <v>1820</v>
      </c>
      <c r="C680" s="1864">
        <v>2554000</v>
      </c>
      <c r="D680" s="1864">
        <f>2554000+239800+300000-300000</f>
        <v>2793800</v>
      </c>
      <c r="E680" s="1809"/>
      <c r="F680" s="1864"/>
      <c r="G680" s="2200"/>
      <c r="H680" s="2200"/>
      <c r="I680" s="2201"/>
    </row>
    <row r="681" spans="1:9" customFormat="1" ht="30" customHeight="1" x14ac:dyDescent="0.2">
      <c r="A681" s="1240"/>
      <c r="B681" s="1258" t="s">
        <v>2475</v>
      </c>
      <c r="C681" s="1077">
        <v>219000</v>
      </c>
      <c r="D681" s="1077">
        <v>219000</v>
      </c>
      <c r="E681" s="1809"/>
      <c r="F681" s="1077"/>
      <c r="G681" s="2200"/>
      <c r="H681" s="2200"/>
      <c r="I681" s="2201"/>
    </row>
    <row r="682" spans="1:9" customFormat="1" ht="30" customHeight="1" x14ac:dyDescent="0.2">
      <c r="A682" s="1240"/>
      <c r="B682" s="1258" t="s">
        <v>2476</v>
      </c>
      <c r="C682" s="1864">
        <v>250000</v>
      </c>
      <c r="D682" s="1864">
        <v>250000</v>
      </c>
      <c r="E682" s="1809"/>
      <c r="F682" s="1864"/>
      <c r="G682" s="2200"/>
      <c r="H682" s="2200"/>
      <c r="I682" s="2201"/>
    </row>
    <row r="683" spans="1:9" customFormat="1" ht="30" customHeight="1" x14ac:dyDescent="0.2">
      <c r="A683" s="1240">
        <v>3419</v>
      </c>
      <c r="B683" s="1266" t="s">
        <v>2477</v>
      </c>
      <c r="C683" s="722">
        <f>40000+100000</f>
        <v>140000</v>
      </c>
      <c r="D683" s="722">
        <f>40000+100000</f>
        <v>140000</v>
      </c>
      <c r="E683" s="2029"/>
      <c r="F683" s="1864"/>
      <c r="G683" s="1663"/>
      <c r="H683" s="1663"/>
      <c r="I683" s="1662"/>
    </row>
    <row r="684" spans="1:9" customFormat="1" ht="30" customHeight="1" x14ac:dyDescent="0.2">
      <c r="A684" s="1147"/>
      <c r="B684" s="1275"/>
      <c r="C684" s="1234"/>
      <c r="D684" s="1234"/>
      <c r="E684" s="2029"/>
      <c r="F684" s="1950"/>
      <c r="G684" s="1950"/>
      <c r="H684" s="1950"/>
      <c r="I684" s="1234"/>
    </row>
    <row r="685" spans="1:9" customFormat="1" ht="30" customHeight="1" x14ac:dyDescent="0.25">
      <c r="A685" s="690"/>
      <c r="B685" s="1249" t="s">
        <v>677</v>
      </c>
      <c r="C685" s="1280">
        <f t="shared" ref="C685:D685" si="80">SUM(C686,C690,C693,C699,C702,C709)</f>
        <v>49380647</v>
      </c>
      <c r="D685" s="1280">
        <f t="shared" si="80"/>
        <v>54440252</v>
      </c>
      <c r="E685" s="1280"/>
      <c r="F685" s="2426"/>
      <c r="G685" s="2325"/>
      <c r="H685" s="2325"/>
      <c r="I685" s="2325"/>
    </row>
    <row r="686" spans="1:9" customFormat="1" ht="30" customHeight="1" x14ac:dyDescent="0.2">
      <c r="A686" s="1283">
        <v>3311</v>
      </c>
      <c r="B686" s="1284" t="s">
        <v>1824</v>
      </c>
      <c r="C686" s="1273">
        <f t="shared" ref="C686:D686" si="81">SUM(C687:C689)</f>
        <v>15881220</v>
      </c>
      <c r="D686" s="1273">
        <f t="shared" si="81"/>
        <v>15796205</v>
      </c>
      <c r="E686" s="1273"/>
      <c r="F686" s="1260"/>
      <c r="G686" s="1663"/>
      <c r="H686" s="1663"/>
      <c r="I686" s="1662"/>
    </row>
    <row r="687" spans="1:9" customFormat="1" ht="30" customHeight="1" x14ac:dyDescent="0.2">
      <c r="A687" s="1286"/>
      <c r="B687" s="1287" t="s">
        <v>2478</v>
      </c>
      <c r="C687" s="1864">
        <f>14369000+35000+292220</f>
        <v>14696220</v>
      </c>
      <c r="D687" s="1864">
        <f>14369000+35000+292220-85015</f>
        <v>14611205</v>
      </c>
      <c r="E687" s="1809"/>
      <c r="F687" s="1864"/>
      <c r="G687" s="2200"/>
      <c r="H687" s="2200"/>
      <c r="I687" s="2201"/>
    </row>
    <row r="688" spans="1:9" customFormat="1" ht="30" customHeight="1" x14ac:dyDescent="0.2">
      <c r="A688" s="1286"/>
      <c r="B688" s="1287" t="s">
        <v>2479</v>
      </c>
      <c r="C688" s="1900">
        <v>847000</v>
      </c>
      <c r="D688" s="1900">
        <v>847000</v>
      </c>
      <c r="E688" s="1809"/>
      <c r="F688" s="1864"/>
      <c r="G688" s="2200"/>
      <c r="H688" s="2200"/>
      <c r="I688" s="2201"/>
    </row>
    <row r="689" spans="1:9" customFormat="1" ht="30" customHeight="1" x14ac:dyDescent="0.2">
      <c r="A689" s="1286"/>
      <c r="B689" s="1258" t="s">
        <v>2480</v>
      </c>
      <c r="C689" s="1040">
        <v>338000</v>
      </c>
      <c r="D689" s="1040">
        <v>338000</v>
      </c>
      <c r="E689" s="1077"/>
      <c r="F689" s="1077"/>
      <c r="G689" s="2200"/>
      <c r="H689" s="2200"/>
      <c r="I689" s="2201"/>
    </row>
    <row r="690" spans="1:9" customFormat="1" ht="30" customHeight="1" x14ac:dyDescent="0.2">
      <c r="A690" s="1289">
        <v>3319</v>
      </c>
      <c r="B690" s="1290" t="s">
        <v>682</v>
      </c>
      <c r="C690" s="1262">
        <f t="shared" ref="C690:D690" si="82">SUM(C691:C692)</f>
        <v>1520000</v>
      </c>
      <c r="D690" s="1262">
        <f t="shared" si="82"/>
        <v>1520000</v>
      </c>
      <c r="E690" s="1262"/>
      <c r="F690" s="1256"/>
      <c r="G690" s="1663"/>
      <c r="H690" s="1663"/>
      <c r="I690" s="1662"/>
    </row>
    <row r="691" spans="1:9" customFormat="1" ht="30" customHeight="1" x14ac:dyDescent="0.2">
      <c r="A691" s="1289"/>
      <c r="B691" s="1287" t="s">
        <v>2481</v>
      </c>
      <c r="C691" s="1864">
        <f>920000+(565000+35000)</f>
        <v>1520000</v>
      </c>
      <c r="D691" s="1864">
        <f>920000+(565000+35000)</f>
        <v>1520000</v>
      </c>
      <c r="E691" s="1809"/>
      <c r="F691" s="1864"/>
      <c r="G691" s="2200"/>
      <c r="H691" s="2200"/>
      <c r="I691" s="2201"/>
    </row>
    <row r="692" spans="1:9" customFormat="1" ht="30" customHeight="1" x14ac:dyDescent="0.2">
      <c r="A692" s="1289"/>
      <c r="B692" s="1287" t="s">
        <v>2482</v>
      </c>
      <c r="C692" s="1234">
        <v>0</v>
      </c>
      <c r="D692" s="1234">
        <v>0</v>
      </c>
      <c r="E692" s="1077"/>
      <c r="F692" s="1864"/>
      <c r="G692" s="2200"/>
      <c r="H692" s="2200"/>
      <c r="I692" s="2201"/>
    </row>
    <row r="693" spans="1:9" customFormat="1" ht="30" customHeight="1" x14ac:dyDescent="0.2">
      <c r="A693" s="1289" t="s">
        <v>1829</v>
      </c>
      <c r="B693" s="1290" t="s">
        <v>685</v>
      </c>
      <c r="C693" s="1262">
        <f t="shared" ref="C693:D693" si="83">C694+C696+C697+C698+C695</f>
        <v>360000</v>
      </c>
      <c r="D693" s="1262">
        <f t="shared" si="83"/>
        <v>360000</v>
      </c>
      <c r="E693" s="1262"/>
      <c r="F693" s="1256"/>
      <c r="G693" s="1663"/>
      <c r="H693" s="1663"/>
      <c r="I693" s="1662"/>
    </row>
    <row r="694" spans="1:9" customFormat="1" ht="30" customHeight="1" x14ac:dyDescent="0.2">
      <c r="A694" s="1286"/>
      <c r="B694" s="1287" t="s">
        <v>2483</v>
      </c>
      <c r="C694" s="1864">
        <v>120000</v>
      </c>
      <c r="D694" s="1864">
        <v>120000</v>
      </c>
      <c r="E694" s="1809"/>
      <c r="F694" s="1864"/>
      <c r="G694" s="2200"/>
      <c r="H694" s="2200"/>
      <c r="I694" s="2201"/>
    </row>
    <row r="695" spans="1:9" customFormat="1" ht="30" customHeight="1" x14ac:dyDescent="0.2">
      <c r="A695" s="1286"/>
      <c r="B695" s="1287" t="s">
        <v>2484</v>
      </c>
      <c r="C695" s="1864">
        <v>10000</v>
      </c>
      <c r="D695" s="1864">
        <v>10000</v>
      </c>
      <c r="E695" s="1809"/>
      <c r="F695" s="1864"/>
      <c r="G695" s="2200"/>
      <c r="H695" s="2200"/>
      <c r="I695" s="2201"/>
    </row>
    <row r="696" spans="1:9" customFormat="1" ht="30" customHeight="1" x14ac:dyDescent="0.2">
      <c r="A696" s="1286"/>
      <c r="B696" s="1287" t="s">
        <v>1832</v>
      </c>
      <c r="C696" s="1864">
        <v>70000</v>
      </c>
      <c r="D696" s="1864">
        <v>70000</v>
      </c>
      <c r="E696" s="1809"/>
      <c r="F696" s="1864"/>
      <c r="G696" s="2200"/>
      <c r="H696" s="2200"/>
      <c r="I696" s="2201"/>
    </row>
    <row r="697" spans="1:9" customFormat="1" ht="30" customHeight="1" x14ac:dyDescent="0.2">
      <c r="A697" s="1286"/>
      <c r="B697" s="1287" t="s">
        <v>2485</v>
      </c>
      <c r="C697" s="1077">
        <v>110000</v>
      </c>
      <c r="D697" s="1077">
        <v>110000</v>
      </c>
      <c r="E697" s="1077"/>
      <c r="F697" s="1077"/>
      <c r="G697" s="2200"/>
      <c r="H697" s="2200"/>
      <c r="I697" s="2201"/>
    </row>
    <row r="698" spans="1:9" customFormat="1" ht="30" customHeight="1" x14ac:dyDescent="0.2">
      <c r="A698" s="1286"/>
      <c r="B698" s="1287" t="s">
        <v>2486</v>
      </c>
      <c r="C698" s="1234">
        <v>50000</v>
      </c>
      <c r="D698" s="1234">
        <v>50000</v>
      </c>
      <c r="E698" s="1809"/>
      <c r="F698" s="1864"/>
      <c r="G698" s="2200"/>
      <c r="H698" s="2200"/>
      <c r="I698" s="2201"/>
    </row>
    <row r="699" spans="1:9" customFormat="1" ht="30" customHeight="1" x14ac:dyDescent="0.2">
      <c r="A699" s="1289" t="s">
        <v>1835</v>
      </c>
      <c r="B699" s="1290" t="s">
        <v>2487</v>
      </c>
      <c r="C699" s="1262">
        <f t="shared" ref="C699:D699" si="84">C700+C701</f>
        <v>375000</v>
      </c>
      <c r="D699" s="1262">
        <f t="shared" si="84"/>
        <v>375000</v>
      </c>
      <c r="E699" s="1262"/>
      <c r="F699" s="1256"/>
      <c r="G699" s="1663"/>
      <c r="H699" s="1663"/>
      <c r="I699" s="1662"/>
    </row>
    <row r="700" spans="1:9" customFormat="1" ht="30" customHeight="1" x14ac:dyDescent="0.2">
      <c r="A700" s="1286"/>
      <c r="B700" s="1287" t="s">
        <v>2488</v>
      </c>
      <c r="C700" s="1077">
        <f>1170000-550000-260000</f>
        <v>360000</v>
      </c>
      <c r="D700" s="1077">
        <f>1170000-550000-260000</f>
        <v>360000</v>
      </c>
      <c r="E700" s="1809"/>
      <c r="F700" s="1077"/>
      <c r="G700" s="2200"/>
      <c r="H700" s="2200"/>
      <c r="I700" s="2201"/>
    </row>
    <row r="701" spans="1:9" customFormat="1" ht="30" customHeight="1" x14ac:dyDescent="0.2">
      <c r="A701" s="1286"/>
      <c r="B701" s="1287" t="s">
        <v>1837</v>
      </c>
      <c r="C701" s="1234">
        <v>15000</v>
      </c>
      <c r="D701" s="1234">
        <v>15000</v>
      </c>
      <c r="E701" s="1077"/>
      <c r="F701" s="1864"/>
      <c r="G701" s="2200"/>
      <c r="H701" s="2200"/>
      <c r="I701" s="2201"/>
    </row>
    <row r="702" spans="1:9" customFormat="1" ht="30" customHeight="1" x14ac:dyDescent="0.2">
      <c r="A702" s="1289">
        <v>3392</v>
      </c>
      <c r="B702" s="1290" t="s">
        <v>693</v>
      </c>
      <c r="C702" s="1262">
        <f t="shared" ref="C702:D702" si="85">C704+C703</f>
        <v>30954427</v>
      </c>
      <c r="D702" s="1262">
        <f t="shared" si="85"/>
        <v>36099047</v>
      </c>
      <c r="E702" s="1262"/>
      <c r="F702" s="1256"/>
      <c r="G702" s="1663"/>
      <c r="H702" s="1663"/>
      <c r="I702" s="1662"/>
    </row>
    <row r="703" spans="1:9" customFormat="1" ht="30" customHeight="1" x14ac:dyDescent="0.2">
      <c r="A703" s="1289"/>
      <c r="B703" s="1287" t="s">
        <v>2489</v>
      </c>
      <c r="C703" s="1234">
        <v>26000</v>
      </c>
      <c r="D703" s="1234">
        <v>26000</v>
      </c>
      <c r="E703" s="1077"/>
      <c r="F703" s="1864"/>
      <c r="G703" s="2200"/>
      <c r="H703" s="2200"/>
      <c r="I703" s="2201"/>
    </row>
    <row r="704" spans="1:9" customFormat="1" ht="30" customHeight="1" x14ac:dyDescent="0.2">
      <c r="A704" s="1286"/>
      <c r="B704" s="1287" t="s">
        <v>1838</v>
      </c>
      <c r="C704" s="1262">
        <f t="shared" ref="C704:D704" si="86">SUM(C705+C708+C707)</f>
        <v>30928427</v>
      </c>
      <c r="D704" s="1262">
        <f t="shared" si="86"/>
        <v>36073047</v>
      </c>
      <c r="E704" s="1262"/>
      <c r="F704" s="1256"/>
      <c r="G704" s="1663"/>
      <c r="H704" s="1663"/>
      <c r="I704" s="1662"/>
    </row>
    <row r="705" spans="1:9" customFormat="1" ht="30" customHeight="1" x14ac:dyDescent="0.2">
      <c r="A705" s="1286"/>
      <c r="B705" s="1287" t="s">
        <v>2490</v>
      </c>
      <c r="C705" s="1864">
        <f>27770000+12000+622427</f>
        <v>28404427</v>
      </c>
      <c r="D705" s="1864">
        <f>(27770000+12000+622427)+4737000+400000-472380+370000+110000</f>
        <v>33549047</v>
      </c>
      <c r="E705" s="1809"/>
      <c r="F705" s="1077"/>
      <c r="G705" s="2200"/>
      <c r="H705" s="2200"/>
      <c r="I705" s="2201"/>
    </row>
    <row r="706" spans="1:9" customFormat="1" ht="30" customHeight="1" x14ac:dyDescent="0.2">
      <c r="A706" s="1286"/>
      <c r="B706" s="1287" t="s">
        <v>697</v>
      </c>
      <c r="C706" s="1864">
        <v>4360000</v>
      </c>
      <c r="D706" s="1864">
        <f>4360000+400000</f>
        <v>4760000</v>
      </c>
      <c r="E706" s="1809"/>
      <c r="F706" s="815"/>
      <c r="G706" s="2200"/>
      <c r="H706" s="2200"/>
      <c r="I706" s="2201"/>
    </row>
    <row r="707" spans="1:9" customFormat="1" ht="38.25" x14ac:dyDescent="0.2">
      <c r="A707" s="1286"/>
      <c r="B707" s="1287" t="s">
        <v>2491</v>
      </c>
      <c r="C707" s="1040">
        <f>3800000-1600000</f>
        <v>2200000</v>
      </c>
      <c r="D707" s="1040">
        <f>3800000-1600000</f>
        <v>2200000</v>
      </c>
      <c r="E707" s="1809"/>
      <c r="F707" s="1077"/>
      <c r="G707" s="2200"/>
      <c r="H707" s="2200"/>
      <c r="I707" s="2201"/>
    </row>
    <row r="708" spans="1:9" customFormat="1" ht="30" customHeight="1" x14ac:dyDescent="0.2">
      <c r="A708" s="1286"/>
      <c r="B708" s="1287" t="s">
        <v>2492</v>
      </c>
      <c r="C708" s="1234">
        <v>324000</v>
      </c>
      <c r="D708" s="1234">
        <v>324000</v>
      </c>
      <c r="E708" s="1809"/>
      <c r="F708" s="1077"/>
      <c r="G708" s="2200"/>
      <c r="H708" s="2200"/>
      <c r="I708" s="2201"/>
    </row>
    <row r="709" spans="1:9" customFormat="1" ht="30" customHeight="1" x14ac:dyDescent="0.2">
      <c r="A709" s="1289">
        <v>3399</v>
      </c>
      <c r="B709" s="1290" t="s">
        <v>700</v>
      </c>
      <c r="C709" s="1262">
        <f t="shared" ref="C709:D709" si="87">C710</f>
        <v>290000</v>
      </c>
      <c r="D709" s="1262">
        <f t="shared" si="87"/>
        <v>290000</v>
      </c>
      <c r="E709" s="1262"/>
      <c r="F709" s="1256"/>
      <c r="G709" s="1663"/>
      <c r="H709" s="1663"/>
      <c r="I709" s="1662"/>
    </row>
    <row r="710" spans="1:9" customFormat="1" ht="30" customHeight="1" x14ac:dyDescent="0.2">
      <c r="A710" s="1286"/>
      <c r="B710" s="1287" t="s">
        <v>701</v>
      </c>
      <c r="C710" s="1234">
        <v>290000</v>
      </c>
      <c r="D710" s="1234">
        <v>290000</v>
      </c>
      <c r="E710" s="1077"/>
      <c r="F710" s="1077"/>
      <c r="G710" s="2200"/>
      <c r="H710" s="2200"/>
      <c r="I710" s="2201"/>
    </row>
    <row r="711" spans="1:9" customFormat="1" ht="30" customHeight="1" x14ac:dyDescent="0.2">
      <c r="A711" s="1295"/>
      <c r="B711" s="1296"/>
      <c r="C711" s="1234"/>
      <c r="D711" s="1234"/>
      <c r="E711" s="1809"/>
      <c r="F711" s="2431"/>
      <c r="G711" s="2431"/>
      <c r="H711" s="2431"/>
      <c r="I711" s="1234"/>
    </row>
    <row r="712" spans="1:9" customFormat="1" ht="30" customHeight="1" x14ac:dyDescent="0.25">
      <c r="A712" s="690"/>
      <c r="B712" s="1249" t="s">
        <v>2934</v>
      </c>
      <c r="C712" s="1280">
        <f>SUM(C713)</f>
        <v>0</v>
      </c>
      <c r="D712" s="1280">
        <f>SUM(D713)</f>
        <v>5000000</v>
      </c>
      <c r="E712" s="1280"/>
      <c r="F712" s="2426"/>
      <c r="G712" s="2325"/>
      <c r="H712" s="2325"/>
      <c r="I712" s="2325"/>
    </row>
    <row r="713" spans="1:9" customFormat="1" ht="30" customHeight="1" x14ac:dyDescent="0.2">
      <c r="A713" s="1283" t="s">
        <v>2935</v>
      </c>
      <c r="B713" s="1284" t="s">
        <v>2936</v>
      </c>
      <c r="C713" s="1273">
        <v>0</v>
      </c>
      <c r="D713" s="1273">
        <v>5000000</v>
      </c>
      <c r="E713" s="1273"/>
      <c r="F713" s="1260"/>
      <c r="G713" s="1663"/>
      <c r="H713" s="1663"/>
      <c r="I713" s="1662"/>
    </row>
    <row r="714" spans="1:9" customFormat="1" ht="30" customHeight="1" x14ac:dyDescent="0.2">
      <c r="A714" s="1295"/>
      <c r="B714" s="1296"/>
      <c r="C714" s="1234"/>
      <c r="D714" s="1234"/>
      <c r="E714" s="1809"/>
      <c r="F714" s="2431"/>
      <c r="G714" s="2431"/>
      <c r="H714" s="2431"/>
      <c r="I714" s="1234"/>
    </row>
    <row r="715" spans="1:9" customFormat="1" ht="30" customHeight="1" x14ac:dyDescent="0.25">
      <c r="A715" s="690"/>
      <c r="B715" s="1062" t="s">
        <v>702</v>
      </c>
      <c r="C715" s="1299">
        <f t="shared" ref="C715:D715" si="88">C716</f>
        <v>28598000</v>
      </c>
      <c r="D715" s="1299">
        <f t="shared" si="88"/>
        <v>29473004.140000001</v>
      </c>
      <c r="E715" s="1299"/>
      <c r="F715" s="2432"/>
      <c r="G715" s="2325"/>
      <c r="H715" s="2325"/>
      <c r="I715" s="2325"/>
    </row>
    <row r="716" spans="1:9" customFormat="1" ht="30" customHeight="1" x14ac:dyDescent="0.2">
      <c r="A716" s="1240"/>
      <c r="B716" s="1251" t="s">
        <v>703</v>
      </c>
      <c r="C716" s="1301">
        <f>SUM(C717:C726)</f>
        <v>28598000</v>
      </c>
      <c r="D716" s="1301">
        <f>SUM(D717:D726)</f>
        <v>29473004.140000001</v>
      </c>
      <c r="E716" s="1301"/>
      <c r="F716" s="2433"/>
      <c r="G716" s="1663"/>
      <c r="H716" s="1663"/>
      <c r="I716" s="1662"/>
    </row>
    <row r="717" spans="1:9" customFormat="1" ht="30" customHeight="1" x14ac:dyDescent="0.2">
      <c r="A717" s="809"/>
      <c r="B717" s="1258" t="s">
        <v>704</v>
      </c>
      <c r="C717" s="1864">
        <v>1500000</v>
      </c>
      <c r="D717" s="1864">
        <v>1500000</v>
      </c>
      <c r="E717" s="1809"/>
      <c r="F717" s="1864"/>
      <c r="G717" s="2200"/>
      <c r="H717" s="2200"/>
      <c r="I717" s="2201"/>
    </row>
    <row r="718" spans="1:9" customFormat="1" ht="30" customHeight="1" x14ac:dyDescent="0.2">
      <c r="A718" s="809"/>
      <c r="B718" s="1258" t="s">
        <v>705</v>
      </c>
      <c r="C718" s="1900">
        <v>300000</v>
      </c>
      <c r="D718" s="1900">
        <v>300000</v>
      </c>
      <c r="E718" s="1809"/>
      <c r="F718" s="1864"/>
      <c r="G718" s="2200"/>
      <c r="H718" s="2200"/>
      <c r="I718" s="2201"/>
    </row>
    <row r="719" spans="1:9" customFormat="1" ht="30" customHeight="1" x14ac:dyDescent="0.2">
      <c r="A719" s="809"/>
      <c r="B719" s="1258" t="s">
        <v>706</v>
      </c>
      <c r="C719" s="1900">
        <v>4800000</v>
      </c>
      <c r="D719" s="1900">
        <v>4800000</v>
      </c>
      <c r="E719" s="1809"/>
      <c r="F719" s="1864"/>
      <c r="G719" s="2200"/>
      <c r="H719" s="2200"/>
      <c r="I719" s="2201"/>
    </row>
    <row r="720" spans="1:9" customFormat="1" ht="30" customHeight="1" x14ac:dyDescent="0.2">
      <c r="A720" s="809"/>
      <c r="B720" s="1258" t="s">
        <v>707</v>
      </c>
      <c r="C720" s="1900">
        <v>7250000</v>
      </c>
      <c r="D720" s="1900">
        <v>7250000</v>
      </c>
      <c r="E720" s="1809"/>
      <c r="F720" s="1864"/>
      <c r="G720" s="2200"/>
      <c r="H720" s="2200"/>
      <c r="I720" s="2201"/>
    </row>
    <row r="721" spans="1:9" customFormat="1" ht="30" customHeight="1" x14ac:dyDescent="0.2">
      <c r="A721" s="809"/>
      <c r="B721" s="1258" t="s">
        <v>708</v>
      </c>
      <c r="C721" s="1900">
        <v>250000</v>
      </c>
      <c r="D721" s="1900">
        <f>250000-30000-70000-40000-30000</f>
        <v>80000</v>
      </c>
      <c r="E721" s="1809"/>
      <c r="F721" s="1864"/>
      <c r="G721" s="2200"/>
      <c r="H721" s="2200"/>
      <c r="I721" s="2201"/>
    </row>
    <row r="722" spans="1:9" customFormat="1" ht="30" customHeight="1" x14ac:dyDescent="0.2">
      <c r="A722" s="809"/>
      <c r="B722" s="1258" t="s">
        <v>709</v>
      </c>
      <c r="C722" s="1900">
        <v>1000000</v>
      </c>
      <c r="D722" s="1900">
        <v>1000000</v>
      </c>
      <c r="E722" s="1809"/>
      <c r="F722" s="1864"/>
      <c r="G722" s="2200"/>
      <c r="H722" s="2200"/>
      <c r="I722" s="2201"/>
    </row>
    <row r="723" spans="1:9" customFormat="1" ht="30" customHeight="1" x14ac:dyDescent="0.2">
      <c r="A723" s="809"/>
      <c r="B723" s="1258" t="s">
        <v>712</v>
      </c>
      <c r="C723" s="1900">
        <v>1342000</v>
      </c>
      <c r="D723" s="1900">
        <v>1342000</v>
      </c>
      <c r="E723" s="1809"/>
      <c r="F723" s="1864"/>
      <c r="G723" s="2200"/>
      <c r="H723" s="2200"/>
      <c r="I723" s="2201"/>
    </row>
    <row r="724" spans="1:9" customFormat="1" ht="30" customHeight="1" x14ac:dyDescent="0.2">
      <c r="A724" s="809"/>
      <c r="B724" s="1258" t="s">
        <v>713</v>
      </c>
      <c r="C724" s="1900">
        <v>158000</v>
      </c>
      <c r="D724" s="1900">
        <v>158000</v>
      </c>
      <c r="E724" s="1809"/>
      <c r="F724" s="1864"/>
      <c r="G724" s="2200"/>
      <c r="H724" s="2200"/>
      <c r="I724" s="2201"/>
    </row>
    <row r="725" spans="1:9" customFormat="1" ht="30" customHeight="1" x14ac:dyDescent="0.2">
      <c r="A725" s="809"/>
      <c r="B725" s="1258" t="s">
        <v>714</v>
      </c>
      <c r="C725" s="1900">
        <v>1300000</v>
      </c>
      <c r="D725" s="1900">
        <v>1300000</v>
      </c>
      <c r="E725" s="1809"/>
      <c r="F725" s="1864"/>
      <c r="G725" s="2200"/>
      <c r="H725" s="2200"/>
      <c r="I725" s="2201"/>
    </row>
    <row r="726" spans="1:9" customFormat="1" ht="42" customHeight="1" x14ac:dyDescent="0.2">
      <c r="A726" s="1240"/>
      <c r="B726" s="1258" t="s">
        <v>2493</v>
      </c>
      <c r="C726" s="1809">
        <f>296000+644000+63000+90000+15000+200000+7600000-210000+2000000</f>
        <v>10698000</v>
      </c>
      <c r="D726" s="1809">
        <f>(296000+644000+63000+90000+15000+200000+7600000-210000+2000000)+595004.14+7500+15000+30000+30000+7500+80000+60000+30000+70000+40000+30000+30000+10000+10000</f>
        <v>11743004.140000001</v>
      </c>
      <c r="E726" s="1809"/>
      <c r="F726" s="1077"/>
      <c r="G726" s="2200"/>
      <c r="H726" s="2200"/>
      <c r="I726" s="2201"/>
    </row>
    <row r="727" spans="1:9" ht="30" customHeight="1" x14ac:dyDescent="0.2">
      <c r="A727" s="771"/>
      <c r="B727" s="1303"/>
      <c r="C727" s="742"/>
      <c r="D727" s="742"/>
      <c r="E727" s="1040"/>
      <c r="F727" s="743"/>
      <c r="G727" s="743"/>
      <c r="H727" s="743"/>
      <c r="I727" s="743"/>
    </row>
    <row r="728" spans="1:9" ht="30" customHeight="1" x14ac:dyDescent="0.3">
      <c r="A728" s="649"/>
      <c r="B728" s="701" t="s">
        <v>716</v>
      </c>
      <c r="C728" s="2434">
        <f>C729</f>
        <v>30378980</v>
      </c>
      <c r="D728" s="2434">
        <f>D729</f>
        <v>31548124.350000001</v>
      </c>
      <c r="E728" s="2435"/>
      <c r="F728" s="2436"/>
      <c r="G728" s="949"/>
      <c r="H728" s="949"/>
      <c r="I728" s="949"/>
    </row>
    <row r="729" spans="1:9" ht="30" customHeight="1" x14ac:dyDescent="0.2">
      <c r="A729" s="771">
        <v>5311</v>
      </c>
      <c r="B729" s="717" t="s">
        <v>717</v>
      </c>
      <c r="C729" s="2040">
        <f>SUM(C730)</f>
        <v>30378980</v>
      </c>
      <c r="D729" s="2040">
        <f>SUM(D730)</f>
        <v>31548124.350000001</v>
      </c>
      <c r="E729" s="1311"/>
      <c r="F729" s="2045"/>
      <c r="G729" s="1663"/>
      <c r="H729" s="1663"/>
      <c r="I729" s="1662"/>
    </row>
    <row r="730" spans="1:9" ht="76.5" x14ac:dyDescent="0.2">
      <c r="A730" s="771"/>
      <c r="B730" s="749" t="s">
        <v>2494</v>
      </c>
      <c r="C730" s="2042">
        <f>(19370+840+4803.76+208.32+1743.3+75.6+5+350+2+348+143+35+264+1+245+30+3+149+3+747+275+200+45+17+50+10+6+170+150+90)*1000</f>
        <v>30378980</v>
      </c>
      <c r="D730" s="2042">
        <f>((19370+840+4803.76+208.32+1743.3+75.6+5+350+2+348+143+35+264+1+245+30+3+149+3+747+275+200+45+17+50+10+6+170+150+90)*1000)+1169144.35</f>
        <v>31548124.350000001</v>
      </c>
      <c r="E730" s="2041"/>
      <c r="F730" s="2042"/>
      <c r="G730" s="2200"/>
      <c r="H730" s="2200"/>
      <c r="I730" s="2201"/>
    </row>
    <row r="731" spans="1:9" ht="30" customHeight="1" x14ac:dyDescent="0.2">
      <c r="A731" s="682"/>
      <c r="B731" s="1318"/>
      <c r="C731" s="945"/>
      <c r="D731" s="945"/>
      <c r="E731" s="1158"/>
      <c r="F731" s="945"/>
      <c r="G731" s="945"/>
      <c r="H731" s="945"/>
      <c r="I731" s="945"/>
    </row>
    <row r="732" spans="1:9" ht="30" customHeight="1" x14ac:dyDescent="0.3">
      <c r="A732" s="649"/>
      <c r="B732" s="701" t="s">
        <v>41</v>
      </c>
      <c r="C732" s="2437">
        <f>SUM(C733:C740)+C752</f>
        <v>37939410</v>
      </c>
      <c r="D732" s="2437">
        <f>SUM(D733:D740)+D752</f>
        <v>37126500.399999999</v>
      </c>
      <c r="E732" s="2437"/>
      <c r="F732" s="2533"/>
      <c r="G732" s="949"/>
      <c r="H732" s="949"/>
      <c r="I732" s="949"/>
    </row>
    <row r="733" spans="1:9" ht="38.25" customHeight="1" x14ac:dyDescent="0.2">
      <c r="A733" s="2044">
        <v>3429</v>
      </c>
      <c r="B733" s="1525" t="s">
        <v>2495</v>
      </c>
      <c r="C733" s="1138">
        <f>SUM(80+20+11+200+12.3+1+30+120+20+500)*1000-500000</f>
        <v>494300</v>
      </c>
      <c r="D733" s="1138">
        <f>SUM(80+20+11+200+12.3+1+30+120+20+500)*1000-500000</f>
        <v>494300</v>
      </c>
      <c r="E733" s="765"/>
      <c r="F733" s="2439"/>
      <c r="G733" s="1663"/>
      <c r="H733" s="1663"/>
      <c r="I733" s="1662"/>
    </row>
    <row r="734" spans="1:9" s="98" customFormat="1" ht="36.75" x14ac:dyDescent="0.2">
      <c r="A734" s="1148">
        <v>5212</v>
      </c>
      <c r="B734" s="1208" t="s">
        <v>2496</v>
      </c>
      <c r="C734" s="727">
        <f>SUM(1+20+35+40+30)*1000</f>
        <v>126000</v>
      </c>
      <c r="D734" s="727">
        <f>SUM(1+20+35+40+30)*1000</f>
        <v>126000</v>
      </c>
      <c r="E734" s="731"/>
      <c r="F734" s="1256"/>
      <c r="G734" s="1663"/>
      <c r="H734" s="1663"/>
      <c r="I734" s="1662"/>
    </row>
    <row r="735" spans="1:9" s="244" customFormat="1" ht="30" customHeight="1" x14ac:dyDescent="0.25">
      <c r="A735" s="771">
        <v>5213</v>
      </c>
      <c r="B735" s="725" t="s">
        <v>2497</v>
      </c>
      <c r="C735" s="1262">
        <v>200000</v>
      </c>
      <c r="D735" s="1262">
        <v>200000</v>
      </c>
      <c r="E735" s="731"/>
      <c r="F735" s="1256"/>
      <c r="G735" s="1663"/>
      <c r="H735" s="1663"/>
      <c r="I735" s="1662"/>
    </row>
    <row r="736" spans="1:9" s="98" customFormat="1" ht="30" customHeight="1" x14ac:dyDescent="0.2">
      <c r="A736" s="771">
        <v>5273</v>
      </c>
      <c r="B736" s="725" t="s">
        <v>1847</v>
      </c>
      <c r="C736" s="1262">
        <v>5000</v>
      </c>
      <c r="D736" s="1262">
        <v>5000</v>
      </c>
      <c r="E736" s="731"/>
      <c r="F736" s="1256"/>
      <c r="G736" s="1663"/>
      <c r="H736" s="1663"/>
      <c r="I736" s="1662"/>
    </row>
    <row r="737" spans="1:11" s="98" customFormat="1" ht="30" customHeight="1" x14ac:dyDescent="0.2">
      <c r="A737" s="771">
        <v>5299</v>
      </c>
      <c r="B737" s="725" t="s">
        <v>2940</v>
      </c>
      <c r="C737" s="1262">
        <v>0</v>
      </c>
      <c r="D737" s="1262">
        <v>440000</v>
      </c>
      <c r="E737" s="731"/>
      <c r="F737" s="1256"/>
      <c r="G737" s="1663"/>
      <c r="H737" s="1663"/>
      <c r="I737" s="1662"/>
    </row>
    <row r="738" spans="1:11" s="244" customFormat="1" ht="30" customHeight="1" x14ac:dyDescent="0.25">
      <c r="A738" s="771">
        <v>5511</v>
      </c>
      <c r="B738" s="725" t="s">
        <v>2498</v>
      </c>
      <c r="C738" s="1262">
        <v>2500000</v>
      </c>
      <c r="D738" s="1262">
        <v>2500000</v>
      </c>
      <c r="E738" s="731"/>
      <c r="F738" s="1256"/>
      <c r="G738" s="1663"/>
      <c r="H738" s="1663"/>
      <c r="I738" s="1662"/>
    </row>
    <row r="739" spans="1:11" s="244" customFormat="1" ht="48.75" x14ac:dyDescent="0.25">
      <c r="A739" s="771">
        <v>5512</v>
      </c>
      <c r="B739" s="725" t="s">
        <v>2499</v>
      </c>
      <c r="C739" s="1262">
        <f>SUM(12+44+10+15+5+14+10+30)*1000</f>
        <v>140000</v>
      </c>
      <c r="D739" s="1262">
        <f>SUM(12+44+10+15+5+14+10+30)*1000</f>
        <v>140000</v>
      </c>
      <c r="E739" s="731"/>
      <c r="F739" s="1256"/>
      <c r="G739" s="1663"/>
      <c r="H739" s="1663"/>
      <c r="I739" s="1662"/>
    </row>
    <row r="740" spans="1:11" s="244" customFormat="1" ht="30" customHeight="1" x14ac:dyDescent="0.25">
      <c r="A740" s="771">
        <v>6171</v>
      </c>
      <c r="B740" s="717" t="s">
        <v>725</v>
      </c>
      <c r="C740" s="1262">
        <f t="shared" ref="C740:D740" si="89">SUM(C741+C742+C746+C747+C749+C750+C751)</f>
        <v>32624110</v>
      </c>
      <c r="D740" s="1262">
        <f t="shared" si="89"/>
        <v>31371200.399999999</v>
      </c>
      <c r="E740" s="1334"/>
      <c r="F740" s="1256"/>
      <c r="G740" s="1663"/>
      <c r="H740" s="1663"/>
      <c r="I740" s="1662"/>
    </row>
    <row r="741" spans="1:11" s="244" customFormat="1" ht="144.75" customHeight="1" x14ac:dyDescent="0.25">
      <c r="A741" s="771"/>
      <c r="B741" s="1335" t="s">
        <v>2500</v>
      </c>
      <c r="C741" s="1077">
        <f>SUM(40+40+5+100+500+825+50+40+90+200+50+500+1075+600+3500+2550+1+170+4100+150+120+129.4+72.6+50+48+330+3900+300+20+100+450+30+1000+950+400+950+700+200+4.5+30+2)*1000</f>
        <v>24372500</v>
      </c>
      <c r="D741" s="1077">
        <f>(SUM(40+40+5+100+500+825+50+40+90+200+50+500+1075+600+3500+2550+1+170+4100+150+120+129.4+72.6+50+48+330+3900+300+20+100+450+30+1000+950+400+950+700+200+4.5+30+2)*1000)-1350000</f>
        <v>23022500</v>
      </c>
      <c r="E741" s="1316"/>
      <c r="F741" s="1256"/>
      <c r="G741" s="2200"/>
      <c r="H741" s="2200"/>
      <c r="I741" s="2201"/>
    </row>
    <row r="742" spans="1:11" s="244" customFormat="1" ht="24" x14ac:dyDescent="0.25">
      <c r="A742" s="771"/>
      <c r="B742" s="1335" t="s">
        <v>2501</v>
      </c>
      <c r="C742" s="1077">
        <f>SUM(50+100+1000)*1000</f>
        <v>1150000</v>
      </c>
      <c r="D742" s="1077">
        <f>SUM(50+100+1000)*1000</f>
        <v>1150000</v>
      </c>
      <c r="E742" s="1809"/>
      <c r="F742" s="1256"/>
      <c r="G742" s="2200"/>
      <c r="H742" s="2200"/>
      <c r="I742" s="2201"/>
    </row>
    <row r="743" spans="1:11" s="244" customFormat="1" ht="156" hidden="1" customHeight="1" x14ac:dyDescent="0.25">
      <c r="A743" s="771" t="s">
        <v>2502</v>
      </c>
      <c r="B743" s="1335" t="s">
        <v>2503</v>
      </c>
      <c r="C743" s="1256">
        <v>0</v>
      </c>
      <c r="D743" s="1256">
        <v>0</v>
      </c>
      <c r="E743" s="1256"/>
      <c r="F743" s="1256"/>
      <c r="G743" s="2200"/>
      <c r="H743" s="2200"/>
      <c r="I743" s="2201"/>
    </row>
    <row r="744" spans="1:11" s="244" customFormat="1" ht="24" hidden="1" customHeight="1" x14ac:dyDescent="0.25">
      <c r="A744" s="771"/>
      <c r="B744" s="1335" t="s">
        <v>2504</v>
      </c>
      <c r="C744" s="1256">
        <v>0</v>
      </c>
      <c r="D744" s="1256">
        <v>0</v>
      </c>
      <c r="E744" s="1256"/>
      <c r="F744" s="1256"/>
      <c r="G744" s="2200"/>
      <c r="H744" s="2200"/>
      <c r="I744" s="2201"/>
    </row>
    <row r="745" spans="1:11" s="244" customFormat="1" ht="156" hidden="1" customHeight="1" x14ac:dyDescent="0.25">
      <c r="A745" s="771" t="s">
        <v>2505</v>
      </c>
      <c r="B745" s="1335" t="s">
        <v>2506</v>
      </c>
      <c r="C745" s="1256">
        <v>0</v>
      </c>
      <c r="D745" s="1256">
        <v>0</v>
      </c>
      <c r="E745" s="1256"/>
      <c r="F745" s="1256"/>
      <c r="G745" s="2200"/>
      <c r="H745" s="2200"/>
      <c r="I745" s="2201"/>
    </row>
    <row r="746" spans="1:11" s="98" customFormat="1" ht="39" customHeight="1" x14ac:dyDescent="0.2">
      <c r="A746" s="771"/>
      <c r="B746" s="1337" t="s">
        <v>2507</v>
      </c>
      <c r="C746" s="1077">
        <f>SUM(200+590+225+40+20+3012.8+200+240+70)*1000</f>
        <v>4597800</v>
      </c>
      <c r="D746" s="1077">
        <f>(SUM(200+590+225+40+20+3012.8+200+240+70)*1000)+97090.4</f>
        <v>4694890.4000000004</v>
      </c>
      <c r="E746" s="738"/>
      <c r="F746" s="1256"/>
      <c r="G746" s="2200"/>
      <c r="H746" s="2200"/>
      <c r="I746" s="2201"/>
    </row>
    <row r="747" spans="1:11" ht="30" customHeight="1" x14ac:dyDescent="0.2">
      <c r="A747" s="776"/>
      <c r="B747" s="1337" t="s">
        <v>2508</v>
      </c>
      <c r="C747" s="1077">
        <f>SUM(200+1162.81+100+300+100)*1000</f>
        <v>1862810</v>
      </c>
      <c r="D747" s="1077">
        <f>SUM(200+1162.81+100+300+100)*1000</f>
        <v>1862810</v>
      </c>
      <c r="E747" s="738"/>
      <c r="F747" s="1077"/>
      <c r="G747" s="2200"/>
      <c r="H747" s="2200"/>
      <c r="I747" s="2201"/>
    </row>
    <row r="748" spans="1:11" ht="37.5" customHeight="1" x14ac:dyDescent="0.2">
      <c r="A748" s="771" t="s">
        <v>2502</v>
      </c>
      <c r="B748" s="1337" t="s">
        <v>2509</v>
      </c>
      <c r="C748" s="1256">
        <v>0</v>
      </c>
      <c r="D748" s="1256">
        <v>0</v>
      </c>
      <c r="E748" s="1256"/>
      <c r="F748" s="1256"/>
      <c r="G748" s="2200"/>
      <c r="H748" s="2200"/>
      <c r="I748" s="2201"/>
      <c r="J748" s="2047"/>
      <c r="K748" s="2047"/>
    </row>
    <row r="749" spans="1:11" ht="30" customHeight="1" x14ac:dyDescent="0.2">
      <c r="A749" s="776"/>
      <c r="B749" s="737" t="s">
        <v>1855</v>
      </c>
      <c r="C749" s="1077">
        <v>210000</v>
      </c>
      <c r="D749" s="1077">
        <v>210000</v>
      </c>
      <c r="E749" s="738"/>
      <c r="F749" s="1077"/>
      <c r="G749" s="2200"/>
      <c r="H749" s="2200"/>
      <c r="I749" s="2201"/>
      <c r="J749" s="2047"/>
    </row>
    <row r="750" spans="1:11" ht="30" customHeight="1" x14ac:dyDescent="0.2">
      <c r="A750" s="776"/>
      <c r="B750" s="737" t="s">
        <v>1856</v>
      </c>
      <c r="C750" s="1077">
        <v>50000</v>
      </c>
      <c r="D750" s="1077">
        <v>50000</v>
      </c>
      <c r="E750" s="738"/>
      <c r="F750" s="1077"/>
      <c r="G750" s="2200"/>
      <c r="H750" s="2200"/>
      <c r="I750" s="2201"/>
    </row>
    <row r="751" spans="1:11" ht="30" customHeight="1" x14ac:dyDescent="0.2">
      <c r="A751" s="776"/>
      <c r="B751" s="749" t="s">
        <v>2510</v>
      </c>
      <c r="C751" s="1077">
        <f>SUM(5+30+30+60+18+72.6+10+140.307+15.093)*1000</f>
        <v>381000</v>
      </c>
      <c r="D751" s="1077">
        <f>SUM(5+30+30+60+18+72.6+10+140.307+15.093)*1000</f>
        <v>381000</v>
      </c>
      <c r="E751" s="738"/>
      <c r="F751" s="1077"/>
      <c r="G751" s="2200"/>
      <c r="H751" s="2200"/>
      <c r="I751" s="2201"/>
    </row>
    <row r="752" spans="1:11" ht="30" customHeight="1" x14ac:dyDescent="0.2">
      <c r="A752" s="771">
        <v>6320</v>
      </c>
      <c r="B752" s="717" t="s">
        <v>2511</v>
      </c>
      <c r="C752" s="727">
        <f>SUM(1800+50)*1000</f>
        <v>1850000</v>
      </c>
      <c r="D752" s="727">
        <f>SUM(1800+50)*1000</f>
        <v>1850000</v>
      </c>
      <c r="E752" s="731"/>
      <c r="F752" s="1077"/>
      <c r="G752" s="2200"/>
      <c r="H752" s="2200"/>
      <c r="I752" s="2201"/>
    </row>
    <row r="753" spans="1:9" ht="30" customHeight="1" x14ac:dyDescent="0.2">
      <c r="A753" s="1220"/>
      <c r="B753" s="2048"/>
      <c r="C753" s="1535"/>
      <c r="D753" s="1535"/>
      <c r="E753" s="1158"/>
      <c r="F753" s="1047"/>
      <c r="G753" s="1047"/>
      <c r="H753" s="1047"/>
      <c r="I753" s="1047"/>
    </row>
    <row r="754" spans="1:9" ht="30" customHeight="1" x14ac:dyDescent="0.3">
      <c r="A754" s="649"/>
      <c r="B754" s="701" t="s">
        <v>735</v>
      </c>
      <c r="C754" s="2441">
        <f>C755+C756+C757+C761</f>
        <v>190047550</v>
      </c>
      <c r="D754" s="2441">
        <f>D755+D756+D757+D761</f>
        <v>190061455</v>
      </c>
      <c r="E754" s="2442"/>
      <c r="F754" s="2443"/>
      <c r="G754" s="949"/>
      <c r="H754" s="949"/>
      <c r="I754" s="949"/>
    </row>
    <row r="755" spans="1:9" s="98" customFormat="1" ht="30" customHeight="1" x14ac:dyDescent="0.2">
      <c r="A755" s="899">
        <v>3341</v>
      </c>
      <c r="B755" s="2050" t="s">
        <v>1860</v>
      </c>
      <c r="C755" s="1138">
        <v>3109200</v>
      </c>
      <c r="D755" s="1138">
        <v>3109200</v>
      </c>
      <c r="E755" s="731"/>
      <c r="F755" s="2364"/>
      <c r="G755" s="1663"/>
      <c r="H755" s="1663"/>
      <c r="I755" s="1662"/>
    </row>
    <row r="756" spans="1:9" s="98" customFormat="1" ht="30" customHeight="1" x14ac:dyDescent="0.2">
      <c r="A756" s="771">
        <v>6112</v>
      </c>
      <c r="B756" s="725" t="s">
        <v>2512</v>
      </c>
      <c r="C756" s="727">
        <f>30000+9270000+1071360+834300+12000+10000+500+20000+200000+7000+90000+30000</f>
        <v>11575160</v>
      </c>
      <c r="D756" s="727">
        <f>30000+9270000+1071360+834300+12000+10000+500+20000+200000+7000+90000+30000</f>
        <v>11575160</v>
      </c>
      <c r="E756" s="731"/>
      <c r="F756" s="2341"/>
      <c r="G756" s="2200"/>
      <c r="H756" s="2200"/>
      <c r="I756" s="2201"/>
    </row>
    <row r="757" spans="1:9" ht="30" customHeight="1" x14ac:dyDescent="0.2">
      <c r="A757" s="771">
        <v>6171</v>
      </c>
      <c r="B757" s="717" t="s">
        <v>725</v>
      </c>
      <c r="C757" s="727">
        <f>+C758+C759+C760</f>
        <v>167563190</v>
      </c>
      <c r="D757" s="727">
        <f>+D758+D759+D760</f>
        <v>167577095</v>
      </c>
      <c r="E757" s="731"/>
      <c r="F757" s="1077"/>
      <c r="G757" s="1663"/>
      <c r="H757" s="1663"/>
      <c r="I757" s="1662"/>
    </row>
    <row r="758" spans="1:9" ht="48" x14ac:dyDescent="0.2">
      <c r="A758" s="764"/>
      <c r="B758" s="1353" t="s">
        <v>2513</v>
      </c>
      <c r="C758" s="2341">
        <f>(101960000+3850000)+10000+1500000+10000+(25658080+954800)+(9311400+346500)+600000+1000+900000+150000+25000+50000+2550000+300000+15000+204000+40000</f>
        <v>148435780</v>
      </c>
      <c r="D758" s="2341">
        <f>(101960000+3850000)+10000+1500000+10000+(25658080+954800)+(9311400+346500)+600000+1000+900000+150000+25000+50000+2550000+300000+15000+204000+40000+13905</f>
        <v>148449685</v>
      </c>
      <c r="E758" s="738"/>
      <c r="F758" s="2341"/>
      <c r="G758" s="2200"/>
      <c r="H758" s="2200"/>
      <c r="I758" s="2201"/>
    </row>
    <row r="759" spans="1:9" ht="30" customHeight="1" x14ac:dyDescent="0.25">
      <c r="A759" s="1357"/>
      <c r="B759" s="749" t="s">
        <v>2514</v>
      </c>
      <c r="C759" s="2341">
        <f>(7060000+275000)+30000+(1758320+68200)+(638100+24750)+180000+10000</f>
        <v>10044370</v>
      </c>
      <c r="D759" s="2341">
        <f>(7060000+275000)+30000+(1758320+68200)+(638100+24750)+180000+10000</f>
        <v>10044370</v>
      </c>
      <c r="E759" s="738"/>
      <c r="F759" s="2341"/>
      <c r="G759" s="2200"/>
      <c r="H759" s="2200"/>
      <c r="I759" s="2201"/>
    </row>
    <row r="760" spans="1:9" ht="36.75" x14ac:dyDescent="0.25">
      <c r="A760" s="1357"/>
      <c r="B760" s="725" t="s">
        <v>2515</v>
      </c>
      <c r="C760" s="2341">
        <f>4067040+60000+21000+3140000+160000+100000+320000+1150000+30000+26000+9000</f>
        <v>9083040</v>
      </c>
      <c r="D760" s="2341">
        <f>4067040+60000+21000+3140000+160000+100000+320000+1150000+30000+26000+9000</f>
        <v>9083040</v>
      </c>
      <c r="E760" s="738"/>
      <c r="F760" s="2341"/>
      <c r="G760" s="2200"/>
      <c r="H760" s="2200"/>
      <c r="I760" s="2201"/>
    </row>
    <row r="761" spans="1:9" ht="30" customHeight="1" x14ac:dyDescent="0.2">
      <c r="A761" s="771">
        <v>6330</v>
      </c>
      <c r="B761" s="717" t="s">
        <v>740</v>
      </c>
      <c r="C761" s="727">
        <v>7800000</v>
      </c>
      <c r="D761" s="727">
        <v>7800000</v>
      </c>
      <c r="E761" s="731"/>
      <c r="F761" s="1077"/>
      <c r="G761" s="1663"/>
      <c r="H761" s="1663"/>
      <c r="I761" s="1662"/>
    </row>
    <row r="762" spans="1:9" ht="30" customHeight="1" x14ac:dyDescent="0.2">
      <c r="A762" s="1147"/>
      <c r="B762" s="1156"/>
      <c r="C762" s="945"/>
      <c r="D762" s="945"/>
      <c r="E762" s="1145"/>
      <c r="F762" s="2446"/>
      <c r="G762" s="2446"/>
      <c r="H762" s="2446"/>
      <c r="I762" s="945"/>
    </row>
    <row r="763" spans="1:9" ht="30" customHeight="1" x14ac:dyDescent="0.3">
      <c r="A763" s="649"/>
      <c r="B763" s="701" t="s">
        <v>43</v>
      </c>
      <c r="C763" s="2447">
        <f>C764+C779</f>
        <v>16959056</v>
      </c>
      <c r="D763" s="2447">
        <f>D764+D779</f>
        <v>17251526</v>
      </c>
      <c r="E763" s="2447"/>
      <c r="F763" s="2448"/>
      <c r="G763" s="949"/>
      <c r="H763" s="949"/>
      <c r="I763" s="949"/>
    </row>
    <row r="764" spans="1:9" ht="30" customHeight="1" x14ac:dyDescent="0.25">
      <c r="A764" s="649"/>
      <c r="B764" s="763" t="s">
        <v>741</v>
      </c>
      <c r="C764" s="1363">
        <f t="shared" ref="C764:D764" si="90">C765+C766+C767+C770+C772+C777+C778</f>
        <v>1192000</v>
      </c>
      <c r="D764" s="1363">
        <f t="shared" si="90"/>
        <v>1192000</v>
      </c>
      <c r="E764" s="1363"/>
      <c r="F764" s="2448"/>
      <c r="G764" s="2325"/>
      <c r="H764" s="2325"/>
      <c r="I764" s="2325"/>
    </row>
    <row r="765" spans="1:9" ht="30" customHeight="1" x14ac:dyDescent="0.2">
      <c r="A765" s="771">
        <v>3613</v>
      </c>
      <c r="B765" s="717" t="s">
        <v>1865</v>
      </c>
      <c r="C765" s="731">
        <v>7000</v>
      </c>
      <c r="D765" s="731">
        <v>7000</v>
      </c>
      <c r="E765" s="731"/>
      <c r="F765" s="738"/>
      <c r="G765" s="1663"/>
      <c r="H765" s="1663"/>
      <c r="I765" s="1662"/>
    </row>
    <row r="766" spans="1:9" s="244" customFormat="1" ht="30" customHeight="1" x14ac:dyDescent="0.25">
      <c r="A766" s="771">
        <v>3632</v>
      </c>
      <c r="B766" s="717" t="s">
        <v>1866</v>
      </c>
      <c r="C766" s="731">
        <v>270000</v>
      </c>
      <c r="D766" s="731">
        <v>270000</v>
      </c>
      <c r="E766" s="731"/>
      <c r="F766" s="738"/>
      <c r="G766" s="1663"/>
      <c r="H766" s="1663"/>
      <c r="I766" s="1662"/>
    </row>
    <row r="767" spans="1:9" s="244" customFormat="1" ht="30" customHeight="1" x14ac:dyDescent="0.25">
      <c r="A767" s="771">
        <v>4329</v>
      </c>
      <c r="B767" s="717" t="s">
        <v>745</v>
      </c>
      <c r="C767" s="726">
        <f t="shared" ref="C767:D767" si="91">SUM(C768:C769)</f>
        <v>258000</v>
      </c>
      <c r="D767" s="726">
        <f t="shared" si="91"/>
        <v>258000</v>
      </c>
      <c r="E767" s="726"/>
      <c r="F767" s="750"/>
      <c r="G767" s="1663"/>
      <c r="H767" s="1663"/>
      <c r="I767" s="1662"/>
    </row>
    <row r="768" spans="1:9" s="98" customFormat="1" ht="30" customHeight="1" x14ac:dyDescent="0.2">
      <c r="A768" s="771"/>
      <c r="B768" s="1035" t="s">
        <v>1867</v>
      </c>
      <c r="C768" s="738">
        <v>8000</v>
      </c>
      <c r="D768" s="738">
        <v>8000</v>
      </c>
      <c r="E768" s="738"/>
      <c r="F768" s="738"/>
      <c r="G768" s="2200"/>
      <c r="H768" s="2200"/>
      <c r="I768" s="2201"/>
    </row>
    <row r="769" spans="1:9" s="98" customFormat="1" ht="30" customHeight="1" x14ac:dyDescent="0.2">
      <c r="A769" s="771"/>
      <c r="B769" s="1035" t="s">
        <v>1868</v>
      </c>
      <c r="C769" s="738">
        <v>250000</v>
      </c>
      <c r="D769" s="738">
        <v>250000</v>
      </c>
      <c r="E769" s="738"/>
      <c r="F769" s="738"/>
      <c r="G769" s="2200"/>
      <c r="H769" s="2200"/>
      <c r="I769" s="2201"/>
    </row>
    <row r="770" spans="1:9" ht="30" customHeight="1" x14ac:dyDescent="0.2">
      <c r="A770" s="771">
        <v>4349</v>
      </c>
      <c r="B770" s="717" t="s">
        <v>753</v>
      </c>
      <c r="C770" s="726">
        <f t="shared" ref="C770:D770" si="92">SUM(C771:C771)</f>
        <v>300000</v>
      </c>
      <c r="D770" s="726">
        <f t="shared" si="92"/>
        <v>300000</v>
      </c>
      <c r="E770" s="726"/>
      <c r="F770" s="750"/>
      <c r="G770" s="1663"/>
      <c r="H770" s="1663"/>
      <c r="I770" s="1662"/>
    </row>
    <row r="771" spans="1:9" ht="30" customHeight="1" x14ac:dyDescent="0.2">
      <c r="A771" s="776"/>
      <c r="B771" s="737" t="s">
        <v>1869</v>
      </c>
      <c r="C771" s="738">
        <v>300000</v>
      </c>
      <c r="D771" s="738">
        <v>300000</v>
      </c>
      <c r="E771" s="738"/>
      <c r="F771" s="738"/>
      <c r="G771" s="2200"/>
      <c r="H771" s="2200"/>
      <c r="I771" s="2201"/>
    </row>
    <row r="772" spans="1:9" s="98" customFormat="1" ht="30" customHeight="1" x14ac:dyDescent="0.2">
      <c r="A772" s="771">
        <v>4379</v>
      </c>
      <c r="B772" s="717" t="s">
        <v>760</v>
      </c>
      <c r="C772" s="726">
        <f t="shared" ref="C772:D772" si="93">SUM(C773:C776)</f>
        <v>355000</v>
      </c>
      <c r="D772" s="726">
        <f t="shared" si="93"/>
        <v>355000</v>
      </c>
      <c r="E772" s="726"/>
      <c r="F772" s="750"/>
      <c r="G772" s="1663"/>
      <c r="H772" s="1663"/>
      <c r="I772" s="1662"/>
    </row>
    <row r="773" spans="1:9" ht="30" customHeight="1" x14ac:dyDescent="0.2">
      <c r="A773" s="776"/>
      <c r="B773" s="737" t="s">
        <v>1870</v>
      </c>
      <c r="C773" s="738">
        <v>230000</v>
      </c>
      <c r="D773" s="738">
        <v>230000</v>
      </c>
      <c r="E773" s="738"/>
      <c r="F773" s="738"/>
      <c r="G773" s="2200"/>
      <c r="H773" s="2200"/>
      <c r="I773" s="2201"/>
    </row>
    <row r="774" spans="1:9" s="419" customFormat="1" ht="30" customHeight="1" x14ac:dyDescent="0.2">
      <c r="A774" s="776"/>
      <c r="B774" s="737" t="s">
        <v>1871</v>
      </c>
      <c r="C774" s="738">
        <v>65000</v>
      </c>
      <c r="D774" s="738">
        <v>65000</v>
      </c>
      <c r="E774" s="738"/>
      <c r="F774" s="738"/>
      <c r="G774" s="2200"/>
      <c r="H774" s="2200"/>
      <c r="I774" s="2201"/>
    </row>
    <row r="775" spans="1:9" ht="30" customHeight="1" x14ac:dyDescent="0.2">
      <c r="A775" s="776"/>
      <c r="B775" s="737" t="s">
        <v>1872</v>
      </c>
      <c r="C775" s="738">
        <v>50000</v>
      </c>
      <c r="D775" s="738">
        <v>50000</v>
      </c>
      <c r="E775" s="738"/>
      <c r="F775" s="738"/>
      <c r="G775" s="2200"/>
      <c r="H775" s="2200"/>
      <c r="I775" s="2201"/>
    </row>
    <row r="776" spans="1:9" s="98" customFormat="1" ht="30" customHeight="1" x14ac:dyDescent="0.2">
      <c r="A776" s="776"/>
      <c r="B776" s="737" t="s">
        <v>1873</v>
      </c>
      <c r="C776" s="738">
        <v>10000</v>
      </c>
      <c r="D776" s="738">
        <v>10000</v>
      </c>
      <c r="E776" s="738"/>
      <c r="F776" s="738"/>
      <c r="G776" s="2200"/>
      <c r="H776" s="2200"/>
      <c r="I776" s="2201"/>
    </row>
    <row r="777" spans="1:9" ht="30" customHeight="1" x14ac:dyDescent="0.2">
      <c r="A777" s="771">
        <v>4399</v>
      </c>
      <c r="B777" s="717" t="s">
        <v>2516</v>
      </c>
      <c r="C777" s="731">
        <v>2000</v>
      </c>
      <c r="D777" s="731">
        <v>2000</v>
      </c>
      <c r="E777" s="731"/>
      <c r="F777" s="738"/>
      <c r="G777" s="1663"/>
      <c r="H777" s="1663"/>
      <c r="I777" s="1662"/>
    </row>
    <row r="778" spans="1:9" ht="30" customHeight="1" x14ac:dyDescent="0.2">
      <c r="A778" s="1147">
        <v>6409</v>
      </c>
      <c r="B778" s="1156" t="s">
        <v>1876</v>
      </c>
      <c r="C778" s="731">
        <v>0</v>
      </c>
      <c r="D778" s="731">
        <v>0</v>
      </c>
      <c r="E778" s="1145"/>
      <c r="F778" s="738"/>
      <c r="G778" s="1663"/>
      <c r="H778" s="1663"/>
      <c r="I778" s="1662"/>
    </row>
    <row r="779" spans="1:9" ht="30" customHeight="1" x14ac:dyDescent="0.25">
      <c r="A779" s="649"/>
      <c r="B779" s="763" t="s">
        <v>767</v>
      </c>
      <c r="C779" s="1372">
        <f t="shared" ref="C779:D779" si="94">C780</f>
        <v>15767056</v>
      </c>
      <c r="D779" s="1372">
        <f t="shared" si="94"/>
        <v>16059526</v>
      </c>
      <c r="E779" s="1372"/>
      <c r="F779" s="2421"/>
      <c r="G779" s="2325"/>
      <c r="H779" s="2325"/>
      <c r="I779" s="2325"/>
    </row>
    <row r="780" spans="1:9" ht="30" customHeight="1" x14ac:dyDescent="0.2">
      <c r="A780" s="1373"/>
      <c r="B780" s="709" t="s">
        <v>768</v>
      </c>
      <c r="C780" s="1366">
        <f t="shared" ref="C780:D780" si="95">SUM(C781:C791)</f>
        <v>15767056</v>
      </c>
      <c r="D780" s="1366">
        <f t="shared" si="95"/>
        <v>16059526</v>
      </c>
      <c r="E780" s="1366"/>
      <c r="F780" s="1368"/>
      <c r="G780" s="1663"/>
      <c r="H780" s="1663"/>
      <c r="I780" s="1662"/>
    </row>
    <row r="781" spans="1:9" s="98" customFormat="1" ht="30" customHeight="1" x14ac:dyDescent="0.2">
      <c r="A781" s="1373"/>
      <c r="B781" s="737" t="s">
        <v>769</v>
      </c>
      <c r="C781" s="1045">
        <v>190500</v>
      </c>
      <c r="D781" s="1045">
        <v>190500</v>
      </c>
      <c r="E781" s="738"/>
      <c r="F781" s="1045"/>
      <c r="G781" s="2200"/>
      <c r="H781" s="2200"/>
      <c r="I781" s="2201"/>
    </row>
    <row r="782" spans="1:9" ht="30" customHeight="1" x14ac:dyDescent="0.2">
      <c r="A782" s="1373"/>
      <c r="B782" s="737" t="s">
        <v>770</v>
      </c>
      <c r="C782" s="1077">
        <v>200000</v>
      </c>
      <c r="D782" s="1077">
        <v>200000</v>
      </c>
      <c r="E782" s="738"/>
      <c r="F782" s="1809"/>
      <c r="G782" s="2200"/>
      <c r="H782" s="2200"/>
      <c r="I782" s="2201"/>
    </row>
    <row r="783" spans="1:9" ht="30" customHeight="1" x14ac:dyDescent="0.2">
      <c r="A783" s="1373"/>
      <c r="B783" s="737" t="s">
        <v>2517</v>
      </c>
      <c r="C783" s="1077">
        <v>12122400</v>
      </c>
      <c r="D783" s="1077">
        <v>12122400</v>
      </c>
      <c r="E783" s="738"/>
      <c r="F783" s="1809"/>
      <c r="G783" s="2200"/>
      <c r="H783" s="2200"/>
      <c r="I783" s="2201"/>
    </row>
    <row r="784" spans="1:9" ht="30" customHeight="1" x14ac:dyDescent="0.2">
      <c r="A784" s="1373"/>
      <c r="B784" s="737" t="s">
        <v>2518</v>
      </c>
      <c r="C784" s="1077">
        <v>1736156</v>
      </c>
      <c r="D784" s="1077">
        <v>1736156</v>
      </c>
      <c r="E784" s="738"/>
      <c r="F784" s="1809"/>
      <c r="G784" s="2200"/>
      <c r="H784" s="2200"/>
      <c r="I784" s="2201"/>
    </row>
    <row r="785" spans="1:9" ht="30" customHeight="1" x14ac:dyDescent="0.2">
      <c r="A785" s="1373"/>
      <c r="B785" s="737" t="s">
        <v>773</v>
      </c>
      <c r="C785" s="1077">
        <v>135000</v>
      </c>
      <c r="D785" s="1077">
        <v>135000</v>
      </c>
      <c r="E785" s="738"/>
      <c r="F785" s="1809"/>
      <c r="G785" s="2200"/>
      <c r="H785" s="2200"/>
      <c r="I785" s="2201"/>
    </row>
    <row r="786" spans="1:9" ht="30" customHeight="1" x14ac:dyDescent="0.2">
      <c r="A786" s="1373"/>
      <c r="B786" s="737" t="s">
        <v>774</v>
      </c>
      <c r="C786" s="1077">
        <v>235000</v>
      </c>
      <c r="D786" s="1077">
        <v>235000</v>
      </c>
      <c r="E786" s="738"/>
      <c r="F786" s="1809"/>
      <c r="G786" s="2200"/>
      <c r="H786" s="2200"/>
      <c r="I786" s="2201"/>
    </row>
    <row r="787" spans="1:9" ht="30" customHeight="1" x14ac:dyDescent="0.2">
      <c r="A787" s="1373"/>
      <c r="B787" s="737" t="s">
        <v>1879</v>
      </c>
      <c r="C787" s="1077">
        <v>1000000</v>
      </c>
      <c r="D787" s="1077">
        <v>1000000</v>
      </c>
      <c r="E787" s="738"/>
      <c r="F787" s="1809"/>
      <c r="G787" s="2200"/>
      <c r="H787" s="2200"/>
      <c r="I787" s="2201"/>
    </row>
    <row r="788" spans="1:9" ht="30" customHeight="1" x14ac:dyDescent="0.2">
      <c r="A788" s="771"/>
      <c r="B788" s="737" t="s">
        <v>775</v>
      </c>
      <c r="C788" s="1077">
        <v>100000</v>
      </c>
      <c r="D788" s="1077">
        <v>100000</v>
      </c>
      <c r="E788" s="738"/>
      <c r="F788" s="1809"/>
      <c r="G788" s="2200"/>
      <c r="H788" s="2200"/>
      <c r="I788" s="2201"/>
    </row>
    <row r="789" spans="1:9" ht="30" customHeight="1" x14ac:dyDescent="0.2">
      <c r="A789" s="771"/>
      <c r="B789" s="1374" t="s">
        <v>1881</v>
      </c>
      <c r="C789" s="1077">
        <v>0</v>
      </c>
      <c r="D789" s="1077">
        <v>0</v>
      </c>
      <c r="E789" s="738"/>
      <c r="F789" s="1077"/>
      <c r="G789" s="2200"/>
      <c r="H789" s="2200"/>
      <c r="I789" s="2201"/>
    </row>
    <row r="790" spans="1:9" ht="30" customHeight="1" x14ac:dyDescent="0.2">
      <c r="A790" s="771"/>
      <c r="B790" s="737" t="s">
        <v>776</v>
      </c>
      <c r="C790" s="1077">
        <v>0</v>
      </c>
      <c r="D790" s="1077">
        <f>214000+23725+4745+40000+10000</f>
        <v>292470</v>
      </c>
      <c r="E790" s="738"/>
      <c r="F790" s="1077"/>
      <c r="G790" s="2200"/>
      <c r="H790" s="2200"/>
      <c r="I790" s="2201"/>
    </row>
    <row r="791" spans="1:9" ht="30" customHeight="1" x14ac:dyDescent="0.2">
      <c r="A791" s="771"/>
      <c r="B791" s="737" t="s">
        <v>1882</v>
      </c>
      <c r="C791" s="1077">
        <v>48000</v>
      </c>
      <c r="D791" s="1077">
        <v>48000</v>
      </c>
      <c r="E791" s="1077"/>
      <c r="F791" s="1809"/>
      <c r="G791" s="2200"/>
      <c r="H791" s="2200"/>
      <c r="I791" s="2201"/>
    </row>
    <row r="792" spans="1:9" ht="30" customHeight="1" x14ac:dyDescent="0.2">
      <c r="A792" s="1242"/>
      <c r="B792" s="1872"/>
      <c r="C792" s="2043"/>
      <c r="D792" s="2043"/>
      <c r="E792" s="1158"/>
      <c r="F792" s="979"/>
      <c r="G792" s="979"/>
      <c r="H792" s="979"/>
      <c r="I792" s="979"/>
    </row>
    <row r="793" spans="1:9" ht="30" customHeight="1" x14ac:dyDescent="0.3">
      <c r="A793" s="1242"/>
      <c r="B793" s="2056" t="s">
        <v>777</v>
      </c>
      <c r="C793" s="1205">
        <f>C794</f>
        <v>18612000</v>
      </c>
      <c r="D793" s="1205">
        <f>D794</f>
        <v>23243000</v>
      </c>
      <c r="E793" s="2057"/>
      <c r="F793" s="2384"/>
      <c r="G793" s="949"/>
      <c r="H793" s="949"/>
      <c r="I793" s="949"/>
    </row>
    <row r="794" spans="1:9" ht="30" customHeight="1" x14ac:dyDescent="0.2">
      <c r="A794" s="1147">
        <v>4351</v>
      </c>
      <c r="B794" s="709" t="s">
        <v>778</v>
      </c>
      <c r="C794" s="1376">
        <f>SUM(C795:C798)</f>
        <v>18612000</v>
      </c>
      <c r="D794" s="1376">
        <f>SUM(D795:D798)</f>
        <v>23243000</v>
      </c>
      <c r="E794" s="1376"/>
      <c r="F794" s="2450"/>
      <c r="G794" s="1663"/>
      <c r="H794" s="1663"/>
      <c r="I794" s="1662"/>
    </row>
    <row r="795" spans="1:9" ht="60.75" x14ac:dyDescent="0.2">
      <c r="A795" s="776"/>
      <c r="B795" s="1353" t="s">
        <v>2519</v>
      </c>
      <c r="C795" s="1368">
        <f>8493500+32200+282000</f>
        <v>8807700</v>
      </c>
      <c r="D795" s="1368">
        <f>8493500+32200+282000+2980000</f>
        <v>11787700</v>
      </c>
      <c r="E795" s="750"/>
      <c r="F795" s="750"/>
      <c r="G795" s="2200"/>
      <c r="H795" s="2200"/>
      <c r="I795" s="2201"/>
    </row>
    <row r="796" spans="1:9" ht="48.75" x14ac:dyDescent="0.2">
      <c r="A796" s="776"/>
      <c r="B796" s="1353" t="s">
        <v>2520</v>
      </c>
      <c r="C796" s="1368">
        <f>2332000+16100+66900</f>
        <v>2415000</v>
      </c>
      <c r="D796" s="1368">
        <f>2332000+16100+66900+586000</f>
        <v>3001000</v>
      </c>
      <c r="E796" s="1045"/>
      <c r="F796" s="1045"/>
      <c r="G796" s="2200"/>
      <c r="H796" s="2200"/>
      <c r="I796" s="2201"/>
    </row>
    <row r="797" spans="1:9" ht="36.75" x14ac:dyDescent="0.2">
      <c r="A797" s="771"/>
      <c r="B797" s="1353" t="s">
        <v>2521</v>
      </c>
      <c r="C797" s="1368">
        <f>7117500+33400+238400</f>
        <v>7389300</v>
      </c>
      <c r="D797" s="1368">
        <f>7117500+33400+238400+1065000</f>
        <v>8454300</v>
      </c>
      <c r="E797" s="738"/>
      <c r="F797" s="738"/>
      <c r="G797" s="2200"/>
      <c r="H797" s="2200"/>
      <c r="I797" s="2201"/>
    </row>
    <row r="798" spans="1:9" ht="30" customHeight="1" x14ac:dyDescent="0.2">
      <c r="A798" s="1147"/>
      <c r="B798" s="1380" t="s">
        <v>2522</v>
      </c>
      <c r="C798" s="1381">
        <v>0</v>
      </c>
      <c r="D798" s="1381">
        <v>0</v>
      </c>
      <c r="E798" s="738"/>
      <c r="F798" s="738"/>
      <c r="G798" s="2200"/>
      <c r="H798" s="2200"/>
      <c r="I798" s="2201"/>
    </row>
    <row r="799" spans="1:9" ht="30" customHeight="1" x14ac:dyDescent="0.2">
      <c r="A799" s="682"/>
      <c r="B799" s="1383"/>
      <c r="C799" s="1384"/>
      <c r="D799" s="1384"/>
      <c r="E799" s="682"/>
      <c r="F799" s="2451"/>
      <c r="G799" s="2452"/>
      <c r="H799" s="2452"/>
      <c r="I799" s="1384"/>
    </row>
    <row r="800" spans="1:9" ht="30" customHeight="1" x14ac:dyDescent="0.3">
      <c r="A800" s="649"/>
      <c r="B800" s="701" t="s">
        <v>50</v>
      </c>
      <c r="C800" s="1217">
        <f>SUM(C801,C802,C803,C804,C805,C806,C807,C808,C813,C814,C815,C816,C821,C822)</f>
        <v>72242000</v>
      </c>
      <c r="D800" s="1217">
        <f>SUM(D801,D802,D803,D804,D805,D806,D807,D808,D813,D814,D815,D816,D821,D822)</f>
        <v>72269427.5</v>
      </c>
      <c r="E800" s="1217"/>
      <c r="F800" s="2411"/>
      <c r="G800" s="949"/>
      <c r="H800" s="949"/>
      <c r="I800" s="949"/>
    </row>
    <row r="801" spans="1:9" ht="30" customHeight="1" x14ac:dyDescent="0.2">
      <c r="A801" s="764">
        <v>1014</v>
      </c>
      <c r="B801" s="709" t="s">
        <v>2523</v>
      </c>
      <c r="C801" s="731">
        <v>490000</v>
      </c>
      <c r="D801" s="731">
        <v>490000</v>
      </c>
      <c r="E801" s="172"/>
      <c r="F801" s="738"/>
      <c r="G801" s="1663"/>
      <c r="H801" s="1663"/>
      <c r="I801" s="1662"/>
    </row>
    <row r="802" spans="1:9" ht="30" customHeight="1" x14ac:dyDescent="0.2">
      <c r="A802" s="771">
        <v>1031</v>
      </c>
      <c r="B802" s="717" t="s">
        <v>2524</v>
      </c>
      <c r="C802" s="731">
        <v>750000</v>
      </c>
      <c r="D802" s="731">
        <v>750000</v>
      </c>
      <c r="E802" s="181"/>
      <c r="F802" s="750"/>
      <c r="G802" s="1663"/>
      <c r="H802" s="1663"/>
      <c r="I802" s="1662"/>
    </row>
    <row r="803" spans="1:9" ht="30" customHeight="1" x14ac:dyDescent="0.2">
      <c r="A803" s="771">
        <v>1036</v>
      </c>
      <c r="B803" s="717" t="s">
        <v>2525</v>
      </c>
      <c r="C803" s="731">
        <v>120000</v>
      </c>
      <c r="D803" s="731">
        <v>120000</v>
      </c>
      <c r="E803" s="181"/>
      <c r="F803" s="750"/>
      <c r="G803" s="1663"/>
      <c r="H803" s="1663"/>
      <c r="I803" s="1662"/>
    </row>
    <row r="804" spans="1:9" s="244" customFormat="1" ht="30" customHeight="1" x14ac:dyDescent="0.25">
      <c r="A804" s="771">
        <v>1037</v>
      </c>
      <c r="B804" s="717" t="s">
        <v>2526</v>
      </c>
      <c r="C804" s="731">
        <v>28000</v>
      </c>
      <c r="D804" s="731">
        <v>28000</v>
      </c>
      <c r="E804" s="181"/>
      <c r="F804" s="1042"/>
      <c r="G804" s="1663"/>
      <c r="H804" s="1663"/>
      <c r="I804" s="1662"/>
    </row>
    <row r="805" spans="1:9" s="98" customFormat="1" ht="30" customHeight="1" x14ac:dyDescent="0.2">
      <c r="A805" s="771">
        <v>1039</v>
      </c>
      <c r="B805" s="717" t="s">
        <v>2527</v>
      </c>
      <c r="C805" s="731">
        <v>260000</v>
      </c>
      <c r="D805" s="731">
        <v>260000</v>
      </c>
      <c r="E805" s="181"/>
      <c r="F805" s="750"/>
      <c r="G805" s="1663"/>
      <c r="H805" s="1663"/>
      <c r="I805" s="1662"/>
    </row>
    <row r="806" spans="1:9" s="98" customFormat="1" ht="30" customHeight="1" x14ac:dyDescent="0.2">
      <c r="A806" s="771">
        <v>2369</v>
      </c>
      <c r="B806" s="717" t="s">
        <v>2528</v>
      </c>
      <c r="C806" s="731">
        <v>370000</v>
      </c>
      <c r="D806" s="731">
        <v>370000</v>
      </c>
      <c r="E806" s="181"/>
      <c r="F806" s="738"/>
      <c r="G806" s="1663"/>
      <c r="H806" s="1663"/>
      <c r="I806" s="1662"/>
    </row>
    <row r="807" spans="1:9" s="98" customFormat="1" ht="30" customHeight="1" x14ac:dyDescent="0.2">
      <c r="A807" s="771">
        <v>3721</v>
      </c>
      <c r="B807" s="717" t="s">
        <v>2529</v>
      </c>
      <c r="C807" s="731">
        <v>50000</v>
      </c>
      <c r="D807" s="731">
        <v>50000</v>
      </c>
      <c r="E807" s="181"/>
      <c r="F807" s="750"/>
      <c r="G807" s="1663"/>
      <c r="H807" s="1663"/>
      <c r="I807" s="1662"/>
    </row>
    <row r="808" spans="1:9" s="98" customFormat="1" ht="30" customHeight="1" x14ac:dyDescent="0.2">
      <c r="A808" s="771">
        <v>3722</v>
      </c>
      <c r="B808" s="717" t="s">
        <v>789</v>
      </c>
      <c r="C808" s="726">
        <f>SUM(C809:C812)</f>
        <v>46605000</v>
      </c>
      <c r="D808" s="726">
        <f>SUM(D809:D812)</f>
        <v>46605000</v>
      </c>
      <c r="E808" s="181"/>
      <c r="F808" s="750"/>
      <c r="G808" s="1663"/>
      <c r="H808" s="1663"/>
      <c r="I808" s="1662"/>
    </row>
    <row r="809" spans="1:9" s="98" customFormat="1" ht="30" customHeight="1" x14ac:dyDescent="0.2">
      <c r="A809" s="771"/>
      <c r="B809" s="1035" t="s">
        <v>2530</v>
      </c>
      <c r="C809" s="738">
        <v>32350000</v>
      </c>
      <c r="D809" s="738">
        <v>32350000</v>
      </c>
      <c r="E809" s="178"/>
      <c r="F809" s="750"/>
      <c r="G809" s="2200"/>
      <c r="H809" s="2200"/>
      <c r="I809" s="2201"/>
    </row>
    <row r="810" spans="1:9" s="98" customFormat="1" ht="30" customHeight="1" x14ac:dyDescent="0.2">
      <c r="A810" s="771"/>
      <c r="B810" s="1035" t="s">
        <v>2531</v>
      </c>
      <c r="C810" s="738">
        <v>1910000</v>
      </c>
      <c r="D810" s="738">
        <v>1910000</v>
      </c>
      <c r="E810" s="178"/>
      <c r="F810" s="750"/>
      <c r="G810" s="2200"/>
      <c r="H810" s="2200"/>
      <c r="I810" s="2201"/>
    </row>
    <row r="811" spans="1:9" s="98" customFormat="1" ht="30" customHeight="1" x14ac:dyDescent="0.2">
      <c r="A811" s="771"/>
      <c r="B811" s="1035" t="s">
        <v>2532</v>
      </c>
      <c r="C811" s="738">
        <v>2695000</v>
      </c>
      <c r="D811" s="738">
        <v>2695000</v>
      </c>
      <c r="E811" s="178"/>
      <c r="F811" s="750"/>
      <c r="G811" s="2200"/>
      <c r="H811" s="2200"/>
      <c r="I811" s="2201"/>
    </row>
    <row r="812" spans="1:9" s="98" customFormat="1" ht="30" customHeight="1" x14ac:dyDescent="0.2">
      <c r="A812" s="771"/>
      <c r="B812" s="749" t="s">
        <v>2533</v>
      </c>
      <c r="C812" s="738">
        <v>9650000</v>
      </c>
      <c r="D812" s="738">
        <v>9650000</v>
      </c>
      <c r="E812" s="178"/>
      <c r="F812" s="750"/>
      <c r="G812" s="2200"/>
      <c r="H812" s="2200"/>
      <c r="I812" s="2201"/>
    </row>
    <row r="813" spans="1:9" s="98" customFormat="1" ht="30" customHeight="1" x14ac:dyDescent="0.2">
      <c r="A813" s="771">
        <v>3726</v>
      </c>
      <c r="B813" s="782" t="s">
        <v>1892</v>
      </c>
      <c r="C813" s="746">
        <v>0</v>
      </c>
      <c r="D813" s="746">
        <v>0</v>
      </c>
      <c r="E813" s="732"/>
      <c r="F813" s="772"/>
      <c r="G813" s="1663"/>
      <c r="H813" s="1663"/>
      <c r="I813" s="1662"/>
    </row>
    <row r="814" spans="1:9" s="98" customFormat="1" ht="30" customHeight="1" x14ac:dyDescent="0.2">
      <c r="A814" s="771">
        <v>3733</v>
      </c>
      <c r="B814" s="717" t="s">
        <v>2534</v>
      </c>
      <c r="C814" s="731">
        <v>65000</v>
      </c>
      <c r="D814" s="731">
        <v>65000</v>
      </c>
      <c r="E814" s="181"/>
      <c r="F814" s="750"/>
      <c r="G814" s="1663"/>
      <c r="H814" s="1663"/>
      <c r="I814" s="1662"/>
    </row>
    <row r="815" spans="1:9" s="98" customFormat="1" ht="30" customHeight="1" x14ac:dyDescent="0.2">
      <c r="A815" s="771">
        <v>3742</v>
      </c>
      <c r="B815" s="725" t="s">
        <v>2535</v>
      </c>
      <c r="C815" s="731">
        <v>100000</v>
      </c>
      <c r="D815" s="731">
        <v>100000</v>
      </c>
      <c r="E815" s="1387"/>
      <c r="F815" s="1042"/>
      <c r="G815" s="1663"/>
      <c r="H815" s="1663"/>
      <c r="I815" s="1662"/>
    </row>
    <row r="816" spans="1:9" s="98" customFormat="1" ht="30" customHeight="1" x14ac:dyDescent="0.2">
      <c r="A816" s="771">
        <v>3745</v>
      </c>
      <c r="B816" s="717" t="s">
        <v>796</v>
      </c>
      <c r="C816" s="726">
        <f>SUM(C817:C820)</f>
        <v>23089000</v>
      </c>
      <c r="D816" s="726">
        <f>SUM(D817:D820)</f>
        <v>23089000</v>
      </c>
      <c r="E816" s="181"/>
      <c r="F816" s="750"/>
      <c r="G816" s="1663"/>
      <c r="H816" s="1663"/>
      <c r="I816" s="1662"/>
    </row>
    <row r="817" spans="1:244" s="98" customFormat="1" ht="30" customHeight="1" x14ac:dyDescent="0.2">
      <c r="A817" s="771"/>
      <c r="B817" s="1035" t="s">
        <v>1895</v>
      </c>
      <c r="C817" s="738">
        <v>260000</v>
      </c>
      <c r="D817" s="738">
        <v>260000</v>
      </c>
      <c r="E817" s="384"/>
      <c r="F817" s="738"/>
      <c r="G817" s="2200"/>
      <c r="H817" s="2200"/>
      <c r="I817" s="2201"/>
    </row>
    <row r="818" spans="1:244" s="98" customFormat="1" ht="30" customHeight="1" x14ac:dyDescent="0.2">
      <c r="A818" s="776"/>
      <c r="B818" s="1035" t="s">
        <v>2536</v>
      </c>
      <c r="C818" s="738">
        <v>20700000</v>
      </c>
      <c r="D818" s="738">
        <v>20700000</v>
      </c>
      <c r="E818" s="384"/>
      <c r="F818" s="738"/>
      <c r="G818" s="2200"/>
      <c r="H818" s="2200"/>
      <c r="I818" s="2201"/>
    </row>
    <row r="819" spans="1:244" s="98" customFormat="1" ht="30" customHeight="1" x14ac:dyDescent="0.2">
      <c r="A819" s="776"/>
      <c r="B819" s="1035" t="s">
        <v>2537</v>
      </c>
      <c r="C819" s="738">
        <v>1979000</v>
      </c>
      <c r="D819" s="738">
        <v>1979000</v>
      </c>
      <c r="E819" s="178"/>
      <c r="F819" s="750"/>
      <c r="G819" s="2200"/>
      <c r="H819" s="2200"/>
      <c r="I819" s="2201"/>
    </row>
    <row r="820" spans="1:244" s="98" customFormat="1" ht="30" customHeight="1" x14ac:dyDescent="0.2">
      <c r="A820" s="771"/>
      <c r="B820" s="749" t="s">
        <v>2538</v>
      </c>
      <c r="C820" s="738">
        <v>150000</v>
      </c>
      <c r="D820" s="738">
        <v>150000</v>
      </c>
      <c r="E820" s="384"/>
      <c r="F820" s="738"/>
      <c r="G820" s="2200"/>
      <c r="H820" s="2200"/>
      <c r="I820" s="2201"/>
    </row>
    <row r="821" spans="1:244" ht="30" customHeight="1" x14ac:dyDescent="0.2">
      <c r="A821" s="771">
        <v>3792</v>
      </c>
      <c r="B821" s="1236" t="s">
        <v>2539</v>
      </c>
      <c r="C821" s="731">
        <v>215000</v>
      </c>
      <c r="D821" s="731">
        <v>215000</v>
      </c>
      <c r="E821" s="181"/>
      <c r="F821" s="1042"/>
      <c r="G821" s="1663"/>
      <c r="H821" s="1663"/>
      <c r="I821" s="1662"/>
    </row>
    <row r="822" spans="1:244" ht="30" customHeight="1" x14ac:dyDescent="0.25">
      <c r="A822" s="2059"/>
      <c r="B822" s="690" t="s">
        <v>1897</v>
      </c>
      <c r="C822" s="1390">
        <f t="shared" ref="C822:D822" si="96">SUM(C823:C823)</f>
        <v>100000</v>
      </c>
      <c r="D822" s="1390">
        <f t="shared" si="96"/>
        <v>127427.5</v>
      </c>
      <c r="E822" s="1390"/>
      <c r="F822" s="2454"/>
      <c r="G822" s="2534"/>
      <c r="H822" s="2534"/>
      <c r="I822" s="2001"/>
    </row>
    <row r="823" spans="1:244" ht="30" customHeight="1" x14ac:dyDescent="0.2">
      <c r="A823" s="2060" t="s">
        <v>1898</v>
      </c>
      <c r="B823" s="2061" t="s">
        <v>1899</v>
      </c>
      <c r="C823" s="765">
        <v>100000</v>
      </c>
      <c r="D823" s="765">
        <f>100000+27427.5</f>
        <v>127427.5</v>
      </c>
      <c r="E823" s="1139"/>
      <c r="F823" s="2424"/>
      <c r="G823" s="1656"/>
      <c r="H823" s="1656"/>
      <c r="I823" s="1656"/>
    </row>
    <row r="824" spans="1:244" ht="30" customHeight="1" x14ac:dyDescent="0.2">
      <c r="A824" s="2062"/>
      <c r="B824" s="2063"/>
      <c r="C824" s="758"/>
      <c r="D824" s="758"/>
      <c r="E824" s="1399"/>
      <c r="F824" s="1158"/>
      <c r="G824" s="1048"/>
      <c r="H824" s="1048"/>
      <c r="I824" s="758"/>
    </row>
    <row r="825" spans="1:244" ht="30" customHeight="1" x14ac:dyDescent="0.3">
      <c r="A825" s="2064"/>
      <c r="B825" s="2056" t="s">
        <v>803</v>
      </c>
      <c r="C825" s="1403">
        <f>SUM(C826,C827,C850,C879,C926,C935,C936,C940)</f>
        <v>130147000</v>
      </c>
      <c r="D825" s="1403">
        <f>SUM(D826,D827,D850,D879,D926,D935,D936,D940)</f>
        <v>134647000</v>
      </c>
      <c r="E825" s="1403"/>
      <c r="F825" s="2361"/>
      <c r="G825" s="949"/>
      <c r="H825" s="949"/>
      <c r="I825" s="949"/>
      <c r="J825"/>
      <c r="K825"/>
      <c r="L825"/>
      <c r="M825"/>
      <c r="N825"/>
      <c r="O825"/>
      <c r="P825"/>
      <c r="Q825"/>
      <c r="R825"/>
      <c r="S825"/>
      <c r="T825"/>
      <c r="U825"/>
      <c r="V825"/>
      <c r="W825"/>
      <c r="X825"/>
      <c r="Y825"/>
      <c r="Z825"/>
      <c r="AA825"/>
      <c r="AB825"/>
      <c r="AC825"/>
      <c r="AD825"/>
      <c r="AE825"/>
      <c r="AF825"/>
      <c r="AG825"/>
      <c r="AH825"/>
      <c r="AI825"/>
      <c r="AJ825"/>
      <c r="AK825"/>
      <c r="AL825"/>
      <c r="AM825"/>
      <c r="AN825"/>
      <c r="AO825"/>
      <c r="AP825"/>
      <c r="AQ825"/>
      <c r="AR825"/>
      <c r="AS825"/>
      <c r="AT825"/>
      <c r="AU825"/>
      <c r="AV825"/>
      <c r="AW825"/>
      <c r="AX825"/>
      <c r="AY825"/>
      <c r="AZ825"/>
      <c r="BA825"/>
      <c r="BB825"/>
      <c r="BC825"/>
      <c r="BD825"/>
      <c r="BE825"/>
      <c r="BF825"/>
      <c r="BG825"/>
      <c r="BH825"/>
      <c r="BI825"/>
      <c r="BJ825"/>
      <c r="BK825"/>
      <c r="BL825"/>
      <c r="BM825"/>
      <c r="BN825"/>
      <c r="BO825"/>
      <c r="BP825"/>
      <c r="BQ825"/>
      <c r="BR825"/>
      <c r="BS825"/>
      <c r="BT825"/>
      <c r="BU825"/>
      <c r="BV825"/>
      <c r="BW825"/>
      <c r="BX825"/>
      <c r="BY825"/>
      <c r="BZ825"/>
      <c r="CA825"/>
      <c r="CB825"/>
      <c r="CC825"/>
      <c r="CD825"/>
      <c r="CE825"/>
      <c r="CF825"/>
      <c r="CG825"/>
      <c r="CH825"/>
      <c r="CI825"/>
      <c r="CJ825"/>
      <c r="CK825"/>
      <c r="CL825"/>
      <c r="CM825"/>
      <c r="CN825"/>
      <c r="CO825"/>
      <c r="CP825"/>
      <c r="CQ825"/>
      <c r="CR825"/>
      <c r="CS825"/>
      <c r="CT825"/>
      <c r="CU825"/>
      <c r="CV825"/>
      <c r="CW825"/>
      <c r="CX825"/>
      <c r="CY825"/>
      <c r="CZ825"/>
      <c r="DA825"/>
      <c r="DB825"/>
      <c r="DC825"/>
      <c r="DD825"/>
      <c r="DE825"/>
      <c r="DF825"/>
      <c r="DG825"/>
      <c r="DH825"/>
      <c r="DI825"/>
      <c r="DJ825"/>
      <c r="DK825"/>
      <c r="DL825"/>
      <c r="DM825"/>
      <c r="DN825"/>
      <c r="DO825"/>
      <c r="DP825"/>
      <c r="DQ825"/>
      <c r="DR825"/>
      <c r="DS825"/>
      <c r="DT825"/>
      <c r="DU825"/>
      <c r="DV825"/>
      <c r="DW825"/>
      <c r="DX825"/>
      <c r="DY825"/>
      <c r="DZ825"/>
      <c r="EA825"/>
      <c r="EB825"/>
      <c r="EC825"/>
      <c r="ED825"/>
      <c r="EE825"/>
      <c r="EF825"/>
      <c r="EG825"/>
      <c r="EH825"/>
      <c r="EI825"/>
      <c r="EJ825"/>
      <c r="EK825"/>
      <c r="EL825"/>
      <c r="EM825"/>
      <c r="EN825"/>
      <c r="EO825"/>
      <c r="EP825"/>
      <c r="EQ825"/>
      <c r="ER825"/>
      <c r="ES825"/>
      <c r="ET825"/>
      <c r="EU825"/>
      <c r="EV825"/>
      <c r="EW825"/>
      <c r="EX825"/>
      <c r="EY825"/>
      <c r="EZ825"/>
      <c r="FA825"/>
      <c r="FB825"/>
      <c r="FC825"/>
      <c r="FD825"/>
      <c r="FE825"/>
      <c r="FF825"/>
      <c r="FG825"/>
      <c r="FH825"/>
      <c r="FI825"/>
      <c r="FJ825"/>
      <c r="FK825"/>
      <c r="FL825"/>
      <c r="FM825"/>
      <c r="FN825"/>
      <c r="FO825"/>
      <c r="FP825"/>
      <c r="FQ825"/>
      <c r="FR825"/>
      <c r="FS825"/>
      <c r="FT825"/>
      <c r="FU825"/>
      <c r="FV825"/>
      <c r="FW825"/>
      <c r="FX825"/>
      <c r="FY825"/>
      <c r="FZ825"/>
      <c r="GA825"/>
      <c r="GB825"/>
      <c r="GC825"/>
      <c r="GD825"/>
      <c r="GE825"/>
      <c r="GF825"/>
      <c r="GG825"/>
      <c r="GH825"/>
      <c r="GI825"/>
      <c r="GJ825"/>
      <c r="GK825"/>
      <c r="GL825"/>
      <c r="GM825"/>
      <c r="GN825"/>
      <c r="GO825"/>
      <c r="GP825"/>
      <c r="GQ825"/>
      <c r="GR825"/>
      <c r="GS825"/>
      <c r="GT825"/>
      <c r="GU825"/>
      <c r="GV825"/>
      <c r="GW825"/>
      <c r="GX825"/>
      <c r="GY825"/>
      <c r="GZ825"/>
      <c r="HA825"/>
      <c r="HB825"/>
      <c r="HC825"/>
      <c r="HD825"/>
      <c r="HE825"/>
      <c r="HF825"/>
      <c r="HG825"/>
      <c r="HH825"/>
      <c r="HI825"/>
      <c r="HJ825"/>
      <c r="HK825"/>
      <c r="HL825"/>
      <c r="HM825"/>
      <c r="HN825"/>
      <c r="HO825"/>
      <c r="HP825"/>
      <c r="HQ825"/>
      <c r="HR825"/>
      <c r="HS825"/>
      <c r="HT825"/>
      <c r="HU825"/>
      <c r="HV825"/>
      <c r="HW825"/>
      <c r="HX825"/>
      <c r="HY825"/>
      <c r="HZ825"/>
      <c r="IA825"/>
      <c r="IB825"/>
      <c r="IC825"/>
      <c r="ID825"/>
      <c r="IE825"/>
      <c r="IF825"/>
      <c r="IG825"/>
      <c r="IH825"/>
      <c r="II825"/>
      <c r="IJ825"/>
    </row>
    <row r="826" spans="1:244" ht="30" customHeight="1" x14ac:dyDescent="0.2">
      <c r="A826" s="1406">
        <v>3122</v>
      </c>
      <c r="B826" s="2065" t="s">
        <v>1902</v>
      </c>
      <c r="C826" s="2067">
        <v>450000</v>
      </c>
      <c r="D826" s="2067">
        <f>450000+500000</f>
        <v>950000</v>
      </c>
      <c r="E826" s="2066"/>
      <c r="F826" s="1809"/>
      <c r="G826" s="1663"/>
      <c r="H826" s="1663"/>
      <c r="I826" s="1662"/>
      <c r="J826"/>
      <c r="K826"/>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c r="EX826"/>
      <c r="EY826"/>
      <c r="EZ826"/>
      <c r="FA826"/>
      <c r="FB826"/>
      <c r="FC826"/>
      <c r="FD826"/>
      <c r="FE826"/>
      <c r="FF826"/>
      <c r="FG826"/>
      <c r="FH826"/>
      <c r="FI826"/>
      <c r="FJ826"/>
      <c r="FK826"/>
      <c r="FL826"/>
      <c r="FM826"/>
      <c r="FN826"/>
      <c r="FO826"/>
      <c r="FP826"/>
      <c r="FQ826"/>
      <c r="FR826"/>
      <c r="FS826"/>
      <c r="FT826"/>
      <c r="FU826"/>
      <c r="FV826"/>
      <c r="FW826"/>
      <c r="FX826"/>
      <c r="FY826"/>
      <c r="FZ826"/>
      <c r="GA826"/>
      <c r="GB826"/>
      <c r="GC826"/>
      <c r="GD826"/>
      <c r="GE826"/>
      <c r="GF826"/>
      <c r="GG826"/>
      <c r="GH826"/>
      <c r="GI826"/>
      <c r="GJ826"/>
      <c r="GK826"/>
      <c r="GL826"/>
      <c r="GM826"/>
      <c r="GN826"/>
      <c r="GO826"/>
      <c r="GP826"/>
      <c r="GQ826"/>
      <c r="GR826"/>
      <c r="GS826"/>
      <c r="GT826"/>
      <c r="GU826"/>
      <c r="GV826"/>
      <c r="GW826"/>
      <c r="GX826"/>
      <c r="GY826"/>
      <c r="GZ826"/>
      <c r="HA826"/>
      <c r="HB826"/>
      <c r="HC826"/>
      <c r="HD826"/>
      <c r="HE826"/>
      <c r="HF826"/>
      <c r="HG826"/>
      <c r="HH826"/>
      <c r="HI826"/>
      <c r="HJ826"/>
      <c r="HK826"/>
      <c r="HL826"/>
      <c r="HM826"/>
      <c r="HN826"/>
      <c r="HO826"/>
      <c r="HP826"/>
      <c r="HQ826"/>
      <c r="HR826"/>
      <c r="HS826"/>
      <c r="HT826"/>
      <c r="HU826"/>
      <c r="HV826"/>
      <c r="HW826"/>
      <c r="HX826"/>
      <c r="HY826"/>
      <c r="HZ826"/>
      <c r="IA826"/>
      <c r="IB826"/>
      <c r="IC826"/>
      <c r="ID826"/>
      <c r="IE826"/>
      <c r="IF826"/>
      <c r="IG826"/>
      <c r="IH826"/>
      <c r="II826"/>
      <c r="IJ826"/>
    </row>
    <row r="827" spans="1:244" ht="30" customHeight="1" x14ac:dyDescent="0.2">
      <c r="A827" s="1155">
        <v>3412</v>
      </c>
      <c r="B827" s="2069" t="s">
        <v>805</v>
      </c>
      <c r="C827" s="2070">
        <f>C828+C839</f>
        <v>52960000</v>
      </c>
      <c r="D827" s="2070">
        <f>D828+D839</f>
        <v>52960000</v>
      </c>
      <c r="E827" s="2070"/>
      <c r="F827" s="1077"/>
      <c r="G827" s="1663"/>
      <c r="H827" s="1663"/>
      <c r="I827" s="1662"/>
      <c r="J827"/>
      <c r="K827"/>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c r="EX827"/>
      <c r="EY827"/>
      <c r="EZ827"/>
      <c r="FA827"/>
      <c r="FB827"/>
      <c r="FC827"/>
      <c r="FD827"/>
      <c r="FE827"/>
      <c r="FF827"/>
      <c r="FG827"/>
      <c r="FH827"/>
      <c r="FI827"/>
      <c r="FJ827"/>
      <c r="FK827"/>
      <c r="FL827"/>
      <c r="FM827"/>
      <c r="FN827"/>
      <c r="FO827"/>
      <c r="FP827"/>
      <c r="FQ827"/>
      <c r="FR827"/>
      <c r="FS827"/>
      <c r="FT827"/>
      <c r="FU827"/>
      <c r="FV827"/>
      <c r="FW827"/>
      <c r="FX827"/>
      <c r="FY827"/>
      <c r="FZ827"/>
      <c r="GA827"/>
      <c r="GB827"/>
      <c r="GC827"/>
      <c r="GD827"/>
      <c r="GE827"/>
      <c r="GF827"/>
      <c r="GG827"/>
      <c r="GH827"/>
      <c r="GI827"/>
      <c r="GJ827"/>
      <c r="GK827"/>
      <c r="GL827"/>
      <c r="GM827"/>
      <c r="GN827"/>
      <c r="GO827"/>
      <c r="GP827"/>
      <c r="GQ827"/>
      <c r="GR827"/>
      <c r="GS827"/>
      <c r="GT827"/>
      <c r="GU827"/>
      <c r="GV827"/>
      <c r="GW827"/>
      <c r="GX827"/>
      <c r="GY827"/>
      <c r="GZ827"/>
      <c r="HA827"/>
      <c r="HB827"/>
      <c r="HC827"/>
      <c r="HD827"/>
      <c r="HE827"/>
      <c r="HF827"/>
      <c r="HG827"/>
      <c r="HH827"/>
      <c r="HI827"/>
      <c r="HJ827"/>
      <c r="HK827"/>
      <c r="HL827"/>
      <c r="HM827"/>
      <c r="HN827"/>
      <c r="HO827"/>
      <c r="HP827"/>
      <c r="HQ827"/>
      <c r="HR827"/>
      <c r="HS827"/>
      <c r="HT827"/>
      <c r="HU827"/>
      <c r="HV827"/>
      <c r="HW827"/>
      <c r="HX827"/>
      <c r="HY827"/>
      <c r="HZ827"/>
      <c r="IA827"/>
      <c r="IB827"/>
      <c r="IC827"/>
      <c r="ID827"/>
      <c r="IE827"/>
      <c r="IF827"/>
      <c r="IG827"/>
      <c r="IH827"/>
      <c r="II827"/>
      <c r="IJ827"/>
    </row>
    <row r="828" spans="1:244" ht="30" customHeight="1" x14ac:dyDescent="0.2">
      <c r="A828" s="1155"/>
      <c r="B828" s="2071" t="s">
        <v>1903</v>
      </c>
      <c r="C828" s="2070">
        <f>C829+C833+C836</f>
        <v>37650000</v>
      </c>
      <c r="D828" s="2070">
        <f>D829+D833+D836</f>
        <v>37650000</v>
      </c>
      <c r="E828" s="2070"/>
      <c r="F828" s="1077"/>
      <c r="G828" s="1663"/>
      <c r="H828" s="1663"/>
      <c r="I828" s="1662"/>
      <c r="J828"/>
      <c r="K828"/>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c r="EX828"/>
      <c r="EY828"/>
      <c r="EZ828"/>
      <c r="FA828"/>
      <c r="FB828"/>
      <c r="FC828"/>
      <c r="FD828"/>
      <c r="FE828"/>
      <c r="FF828"/>
      <c r="FG828"/>
      <c r="FH828"/>
      <c r="FI828"/>
      <c r="FJ828"/>
      <c r="FK828"/>
      <c r="FL828"/>
      <c r="FM828"/>
      <c r="FN828"/>
      <c r="FO828"/>
      <c r="FP828"/>
      <c r="FQ828"/>
      <c r="FR828"/>
      <c r="FS828"/>
      <c r="FT828"/>
      <c r="FU828"/>
      <c r="FV828"/>
      <c r="FW828"/>
      <c r="FX828"/>
      <c r="FY828"/>
      <c r="FZ828"/>
      <c r="GA828"/>
      <c r="GB828"/>
      <c r="GC828"/>
      <c r="GD828"/>
      <c r="GE828"/>
      <c r="GF828"/>
      <c r="GG828"/>
      <c r="GH828"/>
      <c r="GI828"/>
      <c r="GJ828"/>
      <c r="GK828"/>
      <c r="GL828"/>
      <c r="GM828"/>
      <c r="GN828"/>
      <c r="GO828"/>
      <c r="GP828"/>
      <c r="GQ828"/>
      <c r="GR828"/>
      <c r="GS828"/>
      <c r="GT828"/>
      <c r="GU828"/>
      <c r="GV828"/>
      <c r="GW828"/>
      <c r="GX828"/>
      <c r="GY828"/>
      <c r="GZ828"/>
      <c r="HA828"/>
      <c r="HB828"/>
      <c r="HC828"/>
      <c r="HD828"/>
      <c r="HE828"/>
      <c r="HF828"/>
      <c r="HG828"/>
      <c r="HH828"/>
      <c r="HI828"/>
      <c r="HJ828"/>
      <c r="HK828"/>
      <c r="HL828"/>
      <c r="HM828"/>
      <c r="HN828"/>
      <c r="HO828"/>
      <c r="HP828"/>
      <c r="HQ828"/>
      <c r="HR828"/>
      <c r="HS828"/>
      <c r="HT828"/>
      <c r="HU828"/>
      <c r="HV828"/>
      <c r="HW828"/>
      <c r="HX828"/>
      <c r="HY828"/>
      <c r="HZ828"/>
      <c r="IA828"/>
      <c r="IB828"/>
      <c r="IC828"/>
      <c r="ID828"/>
      <c r="IE828"/>
      <c r="IF828"/>
      <c r="IG828"/>
      <c r="IH828"/>
      <c r="II828"/>
      <c r="IJ828"/>
    </row>
    <row r="829" spans="1:244" ht="30" customHeight="1" x14ac:dyDescent="0.2">
      <c r="A829" s="1155"/>
      <c r="B829" s="2072" t="s">
        <v>807</v>
      </c>
      <c r="C829" s="2073">
        <f>SUM(C830:C832)</f>
        <v>0</v>
      </c>
      <c r="D829" s="2073">
        <f>SUM(D830:D832)</f>
        <v>1150665.3</v>
      </c>
      <c r="E829" s="2073"/>
      <c r="F829" s="2073"/>
      <c r="G829" s="2459"/>
      <c r="H829" s="2459"/>
      <c r="I829" s="2460"/>
      <c r="J829"/>
      <c r="K829"/>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c r="EX829"/>
      <c r="EY829"/>
      <c r="EZ829"/>
      <c r="FA829"/>
      <c r="FB829"/>
      <c r="FC829"/>
      <c r="FD829"/>
      <c r="FE829"/>
      <c r="FF829"/>
      <c r="FG829"/>
      <c r="FH829"/>
      <c r="FI829"/>
      <c r="FJ829"/>
      <c r="FK829"/>
      <c r="FL829"/>
      <c r="FM829"/>
      <c r="FN829"/>
      <c r="FO829"/>
      <c r="FP829"/>
      <c r="FQ829"/>
      <c r="FR829"/>
      <c r="FS829"/>
      <c r="FT829"/>
      <c r="FU829"/>
      <c r="FV829"/>
      <c r="FW829"/>
      <c r="FX829"/>
      <c r="FY829"/>
      <c r="FZ829"/>
      <c r="GA829"/>
      <c r="GB829"/>
      <c r="GC829"/>
      <c r="GD829"/>
      <c r="GE829"/>
      <c r="GF829"/>
      <c r="GG829"/>
      <c r="GH829"/>
      <c r="GI829"/>
      <c r="GJ829"/>
      <c r="GK829"/>
      <c r="GL829"/>
      <c r="GM829"/>
      <c r="GN829"/>
      <c r="GO829"/>
      <c r="GP829"/>
      <c r="GQ829"/>
      <c r="GR829"/>
      <c r="GS829"/>
      <c r="GT829"/>
      <c r="GU829"/>
      <c r="GV829"/>
      <c r="GW829"/>
      <c r="GX829"/>
      <c r="GY829"/>
      <c r="GZ829"/>
      <c r="HA829"/>
      <c r="HB829"/>
      <c r="HC829"/>
      <c r="HD829"/>
      <c r="HE829"/>
      <c r="HF829"/>
      <c r="HG829"/>
      <c r="HH829"/>
      <c r="HI829"/>
      <c r="HJ829"/>
      <c r="HK829"/>
      <c r="HL829"/>
      <c r="HM829"/>
      <c r="HN829"/>
      <c r="HO829"/>
      <c r="HP829"/>
      <c r="HQ829"/>
      <c r="HR829"/>
      <c r="HS829"/>
      <c r="HT829"/>
      <c r="HU829"/>
      <c r="HV829"/>
      <c r="HW829"/>
      <c r="HX829"/>
      <c r="HY829"/>
      <c r="HZ829"/>
      <c r="IA829"/>
      <c r="IB829"/>
      <c r="IC829"/>
      <c r="ID829"/>
      <c r="IE829"/>
      <c r="IF829"/>
      <c r="IG829"/>
      <c r="IH829"/>
      <c r="II829"/>
      <c r="IJ829"/>
    </row>
    <row r="830" spans="1:244" ht="30" customHeight="1" x14ac:dyDescent="0.2">
      <c r="A830" s="1155"/>
      <c r="B830" s="2074" t="s">
        <v>2949</v>
      </c>
      <c r="C830" s="2075">
        <v>0</v>
      </c>
      <c r="D830" s="2075">
        <v>302065.3</v>
      </c>
      <c r="E830" s="2075"/>
      <c r="F830" s="2075"/>
      <c r="G830" s="2200"/>
      <c r="H830" s="2200"/>
      <c r="I830" s="2201"/>
      <c r="J830"/>
      <c r="K830"/>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c r="EX830"/>
      <c r="EY830"/>
      <c r="EZ830"/>
      <c r="FA830"/>
      <c r="FB830"/>
      <c r="FC830"/>
      <c r="FD830"/>
      <c r="FE830"/>
      <c r="FF830"/>
      <c r="FG830"/>
      <c r="FH830"/>
      <c r="FI830"/>
      <c r="FJ830"/>
      <c r="FK830"/>
      <c r="FL830"/>
      <c r="FM830"/>
      <c r="FN830"/>
      <c r="FO830"/>
      <c r="FP830"/>
      <c r="FQ830"/>
      <c r="FR830"/>
      <c r="FS830"/>
      <c r="FT830"/>
      <c r="FU830"/>
      <c r="FV830"/>
      <c r="FW830"/>
      <c r="FX830"/>
      <c r="FY830"/>
      <c r="FZ830"/>
      <c r="GA830"/>
      <c r="GB830"/>
      <c r="GC830"/>
      <c r="GD830"/>
      <c r="GE830"/>
      <c r="GF830"/>
      <c r="GG830"/>
      <c r="GH830"/>
      <c r="GI830"/>
      <c r="GJ830"/>
      <c r="GK830"/>
      <c r="GL830"/>
      <c r="GM830"/>
      <c r="GN830"/>
      <c r="GO830"/>
      <c r="GP830"/>
      <c r="GQ830"/>
      <c r="GR830"/>
      <c r="GS830"/>
      <c r="GT830"/>
      <c r="GU830"/>
      <c r="GV830"/>
      <c r="GW830"/>
      <c r="GX830"/>
      <c r="GY830"/>
      <c r="GZ830"/>
      <c r="HA830"/>
      <c r="HB830"/>
      <c r="HC830"/>
      <c r="HD830"/>
      <c r="HE830"/>
      <c r="HF830"/>
      <c r="HG830"/>
      <c r="HH830"/>
      <c r="HI830"/>
      <c r="HJ830"/>
      <c r="HK830"/>
      <c r="HL830"/>
      <c r="HM830"/>
      <c r="HN830"/>
      <c r="HO830"/>
      <c r="HP830"/>
      <c r="HQ830"/>
      <c r="HR830"/>
      <c r="HS830"/>
      <c r="HT830"/>
      <c r="HU830"/>
      <c r="HV830"/>
      <c r="HW830"/>
      <c r="HX830"/>
      <c r="HY830"/>
      <c r="HZ830"/>
      <c r="IA830"/>
      <c r="IB830"/>
      <c r="IC830"/>
      <c r="ID830"/>
      <c r="IE830"/>
      <c r="IF830"/>
      <c r="IG830"/>
      <c r="IH830"/>
      <c r="II830"/>
      <c r="IJ830"/>
    </row>
    <row r="831" spans="1:244" ht="30" customHeight="1" x14ac:dyDescent="0.2">
      <c r="A831" s="1155"/>
      <c r="B831" s="2074" t="s">
        <v>2950</v>
      </c>
      <c r="C831" s="2075">
        <v>0</v>
      </c>
      <c r="D831" s="2075">
        <v>798600</v>
      </c>
      <c r="E831" s="2075"/>
      <c r="F831" s="2075"/>
      <c r="G831" s="2200"/>
      <c r="H831" s="2200"/>
      <c r="I831" s="2201"/>
      <c r="J831"/>
      <c r="K831"/>
      <c r="L831"/>
      <c r="M831"/>
      <c r="N831"/>
      <c r="O831"/>
      <c r="P831"/>
      <c r="Q831"/>
      <c r="R831"/>
      <c r="S831"/>
      <c r="T831"/>
      <c r="U831"/>
      <c r="V831"/>
      <c r="W831"/>
      <c r="X831"/>
      <c r="Y831"/>
      <c r="Z831"/>
      <c r="AA831"/>
      <c r="AB831"/>
      <c r="AC831"/>
      <c r="AD831"/>
      <c r="AE831"/>
      <c r="AF831"/>
      <c r="AG831"/>
      <c r="AH831"/>
      <c r="AI831"/>
      <c r="AJ831"/>
      <c r="AK831"/>
      <c r="AL831"/>
      <c r="AM831"/>
      <c r="AN831"/>
      <c r="AO831"/>
      <c r="AP831"/>
      <c r="AQ831"/>
      <c r="AR831"/>
      <c r="AS831"/>
      <c r="AT831"/>
      <c r="AU831"/>
      <c r="AV831"/>
      <c r="AW831"/>
      <c r="AX831"/>
      <c r="AY831"/>
      <c r="AZ831"/>
      <c r="BA831"/>
      <c r="BB831"/>
      <c r="BC831"/>
      <c r="BD831"/>
      <c r="BE831"/>
      <c r="BF831"/>
      <c r="BG831"/>
      <c r="BH831"/>
      <c r="BI831"/>
      <c r="BJ831"/>
      <c r="BK831"/>
      <c r="BL831"/>
      <c r="BM831"/>
      <c r="BN831"/>
      <c r="BO831"/>
      <c r="BP831"/>
      <c r="BQ831"/>
      <c r="BR831"/>
      <c r="BS831"/>
      <c r="BT831"/>
      <c r="BU831"/>
      <c r="BV831"/>
      <c r="BW831"/>
      <c r="BX831"/>
      <c r="BY831"/>
      <c r="BZ831"/>
      <c r="CA831"/>
      <c r="CB831"/>
      <c r="CC831"/>
      <c r="CD831"/>
      <c r="CE831"/>
      <c r="CF831"/>
      <c r="CG831"/>
      <c r="CH831"/>
      <c r="CI831"/>
      <c r="CJ831"/>
      <c r="CK831"/>
      <c r="CL831"/>
      <c r="CM831"/>
      <c r="CN831"/>
      <c r="CO831"/>
      <c r="CP831"/>
      <c r="CQ831"/>
      <c r="CR831"/>
      <c r="CS831"/>
      <c r="CT831"/>
      <c r="CU831"/>
      <c r="CV831"/>
      <c r="CW831"/>
      <c r="CX831"/>
      <c r="CY831"/>
      <c r="CZ831"/>
      <c r="DA831"/>
      <c r="DB831"/>
      <c r="DC831"/>
      <c r="DD831"/>
      <c r="DE831"/>
      <c r="DF831"/>
      <c r="DG831"/>
      <c r="DH831"/>
      <c r="DI831"/>
      <c r="DJ831"/>
      <c r="DK831"/>
      <c r="DL831"/>
      <c r="DM831"/>
      <c r="DN831"/>
      <c r="DO831"/>
      <c r="DP831"/>
      <c r="DQ831"/>
      <c r="DR831"/>
      <c r="DS831"/>
      <c r="DT831"/>
      <c r="DU831"/>
      <c r="DV831"/>
      <c r="DW831"/>
      <c r="DX831"/>
      <c r="DY831"/>
      <c r="DZ831"/>
      <c r="EA831"/>
      <c r="EB831"/>
      <c r="EC831"/>
      <c r="ED831"/>
      <c r="EE831"/>
      <c r="EF831"/>
      <c r="EG831"/>
      <c r="EH831"/>
      <c r="EI831"/>
      <c r="EJ831"/>
      <c r="EK831"/>
      <c r="EL831"/>
      <c r="EM831"/>
      <c r="EN831"/>
      <c r="EO831"/>
      <c r="EP831"/>
      <c r="EQ831"/>
      <c r="ER831"/>
      <c r="ES831"/>
      <c r="ET831"/>
      <c r="EU831"/>
      <c r="EV831"/>
      <c r="EW831"/>
      <c r="EX831"/>
      <c r="EY831"/>
      <c r="EZ831"/>
      <c r="FA831"/>
      <c r="FB831"/>
      <c r="FC831"/>
      <c r="FD831"/>
      <c r="FE831"/>
      <c r="FF831"/>
      <c r="FG831"/>
      <c r="FH831"/>
      <c r="FI831"/>
      <c r="FJ831"/>
      <c r="FK831"/>
      <c r="FL831"/>
      <c r="FM831"/>
      <c r="FN831"/>
      <c r="FO831"/>
      <c r="FP831"/>
      <c r="FQ831"/>
      <c r="FR831"/>
      <c r="FS831"/>
      <c r="FT831"/>
      <c r="FU831"/>
      <c r="FV831"/>
      <c r="FW831"/>
      <c r="FX831"/>
      <c r="FY831"/>
      <c r="FZ831"/>
      <c r="GA831"/>
      <c r="GB831"/>
      <c r="GC831"/>
      <c r="GD831"/>
      <c r="GE831"/>
      <c r="GF831"/>
      <c r="GG831"/>
      <c r="GH831"/>
      <c r="GI831"/>
      <c r="GJ831"/>
      <c r="GK831"/>
      <c r="GL831"/>
      <c r="GM831"/>
      <c r="GN831"/>
      <c r="GO831"/>
      <c r="GP831"/>
      <c r="GQ831"/>
      <c r="GR831"/>
      <c r="GS831"/>
      <c r="GT831"/>
      <c r="GU831"/>
      <c r="GV831"/>
      <c r="GW831"/>
      <c r="GX831"/>
      <c r="GY831"/>
      <c r="GZ831"/>
      <c r="HA831"/>
      <c r="HB831"/>
      <c r="HC831"/>
      <c r="HD831"/>
      <c r="HE831"/>
      <c r="HF831"/>
      <c r="HG831"/>
      <c r="HH831"/>
      <c r="HI831"/>
      <c r="HJ831"/>
      <c r="HK831"/>
      <c r="HL831"/>
      <c r="HM831"/>
      <c r="HN831"/>
      <c r="HO831"/>
      <c r="HP831"/>
      <c r="HQ831"/>
      <c r="HR831"/>
      <c r="HS831"/>
      <c r="HT831"/>
      <c r="HU831"/>
      <c r="HV831"/>
      <c r="HW831"/>
      <c r="HX831"/>
      <c r="HY831"/>
      <c r="HZ831"/>
      <c r="IA831"/>
      <c r="IB831"/>
      <c r="IC831"/>
      <c r="ID831"/>
      <c r="IE831"/>
      <c r="IF831"/>
      <c r="IG831"/>
      <c r="IH831"/>
      <c r="II831"/>
      <c r="IJ831"/>
    </row>
    <row r="832" spans="1:244" ht="30" customHeight="1" x14ac:dyDescent="0.2">
      <c r="A832" s="1155"/>
      <c r="B832" s="2074" t="s">
        <v>2951</v>
      </c>
      <c r="C832" s="2075">
        <v>0</v>
      </c>
      <c r="D832" s="2075">
        <v>50000</v>
      </c>
      <c r="E832" s="2075"/>
      <c r="F832" s="2075"/>
      <c r="G832" s="2200"/>
      <c r="H832" s="2200"/>
      <c r="I832" s="2201"/>
      <c r="J832"/>
      <c r="K832"/>
      <c r="L832"/>
      <c r="M832"/>
      <c r="N832"/>
      <c r="O832"/>
      <c r="P832"/>
      <c r="Q832"/>
      <c r="R832"/>
      <c r="S832"/>
      <c r="T832"/>
      <c r="U832"/>
      <c r="V832"/>
      <c r="W832"/>
      <c r="X832"/>
      <c r="Y832"/>
      <c r="Z832"/>
      <c r="AA832"/>
      <c r="AB832"/>
      <c r="AC832"/>
      <c r="AD832"/>
      <c r="AE832"/>
      <c r="AF832"/>
      <c r="AG832"/>
      <c r="AH832"/>
      <c r="AI832"/>
      <c r="AJ832"/>
      <c r="AK832"/>
      <c r="AL832"/>
      <c r="AM832"/>
      <c r="AN832"/>
      <c r="AO832"/>
      <c r="AP832"/>
      <c r="AQ832"/>
      <c r="AR832"/>
      <c r="AS832"/>
      <c r="AT832"/>
      <c r="AU832"/>
      <c r="AV832"/>
      <c r="AW832"/>
      <c r="AX832"/>
      <c r="AY832"/>
      <c r="AZ832"/>
      <c r="BA832"/>
      <c r="BB832"/>
      <c r="BC832"/>
      <c r="BD832"/>
      <c r="BE832"/>
      <c r="BF832"/>
      <c r="BG832"/>
      <c r="BH832"/>
      <c r="BI832"/>
      <c r="BJ832"/>
      <c r="BK832"/>
      <c r="BL832"/>
      <c r="BM832"/>
      <c r="BN832"/>
      <c r="BO832"/>
      <c r="BP832"/>
      <c r="BQ832"/>
      <c r="BR832"/>
      <c r="BS832"/>
      <c r="BT832"/>
      <c r="BU832"/>
      <c r="BV832"/>
      <c r="BW832"/>
      <c r="BX832"/>
      <c r="BY832"/>
      <c r="BZ832"/>
      <c r="CA832"/>
      <c r="CB832"/>
      <c r="CC832"/>
      <c r="CD832"/>
      <c r="CE832"/>
      <c r="CF832"/>
      <c r="CG832"/>
      <c r="CH832"/>
      <c r="CI832"/>
      <c r="CJ832"/>
      <c r="CK832"/>
      <c r="CL832"/>
      <c r="CM832"/>
      <c r="CN832"/>
      <c r="CO832"/>
      <c r="CP832"/>
      <c r="CQ832"/>
      <c r="CR832"/>
      <c r="CS832"/>
      <c r="CT832"/>
      <c r="CU832"/>
      <c r="CV832"/>
      <c r="CW832"/>
      <c r="CX832"/>
      <c r="CY832"/>
      <c r="CZ832"/>
      <c r="DA832"/>
      <c r="DB832"/>
      <c r="DC832"/>
      <c r="DD832"/>
      <c r="DE832"/>
      <c r="DF832"/>
      <c r="DG832"/>
      <c r="DH832"/>
      <c r="DI832"/>
      <c r="DJ832"/>
      <c r="DK832"/>
      <c r="DL832"/>
      <c r="DM832"/>
      <c r="DN832"/>
      <c r="DO832"/>
      <c r="DP832"/>
      <c r="DQ832"/>
      <c r="DR832"/>
      <c r="DS832"/>
      <c r="DT832"/>
      <c r="DU832"/>
      <c r="DV832"/>
      <c r="DW832"/>
      <c r="DX832"/>
      <c r="DY832"/>
      <c r="DZ832"/>
      <c r="EA832"/>
      <c r="EB832"/>
      <c r="EC832"/>
      <c r="ED832"/>
      <c r="EE832"/>
      <c r="EF832"/>
      <c r="EG832"/>
      <c r="EH832"/>
      <c r="EI832"/>
      <c r="EJ832"/>
      <c r="EK832"/>
      <c r="EL832"/>
      <c r="EM832"/>
      <c r="EN832"/>
      <c r="EO832"/>
      <c r="EP832"/>
      <c r="EQ832"/>
      <c r="ER832"/>
      <c r="ES832"/>
      <c r="ET832"/>
      <c r="EU832"/>
      <c r="EV832"/>
      <c r="EW832"/>
      <c r="EX832"/>
      <c r="EY832"/>
      <c r="EZ832"/>
      <c r="FA832"/>
      <c r="FB832"/>
      <c r="FC832"/>
      <c r="FD832"/>
      <c r="FE832"/>
      <c r="FF832"/>
      <c r="FG832"/>
      <c r="FH832"/>
      <c r="FI832"/>
      <c r="FJ832"/>
      <c r="FK832"/>
      <c r="FL832"/>
      <c r="FM832"/>
      <c r="FN832"/>
      <c r="FO832"/>
      <c r="FP832"/>
      <c r="FQ832"/>
      <c r="FR832"/>
      <c r="FS832"/>
      <c r="FT832"/>
      <c r="FU832"/>
      <c r="FV832"/>
      <c r="FW832"/>
      <c r="FX832"/>
      <c r="FY832"/>
      <c r="FZ832"/>
      <c r="GA832"/>
      <c r="GB832"/>
      <c r="GC832"/>
      <c r="GD832"/>
      <c r="GE832"/>
      <c r="GF832"/>
      <c r="GG832"/>
      <c r="GH832"/>
      <c r="GI832"/>
      <c r="GJ832"/>
      <c r="GK832"/>
      <c r="GL832"/>
      <c r="GM832"/>
      <c r="GN832"/>
      <c r="GO832"/>
      <c r="GP832"/>
      <c r="GQ832"/>
      <c r="GR832"/>
      <c r="GS832"/>
      <c r="GT832"/>
      <c r="GU832"/>
      <c r="GV832"/>
      <c r="GW832"/>
      <c r="GX832"/>
      <c r="GY832"/>
      <c r="GZ832"/>
      <c r="HA832"/>
      <c r="HB832"/>
      <c r="HC832"/>
      <c r="HD832"/>
      <c r="HE832"/>
      <c r="HF832"/>
      <c r="HG832"/>
      <c r="HH832"/>
      <c r="HI832"/>
      <c r="HJ832"/>
      <c r="HK832"/>
      <c r="HL832"/>
      <c r="HM832"/>
      <c r="HN832"/>
      <c r="HO832"/>
      <c r="HP832"/>
      <c r="HQ832"/>
      <c r="HR832"/>
      <c r="HS832"/>
      <c r="HT832"/>
      <c r="HU832"/>
      <c r="HV832"/>
      <c r="HW832"/>
      <c r="HX832"/>
      <c r="HY832"/>
      <c r="HZ832"/>
      <c r="IA832"/>
      <c r="IB832"/>
      <c r="IC832"/>
      <c r="ID832"/>
      <c r="IE832"/>
      <c r="IF832"/>
      <c r="IG832"/>
      <c r="IH832"/>
      <c r="II832"/>
      <c r="IJ832"/>
    </row>
    <row r="833" spans="1:244" ht="30" customHeight="1" x14ac:dyDescent="0.2">
      <c r="A833" s="1155"/>
      <c r="B833" s="2076" t="s">
        <v>829</v>
      </c>
      <c r="C833" s="2077">
        <f>SUM(C834:C835)</f>
        <v>750000</v>
      </c>
      <c r="D833" s="2077">
        <f>SUM(D834:D835)</f>
        <v>700000</v>
      </c>
      <c r="E833" s="2077"/>
      <c r="F833" s="2077"/>
      <c r="G833" s="2459"/>
      <c r="H833" s="2459"/>
      <c r="I833" s="2460"/>
      <c r="J833"/>
      <c r="K833"/>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c r="EX833"/>
      <c r="EY833"/>
      <c r="EZ833"/>
      <c r="FA833"/>
      <c r="FB833"/>
      <c r="FC833"/>
      <c r="FD833"/>
      <c r="FE833"/>
      <c r="FF833"/>
      <c r="FG833"/>
      <c r="FH833"/>
      <c r="FI833"/>
      <c r="FJ833"/>
      <c r="FK833"/>
      <c r="FL833"/>
      <c r="FM833"/>
      <c r="FN833"/>
      <c r="FO833"/>
      <c r="FP833"/>
      <c r="FQ833"/>
      <c r="FR833"/>
      <c r="FS833"/>
      <c r="FT833"/>
      <c r="FU833"/>
      <c r="FV833"/>
      <c r="FW833"/>
      <c r="FX833"/>
      <c r="FY833"/>
      <c r="FZ833"/>
      <c r="GA833"/>
      <c r="GB833"/>
      <c r="GC833"/>
      <c r="GD833"/>
      <c r="GE833"/>
      <c r="GF833"/>
      <c r="GG833"/>
      <c r="GH833"/>
      <c r="GI833"/>
      <c r="GJ833"/>
      <c r="GK833"/>
      <c r="GL833"/>
      <c r="GM833"/>
      <c r="GN833"/>
      <c r="GO833"/>
      <c r="GP833"/>
      <c r="GQ833"/>
      <c r="GR833"/>
      <c r="GS833"/>
      <c r="GT833"/>
      <c r="GU833"/>
      <c r="GV833"/>
      <c r="GW833"/>
      <c r="GX833"/>
      <c r="GY833"/>
      <c r="GZ833"/>
      <c r="HA833"/>
      <c r="HB833"/>
      <c r="HC833"/>
      <c r="HD833"/>
      <c r="HE833"/>
      <c r="HF833"/>
      <c r="HG833"/>
      <c r="HH833"/>
      <c r="HI833"/>
      <c r="HJ833"/>
      <c r="HK833"/>
      <c r="HL833"/>
      <c r="HM833"/>
      <c r="HN833"/>
      <c r="HO833"/>
      <c r="HP833"/>
      <c r="HQ833"/>
      <c r="HR833"/>
      <c r="HS833"/>
      <c r="HT833"/>
      <c r="HU833"/>
      <c r="HV833"/>
      <c r="HW833"/>
      <c r="HX833"/>
      <c r="HY833"/>
      <c r="HZ833"/>
      <c r="IA833"/>
      <c r="IB833"/>
      <c r="IC833"/>
      <c r="ID833"/>
      <c r="IE833"/>
      <c r="IF833"/>
      <c r="IG833"/>
      <c r="IH833"/>
      <c r="II833"/>
      <c r="IJ833"/>
    </row>
    <row r="834" spans="1:244" s="1417" customFormat="1" ht="30" customHeight="1" x14ac:dyDescent="0.2">
      <c r="A834" s="1155"/>
      <c r="B834" s="2078" t="s">
        <v>2541</v>
      </c>
      <c r="C834" s="2075">
        <v>600000</v>
      </c>
      <c r="D834" s="2075">
        <v>600000</v>
      </c>
      <c r="E834" s="2075"/>
      <c r="F834" s="2075"/>
      <c r="G834" s="2200"/>
      <c r="H834" s="2200"/>
      <c r="I834" s="2201"/>
    </row>
    <row r="835" spans="1:244" ht="30" customHeight="1" x14ac:dyDescent="0.2">
      <c r="A835" s="1155"/>
      <c r="B835" s="2080" t="s">
        <v>2542</v>
      </c>
      <c r="C835" s="2075">
        <v>150000</v>
      </c>
      <c r="D835" s="2075">
        <f>150000-50000</f>
        <v>100000</v>
      </c>
      <c r="E835" s="2075"/>
      <c r="F835" s="2075"/>
      <c r="G835" s="2200"/>
      <c r="H835" s="2200"/>
      <c r="I835" s="2201"/>
      <c r="J835"/>
      <c r="K835"/>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c r="EX835"/>
      <c r="EY835"/>
      <c r="EZ835"/>
      <c r="FA835"/>
      <c r="FB835"/>
      <c r="FC835"/>
      <c r="FD835"/>
      <c r="FE835"/>
      <c r="FF835"/>
      <c r="FG835"/>
      <c r="FH835"/>
      <c r="FI835"/>
      <c r="FJ835"/>
      <c r="FK835"/>
      <c r="FL835"/>
      <c r="FM835"/>
      <c r="FN835"/>
      <c r="FO835"/>
      <c r="FP835"/>
      <c r="FQ835"/>
      <c r="FR835"/>
      <c r="FS835"/>
      <c r="FT835"/>
      <c r="FU835"/>
      <c r="FV835"/>
      <c r="FW835"/>
      <c r="FX835"/>
      <c r="FY835"/>
      <c r="FZ835"/>
      <c r="GA835"/>
      <c r="GB835"/>
      <c r="GC835"/>
      <c r="GD835"/>
      <c r="GE835"/>
      <c r="GF835"/>
      <c r="GG835"/>
      <c r="GH835"/>
      <c r="GI835"/>
      <c r="GJ835"/>
      <c r="GK835"/>
      <c r="GL835"/>
      <c r="GM835"/>
      <c r="GN835"/>
      <c r="GO835"/>
      <c r="GP835"/>
      <c r="GQ835"/>
      <c r="GR835"/>
      <c r="GS835"/>
      <c r="GT835"/>
      <c r="GU835"/>
      <c r="GV835"/>
      <c r="GW835"/>
      <c r="GX835"/>
      <c r="GY835"/>
      <c r="GZ835"/>
      <c r="HA835"/>
      <c r="HB835"/>
      <c r="HC835"/>
      <c r="HD835"/>
      <c r="HE835"/>
      <c r="HF835"/>
      <c r="HG835"/>
      <c r="HH835"/>
      <c r="HI835"/>
      <c r="HJ835"/>
      <c r="HK835"/>
      <c r="HL835"/>
      <c r="HM835"/>
      <c r="HN835"/>
      <c r="HO835"/>
      <c r="HP835"/>
      <c r="HQ835"/>
      <c r="HR835"/>
      <c r="HS835"/>
      <c r="HT835"/>
      <c r="HU835"/>
      <c r="HV835"/>
      <c r="HW835"/>
      <c r="HX835"/>
      <c r="HY835"/>
      <c r="HZ835"/>
      <c r="IA835"/>
      <c r="IB835"/>
      <c r="IC835"/>
      <c r="ID835"/>
      <c r="IE835"/>
      <c r="IF835"/>
      <c r="IG835"/>
      <c r="IH835"/>
      <c r="II835"/>
      <c r="IJ835"/>
    </row>
    <row r="836" spans="1:244" ht="30" customHeight="1" x14ac:dyDescent="0.2">
      <c r="A836" s="1155"/>
      <c r="B836" s="2081" t="s">
        <v>819</v>
      </c>
      <c r="C836" s="2082">
        <f>SUM(C837:C838)</f>
        <v>36900000</v>
      </c>
      <c r="D836" s="2082">
        <f>SUM(D837:D838)</f>
        <v>35799334.700000003</v>
      </c>
      <c r="E836" s="2082"/>
      <c r="F836" s="2082"/>
      <c r="G836" s="2459"/>
      <c r="H836" s="2459"/>
      <c r="I836" s="2460"/>
      <c r="J836"/>
      <c r="K836"/>
      <c r="L836"/>
      <c r="M836"/>
      <c r="N836"/>
      <c r="O836"/>
      <c r="P836"/>
      <c r="Q836"/>
      <c r="R836"/>
      <c r="S836"/>
      <c r="T836"/>
      <c r="U836"/>
      <c r="V836"/>
      <c r="W836"/>
      <c r="X836"/>
      <c r="Y836"/>
      <c r="Z836"/>
      <c r="AA836"/>
      <c r="AB836"/>
      <c r="AC836"/>
      <c r="AD836"/>
      <c r="AE836"/>
      <c r="AF836"/>
      <c r="AG836"/>
      <c r="AH836"/>
      <c r="AI836"/>
      <c r="AJ836"/>
      <c r="AK836"/>
      <c r="AL836"/>
      <c r="AM836"/>
      <c r="AN836"/>
      <c r="AO836"/>
      <c r="AP836"/>
      <c r="AQ836"/>
      <c r="AR836"/>
      <c r="AS836"/>
      <c r="AT836"/>
      <c r="AU836"/>
      <c r="AV836"/>
      <c r="AW836"/>
      <c r="AX836"/>
      <c r="AY836"/>
      <c r="AZ836"/>
      <c r="BA836"/>
      <c r="BB836"/>
      <c r="BC836"/>
      <c r="BD836"/>
      <c r="BE836"/>
      <c r="BF836"/>
      <c r="BG836"/>
      <c r="BH836"/>
      <c r="BI836"/>
      <c r="BJ836"/>
      <c r="BK836"/>
      <c r="BL836"/>
      <c r="BM836"/>
      <c r="BN836"/>
      <c r="BO836"/>
      <c r="BP836"/>
      <c r="BQ836"/>
      <c r="BR836"/>
      <c r="BS836"/>
      <c r="BT836"/>
      <c r="BU836"/>
      <c r="BV836"/>
      <c r="BW836"/>
      <c r="BX836"/>
      <c r="BY836"/>
      <c r="BZ836"/>
      <c r="CA836"/>
      <c r="CB836"/>
      <c r="CC836"/>
      <c r="CD836"/>
      <c r="CE836"/>
      <c r="CF836"/>
      <c r="CG836"/>
      <c r="CH836"/>
      <c r="CI836"/>
      <c r="CJ836"/>
      <c r="CK836"/>
      <c r="CL836"/>
      <c r="CM836"/>
      <c r="CN836"/>
      <c r="CO836"/>
      <c r="CP836"/>
      <c r="CQ836"/>
      <c r="CR836"/>
      <c r="CS836"/>
      <c r="CT836"/>
      <c r="CU836"/>
      <c r="CV836"/>
      <c r="CW836"/>
      <c r="CX836"/>
      <c r="CY836"/>
      <c r="CZ836"/>
      <c r="DA836"/>
      <c r="DB836"/>
      <c r="DC836"/>
      <c r="DD836"/>
      <c r="DE836"/>
      <c r="DF836"/>
      <c r="DG836"/>
      <c r="DH836"/>
      <c r="DI836"/>
      <c r="DJ836"/>
      <c r="DK836"/>
      <c r="DL836"/>
      <c r="DM836"/>
      <c r="DN836"/>
      <c r="DO836"/>
      <c r="DP836"/>
      <c r="DQ836"/>
      <c r="DR836"/>
      <c r="DS836"/>
      <c r="DT836"/>
      <c r="DU836"/>
      <c r="DV836"/>
      <c r="DW836"/>
      <c r="DX836"/>
      <c r="DY836"/>
      <c r="DZ836"/>
      <c r="EA836"/>
      <c r="EB836"/>
      <c r="EC836"/>
      <c r="ED836"/>
      <c r="EE836"/>
      <c r="EF836"/>
      <c r="EG836"/>
      <c r="EH836"/>
      <c r="EI836"/>
      <c r="EJ836"/>
      <c r="EK836"/>
      <c r="EL836"/>
      <c r="EM836"/>
      <c r="EN836"/>
      <c r="EO836"/>
      <c r="EP836"/>
      <c r="EQ836"/>
      <c r="ER836"/>
      <c r="ES836"/>
      <c r="ET836"/>
      <c r="EU836"/>
      <c r="EV836"/>
      <c r="EW836"/>
      <c r="EX836"/>
      <c r="EY836"/>
      <c r="EZ836"/>
      <c r="FA836"/>
      <c r="FB836"/>
      <c r="FC836"/>
      <c r="FD836"/>
      <c r="FE836"/>
      <c r="FF836"/>
      <c r="FG836"/>
      <c r="FH836"/>
      <c r="FI836"/>
      <c r="FJ836"/>
      <c r="FK836"/>
      <c r="FL836"/>
      <c r="FM836"/>
      <c r="FN836"/>
      <c r="FO836"/>
      <c r="FP836"/>
      <c r="FQ836"/>
      <c r="FR836"/>
      <c r="FS836"/>
      <c r="FT836"/>
      <c r="FU836"/>
      <c r="FV836"/>
      <c r="FW836"/>
      <c r="FX836"/>
      <c r="FY836"/>
      <c r="FZ836"/>
      <c r="GA836"/>
      <c r="GB836"/>
      <c r="GC836"/>
      <c r="GD836"/>
      <c r="GE836"/>
      <c r="GF836"/>
      <c r="GG836"/>
      <c r="GH836"/>
      <c r="GI836"/>
      <c r="GJ836"/>
      <c r="GK836"/>
      <c r="GL836"/>
      <c r="GM836"/>
      <c r="GN836"/>
      <c r="GO836"/>
      <c r="GP836"/>
      <c r="GQ836"/>
      <c r="GR836"/>
      <c r="GS836"/>
      <c r="GT836"/>
      <c r="GU836"/>
      <c r="GV836"/>
      <c r="GW836"/>
      <c r="GX836"/>
      <c r="GY836"/>
      <c r="GZ836"/>
      <c r="HA836"/>
      <c r="HB836"/>
      <c r="HC836"/>
      <c r="HD836"/>
      <c r="HE836"/>
      <c r="HF836"/>
      <c r="HG836"/>
      <c r="HH836"/>
      <c r="HI836"/>
      <c r="HJ836"/>
      <c r="HK836"/>
      <c r="HL836"/>
      <c r="HM836"/>
      <c r="HN836"/>
      <c r="HO836"/>
      <c r="HP836"/>
      <c r="HQ836"/>
      <c r="HR836"/>
      <c r="HS836"/>
      <c r="HT836"/>
      <c r="HU836"/>
      <c r="HV836"/>
      <c r="HW836"/>
      <c r="HX836"/>
      <c r="HY836"/>
      <c r="HZ836"/>
      <c r="IA836"/>
      <c r="IB836"/>
      <c r="IC836"/>
      <c r="ID836"/>
      <c r="IE836"/>
      <c r="IF836"/>
      <c r="IG836"/>
      <c r="IH836"/>
      <c r="II836"/>
      <c r="IJ836"/>
    </row>
    <row r="837" spans="1:244" ht="30" customHeight="1" x14ac:dyDescent="0.2">
      <c r="A837" s="1155"/>
      <c r="B837" s="2080" t="s">
        <v>2543</v>
      </c>
      <c r="C837" s="2075">
        <v>36900000</v>
      </c>
      <c r="D837" s="2075">
        <f>36900000-312434.9-847352</f>
        <v>35740213.100000001</v>
      </c>
      <c r="E837" s="2075"/>
      <c r="F837" s="2075"/>
      <c r="G837" s="2200"/>
      <c r="H837" s="2200"/>
      <c r="I837" s="2201"/>
      <c r="J837"/>
      <c r="K837"/>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c r="EX837"/>
      <c r="EY837"/>
      <c r="EZ837"/>
      <c r="FA837"/>
      <c r="FB837"/>
      <c r="FC837"/>
      <c r="FD837"/>
      <c r="FE837"/>
      <c r="FF837"/>
      <c r="FG837"/>
      <c r="FH837"/>
      <c r="FI837"/>
      <c r="FJ837"/>
      <c r="FK837"/>
      <c r="FL837"/>
      <c r="FM837"/>
      <c r="FN837"/>
      <c r="FO837"/>
      <c r="FP837"/>
      <c r="FQ837"/>
      <c r="FR837"/>
      <c r="FS837"/>
      <c r="FT837"/>
      <c r="FU837"/>
      <c r="FV837"/>
      <c r="FW837"/>
      <c r="FX837"/>
      <c r="FY837"/>
      <c r="FZ837"/>
      <c r="GA837"/>
      <c r="GB837"/>
      <c r="GC837"/>
      <c r="GD837"/>
      <c r="GE837"/>
      <c r="GF837"/>
      <c r="GG837"/>
      <c r="GH837"/>
      <c r="GI837"/>
      <c r="GJ837"/>
      <c r="GK837"/>
      <c r="GL837"/>
      <c r="GM837"/>
      <c r="GN837"/>
      <c r="GO837"/>
      <c r="GP837"/>
      <c r="GQ837"/>
      <c r="GR837"/>
      <c r="GS837"/>
      <c r="GT837"/>
      <c r="GU837"/>
      <c r="GV837"/>
      <c r="GW837"/>
      <c r="GX837"/>
      <c r="GY837"/>
      <c r="GZ837"/>
      <c r="HA837"/>
      <c r="HB837"/>
      <c r="HC837"/>
      <c r="HD837"/>
      <c r="HE837"/>
      <c r="HF837"/>
      <c r="HG837"/>
      <c r="HH837"/>
      <c r="HI837"/>
      <c r="HJ837"/>
      <c r="HK837"/>
      <c r="HL837"/>
      <c r="HM837"/>
      <c r="HN837"/>
      <c r="HO837"/>
      <c r="HP837"/>
      <c r="HQ837"/>
      <c r="HR837"/>
      <c r="HS837"/>
      <c r="HT837"/>
      <c r="HU837"/>
      <c r="HV837"/>
      <c r="HW837"/>
      <c r="HX837"/>
      <c r="HY837"/>
      <c r="HZ837"/>
      <c r="IA837"/>
      <c r="IB837"/>
      <c r="IC837"/>
      <c r="ID837"/>
      <c r="IE837"/>
      <c r="IF837"/>
      <c r="IG837"/>
      <c r="IH837"/>
      <c r="II837"/>
      <c r="IJ837"/>
    </row>
    <row r="838" spans="1:244" s="98" customFormat="1" ht="30" customHeight="1" x14ac:dyDescent="0.2">
      <c r="A838" s="1155"/>
      <c r="B838" s="2083" t="s">
        <v>2952</v>
      </c>
      <c r="C838" s="2075">
        <v>0</v>
      </c>
      <c r="D838" s="2075">
        <f>10369.6+48752</f>
        <v>59121.599999999999</v>
      </c>
      <c r="E838" s="2075"/>
      <c r="F838" s="2075"/>
      <c r="G838" s="2200"/>
      <c r="H838" s="2200"/>
      <c r="I838" s="2201"/>
    </row>
    <row r="839" spans="1:244" ht="30" customHeight="1" x14ac:dyDescent="0.2">
      <c r="A839" s="1155"/>
      <c r="B839" s="2084" t="s">
        <v>1917</v>
      </c>
      <c r="C839" s="2085">
        <f>C840+C842+C846</f>
        <v>15310000</v>
      </c>
      <c r="D839" s="2085">
        <f>D840+D842+D846</f>
        <v>15310000</v>
      </c>
      <c r="E839" s="2085"/>
      <c r="F839" s="2075"/>
      <c r="G839" s="1663"/>
      <c r="H839" s="1663"/>
      <c r="I839" s="1662"/>
      <c r="J839"/>
      <c r="K839"/>
      <c r="L839"/>
      <c r="M839"/>
      <c r="N839"/>
      <c r="O839"/>
      <c r="P839"/>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c r="EB839"/>
      <c r="EC839"/>
      <c r="ED839"/>
      <c r="EE839"/>
      <c r="EF839"/>
      <c r="EG839"/>
      <c r="EH839"/>
      <c r="EI839"/>
      <c r="EJ839"/>
      <c r="EK839"/>
      <c r="EL839"/>
      <c r="EM839"/>
      <c r="EN839"/>
      <c r="EO839"/>
      <c r="EP839"/>
      <c r="EQ839"/>
      <c r="ER839"/>
      <c r="ES839"/>
      <c r="ET839"/>
      <c r="EU839"/>
      <c r="EV839"/>
      <c r="EW839"/>
      <c r="EX839"/>
      <c r="EY839"/>
      <c r="EZ839"/>
      <c r="FA839"/>
      <c r="FB839"/>
      <c r="FC839"/>
      <c r="FD839"/>
      <c r="FE839"/>
      <c r="FF839"/>
      <c r="FG839"/>
      <c r="FH839"/>
      <c r="FI839"/>
      <c r="FJ839"/>
      <c r="FK839"/>
      <c r="FL839"/>
      <c r="FM839"/>
      <c r="FN839"/>
      <c r="FO839"/>
      <c r="FP839"/>
      <c r="FQ839"/>
      <c r="FR839"/>
      <c r="FS839"/>
      <c r="FT839"/>
      <c r="FU839"/>
      <c r="FV839"/>
      <c r="FW839"/>
      <c r="FX839"/>
      <c r="FY839"/>
      <c r="FZ839"/>
      <c r="GA839"/>
      <c r="GB839"/>
      <c r="GC839"/>
      <c r="GD839"/>
      <c r="GE839"/>
      <c r="GF839"/>
      <c r="GG839"/>
      <c r="GH839"/>
      <c r="GI839"/>
      <c r="GJ839"/>
      <c r="GK839"/>
      <c r="GL839"/>
      <c r="GM839"/>
      <c r="GN839"/>
      <c r="GO839"/>
      <c r="GP839"/>
      <c r="GQ839"/>
      <c r="GR839"/>
      <c r="GS839"/>
      <c r="GT839"/>
      <c r="GU839"/>
      <c r="GV839"/>
      <c r="GW839"/>
      <c r="GX839"/>
      <c r="GY839"/>
      <c r="GZ839"/>
      <c r="HA839"/>
      <c r="HB839"/>
      <c r="HC839"/>
      <c r="HD839"/>
      <c r="HE839"/>
      <c r="HF839"/>
      <c r="HG839"/>
      <c r="HH839"/>
      <c r="HI839"/>
      <c r="HJ839"/>
      <c r="HK839"/>
      <c r="HL839"/>
      <c r="HM839"/>
      <c r="HN839"/>
      <c r="HO839"/>
      <c r="HP839"/>
      <c r="HQ839"/>
      <c r="HR839"/>
      <c r="HS839"/>
      <c r="HT839"/>
      <c r="HU839"/>
      <c r="HV839"/>
      <c r="HW839"/>
      <c r="HX839"/>
      <c r="HY839"/>
      <c r="HZ839"/>
      <c r="IA839"/>
      <c r="IB839"/>
      <c r="IC839"/>
      <c r="ID839"/>
      <c r="IE839"/>
      <c r="IF839"/>
      <c r="IG839"/>
      <c r="IH839"/>
      <c r="II839"/>
      <c r="IJ839"/>
    </row>
    <row r="840" spans="1:244" ht="30" customHeight="1" x14ac:dyDescent="0.2">
      <c r="A840" s="2086"/>
      <c r="B840" s="2087" t="s">
        <v>807</v>
      </c>
      <c r="C840" s="2082">
        <f>C841</f>
        <v>170000</v>
      </c>
      <c r="D840" s="2082">
        <f>D841</f>
        <v>170000</v>
      </c>
      <c r="E840" s="2082"/>
      <c r="F840" s="2082"/>
      <c r="G840" s="2459"/>
      <c r="H840" s="2459"/>
      <c r="I840" s="2460"/>
      <c r="J840"/>
      <c r="K840"/>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c r="EX840"/>
      <c r="EY840"/>
      <c r="EZ840"/>
      <c r="FA840"/>
      <c r="FB840"/>
      <c r="FC840"/>
      <c r="FD840"/>
      <c r="FE840"/>
      <c r="FF840"/>
      <c r="FG840"/>
      <c r="FH840"/>
      <c r="FI840"/>
      <c r="FJ840"/>
      <c r="FK840"/>
      <c r="FL840"/>
      <c r="FM840"/>
      <c r="FN840"/>
      <c r="FO840"/>
      <c r="FP840"/>
      <c r="FQ840"/>
      <c r="FR840"/>
      <c r="FS840"/>
      <c r="FT840"/>
      <c r="FU840"/>
      <c r="FV840"/>
      <c r="FW840"/>
      <c r="FX840"/>
      <c r="FY840"/>
      <c r="FZ840"/>
      <c r="GA840"/>
      <c r="GB840"/>
      <c r="GC840"/>
      <c r="GD840"/>
      <c r="GE840"/>
      <c r="GF840"/>
      <c r="GG840"/>
      <c r="GH840"/>
      <c r="GI840"/>
      <c r="GJ840"/>
      <c r="GK840"/>
      <c r="GL840"/>
      <c r="GM840"/>
      <c r="GN840"/>
      <c r="GO840"/>
      <c r="GP840"/>
      <c r="GQ840"/>
      <c r="GR840"/>
      <c r="GS840"/>
      <c r="GT840"/>
      <c r="GU840"/>
      <c r="GV840"/>
      <c r="GW840"/>
      <c r="GX840"/>
      <c r="GY840"/>
      <c r="GZ840"/>
      <c r="HA840"/>
      <c r="HB840"/>
      <c r="HC840"/>
      <c r="HD840"/>
      <c r="HE840"/>
      <c r="HF840"/>
      <c r="HG840"/>
      <c r="HH840"/>
      <c r="HI840"/>
      <c r="HJ840"/>
      <c r="HK840"/>
      <c r="HL840"/>
      <c r="HM840"/>
      <c r="HN840"/>
      <c r="HO840"/>
      <c r="HP840"/>
      <c r="HQ840"/>
      <c r="HR840"/>
      <c r="HS840"/>
      <c r="HT840"/>
      <c r="HU840"/>
      <c r="HV840"/>
      <c r="HW840"/>
      <c r="HX840"/>
      <c r="HY840"/>
      <c r="HZ840"/>
      <c r="IA840"/>
      <c r="IB840"/>
      <c r="IC840"/>
      <c r="ID840"/>
      <c r="IE840"/>
      <c r="IF840"/>
      <c r="IG840"/>
      <c r="IH840"/>
      <c r="II840"/>
      <c r="IJ840"/>
    </row>
    <row r="841" spans="1:244" ht="30" customHeight="1" x14ac:dyDescent="0.2">
      <c r="A841" s="2086"/>
      <c r="B841" s="2088" t="s">
        <v>2544</v>
      </c>
      <c r="C841" s="1781">
        <v>170000</v>
      </c>
      <c r="D841" s="1781">
        <v>170000</v>
      </c>
      <c r="E841" s="1809"/>
      <c r="F841" s="1809"/>
      <c r="G841" s="2200"/>
      <c r="H841" s="2200"/>
      <c r="I841" s="2201"/>
      <c r="J841"/>
      <c r="K841"/>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c r="EX841"/>
      <c r="EY841"/>
      <c r="EZ841"/>
      <c r="FA841"/>
      <c r="FB841"/>
      <c r="FC841"/>
      <c r="FD841"/>
      <c r="FE841"/>
      <c r="FF841"/>
      <c r="FG841"/>
      <c r="FH841"/>
      <c r="FI841"/>
      <c r="FJ841"/>
      <c r="FK841"/>
      <c r="FL841"/>
      <c r="FM841"/>
      <c r="FN841"/>
      <c r="FO841"/>
      <c r="FP841"/>
      <c r="FQ841"/>
      <c r="FR841"/>
      <c r="FS841"/>
      <c r="FT841"/>
      <c r="FU841"/>
      <c r="FV841"/>
      <c r="FW841"/>
      <c r="FX841"/>
      <c r="FY841"/>
      <c r="FZ841"/>
      <c r="GA841"/>
      <c r="GB841"/>
      <c r="GC841"/>
      <c r="GD841"/>
      <c r="GE841"/>
      <c r="GF841"/>
      <c r="GG841"/>
      <c r="GH841"/>
      <c r="GI841"/>
      <c r="GJ841"/>
      <c r="GK841"/>
      <c r="GL841"/>
      <c r="GM841"/>
      <c r="GN841"/>
      <c r="GO841"/>
      <c r="GP841"/>
      <c r="GQ841"/>
      <c r="GR841"/>
      <c r="GS841"/>
      <c r="GT841"/>
      <c r="GU841"/>
      <c r="GV841"/>
      <c r="GW841"/>
      <c r="GX841"/>
      <c r="GY841"/>
      <c r="GZ841"/>
      <c r="HA841"/>
      <c r="HB841"/>
      <c r="HC841"/>
      <c r="HD841"/>
      <c r="HE841"/>
      <c r="HF841"/>
      <c r="HG841"/>
      <c r="HH841"/>
      <c r="HI841"/>
      <c r="HJ841"/>
      <c r="HK841"/>
      <c r="HL841"/>
      <c r="HM841"/>
      <c r="HN841"/>
      <c r="HO841"/>
      <c r="HP841"/>
      <c r="HQ841"/>
      <c r="HR841"/>
      <c r="HS841"/>
      <c r="HT841"/>
      <c r="HU841"/>
      <c r="HV841"/>
      <c r="HW841"/>
      <c r="HX841"/>
      <c r="HY841"/>
      <c r="HZ841"/>
      <c r="IA841"/>
      <c r="IB841"/>
      <c r="IC841"/>
      <c r="ID841"/>
      <c r="IE841"/>
      <c r="IF841"/>
      <c r="IG841"/>
      <c r="IH841"/>
      <c r="II841"/>
      <c r="IJ841"/>
    </row>
    <row r="842" spans="1:244" s="98" customFormat="1" ht="30" customHeight="1" x14ac:dyDescent="0.2">
      <c r="A842" s="2086"/>
      <c r="B842" s="2087" t="s">
        <v>819</v>
      </c>
      <c r="C842" s="2089">
        <f>SUM(C843:C845)</f>
        <v>14550000</v>
      </c>
      <c r="D842" s="2089">
        <f>SUM(D843:D845)</f>
        <v>14550000</v>
      </c>
      <c r="E842" s="2089"/>
      <c r="F842" s="2089"/>
      <c r="G842" s="2200"/>
      <c r="H842" s="2200"/>
      <c r="I842" s="2201"/>
    </row>
    <row r="843" spans="1:244" ht="30" customHeight="1" x14ac:dyDescent="0.2">
      <c r="A843" s="2086"/>
      <c r="B843" s="2080" t="s">
        <v>1920</v>
      </c>
      <c r="C843" s="2075">
        <v>14500000</v>
      </c>
      <c r="D843" s="2075">
        <f>14500000-1756</f>
        <v>14498244</v>
      </c>
      <c r="E843" s="2075"/>
      <c r="F843" s="2075"/>
      <c r="G843" s="2200"/>
      <c r="H843" s="2200"/>
      <c r="I843" s="2201"/>
      <c r="J843"/>
      <c r="K843"/>
      <c r="L843"/>
      <c r="M843"/>
      <c r="N843"/>
      <c r="O843"/>
      <c r="P843"/>
      <c r="Q843"/>
      <c r="R843"/>
      <c r="S843"/>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c r="EB843"/>
      <c r="EC843"/>
      <c r="ED843"/>
      <c r="EE843"/>
      <c r="EF843"/>
      <c r="EG843"/>
      <c r="EH843"/>
      <c r="EI843"/>
      <c r="EJ843"/>
      <c r="EK843"/>
      <c r="EL843"/>
      <c r="EM843"/>
      <c r="EN843"/>
      <c r="EO843"/>
      <c r="EP843"/>
      <c r="EQ843"/>
      <c r="ER843"/>
      <c r="ES843"/>
      <c r="ET843"/>
      <c r="EU843"/>
      <c r="EV843"/>
      <c r="EW843"/>
      <c r="EX843"/>
      <c r="EY843"/>
      <c r="EZ843"/>
      <c r="FA843"/>
      <c r="FB843"/>
      <c r="FC843"/>
      <c r="FD843"/>
      <c r="FE843"/>
      <c r="FF843"/>
      <c r="FG843"/>
      <c r="FH843"/>
      <c r="FI843"/>
      <c r="FJ843"/>
      <c r="FK843"/>
      <c r="FL843"/>
      <c r="FM843"/>
      <c r="FN843"/>
      <c r="FO843"/>
      <c r="FP843"/>
      <c r="FQ843"/>
      <c r="FR843"/>
      <c r="FS843"/>
      <c r="FT843"/>
      <c r="FU843"/>
      <c r="FV843"/>
      <c r="FW843"/>
      <c r="FX843"/>
      <c r="FY843"/>
      <c r="FZ843"/>
      <c r="GA843"/>
      <c r="GB843"/>
      <c r="GC843"/>
      <c r="GD843"/>
      <c r="GE843"/>
      <c r="GF843"/>
      <c r="GG843"/>
      <c r="GH843"/>
      <c r="GI843"/>
      <c r="GJ843"/>
      <c r="GK843"/>
      <c r="GL843"/>
      <c r="GM843"/>
      <c r="GN843"/>
      <c r="GO843"/>
      <c r="GP843"/>
      <c r="GQ843"/>
      <c r="GR843"/>
      <c r="GS843"/>
      <c r="GT843"/>
      <c r="GU843"/>
      <c r="GV843"/>
      <c r="GW843"/>
      <c r="GX843"/>
      <c r="GY843"/>
      <c r="GZ843"/>
      <c r="HA843"/>
      <c r="HB843"/>
      <c r="HC843"/>
      <c r="HD843"/>
      <c r="HE843"/>
      <c r="HF843"/>
      <c r="HG843"/>
      <c r="HH843"/>
      <c r="HI843"/>
      <c r="HJ843"/>
      <c r="HK843"/>
      <c r="HL843"/>
      <c r="HM843"/>
      <c r="HN843"/>
      <c r="HO843"/>
      <c r="HP843"/>
      <c r="HQ843"/>
      <c r="HR843"/>
      <c r="HS843"/>
      <c r="HT843"/>
      <c r="HU843"/>
      <c r="HV843"/>
      <c r="HW843"/>
      <c r="HX843"/>
      <c r="HY843"/>
      <c r="HZ843"/>
      <c r="IA843"/>
      <c r="IB843"/>
      <c r="IC843"/>
      <c r="ID843"/>
      <c r="IE843"/>
      <c r="IF843"/>
      <c r="IG843"/>
      <c r="IH843"/>
      <c r="II843"/>
      <c r="IJ843"/>
    </row>
    <row r="844" spans="1:244" ht="30" customHeight="1" x14ac:dyDescent="0.2">
      <c r="A844" s="2086"/>
      <c r="B844" s="2078" t="s">
        <v>2545</v>
      </c>
      <c r="C844" s="2075">
        <v>0</v>
      </c>
      <c r="D844" s="2075">
        <f>1756</f>
        <v>1756</v>
      </c>
      <c r="E844" s="2075"/>
      <c r="F844" s="2075"/>
      <c r="G844" s="2200"/>
      <c r="H844" s="2200"/>
      <c r="I844" s="2201"/>
      <c r="J844"/>
      <c r="K844"/>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c r="EX844"/>
      <c r="EY844"/>
      <c r="EZ844"/>
      <c r="FA844"/>
      <c r="FB844"/>
      <c r="FC844"/>
      <c r="FD844"/>
      <c r="FE844"/>
      <c r="FF844"/>
      <c r="FG844"/>
      <c r="FH844"/>
      <c r="FI844"/>
      <c r="FJ844"/>
      <c r="FK844"/>
      <c r="FL844"/>
      <c r="FM844"/>
      <c r="FN844"/>
      <c r="FO844"/>
      <c r="FP844"/>
      <c r="FQ844"/>
      <c r="FR844"/>
      <c r="FS844"/>
      <c r="FT844"/>
      <c r="FU844"/>
      <c r="FV844"/>
      <c r="FW844"/>
      <c r="FX844"/>
      <c r="FY844"/>
      <c r="FZ844"/>
      <c r="GA844"/>
      <c r="GB844"/>
      <c r="GC844"/>
      <c r="GD844"/>
      <c r="GE844"/>
      <c r="GF844"/>
      <c r="GG844"/>
      <c r="GH844"/>
      <c r="GI844"/>
      <c r="GJ844"/>
      <c r="GK844"/>
      <c r="GL844"/>
      <c r="GM844"/>
      <c r="GN844"/>
      <c r="GO844"/>
      <c r="GP844"/>
      <c r="GQ844"/>
      <c r="GR844"/>
      <c r="GS844"/>
      <c r="GT844"/>
      <c r="GU844"/>
      <c r="GV844"/>
      <c r="GW844"/>
      <c r="GX844"/>
      <c r="GY844"/>
      <c r="GZ844"/>
      <c r="HA844"/>
      <c r="HB844"/>
      <c r="HC844"/>
      <c r="HD844"/>
      <c r="HE844"/>
      <c r="HF844"/>
      <c r="HG844"/>
      <c r="HH844"/>
      <c r="HI844"/>
      <c r="HJ844"/>
      <c r="HK844"/>
      <c r="HL844"/>
      <c r="HM844"/>
      <c r="HN844"/>
      <c r="HO844"/>
      <c r="HP844"/>
      <c r="HQ844"/>
      <c r="HR844"/>
      <c r="HS844"/>
      <c r="HT844"/>
      <c r="HU844"/>
      <c r="HV844"/>
      <c r="HW844"/>
      <c r="HX844"/>
      <c r="HY844"/>
      <c r="HZ844"/>
      <c r="IA844"/>
      <c r="IB844"/>
      <c r="IC844"/>
      <c r="ID844"/>
      <c r="IE844"/>
      <c r="IF844"/>
      <c r="IG844"/>
      <c r="IH844"/>
      <c r="II844"/>
      <c r="IJ844"/>
    </row>
    <row r="845" spans="1:244" ht="30" customHeight="1" x14ac:dyDescent="0.2">
      <c r="A845" s="2086"/>
      <c r="B845" s="2090" t="s">
        <v>1921</v>
      </c>
      <c r="C845" s="2075">
        <v>50000</v>
      </c>
      <c r="D845" s="2075">
        <v>50000</v>
      </c>
      <c r="E845" s="2075"/>
      <c r="F845" s="2075"/>
      <c r="G845" s="2200"/>
      <c r="H845" s="2200"/>
      <c r="I845" s="2201"/>
      <c r="J845"/>
      <c r="K845"/>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c r="EX845"/>
      <c r="EY845"/>
      <c r="EZ845"/>
      <c r="FA845"/>
      <c r="FB845"/>
      <c r="FC845"/>
      <c r="FD845"/>
      <c r="FE845"/>
      <c r="FF845"/>
      <c r="FG845"/>
      <c r="FH845"/>
      <c r="FI845"/>
      <c r="FJ845"/>
      <c r="FK845"/>
      <c r="FL845"/>
      <c r="FM845"/>
      <c r="FN845"/>
      <c r="FO845"/>
      <c r="FP845"/>
      <c r="FQ845"/>
      <c r="FR845"/>
      <c r="FS845"/>
      <c r="FT845"/>
      <c r="FU845"/>
      <c r="FV845"/>
      <c r="FW845"/>
      <c r="FX845"/>
      <c r="FY845"/>
      <c r="FZ845"/>
      <c r="GA845"/>
      <c r="GB845"/>
      <c r="GC845"/>
      <c r="GD845"/>
      <c r="GE845"/>
      <c r="GF845"/>
      <c r="GG845"/>
      <c r="GH845"/>
      <c r="GI845"/>
      <c r="GJ845"/>
      <c r="GK845"/>
      <c r="GL845"/>
      <c r="GM845"/>
      <c r="GN845"/>
      <c r="GO845"/>
      <c r="GP845"/>
      <c r="GQ845"/>
      <c r="GR845"/>
      <c r="GS845"/>
      <c r="GT845"/>
      <c r="GU845"/>
      <c r="GV845"/>
      <c r="GW845"/>
      <c r="GX845"/>
      <c r="GY845"/>
      <c r="GZ845"/>
      <c r="HA845"/>
      <c r="HB845"/>
      <c r="HC845"/>
      <c r="HD845"/>
      <c r="HE845"/>
      <c r="HF845"/>
      <c r="HG845"/>
      <c r="HH845"/>
      <c r="HI845"/>
      <c r="HJ845"/>
      <c r="HK845"/>
      <c r="HL845"/>
      <c r="HM845"/>
      <c r="HN845"/>
      <c r="HO845"/>
      <c r="HP845"/>
      <c r="HQ845"/>
      <c r="HR845"/>
      <c r="HS845"/>
      <c r="HT845"/>
      <c r="HU845"/>
      <c r="HV845"/>
      <c r="HW845"/>
      <c r="HX845"/>
      <c r="HY845"/>
      <c r="HZ845"/>
      <c r="IA845"/>
      <c r="IB845"/>
      <c r="IC845"/>
      <c r="ID845"/>
      <c r="IE845"/>
      <c r="IF845"/>
      <c r="IG845"/>
      <c r="IH845"/>
      <c r="II845"/>
      <c r="IJ845"/>
    </row>
    <row r="846" spans="1:244" ht="30" customHeight="1" x14ac:dyDescent="0.2">
      <c r="A846" s="2091"/>
      <c r="B846" s="2092" t="s">
        <v>829</v>
      </c>
      <c r="C846" s="2093">
        <f>SUM(C847:C849)</f>
        <v>590000</v>
      </c>
      <c r="D846" s="2093">
        <f>SUM(D847:D849)</f>
        <v>590000</v>
      </c>
      <c r="E846" s="2093"/>
      <c r="F846" s="2093"/>
      <c r="G846" s="2200"/>
      <c r="H846" s="2200"/>
      <c r="I846" s="2201"/>
      <c r="J846"/>
      <c r="K846"/>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c r="EX846"/>
      <c r="EY846"/>
      <c r="EZ846"/>
      <c r="FA846"/>
      <c r="FB846"/>
      <c r="FC846"/>
      <c r="FD846"/>
      <c r="FE846"/>
      <c r="FF846"/>
      <c r="FG846"/>
      <c r="FH846"/>
      <c r="FI846"/>
      <c r="FJ846"/>
      <c r="FK846"/>
      <c r="FL846"/>
      <c r="FM846"/>
      <c r="FN846"/>
      <c r="FO846"/>
      <c r="FP846"/>
      <c r="FQ846"/>
      <c r="FR846"/>
      <c r="FS846"/>
      <c r="FT846"/>
      <c r="FU846"/>
      <c r="FV846"/>
      <c r="FW846"/>
      <c r="FX846"/>
      <c r="FY846"/>
      <c r="FZ846"/>
      <c r="GA846"/>
      <c r="GB846"/>
      <c r="GC846"/>
      <c r="GD846"/>
      <c r="GE846"/>
      <c r="GF846"/>
      <c r="GG846"/>
      <c r="GH846"/>
      <c r="GI846"/>
      <c r="GJ846"/>
      <c r="GK846"/>
      <c r="GL846"/>
      <c r="GM846"/>
      <c r="GN846"/>
      <c r="GO846"/>
      <c r="GP846"/>
      <c r="GQ846"/>
      <c r="GR846"/>
      <c r="GS846"/>
      <c r="GT846"/>
      <c r="GU846"/>
      <c r="GV846"/>
      <c r="GW846"/>
      <c r="GX846"/>
      <c r="GY846"/>
      <c r="GZ846"/>
      <c r="HA846"/>
      <c r="HB846"/>
      <c r="HC846"/>
      <c r="HD846"/>
      <c r="HE846"/>
      <c r="HF846"/>
      <c r="HG846"/>
      <c r="HH846"/>
      <c r="HI846"/>
      <c r="HJ846"/>
      <c r="HK846"/>
      <c r="HL846"/>
      <c r="HM846"/>
      <c r="HN846"/>
      <c r="HO846"/>
      <c r="HP846"/>
      <c r="HQ846"/>
      <c r="HR846"/>
      <c r="HS846"/>
      <c r="HT846"/>
      <c r="HU846"/>
      <c r="HV846"/>
      <c r="HW846"/>
      <c r="HX846"/>
      <c r="HY846"/>
      <c r="HZ846"/>
      <c r="IA846"/>
      <c r="IB846"/>
      <c r="IC846"/>
      <c r="ID846"/>
      <c r="IE846"/>
      <c r="IF846"/>
      <c r="IG846"/>
      <c r="IH846"/>
      <c r="II846"/>
      <c r="IJ846"/>
    </row>
    <row r="847" spans="1:244" ht="30" customHeight="1" x14ac:dyDescent="0.2">
      <c r="A847" s="2086"/>
      <c r="B847" s="2088" t="s">
        <v>2546</v>
      </c>
      <c r="C847" s="2075">
        <v>150000</v>
      </c>
      <c r="D847" s="2075">
        <v>150000</v>
      </c>
      <c r="E847" s="2094"/>
      <c r="F847" s="2094"/>
      <c r="G847" s="2200"/>
      <c r="H847" s="2200"/>
      <c r="I847" s="2201"/>
      <c r="J847"/>
      <c r="K847"/>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c r="EX847"/>
      <c r="EY847"/>
      <c r="EZ847"/>
      <c r="FA847"/>
      <c r="FB847"/>
      <c r="FC847"/>
      <c r="FD847"/>
      <c r="FE847"/>
      <c r="FF847"/>
      <c r="FG847"/>
      <c r="FH847"/>
      <c r="FI847"/>
      <c r="FJ847"/>
      <c r="FK847"/>
      <c r="FL847"/>
      <c r="FM847"/>
      <c r="FN847"/>
      <c r="FO847"/>
      <c r="FP847"/>
      <c r="FQ847"/>
      <c r="FR847"/>
      <c r="FS847"/>
      <c r="FT847"/>
      <c r="FU847"/>
      <c r="FV847"/>
      <c r="FW847"/>
      <c r="FX847"/>
      <c r="FY847"/>
      <c r="FZ847"/>
      <c r="GA847"/>
      <c r="GB847"/>
      <c r="GC847"/>
      <c r="GD847"/>
      <c r="GE847"/>
      <c r="GF847"/>
      <c r="GG847"/>
      <c r="GH847"/>
      <c r="GI847"/>
      <c r="GJ847"/>
      <c r="GK847"/>
      <c r="GL847"/>
      <c r="GM847"/>
      <c r="GN847"/>
      <c r="GO847"/>
      <c r="GP847"/>
      <c r="GQ847"/>
      <c r="GR847"/>
      <c r="GS847"/>
      <c r="GT847"/>
      <c r="GU847"/>
      <c r="GV847"/>
      <c r="GW847"/>
      <c r="GX847"/>
      <c r="GY847"/>
      <c r="GZ847"/>
      <c r="HA847"/>
      <c r="HB847"/>
      <c r="HC847"/>
      <c r="HD847"/>
      <c r="HE847"/>
      <c r="HF847"/>
      <c r="HG847"/>
      <c r="HH847"/>
      <c r="HI847"/>
      <c r="HJ847"/>
      <c r="HK847"/>
      <c r="HL847"/>
      <c r="HM847"/>
      <c r="HN847"/>
      <c r="HO847"/>
      <c r="HP847"/>
      <c r="HQ847"/>
      <c r="HR847"/>
      <c r="HS847"/>
      <c r="HT847"/>
      <c r="HU847"/>
      <c r="HV847"/>
      <c r="HW847"/>
      <c r="HX847"/>
      <c r="HY847"/>
      <c r="HZ847"/>
      <c r="IA847"/>
      <c r="IB847"/>
      <c r="IC847"/>
      <c r="ID847"/>
      <c r="IE847"/>
      <c r="IF847"/>
      <c r="IG847"/>
      <c r="IH847"/>
      <c r="II847"/>
      <c r="IJ847"/>
    </row>
    <row r="848" spans="1:244" ht="30" customHeight="1" x14ac:dyDescent="0.2">
      <c r="A848" s="2086"/>
      <c r="B848" s="2080" t="s">
        <v>1923</v>
      </c>
      <c r="C848" s="2075">
        <v>0</v>
      </c>
      <c r="D848" s="2075">
        <v>0</v>
      </c>
      <c r="E848" s="2075"/>
      <c r="F848" s="2075"/>
      <c r="G848" s="2200"/>
      <c r="H848" s="2200"/>
      <c r="I848" s="2201"/>
      <c r="J848"/>
      <c r="K848"/>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c r="EX848"/>
      <c r="EY848"/>
      <c r="EZ848"/>
      <c r="FA848"/>
      <c r="FB848"/>
      <c r="FC848"/>
      <c r="FD848"/>
      <c r="FE848"/>
      <c r="FF848"/>
      <c r="FG848"/>
      <c r="FH848"/>
      <c r="FI848"/>
      <c r="FJ848"/>
      <c r="FK848"/>
      <c r="FL848"/>
      <c r="FM848"/>
      <c r="FN848"/>
      <c r="FO848"/>
      <c r="FP848"/>
      <c r="FQ848"/>
      <c r="FR848"/>
      <c r="FS848"/>
      <c r="FT848"/>
      <c r="FU848"/>
      <c r="FV848"/>
      <c r="FW848"/>
      <c r="FX848"/>
      <c r="FY848"/>
      <c r="FZ848"/>
      <c r="GA848"/>
      <c r="GB848"/>
      <c r="GC848"/>
      <c r="GD848"/>
      <c r="GE848"/>
      <c r="GF848"/>
      <c r="GG848"/>
      <c r="GH848"/>
      <c r="GI848"/>
      <c r="GJ848"/>
      <c r="GK848"/>
      <c r="GL848"/>
      <c r="GM848"/>
      <c r="GN848"/>
      <c r="GO848"/>
      <c r="GP848"/>
      <c r="GQ848"/>
      <c r="GR848"/>
      <c r="GS848"/>
      <c r="GT848"/>
      <c r="GU848"/>
      <c r="GV848"/>
      <c r="GW848"/>
      <c r="GX848"/>
      <c r="GY848"/>
      <c r="GZ848"/>
      <c r="HA848"/>
      <c r="HB848"/>
      <c r="HC848"/>
      <c r="HD848"/>
      <c r="HE848"/>
      <c r="HF848"/>
      <c r="HG848"/>
      <c r="HH848"/>
      <c r="HI848"/>
      <c r="HJ848"/>
      <c r="HK848"/>
      <c r="HL848"/>
      <c r="HM848"/>
      <c r="HN848"/>
      <c r="HO848"/>
      <c r="HP848"/>
      <c r="HQ848"/>
      <c r="HR848"/>
      <c r="HS848"/>
      <c r="HT848"/>
      <c r="HU848"/>
      <c r="HV848"/>
      <c r="HW848"/>
      <c r="HX848"/>
      <c r="HY848"/>
      <c r="HZ848"/>
      <c r="IA848"/>
      <c r="IB848"/>
      <c r="IC848"/>
      <c r="ID848"/>
      <c r="IE848"/>
      <c r="IF848"/>
      <c r="IG848"/>
      <c r="IH848"/>
      <c r="II848"/>
      <c r="IJ848"/>
    </row>
    <row r="849" spans="1:244" ht="30" customHeight="1" x14ac:dyDescent="0.2">
      <c r="A849" s="2086"/>
      <c r="B849" s="2080" t="s">
        <v>2547</v>
      </c>
      <c r="C849" s="854">
        <v>440000</v>
      </c>
      <c r="D849" s="854">
        <v>440000</v>
      </c>
      <c r="E849" s="2075"/>
      <c r="F849" s="2075"/>
      <c r="G849" s="2200"/>
      <c r="H849" s="2200"/>
      <c r="I849" s="2201"/>
      <c r="J849"/>
      <c r="K849"/>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c r="EX849"/>
      <c r="EY849"/>
      <c r="EZ849"/>
      <c r="FA849"/>
      <c r="FB849"/>
      <c r="FC849"/>
      <c r="FD849"/>
      <c r="FE849"/>
      <c r="FF849"/>
      <c r="FG849"/>
      <c r="FH849"/>
      <c r="FI849"/>
      <c r="FJ849"/>
      <c r="FK849"/>
      <c r="FL849"/>
      <c r="FM849"/>
      <c r="FN849"/>
      <c r="FO849"/>
      <c r="FP849"/>
      <c r="FQ849"/>
      <c r="FR849"/>
      <c r="FS849"/>
      <c r="FT849"/>
      <c r="FU849"/>
      <c r="FV849"/>
      <c r="FW849"/>
      <c r="FX849"/>
      <c r="FY849"/>
      <c r="FZ849"/>
      <c r="GA849"/>
      <c r="GB849"/>
      <c r="GC849"/>
      <c r="GD849"/>
      <c r="GE849"/>
      <c r="GF849"/>
      <c r="GG849"/>
      <c r="GH849"/>
      <c r="GI849"/>
      <c r="GJ849"/>
      <c r="GK849"/>
      <c r="GL849"/>
      <c r="GM849"/>
      <c r="GN849"/>
      <c r="GO849"/>
      <c r="GP849"/>
      <c r="GQ849"/>
      <c r="GR849"/>
      <c r="GS849"/>
      <c r="GT849"/>
      <c r="GU849"/>
      <c r="GV849"/>
      <c r="GW849"/>
      <c r="GX849"/>
      <c r="GY849"/>
      <c r="GZ849"/>
      <c r="HA849"/>
      <c r="HB849"/>
      <c r="HC849"/>
      <c r="HD849"/>
      <c r="HE849"/>
      <c r="HF849"/>
      <c r="HG849"/>
      <c r="HH849"/>
      <c r="HI849"/>
      <c r="HJ849"/>
      <c r="HK849"/>
      <c r="HL849"/>
      <c r="HM849"/>
      <c r="HN849"/>
      <c r="HO849"/>
      <c r="HP849"/>
      <c r="HQ849"/>
      <c r="HR849"/>
      <c r="HS849"/>
      <c r="HT849"/>
      <c r="HU849"/>
      <c r="HV849"/>
      <c r="HW849"/>
      <c r="HX849"/>
      <c r="HY849"/>
      <c r="HZ849"/>
      <c r="IA849"/>
      <c r="IB849"/>
      <c r="IC849"/>
      <c r="ID849"/>
      <c r="IE849"/>
      <c r="IF849"/>
      <c r="IG849"/>
      <c r="IH849"/>
      <c r="II849"/>
      <c r="IJ849"/>
    </row>
    <row r="850" spans="1:244" ht="30" customHeight="1" x14ac:dyDescent="0.2">
      <c r="A850" s="1155">
        <v>3612</v>
      </c>
      <c r="B850" s="2095" t="s">
        <v>833</v>
      </c>
      <c r="C850" s="2085">
        <f>C851+C853</f>
        <v>52220000</v>
      </c>
      <c r="D850" s="2085">
        <f>D851+D853</f>
        <v>54220000</v>
      </c>
      <c r="E850" s="2085"/>
      <c r="F850" s="2075"/>
      <c r="G850" s="1663"/>
      <c r="H850" s="1663"/>
      <c r="I850" s="1662"/>
      <c r="J850"/>
      <c r="K850"/>
      <c r="L850"/>
      <c r="M850"/>
      <c r="N850"/>
      <c r="O850"/>
      <c r="P850"/>
      <c r="Q850"/>
      <c r="R850"/>
      <c r="S850"/>
      <c r="T850"/>
      <c r="U850"/>
      <c r="V850"/>
      <c r="W850"/>
      <c r="X850"/>
      <c r="Y850"/>
      <c r="Z850"/>
      <c r="AA850"/>
      <c r="AB850"/>
      <c r="AC850"/>
      <c r="AD850"/>
      <c r="AE850"/>
      <c r="AF850"/>
      <c r="AG850"/>
      <c r="AH850"/>
      <c r="AI850"/>
      <c r="AJ850"/>
      <c r="AK850"/>
      <c r="AL850"/>
      <c r="AM850"/>
      <c r="AN850"/>
      <c r="AO850"/>
      <c r="AP850"/>
      <c r="AQ850"/>
      <c r="AR850"/>
      <c r="AS850"/>
      <c r="AT850"/>
      <c r="AU850"/>
      <c r="AV850"/>
      <c r="AW850"/>
      <c r="AX850"/>
      <c r="AY850"/>
      <c r="AZ850"/>
      <c r="BA850"/>
      <c r="BB850"/>
      <c r="BC850"/>
      <c r="BD850"/>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c r="EX850"/>
      <c r="EY850"/>
      <c r="EZ850"/>
      <c r="FA850"/>
      <c r="FB850"/>
      <c r="FC850"/>
      <c r="FD850"/>
      <c r="FE850"/>
      <c r="FF850"/>
      <c r="FG850"/>
      <c r="FH850"/>
      <c r="FI850"/>
      <c r="FJ850"/>
      <c r="FK850"/>
      <c r="FL850"/>
      <c r="FM850"/>
      <c r="FN850"/>
      <c r="FO850"/>
      <c r="FP850"/>
      <c r="FQ850"/>
      <c r="FR850"/>
      <c r="FS850"/>
      <c r="FT850"/>
      <c r="FU850"/>
      <c r="FV850"/>
      <c r="FW850"/>
      <c r="FX850"/>
      <c r="FY850"/>
      <c r="FZ850"/>
      <c r="GA850"/>
      <c r="GB850"/>
      <c r="GC850"/>
      <c r="GD850"/>
      <c r="GE850"/>
      <c r="GF850"/>
      <c r="GG850"/>
      <c r="GH850"/>
      <c r="GI850"/>
      <c r="GJ850"/>
      <c r="GK850"/>
      <c r="GL850"/>
      <c r="GM850"/>
      <c r="GN850"/>
      <c r="GO850"/>
      <c r="GP850"/>
      <c r="GQ850"/>
      <c r="GR850"/>
      <c r="GS850"/>
      <c r="GT850"/>
      <c r="GU850"/>
      <c r="GV850"/>
      <c r="GW850"/>
      <c r="GX850"/>
      <c r="GY850"/>
      <c r="GZ850"/>
      <c r="HA850"/>
      <c r="HB850"/>
      <c r="HC850"/>
      <c r="HD850"/>
      <c r="HE850"/>
      <c r="HF850"/>
      <c r="HG850"/>
      <c r="HH850"/>
      <c r="HI850"/>
      <c r="HJ850"/>
      <c r="HK850"/>
      <c r="HL850"/>
      <c r="HM850"/>
      <c r="HN850"/>
      <c r="HO850"/>
      <c r="HP850"/>
      <c r="HQ850"/>
      <c r="HR850"/>
      <c r="HS850"/>
      <c r="HT850"/>
      <c r="HU850"/>
      <c r="HV850"/>
      <c r="HW850"/>
      <c r="HX850"/>
      <c r="HY850"/>
      <c r="HZ850"/>
      <c r="IA850"/>
      <c r="IB850"/>
      <c r="IC850"/>
      <c r="ID850"/>
      <c r="IE850"/>
      <c r="IF850"/>
      <c r="IG850"/>
      <c r="IH850"/>
      <c r="II850"/>
      <c r="IJ850"/>
    </row>
    <row r="851" spans="1:244" ht="30" customHeight="1" x14ac:dyDescent="0.2">
      <c r="A851" s="2086"/>
      <c r="B851" s="2087" t="s">
        <v>807</v>
      </c>
      <c r="C851" s="2082">
        <f>SUM(C852)</f>
        <v>150000</v>
      </c>
      <c r="D851" s="2082">
        <f>SUM(D852)</f>
        <v>150000</v>
      </c>
      <c r="E851" s="2082"/>
      <c r="F851" s="2082"/>
      <c r="G851" s="2459"/>
      <c r="H851" s="2459"/>
      <c r="I851" s="2460"/>
      <c r="J851"/>
      <c r="K851"/>
      <c r="L851"/>
      <c r="M851"/>
      <c r="N851"/>
      <c r="O851"/>
      <c r="P851"/>
      <c r="Q851"/>
      <c r="R851"/>
      <c r="S851"/>
      <c r="T851"/>
      <c r="U851"/>
      <c r="V851"/>
      <c r="W851"/>
      <c r="X851"/>
      <c r="Y851"/>
      <c r="Z851"/>
      <c r="AA851"/>
      <c r="AB851"/>
      <c r="AC851"/>
      <c r="AD851"/>
      <c r="AE851"/>
      <c r="AF851"/>
      <c r="AG851"/>
      <c r="AH851"/>
      <c r="AI851"/>
      <c r="AJ851"/>
      <c r="AK851"/>
      <c r="AL851"/>
      <c r="AM851"/>
      <c r="AN851"/>
      <c r="AO851"/>
      <c r="AP851"/>
      <c r="AQ851"/>
      <c r="AR851"/>
      <c r="AS851"/>
      <c r="AT851"/>
      <c r="AU851"/>
      <c r="AV851"/>
      <c r="AW851"/>
      <c r="AX851"/>
      <c r="AY851"/>
      <c r="AZ851"/>
      <c r="BA851"/>
      <c r="BB851"/>
      <c r="BC851"/>
      <c r="BD85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c r="EX851"/>
      <c r="EY851"/>
      <c r="EZ851"/>
      <c r="FA851"/>
      <c r="FB851"/>
      <c r="FC851"/>
      <c r="FD851"/>
      <c r="FE851"/>
      <c r="FF851"/>
      <c r="FG851"/>
      <c r="FH851"/>
      <c r="FI851"/>
      <c r="FJ851"/>
      <c r="FK851"/>
      <c r="FL851"/>
      <c r="FM851"/>
      <c r="FN851"/>
      <c r="FO851"/>
      <c r="FP851"/>
      <c r="FQ851"/>
      <c r="FR851"/>
      <c r="FS851"/>
      <c r="FT851"/>
      <c r="FU851"/>
      <c r="FV851"/>
      <c r="FW851"/>
      <c r="FX851"/>
      <c r="FY851"/>
      <c r="FZ851"/>
      <c r="GA851"/>
      <c r="GB851"/>
      <c r="GC851"/>
      <c r="GD851"/>
      <c r="GE851"/>
      <c r="GF851"/>
      <c r="GG851"/>
      <c r="GH851"/>
      <c r="GI851"/>
      <c r="GJ851"/>
      <c r="GK851"/>
      <c r="GL851"/>
      <c r="GM851"/>
      <c r="GN851"/>
      <c r="GO851"/>
      <c r="GP851"/>
      <c r="GQ851"/>
      <c r="GR851"/>
      <c r="GS851"/>
      <c r="GT851"/>
      <c r="GU851"/>
      <c r="GV851"/>
      <c r="GW851"/>
      <c r="GX851"/>
      <c r="GY851"/>
      <c r="GZ851"/>
      <c r="HA851"/>
      <c r="HB851"/>
      <c r="HC851"/>
      <c r="HD851"/>
      <c r="HE851"/>
      <c r="HF851"/>
      <c r="HG851"/>
      <c r="HH851"/>
      <c r="HI851"/>
      <c r="HJ851"/>
      <c r="HK851"/>
      <c r="HL851"/>
      <c r="HM851"/>
      <c r="HN851"/>
      <c r="HO851"/>
      <c r="HP851"/>
      <c r="HQ851"/>
      <c r="HR851"/>
      <c r="HS851"/>
      <c r="HT851"/>
      <c r="HU851"/>
      <c r="HV851"/>
      <c r="HW851"/>
      <c r="HX851"/>
      <c r="HY851"/>
      <c r="HZ851"/>
      <c r="IA851"/>
      <c r="IB851"/>
      <c r="IC851"/>
      <c r="ID851"/>
      <c r="IE851"/>
      <c r="IF851"/>
      <c r="IG851"/>
      <c r="IH851"/>
      <c r="II851"/>
      <c r="IJ851"/>
    </row>
    <row r="852" spans="1:244" ht="30" customHeight="1" x14ac:dyDescent="0.2">
      <c r="A852" s="2086"/>
      <c r="B852" s="2088" t="s">
        <v>1924</v>
      </c>
      <c r="C852" s="2075">
        <v>150000</v>
      </c>
      <c r="D852" s="2075">
        <v>150000</v>
      </c>
      <c r="E852" s="2075"/>
      <c r="F852" s="2075"/>
      <c r="G852" s="2200"/>
      <c r="H852" s="2200"/>
      <c r="I852" s="2201"/>
      <c r="J852"/>
      <c r="K852"/>
      <c r="L852"/>
      <c r="M852"/>
      <c r="N852"/>
      <c r="O852"/>
      <c r="P85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c r="EB852"/>
      <c r="EC852"/>
      <c r="ED852"/>
      <c r="EE852"/>
      <c r="EF852"/>
      <c r="EG852"/>
      <c r="EH852"/>
      <c r="EI852"/>
      <c r="EJ852"/>
      <c r="EK852"/>
      <c r="EL852"/>
      <c r="EM852"/>
      <c r="EN852"/>
      <c r="EO852"/>
      <c r="EP852"/>
      <c r="EQ852"/>
      <c r="ER852"/>
      <c r="ES852"/>
      <c r="ET852"/>
      <c r="EU852"/>
      <c r="EV852"/>
      <c r="EW852"/>
      <c r="EX852"/>
      <c r="EY852"/>
      <c r="EZ852"/>
      <c r="FA852"/>
      <c r="FB852"/>
      <c r="FC852"/>
      <c r="FD852"/>
      <c r="FE852"/>
      <c r="FF852"/>
      <c r="FG852"/>
      <c r="FH852"/>
      <c r="FI852"/>
      <c r="FJ852"/>
      <c r="FK852"/>
      <c r="FL852"/>
      <c r="FM852"/>
      <c r="FN852"/>
      <c r="FO852"/>
      <c r="FP852"/>
      <c r="FQ852"/>
      <c r="FR852"/>
      <c r="FS852"/>
      <c r="FT852"/>
      <c r="FU852"/>
      <c r="FV852"/>
      <c r="FW852"/>
      <c r="FX852"/>
      <c r="FY852"/>
      <c r="FZ852"/>
      <c r="GA852"/>
      <c r="GB852"/>
      <c r="GC852"/>
      <c r="GD852"/>
      <c r="GE852"/>
      <c r="GF852"/>
      <c r="GG852"/>
      <c r="GH852"/>
      <c r="GI852"/>
      <c r="GJ852"/>
      <c r="GK852"/>
      <c r="GL852"/>
      <c r="GM852"/>
      <c r="GN852"/>
      <c r="GO852"/>
      <c r="GP852"/>
      <c r="GQ852"/>
      <c r="GR852"/>
      <c r="GS852"/>
      <c r="GT852"/>
      <c r="GU852"/>
      <c r="GV852"/>
      <c r="GW852"/>
      <c r="GX852"/>
      <c r="GY852"/>
      <c r="GZ852"/>
      <c r="HA852"/>
      <c r="HB852"/>
      <c r="HC852"/>
      <c r="HD852"/>
      <c r="HE852"/>
      <c r="HF852"/>
      <c r="HG852"/>
      <c r="HH852"/>
      <c r="HI852"/>
      <c r="HJ852"/>
      <c r="HK852"/>
      <c r="HL852"/>
      <c r="HM852"/>
      <c r="HN852"/>
      <c r="HO852"/>
      <c r="HP852"/>
      <c r="HQ852"/>
      <c r="HR852"/>
      <c r="HS852"/>
      <c r="HT852"/>
      <c r="HU852"/>
      <c r="HV852"/>
      <c r="HW852"/>
      <c r="HX852"/>
      <c r="HY852"/>
      <c r="HZ852"/>
      <c r="IA852"/>
      <c r="IB852"/>
      <c r="IC852"/>
      <c r="ID852"/>
      <c r="IE852"/>
      <c r="IF852"/>
      <c r="IG852"/>
      <c r="IH852"/>
      <c r="II852"/>
      <c r="IJ852"/>
    </row>
    <row r="853" spans="1:244" ht="30" customHeight="1" x14ac:dyDescent="0.2">
      <c r="A853" s="1155"/>
      <c r="B853" s="2096" t="s">
        <v>844</v>
      </c>
      <c r="C853" s="2097">
        <f>C854+C859+C865+C869+C870+C871+C872+C873+C878</f>
        <v>52070000</v>
      </c>
      <c r="D853" s="2097">
        <f>D854+D859+D865+D869+D870+D871+D872+D873+D878</f>
        <v>54070000</v>
      </c>
      <c r="E853" s="2097"/>
      <c r="F853" s="2097"/>
      <c r="G853" s="2459"/>
      <c r="H853" s="2459"/>
      <c r="I853" s="2460"/>
      <c r="J853"/>
      <c r="K853"/>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c r="EX853"/>
      <c r="EY853"/>
      <c r="EZ853"/>
      <c r="FA853"/>
      <c r="FB853"/>
      <c r="FC853"/>
      <c r="FD853"/>
      <c r="FE853"/>
      <c r="FF853"/>
      <c r="FG853"/>
      <c r="FH853"/>
      <c r="FI853"/>
      <c r="FJ853"/>
      <c r="FK853"/>
      <c r="FL853"/>
      <c r="FM853"/>
      <c r="FN853"/>
      <c r="FO853"/>
      <c r="FP853"/>
      <c r="FQ853"/>
      <c r="FR853"/>
      <c r="FS853"/>
      <c r="FT853"/>
      <c r="FU853"/>
      <c r="FV853"/>
      <c r="FW853"/>
      <c r="FX853"/>
      <c r="FY853"/>
      <c r="FZ853"/>
      <c r="GA853"/>
      <c r="GB853"/>
      <c r="GC853"/>
      <c r="GD853"/>
      <c r="GE853"/>
      <c r="GF853"/>
      <c r="GG853"/>
      <c r="GH853"/>
      <c r="GI853"/>
      <c r="GJ853"/>
      <c r="GK853"/>
      <c r="GL853"/>
      <c r="GM853"/>
      <c r="GN853"/>
      <c r="GO853"/>
      <c r="GP853"/>
      <c r="GQ853"/>
      <c r="GR853"/>
      <c r="GS853"/>
      <c r="GT853"/>
      <c r="GU853"/>
      <c r="GV853"/>
      <c r="GW853"/>
      <c r="GX853"/>
      <c r="GY853"/>
      <c r="GZ853"/>
      <c r="HA853"/>
      <c r="HB853"/>
      <c r="HC853"/>
      <c r="HD853"/>
      <c r="HE853"/>
      <c r="HF853"/>
      <c r="HG853"/>
      <c r="HH853"/>
      <c r="HI853"/>
      <c r="HJ853"/>
      <c r="HK853"/>
      <c r="HL853"/>
      <c r="HM853"/>
      <c r="HN853"/>
      <c r="HO853"/>
      <c r="HP853"/>
      <c r="HQ853"/>
      <c r="HR853"/>
      <c r="HS853"/>
      <c r="HT853"/>
      <c r="HU853"/>
      <c r="HV853"/>
      <c r="HW853"/>
      <c r="HX853"/>
      <c r="HY853"/>
      <c r="HZ853"/>
      <c r="IA853"/>
      <c r="IB853"/>
      <c r="IC853"/>
      <c r="ID853"/>
      <c r="IE853"/>
      <c r="IF853"/>
      <c r="IG853"/>
      <c r="IH853"/>
      <c r="II853"/>
      <c r="IJ853"/>
    </row>
    <row r="854" spans="1:244" ht="30" customHeight="1" x14ac:dyDescent="0.2">
      <c r="A854" s="2098"/>
      <c r="B854" s="2099" t="s">
        <v>845</v>
      </c>
      <c r="C854" s="2100">
        <f>SUM(C855:C858)</f>
        <v>7700000</v>
      </c>
      <c r="D854" s="2100">
        <f>SUM(D855:D858)</f>
        <v>7700000</v>
      </c>
      <c r="E854" s="2100"/>
      <c r="F854" s="2465"/>
      <c r="G854" s="1663"/>
      <c r="H854" s="1663"/>
      <c r="I854" s="1662"/>
      <c r="J854"/>
      <c r="K854"/>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c r="EX854"/>
      <c r="EY854"/>
      <c r="EZ854"/>
      <c r="FA854"/>
      <c r="FB854"/>
      <c r="FC854"/>
      <c r="FD854"/>
      <c r="FE854"/>
      <c r="FF854"/>
      <c r="FG854"/>
      <c r="FH854"/>
      <c r="FI854"/>
      <c r="FJ854"/>
      <c r="FK854"/>
      <c r="FL854"/>
      <c r="FM854"/>
      <c r="FN854"/>
      <c r="FO854"/>
      <c r="FP854"/>
      <c r="FQ854"/>
      <c r="FR854"/>
      <c r="FS854"/>
      <c r="FT854"/>
      <c r="FU854"/>
      <c r="FV854"/>
      <c r="FW854"/>
      <c r="FX854"/>
      <c r="FY854"/>
      <c r="FZ854"/>
      <c r="GA854"/>
      <c r="GB854"/>
      <c r="GC854"/>
      <c r="GD854"/>
      <c r="GE854"/>
      <c r="GF854"/>
      <c r="GG854"/>
      <c r="GH854"/>
      <c r="GI854"/>
      <c r="GJ854"/>
      <c r="GK854"/>
      <c r="GL854"/>
      <c r="GM854"/>
      <c r="GN854"/>
      <c r="GO854"/>
      <c r="GP854"/>
      <c r="GQ854"/>
      <c r="GR854"/>
      <c r="GS854"/>
      <c r="GT854"/>
      <c r="GU854"/>
      <c r="GV854"/>
      <c r="GW854"/>
      <c r="GX854"/>
      <c r="GY854"/>
      <c r="GZ854"/>
      <c r="HA854"/>
      <c r="HB854"/>
      <c r="HC854"/>
      <c r="HD854"/>
      <c r="HE854"/>
      <c r="HF854"/>
      <c r="HG854"/>
      <c r="HH854"/>
      <c r="HI854"/>
      <c r="HJ854"/>
      <c r="HK854"/>
      <c r="HL854"/>
      <c r="HM854"/>
      <c r="HN854"/>
      <c r="HO854"/>
      <c r="HP854"/>
      <c r="HQ854"/>
      <c r="HR854"/>
      <c r="HS854"/>
      <c r="HT854"/>
      <c r="HU854"/>
      <c r="HV854"/>
      <c r="HW854"/>
      <c r="HX854"/>
      <c r="HY854"/>
      <c r="HZ854"/>
      <c r="IA854"/>
      <c r="IB854"/>
      <c r="IC854"/>
      <c r="ID854"/>
      <c r="IE854"/>
      <c r="IF854"/>
      <c r="IG854"/>
      <c r="IH854"/>
      <c r="II854"/>
      <c r="IJ854"/>
    </row>
    <row r="855" spans="1:244" ht="30" customHeight="1" x14ac:dyDescent="0.2">
      <c r="A855" s="1155"/>
      <c r="B855" s="2080" t="s">
        <v>2548</v>
      </c>
      <c r="C855" s="2101">
        <v>6000000</v>
      </c>
      <c r="D855" s="2101">
        <v>6000000</v>
      </c>
      <c r="E855" s="2101"/>
      <c r="F855" s="2101"/>
      <c r="G855" s="2200"/>
      <c r="H855" s="2200"/>
      <c r="I855" s="2201"/>
      <c r="J855"/>
      <c r="K855"/>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c r="EX855"/>
      <c r="EY855"/>
      <c r="EZ855"/>
      <c r="FA855"/>
      <c r="FB855"/>
      <c r="FC855"/>
      <c r="FD855"/>
      <c r="FE855"/>
      <c r="FF855"/>
      <c r="FG855"/>
      <c r="FH855"/>
      <c r="FI855"/>
      <c r="FJ855"/>
      <c r="FK855"/>
      <c r="FL855"/>
      <c r="FM855"/>
      <c r="FN855"/>
      <c r="FO855"/>
      <c r="FP855"/>
      <c r="FQ855"/>
      <c r="FR855"/>
      <c r="FS855"/>
      <c r="FT855"/>
      <c r="FU855"/>
      <c r="FV855"/>
      <c r="FW855"/>
      <c r="FX855"/>
      <c r="FY855"/>
      <c r="FZ855"/>
      <c r="GA855"/>
      <c r="GB855"/>
      <c r="GC855"/>
      <c r="GD855"/>
      <c r="GE855"/>
      <c r="GF855"/>
      <c r="GG855"/>
      <c r="GH855"/>
      <c r="GI855"/>
      <c r="GJ855"/>
      <c r="GK855"/>
      <c r="GL855"/>
      <c r="GM855"/>
      <c r="GN855"/>
      <c r="GO855"/>
      <c r="GP855"/>
      <c r="GQ855"/>
      <c r="GR855"/>
      <c r="GS855"/>
      <c r="GT855"/>
      <c r="GU855"/>
      <c r="GV855"/>
      <c r="GW855"/>
      <c r="GX855"/>
      <c r="GY855"/>
      <c r="GZ855"/>
      <c r="HA855"/>
      <c r="HB855"/>
      <c r="HC855"/>
      <c r="HD855"/>
      <c r="HE855"/>
      <c r="HF855"/>
      <c r="HG855"/>
      <c r="HH855"/>
      <c r="HI855"/>
      <c r="HJ855"/>
      <c r="HK855"/>
      <c r="HL855"/>
      <c r="HM855"/>
      <c r="HN855"/>
      <c r="HO855"/>
      <c r="HP855"/>
      <c r="HQ855"/>
      <c r="HR855"/>
      <c r="HS855"/>
      <c r="HT855"/>
      <c r="HU855"/>
      <c r="HV855"/>
      <c r="HW855"/>
      <c r="HX855"/>
      <c r="HY855"/>
      <c r="HZ855"/>
      <c r="IA855"/>
      <c r="IB855"/>
      <c r="IC855"/>
      <c r="ID855"/>
      <c r="IE855"/>
      <c r="IF855"/>
      <c r="IG855"/>
      <c r="IH855"/>
      <c r="II855"/>
      <c r="IJ855"/>
    </row>
    <row r="856" spans="1:244" ht="30" customHeight="1" x14ac:dyDescent="0.2">
      <c r="A856" s="1155"/>
      <c r="B856" s="2080" t="s">
        <v>1926</v>
      </c>
      <c r="C856" s="2102">
        <v>200000</v>
      </c>
      <c r="D856" s="2102">
        <v>200000</v>
      </c>
      <c r="E856" s="2102"/>
      <c r="F856" s="2102"/>
      <c r="G856" s="2200"/>
      <c r="H856" s="2200"/>
      <c r="I856" s="2201"/>
      <c r="J856"/>
      <c r="K856"/>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c r="EX856"/>
      <c r="EY856"/>
      <c r="EZ856"/>
      <c r="FA856"/>
      <c r="FB856"/>
      <c r="FC856"/>
      <c r="FD856"/>
      <c r="FE856"/>
      <c r="FF856"/>
      <c r="FG856"/>
      <c r="FH856"/>
      <c r="FI856"/>
      <c r="FJ856"/>
      <c r="FK856"/>
      <c r="FL856"/>
      <c r="FM856"/>
      <c r="FN856"/>
      <c r="FO856"/>
      <c r="FP856"/>
      <c r="FQ856"/>
      <c r="FR856"/>
      <c r="FS856"/>
      <c r="FT856"/>
      <c r="FU856"/>
      <c r="FV856"/>
      <c r="FW856"/>
      <c r="FX856"/>
      <c r="FY856"/>
      <c r="FZ856"/>
      <c r="GA856"/>
      <c r="GB856"/>
      <c r="GC856"/>
      <c r="GD856"/>
      <c r="GE856"/>
      <c r="GF856"/>
      <c r="GG856"/>
      <c r="GH856"/>
      <c r="GI856"/>
      <c r="GJ856"/>
      <c r="GK856"/>
      <c r="GL856"/>
      <c r="GM856"/>
      <c r="GN856"/>
      <c r="GO856"/>
      <c r="GP856"/>
      <c r="GQ856"/>
      <c r="GR856"/>
      <c r="GS856"/>
      <c r="GT856"/>
      <c r="GU856"/>
      <c r="GV856"/>
      <c r="GW856"/>
      <c r="GX856"/>
      <c r="GY856"/>
      <c r="GZ856"/>
      <c r="HA856"/>
      <c r="HB856"/>
      <c r="HC856"/>
      <c r="HD856"/>
      <c r="HE856"/>
      <c r="HF856"/>
      <c r="HG856"/>
      <c r="HH856"/>
      <c r="HI856"/>
      <c r="HJ856"/>
      <c r="HK856"/>
      <c r="HL856"/>
      <c r="HM856"/>
      <c r="HN856"/>
      <c r="HO856"/>
      <c r="HP856"/>
      <c r="HQ856"/>
      <c r="HR856"/>
      <c r="HS856"/>
      <c r="HT856"/>
      <c r="HU856"/>
      <c r="HV856"/>
      <c r="HW856"/>
      <c r="HX856"/>
      <c r="HY856"/>
      <c r="HZ856"/>
      <c r="IA856"/>
      <c r="IB856"/>
      <c r="IC856"/>
      <c r="ID856"/>
      <c r="IE856"/>
      <c r="IF856"/>
      <c r="IG856"/>
      <c r="IH856"/>
      <c r="II856"/>
      <c r="IJ856"/>
    </row>
    <row r="857" spans="1:244" ht="30" customHeight="1" x14ac:dyDescent="0.2">
      <c r="A857" s="1155"/>
      <c r="B857" s="2080" t="s">
        <v>1927</v>
      </c>
      <c r="C857" s="2102">
        <v>1500000</v>
      </c>
      <c r="D857" s="2102">
        <v>1500000</v>
      </c>
      <c r="E857" s="2102"/>
      <c r="F857" s="2102"/>
      <c r="G857" s="2200"/>
      <c r="H857" s="2200"/>
      <c r="I857" s="2201"/>
      <c r="J857"/>
      <c r="K857"/>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c r="EX857"/>
      <c r="EY857"/>
      <c r="EZ857"/>
      <c r="FA857"/>
      <c r="FB857"/>
      <c r="FC857"/>
      <c r="FD857"/>
      <c r="FE857"/>
      <c r="FF857"/>
      <c r="FG857"/>
      <c r="FH857"/>
      <c r="FI857"/>
      <c r="FJ857"/>
      <c r="FK857"/>
      <c r="FL857"/>
      <c r="FM857"/>
      <c r="FN857"/>
      <c r="FO857"/>
      <c r="FP857"/>
      <c r="FQ857"/>
      <c r="FR857"/>
      <c r="FS857"/>
      <c r="FT857"/>
      <c r="FU857"/>
      <c r="FV857"/>
      <c r="FW857"/>
      <c r="FX857"/>
      <c r="FY857"/>
      <c r="FZ857"/>
      <c r="GA857"/>
      <c r="GB857"/>
      <c r="GC857"/>
      <c r="GD857"/>
      <c r="GE857"/>
      <c r="GF857"/>
      <c r="GG857"/>
      <c r="GH857"/>
      <c r="GI857"/>
      <c r="GJ857"/>
      <c r="GK857"/>
      <c r="GL857"/>
      <c r="GM857"/>
      <c r="GN857"/>
      <c r="GO857"/>
      <c r="GP857"/>
      <c r="GQ857"/>
      <c r="GR857"/>
      <c r="GS857"/>
      <c r="GT857"/>
      <c r="GU857"/>
      <c r="GV857"/>
      <c r="GW857"/>
      <c r="GX857"/>
      <c r="GY857"/>
      <c r="GZ857"/>
      <c r="HA857"/>
      <c r="HB857"/>
      <c r="HC857"/>
      <c r="HD857"/>
      <c r="HE857"/>
      <c r="HF857"/>
      <c r="HG857"/>
      <c r="HH857"/>
      <c r="HI857"/>
      <c r="HJ857"/>
      <c r="HK857"/>
      <c r="HL857"/>
      <c r="HM857"/>
      <c r="HN857"/>
      <c r="HO857"/>
      <c r="HP857"/>
      <c r="HQ857"/>
      <c r="HR857"/>
      <c r="HS857"/>
      <c r="HT857"/>
      <c r="HU857"/>
      <c r="HV857"/>
      <c r="HW857"/>
      <c r="HX857"/>
      <c r="HY857"/>
      <c r="HZ857"/>
      <c r="IA857"/>
      <c r="IB857"/>
      <c r="IC857"/>
      <c r="ID857"/>
      <c r="IE857"/>
      <c r="IF857"/>
      <c r="IG857"/>
      <c r="IH857"/>
      <c r="II857"/>
      <c r="IJ857"/>
    </row>
    <row r="858" spans="1:244" ht="30" customHeight="1" x14ac:dyDescent="0.2">
      <c r="A858" s="1155"/>
      <c r="B858" s="2080" t="s">
        <v>1928</v>
      </c>
      <c r="C858" s="2102">
        <v>0</v>
      </c>
      <c r="D858" s="2102">
        <v>0</v>
      </c>
      <c r="E858" s="2102"/>
      <c r="F858" s="2102"/>
      <c r="G858" s="2200"/>
      <c r="H858" s="2200"/>
      <c r="I858" s="2201"/>
      <c r="J858"/>
      <c r="K858"/>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c r="EX858"/>
      <c r="EY858"/>
      <c r="EZ858"/>
      <c r="FA858"/>
      <c r="FB858"/>
      <c r="FC858"/>
      <c r="FD858"/>
      <c r="FE858"/>
      <c r="FF858"/>
      <c r="FG858"/>
      <c r="FH858"/>
      <c r="FI858"/>
      <c r="FJ858"/>
      <c r="FK858"/>
      <c r="FL858"/>
      <c r="FM858"/>
      <c r="FN858"/>
      <c r="FO858"/>
      <c r="FP858"/>
      <c r="FQ858"/>
      <c r="FR858"/>
      <c r="FS858"/>
      <c r="FT858"/>
      <c r="FU858"/>
      <c r="FV858"/>
      <c r="FW858"/>
      <c r="FX858"/>
      <c r="FY858"/>
      <c r="FZ858"/>
      <c r="GA858"/>
      <c r="GB858"/>
      <c r="GC858"/>
      <c r="GD858"/>
      <c r="GE858"/>
      <c r="GF858"/>
      <c r="GG858"/>
      <c r="GH858"/>
      <c r="GI858"/>
      <c r="GJ858"/>
      <c r="GK858"/>
      <c r="GL858"/>
      <c r="GM858"/>
      <c r="GN858"/>
      <c r="GO858"/>
      <c r="GP858"/>
      <c r="GQ858"/>
      <c r="GR858"/>
      <c r="GS858"/>
      <c r="GT858"/>
      <c r="GU858"/>
      <c r="GV858"/>
      <c r="GW858"/>
      <c r="GX858"/>
      <c r="GY858"/>
      <c r="GZ858"/>
      <c r="HA858"/>
      <c r="HB858"/>
      <c r="HC858"/>
      <c r="HD858"/>
      <c r="HE858"/>
      <c r="HF858"/>
      <c r="HG858"/>
      <c r="HH858"/>
      <c r="HI858"/>
      <c r="HJ858"/>
      <c r="HK858"/>
      <c r="HL858"/>
      <c r="HM858"/>
      <c r="HN858"/>
      <c r="HO858"/>
      <c r="HP858"/>
      <c r="HQ858"/>
      <c r="HR858"/>
      <c r="HS858"/>
      <c r="HT858"/>
      <c r="HU858"/>
      <c r="HV858"/>
      <c r="HW858"/>
      <c r="HX858"/>
      <c r="HY858"/>
      <c r="HZ858"/>
      <c r="IA858"/>
      <c r="IB858"/>
      <c r="IC858"/>
      <c r="ID858"/>
      <c r="IE858"/>
      <c r="IF858"/>
      <c r="IG858"/>
      <c r="IH858"/>
      <c r="II858"/>
      <c r="IJ858"/>
    </row>
    <row r="859" spans="1:244" ht="30" customHeight="1" x14ac:dyDescent="0.2">
      <c r="A859" s="1155"/>
      <c r="B859" s="2103" t="s">
        <v>1929</v>
      </c>
      <c r="C859" s="2104">
        <f>C860+C861</f>
        <v>3000000</v>
      </c>
      <c r="D859" s="2104">
        <f>D860+D861</f>
        <v>5000000</v>
      </c>
      <c r="E859" s="2104"/>
      <c r="F859" s="2082"/>
      <c r="G859" s="1663"/>
      <c r="H859" s="1663"/>
      <c r="I859" s="1662"/>
      <c r="J859"/>
      <c r="K859"/>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c r="EX859"/>
      <c r="EY859"/>
      <c r="EZ859"/>
      <c r="FA859"/>
      <c r="FB859"/>
      <c r="FC859"/>
      <c r="FD859"/>
      <c r="FE859"/>
      <c r="FF859"/>
      <c r="FG859"/>
      <c r="FH859"/>
      <c r="FI859"/>
      <c r="FJ859"/>
      <c r="FK859"/>
      <c r="FL859"/>
      <c r="FM859"/>
      <c r="FN859"/>
      <c r="FO859"/>
      <c r="FP859"/>
      <c r="FQ859"/>
      <c r="FR859"/>
      <c r="FS859"/>
      <c r="FT859"/>
      <c r="FU859"/>
      <c r="FV859"/>
      <c r="FW859"/>
      <c r="FX859"/>
      <c r="FY859"/>
      <c r="FZ859"/>
      <c r="GA859"/>
      <c r="GB859"/>
      <c r="GC859"/>
      <c r="GD859"/>
      <c r="GE859"/>
      <c r="GF859"/>
      <c r="GG859"/>
      <c r="GH859"/>
      <c r="GI859"/>
      <c r="GJ859"/>
      <c r="GK859"/>
      <c r="GL859"/>
      <c r="GM859"/>
      <c r="GN859"/>
      <c r="GO859"/>
      <c r="GP859"/>
      <c r="GQ859"/>
      <c r="GR859"/>
      <c r="GS859"/>
      <c r="GT859"/>
      <c r="GU859"/>
      <c r="GV859"/>
      <c r="GW859"/>
      <c r="GX859"/>
      <c r="GY859"/>
      <c r="GZ859"/>
      <c r="HA859"/>
      <c r="HB859"/>
      <c r="HC859"/>
      <c r="HD859"/>
      <c r="HE859"/>
      <c r="HF859"/>
      <c r="HG859"/>
      <c r="HH859"/>
      <c r="HI859"/>
      <c r="HJ859"/>
      <c r="HK859"/>
      <c r="HL859"/>
      <c r="HM859"/>
      <c r="HN859"/>
      <c r="HO859"/>
      <c r="HP859"/>
      <c r="HQ859"/>
      <c r="HR859"/>
      <c r="HS859"/>
      <c r="HT859"/>
      <c r="HU859"/>
      <c r="HV859"/>
      <c r="HW859"/>
      <c r="HX859"/>
      <c r="HY859"/>
      <c r="HZ859"/>
      <c r="IA859"/>
      <c r="IB859"/>
      <c r="IC859"/>
      <c r="ID859"/>
      <c r="IE859"/>
      <c r="IF859"/>
      <c r="IG859"/>
      <c r="IH859"/>
      <c r="II859"/>
      <c r="IJ859"/>
    </row>
    <row r="860" spans="1:244" s="488" customFormat="1" ht="30" customHeight="1" x14ac:dyDescent="0.2">
      <c r="A860" s="2086"/>
      <c r="B860" s="2080" t="s">
        <v>1930</v>
      </c>
      <c r="C860" s="2075">
        <v>3000000</v>
      </c>
      <c r="D860" s="2075">
        <f>3000000+2000000</f>
        <v>5000000</v>
      </c>
      <c r="E860" s="2075"/>
      <c r="F860" s="2075"/>
      <c r="G860" s="2200"/>
      <c r="H860" s="2200"/>
      <c r="I860" s="2201"/>
    </row>
    <row r="861" spans="1:244" ht="30" customHeight="1" x14ac:dyDescent="0.2">
      <c r="A861" s="2086"/>
      <c r="B861" s="2106" t="s">
        <v>851</v>
      </c>
      <c r="C861" s="2075">
        <f>SUM(C862:C864)</f>
        <v>0</v>
      </c>
      <c r="D861" s="2075">
        <f>SUM(D862:D864)</f>
        <v>0</v>
      </c>
      <c r="E861" s="2075"/>
      <c r="F861" s="2075"/>
      <c r="G861" s="2200"/>
      <c r="H861" s="2200"/>
      <c r="I861" s="2201"/>
      <c r="J861"/>
      <c r="K861"/>
      <c r="L861"/>
      <c r="M861"/>
      <c r="N861"/>
      <c r="O861"/>
      <c r="P861"/>
      <c r="Q861"/>
      <c r="R861"/>
      <c r="S861"/>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c r="EB861"/>
      <c r="EC861"/>
      <c r="ED861"/>
      <c r="EE861"/>
      <c r="EF861"/>
      <c r="EG861"/>
      <c r="EH861"/>
      <c r="EI861"/>
      <c r="EJ861"/>
      <c r="EK861"/>
      <c r="EL861"/>
      <c r="EM861"/>
      <c r="EN861"/>
      <c r="EO861"/>
      <c r="EP861"/>
      <c r="EQ861"/>
      <c r="ER861"/>
      <c r="ES861"/>
      <c r="ET861"/>
      <c r="EU861"/>
      <c r="EV861"/>
      <c r="EW861"/>
      <c r="EX861"/>
      <c r="EY861"/>
      <c r="EZ861"/>
      <c r="FA861"/>
      <c r="FB861"/>
      <c r="FC861"/>
      <c r="FD861"/>
      <c r="FE861"/>
      <c r="FF861"/>
      <c r="FG861"/>
      <c r="FH861"/>
      <c r="FI861"/>
      <c r="FJ861"/>
      <c r="FK861"/>
      <c r="FL861"/>
      <c r="FM861"/>
      <c r="FN861"/>
      <c r="FO861"/>
      <c r="FP861"/>
      <c r="FQ861"/>
      <c r="FR861"/>
      <c r="FS861"/>
      <c r="FT861"/>
      <c r="FU861"/>
      <c r="FV861"/>
      <c r="FW861"/>
      <c r="FX861"/>
      <c r="FY861"/>
      <c r="FZ861"/>
      <c r="GA861"/>
      <c r="GB861"/>
      <c r="GC861"/>
      <c r="GD861"/>
      <c r="GE861"/>
      <c r="GF861"/>
      <c r="GG861"/>
      <c r="GH861"/>
      <c r="GI861"/>
      <c r="GJ861"/>
      <c r="GK861"/>
      <c r="GL861"/>
      <c r="GM861"/>
      <c r="GN861"/>
      <c r="GO861"/>
      <c r="GP861"/>
      <c r="GQ861"/>
      <c r="GR861"/>
      <c r="GS861"/>
      <c r="GT861"/>
      <c r="GU861"/>
      <c r="GV861"/>
      <c r="GW861"/>
      <c r="GX861"/>
      <c r="GY861"/>
      <c r="GZ861"/>
      <c r="HA861"/>
      <c r="HB861"/>
      <c r="HC861"/>
      <c r="HD861"/>
      <c r="HE861"/>
      <c r="HF861"/>
      <c r="HG861"/>
      <c r="HH861"/>
      <c r="HI861"/>
      <c r="HJ861"/>
      <c r="HK861"/>
      <c r="HL861"/>
      <c r="HM861"/>
      <c r="HN861"/>
      <c r="HO861"/>
      <c r="HP861"/>
      <c r="HQ861"/>
      <c r="HR861"/>
      <c r="HS861"/>
      <c r="HT861"/>
      <c r="HU861"/>
      <c r="HV861"/>
      <c r="HW861"/>
      <c r="HX861"/>
      <c r="HY861"/>
      <c r="HZ861"/>
      <c r="IA861"/>
      <c r="IB861"/>
      <c r="IC861"/>
      <c r="ID861"/>
      <c r="IE861"/>
      <c r="IF861"/>
      <c r="IG861"/>
      <c r="IH861"/>
      <c r="II861"/>
      <c r="IJ861"/>
    </row>
    <row r="862" spans="1:244" ht="30" customHeight="1" x14ac:dyDescent="0.2">
      <c r="A862" s="2086"/>
      <c r="B862" s="2088" t="s">
        <v>1931</v>
      </c>
      <c r="C862" s="2075">
        <v>0</v>
      </c>
      <c r="D862" s="2075">
        <v>0</v>
      </c>
      <c r="E862" s="2075"/>
      <c r="F862" s="2075"/>
      <c r="G862" s="2200"/>
      <c r="H862" s="2200"/>
      <c r="I862" s="2201"/>
      <c r="J862"/>
      <c r="K86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c r="EX862"/>
      <c r="EY862"/>
      <c r="EZ862"/>
      <c r="FA862"/>
      <c r="FB862"/>
      <c r="FC862"/>
      <c r="FD862"/>
      <c r="FE862"/>
      <c r="FF862"/>
      <c r="FG862"/>
      <c r="FH862"/>
      <c r="FI862"/>
      <c r="FJ862"/>
      <c r="FK862"/>
      <c r="FL862"/>
      <c r="FM862"/>
      <c r="FN862"/>
      <c r="FO862"/>
      <c r="FP862"/>
      <c r="FQ862"/>
      <c r="FR862"/>
      <c r="FS862"/>
      <c r="FT862"/>
      <c r="FU862"/>
      <c r="FV862"/>
      <c r="FW862"/>
      <c r="FX862"/>
      <c r="FY862"/>
      <c r="FZ862"/>
      <c r="GA862"/>
      <c r="GB862"/>
      <c r="GC862"/>
      <c r="GD862"/>
      <c r="GE862"/>
      <c r="GF862"/>
      <c r="GG862"/>
      <c r="GH862"/>
      <c r="GI862"/>
      <c r="GJ862"/>
      <c r="GK862"/>
      <c r="GL862"/>
      <c r="GM862"/>
      <c r="GN862"/>
      <c r="GO862"/>
      <c r="GP862"/>
      <c r="GQ862"/>
      <c r="GR862"/>
      <c r="GS862"/>
      <c r="GT862"/>
      <c r="GU862"/>
      <c r="GV862"/>
      <c r="GW862"/>
      <c r="GX862"/>
      <c r="GY862"/>
      <c r="GZ862"/>
      <c r="HA862"/>
      <c r="HB862"/>
      <c r="HC862"/>
      <c r="HD862"/>
      <c r="HE862"/>
      <c r="HF862"/>
      <c r="HG862"/>
      <c r="HH862"/>
      <c r="HI862"/>
      <c r="HJ862"/>
      <c r="HK862"/>
      <c r="HL862"/>
      <c r="HM862"/>
      <c r="HN862"/>
      <c r="HO862"/>
      <c r="HP862"/>
      <c r="HQ862"/>
      <c r="HR862"/>
      <c r="HS862"/>
      <c r="HT862"/>
      <c r="HU862"/>
      <c r="HV862"/>
      <c r="HW862"/>
      <c r="HX862"/>
      <c r="HY862"/>
      <c r="HZ862"/>
      <c r="IA862"/>
      <c r="IB862"/>
      <c r="IC862"/>
      <c r="ID862"/>
      <c r="IE862"/>
      <c r="IF862"/>
      <c r="IG862"/>
      <c r="IH862"/>
      <c r="II862"/>
      <c r="IJ862"/>
    </row>
    <row r="863" spans="1:244" ht="30" customHeight="1" x14ac:dyDescent="0.2">
      <c r="A863" s="2086"/>
      <c r="B863" s="2083" t="s">
        <v>1932</v>
      </c>
      <c r="C863" s="2107">
        <v>0</v>
      </c>
      <c r="D863" s="2107">
        <v>0</v>
      </c>
      <c r="E863" s="2107"/>
      <c r="F863" s="2107"/>
      <c r="G863" s="2200"/>
      <c r="H863" s="2200"/>
      <c r="I863" s="2201"/>
      <c r="J863"/>
      <c r="K863"/>
      <c r="L863"/>
      <c r="M863"/>
      <c r="N863"/>
      <c r="O863"/>
      <c r="P863"/>
      <c r="Q863"/>
      <c r="R863"/>
      <c r="S863"/>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c r="EB863"/>
      <c r="EC863"/>
      <c r="ED863"/>
      <c r="EE863"/>
      <c r="EF863"/>
      <c r="EG863"/>
      <c r="EH863"/>
      <c r="EI863"/>
      <c r="EJ863"/>
      <c r="EK863"/>
      <c r="EL863"/>
      <c r="EM863"/>
      <c r="EN863"/>
      <c r="EO863"/>
      <c r="EP863"/>
      <c r="EQ863"/>
      <c r="ER863"/>
      <c r="ES863"/>
      <c r="ET863"/>
      <c r="EU863"/>
      <c r="EV863"/>
      <c r="EW863"/>
      <c r="EX863"/>
      <c r="EY863"/>
      <c r="EZ863"/>
      <c r="FA863"/>
      <c r="FB863"/>
      <c r="FC863"/>
      <c r="FD863"/>
      <c r="FE863"/>
      <c r="FF863"/>
      <c r="FG863"/>
      <c r="FH863"/>
      <c r="FI863"/>
      <c r="FJ863"/>
      <c r="FK863"/>
      <c r="FL863"/>
      <c r="FM863"/>
      <c r="FN863"/>
      <c r="FO863"/>
      <c r="FP863"/>
      <c r="FQ863"/>
      <c r="FR863"/>
      <c r="FS863"/>
      <c r="FT863"/>
      <c r="FU863"/>
      <c r="FV863"/>
      <c r="FW863"/>
      <c r="FX863"/>
      <c r="FY863"/>
      <c r="FZ863"/>
      <c r="GA863"/>
      <c r="GB863"/>
      <c r="GC863"/>
      <c r="GD863"/>
      <c r="GE863"/>
      <c r="GF863"/>
      <c r="GG863"/>
      <c r="GH863"/>
      <c r="GI863"/>
      <c r="GJ863"/>
      <c r="GK863"/>
      <c r="GL863"/>
      <c r="GM863"/>
      <c r="GN863"/>
      <c r="GO863"/>
      <c r="GP863"/>
      <c r="GQ863"/>
      <c r="GR863"/>
      <c r="GS863"/>
      <c r="GT863"/>
      <c r="GU863"/>
      <c r="GV863"/>
      <c r="GW863"/>
      <c r="GX863"/>
      <c r="GY863"/>
      <c r="GZ863"/>
      <c r="HA863"/>
      <c r="HB863"/>
      <c r="HC863"/>
      <c r="HD863"/>
      <c r="HE863"/>
      <c r="HF863"/>
      <c r="HG863"/>
      <c r="HH863"/>
      <c r="HI863"/>
      <c r="HJ863"/>
      <c r="HK863"/>
      <c r="HL863"/>
      <c r="HM863"/>
      <c r="HN863"/>
      <c r="HO863"/>
      <c r="HP863"/>
      <c r="HQ863"/>
      <c r="HR863"/>
      <c r="HS863"/>
      <c r="HT863"/>
      <c r="HU863"/>
      <c r="HV863"/>
      <c r="HW863"/>
      <c r="HX863"/>
      <c r="HY863"/>
      <c r="HZ863"/>
      <c r="IA863"/>
      <c r="IB863"/>
      <c r="IC863"/>
      <c r="ID863"/>
      <c r="IE863"/>
      <c r="IF863"/>
      <c r="IG863"/>
      <c r="IH863"/>
      <c r="II863"/>
      <c r="IJ863"/>
    </row>
    <row r="864" spans="1:244" s="488" customFormat="1" ht="30" customHeight="1" x14ac:dyDescent="0.2">
      <c r="A864" s="2086"/>
      <c r="B864" s="2083" t="s">
        <v>1933</v>
      </c>
      <c r="C864" s="2075">
        <v>0</v>
      </c>
      <c r="D864" s="2075">
        <v>0</v>
      </c>
      <c r="E864" s="2075"/>
      <c r="F864" s="2075"/>
      <c r="G864" s="2200"/>
      <c r="H864" s="2200"/>
      <c r="I864" s="2201"/>
    </row>
    <row r="865" spans="1:244" ht="30" customHeight="1" x14ac:dyDescent="0.2">
      <c r="A865" s="2108"/>
      <c r="B865" s="2109" t="s">
        <v>1934</v>
      </c>
      <c r="C865" s="2104">
        <f>C866+C867</f>
        <v>4000000</v>
      </c>
      <c r="D865" s="2104">
        <f>D866+D867</f>
        <v>4000000</v>
      </c>
      <c r="E865" s="2104"/>
      <c r="F865" s="2082"/>
      <c r="G865" s="1663"/>
      <c r="H865" s="1663"/>
      <c r="I865" s="1662"/>
      <c r="J865"/>
      <c r="K865"/>
      <c r="L865"/>
      <c r="M865"/>
      <c r="N865"/>
      <c r="O865"/>
      <c r="P865"/>
      <c r="Q865"/>
      <c r="R865"/>
      <c r="S865"/>
      <c r="T865"/>
      <c r="U865"/>
      <c r="V865"/>
      <c r="W865"/>
      <c r="X865"/>
      <c r="Y865"/>
      <c r="Z865"/>
      <c r="AA865"/>
      <c r="AB865"/>
      <c r="AC865"/>
      <c r="AD865"/>
      <c r="AE865"/>
      <c r="AF865"/>
      <c r="AG865"/>
      <c r="AH865"/>
      <c r="AI865"/>
      <c r="AJ865"/>
      <c r="AK865"/>
      <c r="AL865"/>
      <c r="AM865"/>
      <c r="AN865"/>
      <c r="AO865"/>
      <c r="AP865"/>
      <c r="AQ865"/>
      <c r="AR865"/>
      <c r="AS865"/>
      <c r="AT865"/>
      <c r="AU865"/>
      <c r="AV865"/>
      <c r="AW865"/>
      <c r="AX865"/>
      <c r="AY865"/>
      <c r="AZ865"/>
      <c r="BA865"/>
      <c r="BB865"/>
      <c r="BC865"/>
      <c r="BD865"/>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c r="EB865"/>
      <c r="EC865"/>
      <c r="ED865"/>
      <c r="EE865"/>
      <c r="EF865"/>
      <c r="EG865"/>
      <c r="EH865"/>
      <c r="EI865"/>
      <c r="EJ865"/>
      <c r="EK865"/>
      <c r="EL865"/>
      <c r="EM865"/>
      <c r="EN865"/>
      <c r="EO865"/>
      <c r="EP865"/>
      <c r="EQ865"/>
      <c r="ER865"/>
      <c r="ES865"/>
      <c r="ET865"/>
      <c r="EU865"/>
      <c r="EV865"/>
      <c r="EW865"/>
      <c r="EX865"/>
      <c r="EY865"/>
      <c r="EZ865"/>
      <c r="FA865"/>
      <c r="FB865"/>
      <c r="FC865"/>
      <c r="FD865"/>
      <c r="FE865"/>
      <c r="FF865"/>
      <c r="FG865"/>
      <c r="FH865"/>
      <c r="FI865"/>
      <c r="FJ865"/>
      <c r="FK865"/>
      <c r="FL865"/>
      <c r="FM865"/>
      <c r="FN865"/>
      <c r="FO865"/>
      <c r="FP865"/>
      <c r="FQ865"/>
      <c r="FR865"/>
      <c r="FS865"/>
      <c r="FT865"/>
      <c r="FU865"/>
      <c r="FV865"/>
      <c r="FW865"/>
      <c r="FX865"/>
      <c r="FY865"/>
      <c r="FZ865"/>
      <c r="GA865"/>
      <c r="GB865"/>
      <c r="GC865"/>
      <c r="GD865"/>
      <c r="GE865"/>
      <c r="GF865"/>
      <c r="GG865"/>
      <c r="GH865"/>
      <c r="GI865"/>
      <c r="GJ865"/>
      <c r="GK865"/>
      <c r="GL865"/>
      <c r="GM865"/>
      <c r="GN865"/>
      <c r="GO865"/>
      <c r="GP865"/>
      <c r="GQ865"/>
      <c r="GR865"/>
      <c r="GS865"/>
      <c r="GT865"/>
      <c r="GU865"/>
      <c r="GV865"/>
      <c r="GW865"/>
      <c r="GX865"/>
      <c r="GY865"/>
      <c r="GZ865"/>
      <c r="HA865"/>
      <c r="HB865"/>
      <c r="HC865"/>
      <c r="HD865"/>
      <c r="HE865"/>
      <c r="HF865"/>
      <c r="HG865"/>
      <c r="HH865"/>
      <c r="HI865"/>
      <c r="HJ865"/>
      <c r="HK865"/>
      <c r="HL865"/>
      <c r="HM865"/>
      <c r="HN865"/>
      <c r="HO865"/>
      <c r="HP865"/>
      <c r="HQ865"/>
      <c r="HR865"/>
      <c r="HS865"/>
      <c r="HT865"/>
      <c r="HU865"/>
      <c r="HV865"/>
      <c r="HW865"/>
      <c r="HX865"/>
      <c r="HY865"/>
      <c r="HZ865"/>
      <c r="IA865"/>
      <c r="IB865"/>
      <c r="IC865"/>
      <c r="ID865"/>
      <c r="IE865"/>
      <c r="IF865"/>
      <c r="IG865"/>
      <c r="IH865"/>
      <c r="II865"/>
      <c r="IJ865"/>
    </row>
    <row r="866" spans="1:244" ht="30" customHeight="1" x14ac:dyDescent="0.2">
      <c r="A866" s="2108"/>
      <c r="B866" s="2110" t="s">
        <v>850</v>
      </c>
      <c r="C866" s="2111">
        <v>4000000</v>
      </c>
      <c r="D866" s="2111">
        <v>4000000</v>
      </c>
      <c r="E866" s="2111"/>
      <c r="F866" s="2111"/>
      <c r="G866" s="2200"/>
      <c r="H866" s="2200"/>
      <c r="I866" s="2201"/>
      <c r="J866"/>
      <c r="K866"/>
      <c r="L866"/>
      <c r="M866"/>
      <c r="N866"/>
      <c r="O866"/>
      <c r="P866"/>
      <c r="Q866"/>
      <c r="R866"/>
      <c r="S866"/>
      <c r="T866"/>
      <c r="U866"/>
      <c r="V866"/>
      <c r="W866"/>
      <c r="X866"/>
      <c r="Y866"/>
      <c r="Z866"/>
      <c r="AA866"/>
      <c r="AB866"/>
      <c r="AC866"/>
      <c r="AD866"/>
      <c r="AE866"/>
      <c r="AF866"/>
      <c r="AG866"/>
      <c r="AH866"/>
      <c r="AI866"/>
      <c r="AJ866"/>
      <c r="AK866"/>
      <c r="AL866"/>
      <c r="AM866"/>
      <c r="AN866"/>
      <c r="AO866"/>
      <c r="AP866"/>
      <c r="AQ866"/>
      <c r="AR866"/>
      <c r="AS866"/>
      <c r="AT866"/>
      <c r="AU866"/>
      <c r="AV866"/>
      <c r="AW866"/>
      <c r="AX866"/>
      <c r="AY866"/>
      <c r="AZ866"/>
      <c r="BA866"/>
      <c r="BB866"/>
      <c r="BC866"/>
      <c r="BD866"/>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c r="EB866"/>
      <c r="EC866"/>
      <c r="ED866"/>
      <c r="EE866"/>
      <c r="EF866"/>
      <c r="EG866"/>
      <c r="EH866"/>
      <c r="EI866"/>
      <c r="EJ866"/>
      <c r="EK866"/>
      <c r="EL866"/>
      <c r="EM866"/>
      <c r="EN866"/>
      <c r="EO866"/>
      <c r="EP866"/>
      <c r="EQ866"/>
      <c r="ER866"/>
      <c r="ES866"/>
      <c r="ET866"/>
      <c r="EU866"/>
      <c r="EV866"/>
      <c r="EW866"/>
      <c r="EX866"/>
      <c r="EY866"/>
      <c r="EZ866"/>
      <c r="FA866"/>
      <c r="FB866"/>
      <c r="FC866"/>
      <c r="FD866"/>
      <c r="FE866"/>
      <c r="FF866"/>
      <c r="FG866"/>
      <c r="FH866"/>
      <c r="FI866"/>
      <c r="FJ866"/>
      <c r="FK866"/>
      <c r="FL866"/>
      <c r="FM866"/>
      <c r="FN866"/>
      <c r="FO866"/>
      <c r="FP866"/>
      <c r="FQ866"/>
      <c r="FR866"/>
      <c r="FS866"/>
      <c r="FT866"/>
      <c r="FU866"/>
      <c r="FV866"/>
      <c r="FW866"/>
      <c r="FX866"/>
      <c r="FY866"/>
      <c r="FZ866"/>
      <c r="GA866"/>
      <c r="GB866"/>
      <c r="GC866"/>
      <c r="GD866"/>
      <c r="GE866"/>
      <c r="GF866"/>
      <c r="GG866"/>
      <c r="GH866"/>
      <c r="GI866"/>
      <c r="GJ866"/>
      <c r="GK866"/>
      <c r="GL866"/>
      <c r="GM866"/>
      <c r="GN866"/>
      <c r="GO866"/>
      <c r="GP866"/>
      <c r="GQ866"/>
      <c r="GR866"/>
      <c r="GS866"/>
      <c r="GT866"/>
      <c r="GU866"/>
      <c r="GV866"/>
      <c r="GW866"/>
      <c r="GX866"/>
      <c r="GY866"/>
      <c r="GZ866"/>
      <c r="HA866"/>
      <c r="HB866"/>
      <c r="HC866"/>
      <c r="HD866"/>
      <c r="HE866"/>
      <c r="HF866"/>
      <c r="HG866"/>
      <c r="HH866"/>
      <c r="HI866"/>
      <c r="HJ866"/>
      <c r="HK866"/>
      <c r="HL866"/>
      <c r="HM866"/>
      <c r="HN866"/>
      <c r="HO866"/>
      <c r="HP866"/>
      <c r="HQ866"/>
      <c r="HR866"/>
      <c r="HS866"/>
      <c r="HT866"/>
      <c r="HU866"/>
      <c r="HV866"/>
      <c r="HW866"/>
      <c r="HX866"/>
      <c r="HY866"/>
      <c r="HZ866"/>
      <c r="IA866"/>
      <c r="IB866"/>
      <c r="IC866"/>
      <c r="ID866"/>
      <c r="IE866"/>
      <c r="IF866"/>
      <c r="IG866"/>
      <c r="IH866"/>
      <c r="II866"/>
      <c r="IJ866"/>
    </row>
    <row r="867" spans="1:244" s="488" customFormat="1" ht="30" customHeight="1" x14ac:dyDescent="0.2">
      <c r="A867" s="2086"/>
      <c r="B867" s="2106" t="s">
        <v>855</v>
      </c>
      <c r="C867" s="2075">
        <f>SUM(C868:C868)</f>
        <v>0</v>
      </c>
      <c r="D867" s="2075">
        <f>SUM(D868:D868)</f>
        <v>0</v>
      </c>
      <c r="E867" s="2075"/>
      <c r="F867" s="2075"/>
      <c r="G867" s="2200"/>
      <c r="H867" s="2200"/>
      <c r="I867" s="2201"/>
    </row>
    <row r="868" spans="1:244" s="488" customFormat="1" ht="30" customHeight="1" x14ac:dyDescent="0.2">
      <c r="A868" s="2108"/>
      <c r="B868" s="2080" t="s">
        <v>1937</v>
      </c>
      <c r="C868" s="2075">
        <v>0</v>
      </c>
      <c r="D868" s="2075">
        <v>0</v>
      </c>
      <c r="E868" s="2075"/>
      <c r="F868" s="2075"/>
      <c r="G868" s="2200"/>
      <c r="H868" s="2200"/>
      <c r="I868" s="2201"/>
    </row>
    <row r="869" spans="1:244" s="488" customFormat="1" ht="30" customHeight="1" x14ac:dyDescent="0.2">
      <c r="A869" s="2108"/>
      <c r="B869" s="2112" t="s">
        <v>2549</v>
      </c>
      <c r="C869" s="2107">
        <v>200000</v>
      </c>
      <c r="D869" s="2107">
        <v>200000</v>
      </c>
      <c r="E869" s="2107"/>
      <c r="F869" s="2107"/>
      <c r="G869" s="2200"/>
      <c r="H869" s="2200"/>
      <c r="I869" s="2201"/>
    </row>
    <row r="870" spans="1:244" ht="30" customHeight="1" x14ac:dyDescent="0.2">
      <c r="A870" s="2108"/>
      <c r="B870" s="2112" t="s">
        <v>2550</v>
      </c>
      <c r="C870" s="2107">
        <v>3000000</v>
      </c>
      <c r="D870" s="2107">
        <v>3000000</v>
      </c>
      <c r="E870" s="2107"/>
      <c r="F870" s="2107"/>
      <c r="G870" s="2200"/>
      <c r="H870" s="2200"/>
      <c r="I870" s="2201"/>
      <c r="J870"/>
      <c r="K870"/>
      <c r="L870"/>
      <c r="M870"/>
      <c r="N870"/>
      <c r="O870"/>
      <c r="P870"/>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c r="EB870"/>
      <c r="EC870"/>
      <c r="ED870"/>
      <c r="EE870"/>
      <c r="EF870"/>
      <c r="EG870"/>
      <c r="EH870"/>
      <c r="EI870"/>
      <c r="EJ870"/>
      <c r="EK870"/>
      <c r="EL870"/>
      <c r="EM870"/>
      <c r="EN870"/>
      <c r="EO870"/>
      <c r="EP870"/>
      <c r="EQ870"/>
      <c r="ER870"/>
      <c r="ES870"/>
      <c r="ET870"/>
      <c r="EU870"/>
      <c r="EV870"/>
      <c r="EW870"/>
      <c r="EX870"/>
      <c r="EY870"/>
      <c r="EZ870"/>
      <c r="FA870"/>
      <c r="FB870"/>
      <c r="FC870"/>
      <c r="FD870"/>
      <c r="FE870"/>
      <c r="FF870"/>
      <c r="FG870"/>
      <c r="FH870"/>
      <c r="FI870"/>
      <c r="FJ870"/>
      <c r="FK870"/>
      <c r="FL870"/>
      <c r="FM870"/>
      <c r="FN870"/>
      <c r="FO870"/>
      <c r="FP870"/>
      <c r="FQ870"/>
      <c r="FR870"/>
      <c r="FS870"/>
      <c r="FT870"/>
      <c r="FU870"/>
      <c r="FV870"/>
      <c r="FW870"/>
      <c r="FX870"/>
      <c r="FY870"/>
      <c r="FZ870"/>
      <c r="GA870"/>
      <c r="GB870"/>
      <c r="GC870"/>
      <c r="GD870"/>
      <c r="GE870"/>
      <c r="GF870"/>
      <c r="GG870"/>
      <c r="GH870"/>
      <c r="GI870"/>
      <c r="GJ870"/>
      <c r="GK870"/>
      <c r="GL870"/>
      <c r="GM870"/>
      <c r="GN870"/>
      <c r="GO870"/>
      <c r="GP870"/>
      <c r="GQ870"/>
      <c r="GR870"/>
      <c r="GS870"/>
      <c r="GT870"/>
      <c r="GU870"/>
      <c r="GV870"/>
      <c r="GW870"/>
      <c r="GX870"/>
      <c r="GY870"/>
      <c r="GZ870"/>
      <c r="HA870"/>
      <c r="HB870"/>
      <c r="HC870"/>
      <c r="HD870"/>
      <c r="HE870"/>
      <c r="HF870"/>
      <c r="HG870"/>
      <c r="HH870"/>
      <c r="HI870"/>
      <c r="HJ870"/>
      <c r="HK870"/>
      <c r="HL870"/>
      <c r="HM870"/>
      <c r="HN870"/>
      <c r="HO870"/>
      <c r="HP870"/>
      <c r="HQ870"/>
      <c r="HR870"/>
      <c r="HS870"/>
      <c r="HT870"/>
      <c r="HU870"/>
      <c r="HV870"/>
      <c r="HW870"/>
      <c r="HX870"/>
      <c r="HY870"/>
      <c r="HZ870"/>
      <c r="IA870"/>
      <c r="IB870"/>
      <c r="IC870"/>
      <c r="ID870"/>
      <c r="IE870"/>
      <c r="IF870"/>
      <c r="IG870"/>
      <c r="IH870"/>
      <c r="II870"/>
      <c r="IJ870"/>
    </row>
    <row r="871" spans="1:244" ht="30" customHeight="1" x14ac:dyDescent="0.2">
      <c r="A871" s="2108"/>
      <c r="B871" s="2113" t="s">
        <v>1942</v>
      </c>
      <c r="C871" s="2107">
        <v>120000</v>
      </c>
      <c r="D871" s="2107">
        <v>120000</v>
      </c>
      <c r="E871" s="2107"/>
      <c r="F871" s="2107"/>
      <c r="G871" s="2200"/>
      <c r="H871" s="2200"/>
      <c r="I871" s="2201"/>
      <c r="J871"/>
      <c r="K871"/>
      <c r="L871"/>
      <c r="M871"/>
      <c r="N871"/>
      <c r="O871"/>
      <c r="P871"/>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c r="EB871"/>
      <c r="EC871"/>
      <c r="ED871"/>
      <c r="EE871"/>
      <c r="EF871"/>
      <c r="EG871"/>
      <c r="EH871"/>
      <c r="EI871"/>
      <c r="EJ871"/>
      <c r="EK871"/>
      <c r="EL871"/>
      <c r="EM871"/>
      <c r="EN871"/>
      <c r="EO871"/>
      <c r="EP871"/>
      <c r="EQ871"/>
      <c r="ER871"/>
      <c r="ES871"/>
      <c r="ET871"/>
      <c r="EU871"/>
      <c r="EV871"/>
      <c r="EW871"/>
      <c r="EX871"/>
      <c r="EY871"/>
      <c r="EZ871"/>
      <c r="FA871"/>
      <c r="FB871"/>
      <c r="FC871"/>
      <c r="FD871"/>
      <c r="FE871"/>
      <c r="FF871"/>
      <c r="FG871"/>
      <c r="FH871"/>
      <c r="FI871"/>
      <c r="FJ871"/>
      <c r="FK871"/>
      <c r="FL871"/>
      <c r="FM871"/>
      <c r="FN871"/>
      <c r="FO871"/>
      <c r="FP871"/>
      <c r="FQ871"/>
      <c r="FR871"/>
      <c r="FS871"/>
      <c r="FT871"/>
      <c r="FU871"/>
      <c r="FV871"/>
      <c r="FW871"/>
      <c r="FX871"/>
      <c r="FY871"/>
      <c r="FZ871"/>
      <c r="GA871"/>
      <c r="GB871"/>
      <c r="GC871"/>
      <c r="GD871"/>
      <c r="GE871"/>
      <c r="GF871"/>
      <c r="GG871"/>
      <c r="GH871"/>
      <c r="GI871"/>
      <c r="GJ871"/>
      <c r="GK871"/>
      <c r="GL871"/>
      <c r="GM871"/>
      <c r="GN871"/>
      <c r="GO871"/>
      <c r="GP871"/>
      <c r="GQ871"/>
      <c r="GR871"/>
      <c r="GS871"/>
      <c r="GT871"/>
      <c r="GU871"/>
      <c r="GV871"/>
      <c r="GW871"/>
      <c r="GX871"/>
      <c r="GY871"/>
      <c r="GZ871"/>
      <c r="HA871"/>
      <c r="HB871"/>
      <c r="HC871"/>
      <c r="HD871"/>
      <c r="HE871"/>
      <c r="HF871"/>
      <c r="HG871"/>
      <c r="HH871"/>
      <c r="HI871"/>
      <c r="HJ871"/>
      <c r="HK871"/>
      <c r="HL871"/>
      <c r="HM871"/>
      <c r="HN871"/>
      <c r="HO871"/>
      <c r="HP871"/>
      <c r="HQ871"/>
      <c r="HR871"/>
      <c r="HS871"/>
      <c r="HT871"/>
      <c r="HU871"/>
      <c r="HV871"/>
      <c r="HW871"/>
      <c r="HX871"/>
      <c r="HY871"/>
      <c r="HZ871"/>
      <c r="IA871"/>
      <c r="IB871"/>
      <c r="IC871"/>
      <c r="ID871"/>
      <c r="IE871"/>
      <c r="IF871"/>
      <c r="IG871"/>
      <c r="IH871"/>
      <c r="II871"/>
      <c r="IJ871"/>
    </row>
    <row r="872" spans="1:244" ht="30" customHeight="1" x14ac:dyDescent="0.2">
      <c r="A872" s="2108"/>
      <c r="B872" s="2114" t="s">
        <v>1943</v>
      </c>
      <c r="C872" s="2075">
        <v>50000</v>
      </c>
      <c r="D872" s="2075">
        <v>50000</v>
      </c>
      <c r="E872" s="2075"/>
      <c r="F872" s="2075"/>
      <c r="G872" s="2200"/>
      <c r="H872" s="2200"/>
      <c r="I872" s="2201"/>
      <c r="J872"/>
      <c r="K872"/>
      <c r="L872"/>
      <c r="M872"/>
      <c r="N872"/>
      <c r="O872"/>
      <c r="P872"/>
      <c r="Q872"/>
      <c r="R872"/>
      <c r="S872"/>
      <c r="T872"/>
      <c r="U872"/>
      <c r="V872"/>
      <c r="W872"/>
      <c r="X872"/>
      <c r="Y872"/>
      <c r="Z872"/>
      <c r="AA872"/>
      <c r="AB872"/>
      <c r="AC872"/>
      <c r="AD872"/>
      <c r="AE872"/>
      <c r="AF872"/>
      <c r="AG872"/>
      <c r="AH872"/>
      <c r="AI872"/>
      <c r="AJ872"/>
      <c r="AK872"/>
      <c r="AL872"/>
      <c r="AM872"/>
      <c r="AN872"/>
      <c r="AO872"/>
      <c r="AP872"/>
      <c r="AQ872"/>
      <c r="AR872"/>
      <c r="AS872"/>
      <c r="AT872"/>
      <c r="AU872"/>
      <c r="AV872"/>
      <c r="AW872"/>
      <c r="AX872"/>
      <c r="AY872"/>
      <c r="AZ872"/>
      <c r="BA872"/>
      <c r="BB872"/>
      <c r="BC872"/>
      <c r="BD872"/>
      <c r="BE872"/>
      <c r="BF872"/>
      <c r="BG872"/>
      <c r="BH872"/>
      <c r="BI872"/>
      <c r="BJ872"/>
      <c r="BK872"/>
      <c r="BL872"/>
      <c r="BM872"/>
      <c r="BN872"/>
      <c r="BO872"/>
      <c r="BP872"/>
      <c r="BQ872"/>
      <c r="BR872"/>
      <c r="BS872"/>
      <c r="BT872"/>
      <c r="BU872"/>
      <c r="BV872"/>
      <c r="BW872"/>
      <c r="BX872"/>
      <c r="BY872"/>
      <c r="BZ872"/>
      <c r="CA872"/>
      <c r="CB872"/>
      <c r="CC872"/>
      <c r="CD872"/>
      <c r="CE872"/>
      <c r="CF872"/>
      <c r="CG872"/>
      <c r="CH872"/>
      <c r="CI872"/>
      <c r="CJ872"/>
      <c r="CK872"/>
      <c r="CL872"/>
      <c r="CM872"/>
      <c r="CN872"/>
      <c r="CO872"/>
      <c r="CP872"/>
      <c r="CQ872"/>
      <c r="CR872"/>
      <c r="CS872"/>
      <c r="CT872"/>
      <c r="CU872"/>
      <c r="CV872"/>
      <c r="CW872"/>
      <c r="CX872"/>
      <c r="CY872"/>
      <c r="CZ872"/>
      <c r="DA872"/>
      <c r="DB872"/>
      <c r="DC872"/>
      <c r="DD872"/>
      <c r="DE872"/>
      <c r="DF872"/>
      <c r="DG872"/>
      <c r="DH872"/>
      <c r="DI872"/>
      <c r="DJ872"/>
      <c r="DK872"/>
      <c r="DL872"/>
      <c r="DM872"/>
      <c r="DN872"/>
      <c r="DO872"/>
      <c r="DP872"/>
      <c r="DQ872"/>
      <c r="DR872"/>
      <c r="DS872"/>
      <c r="DT872"/>
      <c r="DU872"/>
      <c r="DV872"/>
      <c r="DW872"/>
      <c r="DX872"/>
      <c r="DY872"/>
      <c r="DZ872"/>
      <c r="EA872"/>
      <c r="EB872"/>
      <c r="EC872"/>
      <c r="ED872"/>
      <c r="EE872"/>
      <c r="EF872"/>
      <c r="EG872"/>
      <c r="EH872"/>
      <c r="EI872"/>
      <c r="EJ872"/>
      <c r="EK872"/>
      <c r="EL872"/>
      <c r="EM872"/>
      <c r="EN872"/>
      <c r="EO872"/>
      <c r="EP872"/>
      <c r="EQ872"/>
      <c r="ER872"/>
      <c r="ES872"/>
      <c r="ET872"/>
      <c r="EU872"/>
      <c r="EV872"/>
      <c r="EW872"/>
      <c r="EX872"/>
      <c r="EY872"/>
      <c r="EZ872"/>
      <c r="FA872"/>
      <c r="FB872"/>
      <c r="FC872"/>
      <c r="FD872"/>
      <c r="FE872"/>
      <c r="FF872"/>
      <c r="FG872"/>
      <c r="FH872"/>
      <c r="FI872"/>
      <c r="FJ872"/>
      <c r="FK872"/>
      <c r="FL872"/>
      <c r="FM872"/>
      <c r="FN872"/>
      <c r="FO872"/>
      <c r="FP872"/>
      <c r="FQ872"/>
      <c r="FR872"/>
      <c r="FS872"/>
      <c r="FT872"/>
      <c r="FU872"/>
      <c r="FV872"/>
      <c r="FW872"/>
      <c r="FX872"/>
      <c r="FY872"/>
      <c r="FZ872"/>
      <c r="GA872"/>
      <c r="GB872"/>
      <c r="GC872"/>
      <c r="GD872"/>
      <c r="GE872"/>
      <c r="GF872"/>
      <c r="GG872"/>
      <c r="GH872"/>
      <c r="GI872"/>
      <c r="GJ872"/>
      <c r="GK872"/>
      <c r="GL872"/>
      <c r="GM872"/>
      <c r="GN872"/>
      <c r="GO872"/>
      <c r="GP872"/>
      <c r="GQ872"/>
      <c r="GR872"/>
      <c r="GS872"/>
      <c r="GT872"/>
      <c r="GU872"/>
      <c r="GV872"/>
      <c r="GW872"/>
      <c r="GX872"/>
      <c r="GY872"/>
      <c r="GZ872"/>
      <c r="HA872"/>
      <c r="HB872"/>
      <c r="HC872"/>
      <c r="HD872"/>
      <c r="HE872"/>
      <c r="HF872"/>
      <c r="HG872"/>
      <c r="HH872"/>
      <c r="HI872"/>
      <c r="HJ872"/>
      <c r="HK872"/>
      <c r="HL872"/>
      <c r="HM872"/>
      <c r="HN872"/>
      <c r="HO872"/>
      <c r="HP872"/>
      <c r="HQ872"/>
      <c r="HR872"/>
      <c r="HS872"/>
      <c r="HT872"/>
      <c r="HU872"/>
      <c r="HV872"/>
      <c r="HW872"/>
      <c r="HX872"/>
      <c r="HY872"/>
      <c r="HZ872"/>
      <c r="IA872"/>
      <c r="IB872"/>
      <c r="IC872"/>
      <c r="ID872"/>
      <c r="IE872"/>
      <c r="IF872"/>
      <c r="IG872"/>
      <c r="IH872"/>
      <c r="II872"/>
      <c r="IJ872"/>
    </row>
    <row r="873" spans="1:244" ht="30" customHeight="1" x14ac:dyDescent="0.2">
      <c r="A873" s="2108"/>
      <c r="B873" s="2114" t="s">
        <v>1944</v>
      </c>
      <c r="C873" s="2107">
        <f>C874+C875+C876+C877</f>
        <v>34000000</v>
      </c>
      <c r="D873" s="2107">
        <f>D874+D875+D876+D877</f>
        <v>34000000</v>
      </c>
      <c r="E873" s="2107"/>
      <c r="F873" s="2107"/>
      <c r="G873" s="2200"/>
      <c r="H873" s="2200"/>
      <c r="I873" s="2201"/>
      <c r="J873"/>
      <c r="K873"/>
      <c r="L873"/>
      <c r="M873"/>
      <c r="N873"/>
      <c r="O873"/>
      <c r="P873"/>
      <c r="Q873"/>
      <c r="R873"/>
      <c r="S873"/>
      <c r="T873"/>
      <c r="U873"/>
      <c r="V873"/>
      <c r="W873"/>
      <c r="X873"/>
      <c r="Y873"/>
      <c r="Z873"/>
      <c r="AA873"/>
      <c r="AB873"/>
      <c r="AC873"/>
      <c r="AD873"/>
      <c r="AE873"/>
      <c r="AF873"/>
      <c r="AG873"/>
      <c r="AH873"/>
      <c r="AI873"/>
      <c r="AJ873"/>
      <c r="AK873"/>
      <c r="AL873"/>
      <c r="AM873"/>
      <c r="AN873"/>
      <c r="AO873"/>
      <c r="AP873"/>
      <c r="AQ873"/>
      <c r="AR873"/>
      <c r="AS873"/>
      <c r="AT873"/>
      <c r="AU873"/>
      <c r="AV873"/>
      <c r="AW873"/>
      <c r="AX873"/>
      <c r="AY873"/>
      <c r="AZ873"/>
      <c r="BA873"/>
      <c r="BB873"/>
      <c r="BC873"/>
      <c r="BD873"/>
      <c r="BE873"/>
      <c r="BF873"/>
      <c r="BG873"/>
      <c r="BH873"/>
      <c r="BI873"/>
      <c r="BJ873"/>
      <c r="BK873"/>
      <c r="BL873"/>
      <c r="BM873"/>
      <c r="BN873"/>
      <c r="BO873"/>
      <c r="BP873"/>
      <c r="BQ873"/>
      <c r="BR873"/>
      <c r="BS873"/>
      <c r="BT873"/>
      <c r="BU873"/>
      <c r="BV873"/>
      <c r="BW873"/>
      <c r="BX873"/>
      <c r="BY873"/>
      <c r="BZ873"/>
      <c r="CA873"/>
      <c r="CB873"/>
      <c r="CC873"/>
      <c r="CD873"/>
      <c r="CE873"/>
      <c r="CF873"/>
      <c r="CG873"/>
      <c r="CH873"/>
      <c r="CI873"/>
      <c r="CJ873"/>
      <c r="CK873"/>
      <c r="CL873"/>
      <c r="CM873"/>
      <c r="CN873"/>
      <c r="CO873"/>
      <c r="CP873"/>
      <c r="CQ873"/>
      <c r="CR873"/>
      <c r="CS873"/>
      <c r="CT873"/>
      <c r="CU873"/>
      <c r="CV873"/>
      <c r="CW873"/>
      <c r="CX873"/>
      <c r="CY873"/>
      <c r="CZ873"/>
      <c r="DA873"/>
      <c r="DB873"/>
      <c r="DC873"/>
      <c r="DD873"/>
      <c r="DE873"/>
      <c r="DF873"/>
      <c r="DG873"/>
      <c r="DH873"/>
      <c r="DI873"/>
      <c r="DJ873"/>
      <c r="DK873"/>
      <c r="DL873"/>
      <c r="DM873"/>
      <c r="DN873"/>
      <c r="DO873"/>
      <c r="DP873"/>
      <c r="DQ873"/>
      <c r="DR873"/>
      <c r="DS873"/>
      <c r="DT873"/>
      <c r="DU873"/>
      <c r="DV873"/>
      <c r="DW873"/>
      <c r="DX873"/>
      <c r="DY873"/>
      <c r="DZ873"/>
      <c r="EA873"/>
      <c r="EB873"/>
      <c r="EC873"/>
      <c r="ED873"/>
      <c r="EE873"/>
      <c r="EF873"/>
      <c r="EG873"/>
      <c r="EH873"/>
      <c r="EI873"/>
      <c r="EJ873"/>
      <c r="EK873"/>
      <c r="EL873"/>
      <c r="EM873"/>
      <c r="EN873"/>
      <c r="EO873"/>
      <c r="EP873"/>
      <c r="EQ873"/>
      <c r="ER873"/>
      <c r="ES873"/>
      <c r="ET873"/>
      <c r="EU873"/>
      <c r="EV873"/>
      <c r="EW873"/>
      <c r="EX873"/>
      <c r="EY873"/>
      <c r="EZ873"/>
      <c r="FA873"/>
      <c r="FB873"/>
      <c r="FC873"/>
      <c r="FD873"/>
      <c r="FE873"/>
      <c r="FF873"/>
      <c r="FG873"/>
      <c r="FH873"/>
      <c r="FI873"/>
      <c r="FJ873"/>
      <c r="FK873"/>
      <c r="FL873"/>
      <c r="FM873"/>
      <c r="FN873"/>
      <c r="FO873"/>
      <c r="FP873"/>
      <c r="FQ873"/>
      <c r="FR873"/>
      <c r="FS873"/>
      <c r="FT873"/>
      <c r="FU873"/>
      <c r="FV873"/>
      <c r="FW873"/>
      <c r="FX873"/>
      <c r="FY873"/>
      <c r="FZ873"/>
      <c r="GA873"/>
      <c r="GB873"/>
      <c r="GC873"/>
      <c r="GD873"/>
      <c r="GE873"/>
      <c r="GF873"/>
      <c r="GG873"/>
      <c r="GH873"/>
      <c r="GI873"/>
      <c r="GJ873"/>
      <c r="GK873"/>
      <c r="GL873"/>
      <c r="GM873"/>
      <c r="GN873"/>
      <c r="GO873"/>
      <c r="GP873"/>
      <c r="GQ873"/>
      <c r="GR873"/>
      <c r="GS873"/>
      <c r="GT873"/>
      <c r="GU873"/>
      <c r="GV873"/>
      <c r="GW873"/>
      <c r="GX873"/>
      <c r="GY873"/>
      <c r="GZ873"/>
      <c r="HA873"/>
      <c r="HB873"/>
      <c r="HC873"/>
      <c r="HD873"/>
      <c r="HE873"/>
      <c r="HF873"/>
      <c r="HG873"/>
      <c r="HH873"/>
      <c r="HI873"/>
      <c r="HJ873"/>
      <c r="HK873"/>
      <c r="HL873"/>
      <c r="HM873"/>
      <c r="HN873"/>
      <c r="HO873"/>
      <c r="HP873"/>
      <c r="HQ873"/>
      <c r="HR873"/>
      <c r="HS873"/>
      <c r="HT873"/>
      <c r="HU873"/>
      <c r="HV873"/>
      <c r="HW873"/>
      <c r="HX873"/>
      <c r="HY873"/>
      <c r="HZ873"/>
      <c r="IA873"/>
      <c r="IB873"/>
      <c r="IC873"/>
      <c r="ID873"/>
      <c r="IE873"/>
      <c r="IF873"/>
      <c r="IG873"/>
      <c r="IH873"/>
      <c r="II873"/>
      <c r="IJ873"/>
    </row>
    <row r="874" spans="1:244" s="488" customFormat="1" ht="30" customHeight="1" x14ac:dyDescent="0.2">
      <c r="A874" s="2108"/>
      <c r="B874" s="2115" t="s">
        <v>1945</v>
      </c>
      <c r="C874" s="2075">
        <v>9000000</v>
      </c>
      <c r="D874" s="2075">
        <v>9000000</v>
      </c>
      <c r="E874" s="2075"/>
      <c r="F874" s="2075"/>
      <c r="G874" s="2200"/>
      <c r="H874" s="2200"/>
      <c r="I874" s="2201"/>
    </row>
    <row r="875" spans="1:244" s="488" customFormat="1" ht="30" customHeight="1" x14ac:dyDescent="0.2">
      <c r="A875" s="2086"/>
      <c r="B875" s="2116" t="s">
        <v>1946</v>
      </c>
      <c r="C875" s="2107">
        <v>22000000</v>
      </c>
      <c r="D875" s="2107">
        <v>22000000</v>
      </c>
      <c r="E875" s="2107"/>
      <c r="F875" s="2107"/>
      <c r="G875" s="2200"/>
      <c r="H875" s="2200"/>
      <c r="I875" s="2201"/>
    </row>
    <row r="876" spans="1:244" s="488" customFormat="1" ht="30" customHeight="1" x14ac:dyDescent="0.2">
      <c r="A876" s="2086"/>
      <c r="B876" s="2088" t="s">
        <v>1947</v>
      </c>
      <c r="C876" s="2107">
        <v>500000</v>
      </c>
      <c r="D876" s="2107">
        <v>500000</v>
      </c>
      <c r="E876" s="2107"/>
      <c r="F876" s="2107"/>
      <c r="G876" s="2200"/>
      <c r="H876" s="2200"/>
      <c r="I876" s="2201"/>
    </row>
    <row r="877" spans="1:244" s="488" customFormat="1" ht="30" customHeight="1" x14ac:dyDescent="0.2">
      <c r="A877" s="2086"/>
      <c r="B877" s="2080" t="s">
        <v>1948</v>
      </c>
      <c r="C877" s="2107">
        <v>2500000</v>
      </c>
      <c r="D877" s="2107">
        <v>2500000</v>
      </c>
      <c r="E877" s="2107"/>
      <c r="F877" s="2107"/>
      <c r="G877" s="2200"/>
      <c r="H877" s="2200"/>
      <c r="I877" s="2201"/>
    </row>
    <row r="878" spans="1:244" s="488" customFormat="1" ht="30" customHeight="1" x14ac:dyDescent="0.2">
      <c r="A878" s="2086"/>
      <c r="B878" s="2080" t="s">
        <v>1949</v>
      </c>
      <c r="C878" s="2107">
        <v>0</v>
      </c>
      <c r="D878" s="2107">
        <v>0</v>
      </c>
      <c r="E878" s="1809"/>
      <c r="F878" s="1809"/>
      <c r="G878" s="2200"/>
      <c r="H878" s="2200"/>
      <c r="I878" s="2201"/>
    </row>
    <row r="879" spans="1:244" ht="30" customHeight="1" x14ac:dyDescent="0.2">
      <c r="A879" s="1155">
        <v>3613</v>
      </c>
      <c r="B879" s="2117" t="s">
        <v>879</v>
      </c>
      <c r="C879" s="2118">
        <f>C880+C887+C888+C889+C894+C906</f>
        <v>17952000</v>
      </c>
      <c r="D879" s="2118">
        <f>D880+D887+D888+D889+D894+D906</f>
        <v>19752000</v>
      </c>
      <c r="E879" s="2118"/>
      <c r="F879" s="2469"/>
      <c r="G879" s="1663"/>
      <c r="H879" s="1663"/>
      <c r="I879" s="1662"/>
      <c r="J879"/>
      <c r="K879"/>
      <c r="L879"/>
      <c r="M879"/>
      <c r="N879"/>
      <c r="O879"/>
      <c r="P879"/>
      <c r="Q879"/>
      <c r="R879"/>
      <c r="S879"/>
      <c r="T879"/>
      <c r="U879"/>
      <c r="V879"/>
      <c r="W879"/>
      <c r="X879"/>
      <c r="Y879"/>
      <c r="Z879"/>
      <c r="AA879"/>
      <c r="AB879"/>
      <c r="AC879"/>
      <c r="AD879"/>
      <c r="AE879"/>
      <c r="AF879"/>
      <c r="AG879"/>
      <c r="AH879"/>
      <c r="AI879"/>
      <c r="AJ879"/>
      <c r="AK879"/>
      <c r="AL879"/>
      <c r="AM879"/>
      <c r="AN879"/>
      <c r="AO879"/>
      <c r="AP879"/>
      <c r="AQ879"/>
      <c r="AR879"/>
      <c r="AS879"/>
      <c r="AT879"/>
      <c r="AU879"/>
      <c r="AV879"/>
      <c r="AW879"/>
      <c r="AX879"/>
      <c r="AY879"/>
      <c r="AZ879"/>
      <c r="BA879"/>
      <c r="BB879"/>
      <c r="BC879"/>
      <c r="BD879"/>
      <c r="BE879"/>
      <c r="BF879"/>
      <c r="BG879"/>
      <c r="BH879"/>
      <c r="BI879"/>
      <c r="BJ879"/>
      <c r="BK879"/>
      <c r="BL879"/>
      <c r="BM879"/>
      <c r="BN879"/>
      <c r="BO879"/>
      <c r="BP879"/>
      <c r="BQ879"/>
      <c r="BR879"/>
      <c r="BS879"/>
      <c r="BT879"/>
      <c r="BU879"/>
      <c r="BV879"/>
      <c r="BW879"/>
      <c r="BX879"/>
      <c r="BY879"/>
      <c r="BZ879"/>
      <c r="CA879"/>
      <c r="CB879"/>
      <c r="CC879"/>
      <c r="CD879"/>
      <c r="CE879"/>
      <c r="CF879"/>
      <c r="CG879"/>
      <c r="CH879"/>
      <c r="CI879"/>
      <c r="CJ879"/>
      <c r="CK879"/>
      <c r="CL879"/>
      <c r="CM879"/>
      <c r="CN879"/>
      <c r="CO879"/>
      <c r="CP879"/>
      <c r="CQ879"/>
      <c r="CR879"/>
      <c r="CS879"/>
      <c r="CT879"/>
      <c r="CU879"/>
      <c r="CV879"/>
      <c r="CW879"/>
      <c r="CX879"/>
      <c r="CY879"/>
      <c r="CZ879"/>
      <c r="DA879"/>
      <c r="DB879"/>
      <c r="DC879"/>
      <c r="DD879"/>
      <c r="DE879"/>
      <c r="DF879"/>
      <c r="DG879"/>
      <c r="DH879"/>
      <c r="DI879"/>
      <c r="DJ879"/>
      <c r="DK879"/>
      <c r="DL879"/>
      <c r="DM879"/>
      <c r="DN879"/>
      <c r="DO879"/>
      <c r="DP879"/>
      <c r="DQ879"/>
      <c r="DR879"/>
      <c r="DS879"/>
      <c r="DT879"/>
      <c r="DU879"/>
      <c r="DV879"/>
      <c r="DW879"/>
      <c r="DX879"/>
      <c r="DY879"/>
      <c r="DZ879"/>
      <c r="EA879"/>
      <c r="EB879"/>
      <c r="EC879"/>
      <c r="ED879"/>
      <c r="EE879"/>
      <c r="EF879"/>
      <c r="EG879"/>
      <c r="EH879"/>
      <c r="EI879"/>
      <c r="EJ879"/>
      <c r="EK879"/>
      <c r="EL879"/>
      <c r="EM879"/>
      <c r="EN879"/>
      <c r="EO879"/>
      <c r="EP879"/>
      <c r="EQ879"/>
      <c r="ER879"/>
      <c r="ES879"/>
      <c r="ET879"/>
      <c r="EU879"/>
      <c r="EV879"/>
      <c r="EW879"/>
      <c r="EX879"/>
      <c r="EY879"/>
      <c r="EZ879"/>
      <c r="FA879"/>
      <c r="FB879"/>
      <c r="FC879"/>
      <c r="FD879"/>
      <c r="FE879"/>
      <c r="FF879"/>
      <c r="FG879"/>
      <c r="FH879"/>
      <c r="FI879"/>
      <c r="FJ879"/>
      <c r="FK879"/>
      <c r="FL879"/>
      <c r="FM879"/>
      <c r="FN879"/>
      <c r="FO879"/>
      <c r="FP879"/>
      <c r="FQ879"/>
      <c r="FR879"/>
      <c r="FS879"/>
      <c r="FT879"/>
      <c r="FU879"/>
      <c r="FV879"/>
      <c r="FW879"/>
      <c r="FX879"/>
      <c r="FY879"/>
      <c r="FZ879"/>
      <c r="GA879"/>
      <c r="GB879"/>
      <c r="GC879"/>
      <c r="GD879"/>
      <c r="GE879"/>
      <c r="GF879"/>
      <c r="GG879"/>
      <c r="GH879"/>
      <c r="GI879"/>
      <c r="GJ879"/>
      <c r="GK879"/>
      <c r="GL879"/>
      <c r="GM879"/>
      <c r="GN879"/>
      <c r="GO879"/>
      <c r="GP879"/>
      <c r="GQ879"/>
      <c r="GR879"/>
      <c r="GS879"/>
      <c r="GT879"/>
      <c r="GU879"/>
      <c r="GV879"/>
      <c r="GW879"/>
      <c r="GX879"/>
      <c r="GY879"/>
      <c r="GZ879"/>
      <c r="HA879"/>
      <c r="HB879"/>
      <c r="HC879"/>
      <c r="HD879"/>
      <c r="HE879"/>
      <c r="HF879"/>
      <c r="HG879"/>
      <c r="HH879"/>
      <c r="HI879"/>
      <c r="HJ879"/>
      <c r="HK879"/>
      <c r="HL879"/>
      <c r="HM879"/>
      <c r="HN879"/>
      <c r="HO879"/>
      <c r="HP879"/>
      <c r="HQ879"/>
      <c r="HR879"/>
      <c r="HS879"/>
      <c r="HT879"/>
      <c r="HU879"/>
      <c r="HV879"/>
      <c r="HW879"/>
      <c r="HX879"/>
      <c r="HY879"/>
      <c r="HZ879"/>
      <c r="IA879"/>
      <c r="IB879"/>
      <c r="IC879"/>
      <c r="ID879"/>
      <c r="IE879"/>
      <c r="IF879"/>
      <c r="IG879"/>
      <c r="IH879"/>
      <c r="II879"/>
      <c r="IJ879"/>
    </row>
    <row r="880" spans="1:244" s="488" customFormat="1" ht="30" customHeight="1" x14ac:dyDescent="0.2">
      <c r="A880" s="2119"/>
      <c r="B880" s="2120" t="s">
        <v>880</v>
      </c>
      <c r="C880" s="2121">
        <f>SUM(C881:C886)</f>
        <v>1430000</v>
      </c>
      <c r="D880" s="2121">
        <f>SUM(D881:D886)</f>
        <v>2230000</v>
      </c>
      <c r="E880" s="2121"/>
      <c r="F880" s="2121"/>
      <c r="G880" s="2459"/>
      <c r="H880" s="2459"/>
      <c r="I880" s="2460"/>
    </row>
    <row r="881" spans="1:244" s="488" customFormat="1" ht="30" customHeight="1" x14ac:dyDescent="0.2">
      <c r="A881" s="2122"/>
      <c r="B881" s="2080" t="s">
        <v>2551</v>
      </c>
      <c r="C881" s="2107">
        <v>500000</v>
      </c>
      <c r="D881" s="2107">
        <v>500000</v>
      </c>
      <c r="E881" s="2107"/>
      <c r="F881" s="2107"/>
      <c r="G881" s="2200"/>
      <c r="H881" s="2200"/>
      <c r="I881" s="2201"/>
    </row>
    <row r="882" spans="1:244" s="488" customFormat="1" ht="30" customHeight="1" x14ac:dyDescent="0.2">
      <c r="A882" s="2122"/>
      <c r="B882" s="2123" t="s">
        <v>1953</v>
      </c>
      <c r="C882" s="2107">
        <v>0</v>
      </c>
      <c r="D882" s="2107">
        <v>0</v>
      </c>
      <c r="E882" s="2107"/>
      <c r="F882" s="2107"/>
      <c r="G882" s="2200"/>
      <c r="H882" s="2200"/>
      <c r="I882" s="2201"/>
    </row>
    <row r="883" spans="1:244" s="488" customFormat="1" ht="30" customHeight="1" x14ac:dyDescent="0.2">
      <c r="A883" s="2122"/>
      <c r="B883" s="2123" t="s">
        <v>2552</v>
      </c>
      <c r="C883" s="1809">
        <v>930000</v>
      </c>
      <c r="D883" s="1809">
        <v>930000</v>
      </c>
      <c r="E883" s="2107"/>
      <c r="F883" s="2107"/>
      <c r="G883" s="2200"/>
      <c r="H883" s="2200"/>
      <c r="I883" s="2201"/>
    </row>
    <row r="884" spans="1:244" s="488" customFormat="1" ht="30" customHeight="1" x14ac:dyDescent="0.2">
      <c r="A884" s="2122"/>
      <c r="B884" s="2123" t="s">
        <v>1954</v>
      </c>
      <c r="C884" s="2107">
        <v>0</v>
      </c>
      <c r="D884" s="2107">
        <v>0</v>
      </c>
      <c r="E884" s="2107"/>
      <c r="F884" s="2107"/>
      <c r="G884" s="2200"/>
      <c r="H884" s="2200"/>
      <c r="I884" s="2201"/>
    </row>
    <row r="885" spans="1:244" s="488" customFormat="1" ht="30" customHeight="1" x14ac:dyDescent="0.2">
      <c r="A885" s="2122"/>
      <c r="B885" s="2088" t="s">
        <v>2954</v>
      </c>
      <c r="C885" s="2107">
        <v>0</v>
      </c>
      <c r="D885" s="2107">
        <v>800000</v>
      </c>
      <c r="E885" s="2107"/>
      <c r="F885" s="2107"/>
      <c r="G885" s="2200"/>
      <c r="H885" s="2200"/>
      <c r="I885" s="2201"/>
    </row>
    <row r="886" spans="1:244" ht="30" customHeight="1" x14ac:dyDescent="0.2">
      <c r="A886" s="2122"/>
      <c r="B886" s="2088" t="s">
        <v>1957</v>
      </c>
      <c r="C886" s="2107">
        <v>0</v>
      </c>
      <c r="D886" s="2107">
        <v>0</v>
      </c>
      <c r="E886" s="2107"/>
      <c r="F886" s="2107"/>
      <c r="G886" s="2200"/>
      <c r="H886" s="2200"/>
      <c r="I886" s="2201"/>
      <c r="J886"/>
      <c r="K886"/>
      <c r="L886"/>
      <c r="M886"/>
      <c r="N886"/>
      <c r="O886"/>
      <c r="P886"/>
      <c r="Q886"/>
      <c r="R886"/>
      <c r="S886"/>
      <c r="T886"/>
      <c r="U886"/>
      <c r="V886"/>
      <c r="W886"/>
      <c r="X886"/>
      <c r="Y886"/>
      <c r="Z886"/>
      <c r="AA886"/>
      <c r="AB886"/>
      <c r="AC886"/>
      <c r="AD886"/>
      <c r="AE886"/>
      <c r="AF886"/>
      <c r="AG886"/>
      <c r="AH886"/>
      <c r="AI886"/>
      <c r="AJ886"/>
      <c r="AK886"/>
      <c r="AL886"/>
      <c r="AM886"/>
      <c r="AN886"/>
      <c r="AO886"/>
      <c r="AP886"/>
      <c r="AQ886"/>
      <c r="AR886"/>
      <c r="AS886"/>
      <c r="AT886"/>
      <c r="AU886"/>
      <c r="AV886"/>
      <c r="AW886"/>
      <c r="AX886"/>
      <c r="AY886"/>
      <c r="AZ886"/>
      <c r="BA886"/>
      <c r="BB886"/>
      <c r="BC886"/>
      <c r="BD886"/>
      <c r="BE886"/>
      <c r="BF886"/>
      <c r="BG886"/>
      <c r="BH886"/>
      <c r="BI886"/>
      <c r="BJ886"/>
      <c r="BK886"/>
      <c r="BL886"/>
      <c r="BM886"/>
      <c r="BN886"/>
      <c r="BO886"/>
      <c r="BP886"/>
      <c r="BQ886"/>
      <c r="BR886"/>
      <c r="BS886"/>
      <c r="BT886"/>
      <c r="BU886"/>
      <c r="BV886"/>
      <c r="BW886"/>
      <c r="BX886"/>
      <c r="BY886"/>
      <c r="BZ886"/>
      <c r="CA886"/>
      <c r="CB886"/>
      <c r="CC886"/>
      <c r="CD886"/>
      <c r="CE886"/>
      <c r="CF886"/>
      <c r="CG886"/>
      <c r="CH886"/>
      <c r="CI886"/>
      <c r="CJ886"/>
      <c r="CK886"/>
      <c r="CL886"/>
      <c r="CM886"/>
      <c r="CN886"/>
      <c r="CO886"/>
      <c r="CP886"/>
      <c r="CQ886"/>
      <c r="CR886"/>
      <c r="CS886"/>
      <c r="CT886"/>
      <c r="CU886"/>
      <c r="CV886"/>
      <c r="CW886"/>
      <c r="CX886"/>
      <c r="CY886"/>
      <c r="CZ886"/>
      <c r="DA886"/>
      <c r="DB886"/>
      <c r="DC886"/>
      <c r="DD886"/>
      <c r="DE886"/>
      <c r="DF886"/>
      <c r="DG886"/>
      <c r="DH886"/>
      <c r="DI886"/>
      <c r="DJ886"/>
      <c r="DK886"/>
      <c r="DL886"/>
      <c r="DM886"/>
      <c r="DN886"/>
      <c r="DO886"/>
      <c r="DP886"/>
      <c r="DQ886"/>
      <c r="DR886"/>
      <c r="DS886"/>
      <c r="DT886"/>
      <c r="DU886"/>
      <c r="DV886"/>
      <c r="DW886"/>
      <c r="DX886"/>
      <c r="DY886"/>
      <c r="DZ886"/>
      <c r="EA886"/>
      <c r="EB886"/>
      <c r="EC886"/>
      <c r="ED886"/>
      <c r="EE886"/>
      <c r="EF886"/>
      <c r="EG886"/>
      <c r="EH886"/>
      <c r="EI886"/>
      <c r="EJ886"/>
      <c r="EK886"/>
      <c r="EL886"/>
      <c r="EM886"/>
      <c r="EN886"/>
      <c r="EO886"/>
      <c r="EP886"/>
      <c r="EQ886"/>
      <c r="ER886"/>
      <c r="ES886"/>
      <c r="ET886"/>
      <c r="EU886"/>
      <c r="EV886"/>
      <c r="EW886"/>
      <c r="EX886"/>
      <c r="EY886"/>
      <c r="EZ886"/>
      <c r="FA886"/>
      <c r="FB886"/>
      <c r="FC886"/>
      <c r="FD886"/>
      <c r="FE886"/>
      <c r="FF886"/>
      <c r="FG886"/>
      <c r="FH886"/>
      <c r="FI886"/>
      <c r="FJ886"/>
      <c r="FK886"/>
      <c r="FL886"/>
      <c r="FM886"/>
      <c r="FN886"/>
      <c r="FO886"/>
      <c r="FP886"/>
      <c r="FQ886"/>
      <c r="FR886"/>
      <c r="FS886"/>
      <c r="FT886"/>
      <c r="FU886"/>
      <c r="FV886"/>
      <c r="FW886"/>
      <c r="FX886"/>
      <c r="FY886"/>
      <c r="FZ886"/>
      <c r="GA886"/>
      <c r="GB886"/>
      <c r="GC886"/>
      <c r="GD886"/>
      <c r="GE886"/>
      <c r="GF886"/>
      <c r="GG886"/>
      <c r="GH886"/>
      <c r="GI886"/>
      <c r="GJ886"/>
      <c r="GK886"/>
      <c r="GL886"/>
      <c r="GM886"/>
      <c r="GN886"/>
      <c r="GO886"/>
      <c r="GP886"/>
      <c r="GQ886"/>
      <c r="GR886"/>
      <c r="GS886"/>
      <c r="GT886"/>
      <c r="GU886"/>
      <c r="GV886"/>
      <c r="GW886"/>
      <c r="GX886"/>
      <c r="GY886"/>
      <c r="GZ886"/>
      <c r="HA886"/>
      <c r="HB886"/>
      <c r="HC886"/>
      <c r="HD886"/>
      <c r="HE886"/>
      <c r="HF886"/>
      <c r="HG886"/>
      <c r="HH886"/>
      <c r="HI886"/>
      <c r="HJ886"/>
      <c r="HK886"/>
      <c r="HL886"/>
      <c r="HM886"/>
      <c r="HN886"/>
      <c r="HO886"/>
      <c r="HP886"/>
      <c r="HQ886"/>
      <c r="HR886"/>
      <c r="HS886"/>
      <c r="HT886"/>
      <c r="HU886"/>
      <c r="HV886"/>
      <c r="HW886"/>
      <c r="HX886"/>
      <c r="HY886"/>
      <c r="HZ886"/>
      <c r="IA886"/>
      <c r="IB886"/>
      <c r="IC886"/>
      <c r="ID886"/>
      <c r="IE886"/>
      <c r="IF886"/>
      <c r="IG886"/>
      <c r="IH886"/>
      <c r="II886"/>
      <c r="IJ886"/>
    </row>
    <row r="887" spans="1:244" ht="30" customHeight="1" x14ac:dyDescent="0.2">
      <c r="A887" s="2122"/>
      <c r="B887" s="2087" t="s">
        <v>1959</v>
      </c>
      <c r="C887" s="2075">
        <v>30000</v>
      </c>
      <c r="D887" s="2075">
        <v>30000</v>
      </c>
      <c r="E887" s="2075"/>
      <c r="F887" s="2075"/>
      <c r="G887" s="2200"/>
      <c r="H887" s="2200"/>
      <c r="I887" s="2201"/>
      <c r="J887"/>
      <c r="K887"/>
      <c r="L887"/>
      <c r="M887"/>
      <c r="N887"/>
      <c r="O887"/>
      <c r="P887"/>
      <c r="Q887"/>
      <c r="R887"/>
      <c r="S887"/>
      <c r="T887"/>
      <c r="U887"/>
      <c r="V887"/>
      <c r="W887"/>
      <c r="X887"/>
      <c r="Y887"/>
      <c r="Z887"/>
      <c r="AA887"/>
      <c r="AB887"/>
      <c r="AC887"/>
      <c r="AD887"/>
      <c r="AE887"/>
      <c r="AF887"/>
      <c r="AG887"/>
      <c r="AH887"/>
      <c r="AI887"/>
      <c r="AJ887"/>
      <c r="AK887"/>
      <c r="AL887"/>
      <c r="AM887"/>
      <c r="AN887"/>
      <c r="AO887"/>
      <c r="AP887"/>
      <c r="AQ887"/>
      <c r="AR887"/>
      <c r="AS887"/>
      <c r="AT887"/>
      <c r="AU887"/>
      <c r="AV887"/>
      <c r="AW887"/>
      <c r="AX887"/>
      <c r="AY887"/>
      <c r="AZ887"/>
      <c r="BA887"/>
      <c r="BB887"/>
      <c r="BC887"/>
      <c r="BD887"/>
      <c r="BE887"/>
      <c r="BF887"/>
      <c r="BG887"/>
      <c r="BH887"/>
      <c r="BI887"/>
      <c r="BJ887"/>
      <c r="BK887"/>
      <c r="BL887"/>
      <c r="BM887"/>
      <c r="BN887"/>
      <c r="BO887"/>
      <c r="BP887"/>
      <c r="BQ887"/>
      <c r="BR887"/>
      <c r="BS887"/>
      <c r="BT887"/>
      <c r="BU887"/>
      <c r="BV887"/>
      <c r="BW887"/>
      <c r="BX887"/>
      <c r="BY887"/>
      <c r="BZ887"/>
      <c r="CA887"/>
      <c r="CB887"/>
      <c r="CC887"/>
      <c r="CD887"/>
      <c r="CE887"/>
      <c r="CF887"/>
      <c r="CG887"/>
      <c r="CH887"/>
      <c r="CI887"/>
      <c r="CJ887"/>
      <c r="CK887"/>
      <c r="CL887"/>
      <c r="CM887"/>
      <c r="CN887"/>
      <c r="CO887"/>
      <c r="CP887"/>
      <c r="CQ887"/>
      <c r="CR887"/>
      <c r="CS887"/>
      <c r="CT887"/>
      <c r="CU887"/>
      <c r="CV887"/>
      <c r="CW887"/>
      <c r="CX887"/>
      <c r="CY887"/>
      <c r="CZ887"/>
      <c r="DA887"/>
      <c r="DB887"/>
      <c r="DC887"/>
      <c r="DD887"/>
      <c r="DE887"/>
      <c r="DF887"/>
      <c r="DG887"/>
      <c r="DH887"/>
      <c r="DI887"/>
      <c r="DJ887"/>
      <c r="DK887"/>
      <c r="DL887"/>
      <c r="DM887"/>
      <c r="DN887"/>
      <c r="DO887"/>
      <c r="DP887"/>
      <c r="DQ887"/>
      <c r="DR887"/>
      <c r="DS887"/>
      <c r="DT887"/>
      <c r="DU887"/>
      <c r="DV887"/>
      <c r="DW887"/>
      <c r="DX887"/>
      <c r="DY887"/>
      <c r="DZ887"/>
      <c r="EA887"/>
      <c r="EB887"/>
      <c r="EC887"/>
      <c r="ED887"/>
      <c r="EE887"/>
      <c r="EF887"/>
      <c r="EG887"/>
      <c r="EH887"/>
      <c r="EI887"/>
      <c r="EJ887"/>
      <c r="EK887"/>
      <c r="EL887"/>
      <c r="EM887"/>
      <c r="EN887"/>
      <c r="EO887"/>
      <c r="EP887"/>
      <c r="EQ887"/>
      <c r="ER887"/>
      <c r="ES887"/>
      <c r="ET887"/>
      <c r="EU887"/>
      <c r="EV887"/>
      <c r="EW887"/>
      <c r="EX887"/>
      <c r="EY887"/>
      <c r="EZ887"/>
      <c r="FA887"/>
      <c r="FB887"/>
      <c r="FC887"/>
      <c r="FD887"/>
      <c r="FE887"/>
      <c r="FF887"/>
      <c r="FG887"/>
      <c r="FH887"/>
      <c r="FI887"/>
      <c r="FJ887"/>
      <c r="FK887"/>
      <c r="FL887"/>
      <c r="FM887"/>
      <c r="FN887"/>
      <c r="FO887"/>
      <c r="FP887"/>
      <c r="FQ887"/>
      <c r="FR887"/>
      <c r="FS887"/>
      <c r="FT887"/>
      <c r="FU887"/>
      <c r="FV887"/>
      <c r="FW887"/>
      <c r="FX887"/>
      <c r="FY887"/>
      <c r="FZ887"/>
      <c r="GA887"/>
      <c r="GB887"/>
      <c r="GC887"/>
      <c r="GD887"/>
      <c r="GE887"/>
      <c r="GF887"/>
      <c r="GG887"/>
      <c r="GH887"/>
      <c r="GI887"/>
      <c r="GJ887"/>
      <c r="GK887"/>
      <c r="GL887"/>
      <c r="GM887"/>
      <c r="GN887"/>
      <c r="GO887"/>
      <c r="GP887"/>
      <c r="GQ887"/>
      <c r="GR887"/>
      <c r="GS887"/>
      <c r="GT887"/>
      <c r="GU887"/>
      <c r="GV887"/>
      <c r="GW887"/>
      <c r="GX887"/>
      <c r="GY887"/>
      <c r="GZ887"/>
      <c r="HA887"/>
      <c r="HB887"/>
      <c r="HC887"/>
      <c r="HD887"/>
      <c r="HE887"/>
      <c r="HF887"/>
      <c r="HG887"/>
      <c r="HH887"/>
      <c r="HI887"/>
      <c r="HJ887"/>
      <c r="HK887"/>
      <c r="HL887"/>
      <c r="HM887"/>
      <c r="HN887"/>
      <c r="HO887"/>
      <c r="HP887"/>
      <c r="HQ887"/>
      <c r="HR887"/>
      <c r="HS887"/>
      <c r="HT887"/>
      <c r="HU887"/>
      <c r="HV887"/>
      <c r="HW887"/>
      <c r="HX887"/>
      <c r="HY887"/>
      <c r="HZ887"/>
      <c r="IA887"/>
      <c r="IB887"/>
      <c r="IC887"/>
      <c r="ID887"/>
      <c r="IE887"/>
      <c r="IF887"/>
      <c r="IG887"/>
      <c r="IH887"/>
      <c r="II887"/>
      <c r="IJ887"/>
    </row>
    <row r="888" spans="1:244" ht="30" customHeight="1" x14ac:dyDescent="0.2">
      <c r="A888" s="2122"/>
      <c r="B888" s="2087" t="s">
        <v>1960</v>
      </c>
      <c r="C888" s="2089">
        <v>80000</v>
      </c>
      <c r="D888" s="2089">
        <v>80000</v>
      </c>
      <c r="E888" s="2089"/>
      <c r="F888" s="2089"/>
      <c r="G888" s="2459"/>
      <c r="H888" s="2459"/>
      <c r="I888" s="2460"/>
      <c r="J888"/>
      <c r="K888"/>
      <c r="L888"/>
      <c r="M888"/>
      <c r="N888"/>
      <c r="O888"/>
      <c r="P888"/>
      <c r="Q888"/>
      <c r="R888"/>
      <c r="S888"/>
      <c r="T888"/>
      <c r="U888"/>
      <c r="V888"/>
      <c r="W888"/>
      <c r="X888"/>
      <c r="Y888"/>
      <c r="Z888"/>
      <c r="AA888"/>
      <c r="AB888"/>
      <c r="AC888"/>
      <c r="AD888"/>
      <c r="AE888"/>
      <c r="AF888"/>
      <c r="AG888"/>
      <c r="AH888"/>
      <c r="AI888"/>
      <c r="AJ888"/>
      <c r="AK888"/>
      <c r="AL888"/>
      <c r="AM888"/>
      <c r="AN888"/>
      <c r="AO888"/>
      <c r="AP888"/>
      <c r="AQ888"/>
      <c r="AR888"/>
      <c r="AS888"/>
      <c r="AT888"/>
      <c r="AU888"/>
      <c r="AV888"/>
      <c r="AW888"/>
      <c r="AX888"/>
      <c r="AY888"/>
      <c r="AZ888"/>
      <c r="BA888"/>
      <c r="BB888"/>
      <c r="BC888"/>
      <c r="BD888"/>
      <c r="BE888"/>
      <c r="BF888"/>
      <c r="BG888"/>
      <c r="BH888"/>
      <c r="BI888"/>
      <c r="BJ888"/>
      <c r="BK888"/>
      <c r="BL888"/>
      <c r="BM888"/>
      <c r="BN888"/>
      <c r="BO888"/>
      <c r="BP888"/>
      <c r="BQ888"/>
      <c r="BR888"/>
      <c r="BS888"/>
      <c r="BT888"/>
      <c r="BU888"/>
      <c r="BV888"/>
      <c r="BW888"/>
      <c r="BX888"/>
      <c r="BY888"/>
      <c r="BZ888"/>
      <c r="CA888"/>
      <c r="CB888"/>
      <c r="CC888"/>
      <c r="CD888"/>
      <c r="CE888"/>
      <c r="CF888"/>
      <c r="CG888"/>
      <c r="CH888"/>
      <c r="CI888"/>
      <c r="CJ888"/>
      <c r="CK888"/>
      <c r="CL888"/>
      <c r="CM888"/>
      <c r="CN888"/>
      <c r="CO888"/>
      <c r="CP888"/>
      <c r="CQ888"/>
      <c r="CR888"/>
      <c r="CS888"/>
      <c r="CT888"/>
      <c r="CU888"/>
      <c r="CV888"/>
      <c r="CW888"/>
      <c r="CX888"/>
      <c r="CY888"/>
      <c r="CZ888"/>
      <c r="DA888"/>
      <c r="DB888"/>
      <c r="DC888"/>
      <c r="DD888"/>
      <c r="DE888"/>
      <c r="DF888"/>
      <c r="DG888"/>
      <c r="DH888"/>
      <c r="DI888"/>
      <c r="DJ888"/>
      <c r="DK888"/>
      <c r="DL888"/>
      <c r="DM888"/>
      <c r="DN888"/>
      <c r="DO888"/>
      <c r="DP888"/>
      <c r="DQ888"/>
      <c r="DR888"/>
      <c r="DS888"/>
      <c r="DT888"/>
      <c r="DU888"/>
      <c r="DV888"/>
      <c r="DW888"/>
      <c r="DX888"/>
      <c r="DY888"/>
      <c r="DZ888"/>
      <c r="EA888"/>
      <c r="EB888"/>
      <c r="EC888"/>
      <c r="ED888"/>
      <c r="EE888"/>
      <c r="EF888"/>
      <c r="EG888"/>
      <c r="EH888"/>
      <c r="EI888"/>
      <c r="EJ888"/>
      <c r="EK888"/>
      <c r="EL888"/>
      <c r="EM888"/>
      <c r="EN888"/>
      <c r="EO888"/>
      <c r="EP888"/>
      <c r="EQ888"/>
      <c r="ER888"/>
      <c r="ES888"/>
      <c r="ET888"/>
      <c r="EU888"/>
      <c r="EV888"/>
      <c r="EW888"/>
      <c r="EX888"/>
      <c r="EY888"/>
      <c r="EZ888"/>
      <c r="FA888"/>
      <c r="FB888"/>
      <c r="FC888"/>
      <c r="FD888"/>
      <c r="FE888"/>
      <c r="FF888"/>
      <c r="FG888"/>
      <c r="FH888"/>
      <c r="FI888"/>
      <c r="FJ888"/>
      <c r="FK888"/>
      <c r="FL888"/>
      <c r="FM888"/>
      <c r="FN888"/>
      <c r="FO888"/>
      <c r="FP888"/>
      <c r="FQ888"/>
      <c r="FR888"/>
      <c r="FS888"/>
      <c r="FT888"/>
      <c r="FU888"/>
      <c r="FV888"/>
      <c r="FW888"/>
      <c r="FX888"/>
      <c r="FY888"/>
      <c r="FZ888"/>
      <c r="GA888"/>
      <c r="GB888"/>
      <c r="GC888"/>
      <c r="GD888"/>
      <c r="GE888"/>
      <c r="GF888"/>
      <c r="GG888"/>
      <c r="GH888"/>
      <c r="GI888"/>
      <c r="GJ888"/>
      <c r="GK888"/>
      <c r="GL888"/>
      <c r="GM888"/>
      <c r="GN888"/>
      <c r="GO888"/>
      <c r="GP888"/>
      <c r="GQ888"/>
      <c r="GR888"/>
      <c r="GS888"/>
      <c r="GT888"/>
      <c r="GU888"/>
      <c r="GV888"/>
      <c r="GW888"/>
      <c r="GX888"/>
      <c r="GY888"/>
      <c r="GZ888"/>
      <c r="HA888"/>
      <c r="HB888"/>
      <c r="HC888"/>
      <c r="HD888"/>
      <c r="HE888"/>
      <c r="HF888"/>
      <c r="HG888"/>
      <c r="HH888"/>
      <c r="HI888"/>
      <c r="HJ888"/>
      <c r="HK888"/>
      <c r="HL888"/>
      <c r="HM888"/>
      <c r="HN888"/>
      <c r="HO888"/>
      <c r="HP888"/>
      <c r="HQ888"/>
      <c r="HR888"/>
      <c r="HS888"/>
      <c r="HT888"/>
      <c r="HU888"/>
      <c r="HV888"/>
      <c r="HW888"/>
      <c r="HX888"/>
      <c r="HY888"/>
      <c r="HZ888"/>
      <c r="IA888"/>
      <c r="IB888"/>
      <c r="IC888"/>
      <c r="ID888"/>
      <c r="IE888"/>
      <c r="IF888"/>
      <c r="IG888"/>
      <c r="IH888"/>
      <c r="II888"/>
      <c r="IJ888"/>
    </row>
    <row r="889" spans="1:244" s="98" customFormat="1" ht="30" customHeight="1" x14ac:dyDescent="0.2">
      <c r="A889" s="2098"/>
      <c r="B889" s="2087" t="s">
        <v>1961</v>
      </c>
      <c r="C889" s="2089">
        <f>C890+C891+C892+C893</f>
        <v>6500000</v>
      </c>
      <c r="D889" s="2089">
        <f>D890+D891+D892+D893</f>
        <v>6500000</v>
      </c>
      <c r="E889" s="2089"/>
      <c r="F889" s="2089"/>
      <c r="G889" s="2459"/>
      <c r="H889" s="2459"/>
      <c r="I889" s="2460"/>
    </row>
    <row r="890" spans="1:244" s="488" customFormat="1" ht="30" customHeight="1" x14ac:dyDescent="0.2">
      <c r="A890" s="2098"/>
      <c r="B890" s="2087" t="s">
        <v>1945</v>
      </c>
      <c r="C890" s="2107">
        <v>1000000</v>
      </c>
      <c r="D890" s="2107">
        <v>1000000</v>
      </c>
      <c r="E890" s="2107"/>
      <c r="F890" s="2107"/>
      <c r="G890" s="2200"/>
      <c r="H890" s="2200"/>
      <c r="I890" s="2201"/>
    </row>
    <row r="891" spans="1:244" ht="30" customHeight="1" x14ac:dyDescent="0.2">
      <c r="A891" s="2098"/>
      <c r="B891" s="2087" t="s">
        <v>897</v>
      </c>
      <c r="C891" s="2107">
        <v>1000000</v>
      </c>
      <c r="D891" s="2107">
        <v>1000000</v>
      </c>
      <c r="E891" s="2107"/>
      <c r="F891" s="2107"/>
      <c r="G891" s="2200"/>
      <c r="H891" s="2200"/>
      <c r="I891" s="2201"/>
      <c r="J891"/>
      <c r="K891"/>
      <c r="L891"/>
      <c r="M891"/>
      <c r="N891"/>
      <c r="O891"/>
      <c r="P891"/>
      <c r="Q891"/>
      <c r="R891"/>
      <c r="S891"/>
      <c r="T891"/>
      <c r="U891"/>
      <c r="V891"/>
      <c r="W891"/>
      <c r="X891"/>
      <c r="Y891"/>
      <c r="Z891"/>
      <c r="AA891"/>
      <c r="AB891"/>
      <c r="AC891"/>
      <c r="AD891"/>
      <c r="AE891"/>
      <c r="AF891"/>
      <c r="AG891"/>
      <c r="AH891"/>
      <c r="AI891"/>
      <c r="AJ891"/>
      <c r="AK891"/>
      <c r="AL891"/>
      <c r="AM891"/>
      <c r="AN891"/>
      <c r="AO891"/>
      <c r="AP891"/>
      <c r="AQ891"/>
      <c r="AR891"/>
      <c r="AS891"/>
      <c r="AT891"/>
      <c r="AU891"/>
      <c r="AV891"/>
      <c r="AW891"/>
      <c r="AX891"/>
      <c r="AY891"/>
      <c r="AZ891"/>
      <c r="BA891"/>
      <c r="BB891"/>
      <c r="BC891"/>
      <c r="BD891"/>
      <c r="BE891"/>
      <c r="BF891"/>
      <c r="BG891"/>
      <c r="BH891"/>
      <c r="BI891"/>
      <c r="BJ891"/>
      <c r="BK891"/>
      <c r="BL891"/>
      <c r="BM891"/>
      <c r="BN891"/>
      <c r="BO891"/>
      <c r="BP891"/>
      <c r="BQ891"/>
      <c r="BR891"/>
      <c r="BS891"/>
      <c r="BT891"/>
      <c r="BU891"/>
      <c r="BV891"/>
      <c r="BW891"/>
      <c r="BX891"/>
      <c r="BY891"/>
      <c r="BZ891"/>
      <c r="CA891"/>
      <c r="CB891"/>
      <c r="CC891"/>
      <c r="CD891"/>
      <c r="CE891"/>
      <c r="CF891"/>
      <c r="CG891"/>
      <c r="CH891"/>
      <c r="CI891"/>
      <c r="CJ891"/>
      <c r="CK891"/>
      <c r="CL891"/>
      <c r="CM891"/>
      <c r="CN891"/>
      <c r="CO891"/>
      <c r="CP891"/>
      <c r="CQ891"/>
      <c r="CR891"/>
      <c r="CS891"/>
      <c r="CT891"/>
      <c r="CU891"/>
      <c r="CV891"/>
      <c r="CW891"/>
      <c r="CX891"/>
      <c r="CY891"/>
      <c r="CZ891"/>
      <c r="DA891"/>
      <c r="DB891"/>
      <c r="DC891"/>
      <c r="DD891"/>
      <c r="DE891"/>
      <c r="DF891"/>
      <c r="DG891"/>
      <c r="DH891"/>
      <c r="DI891"/>
      <c r="DJ891"/>
      <c r="DK891"/>
      <c r="DL891"/>
      <c r="DM891"/>
      <c r="DN891"/>
      <c r="DO891"/>
      <c r="DP891"/>
      <c r="DQ891"/>
      <c r="DR891"/>
      <c r="DS891"/>
      <c r="DT891"/>
      <c r="DU891"/>
      <c r="DV891"/>
      <c r="DW891"/>
      <c r="DX891"/>
      <c r="DY891"/>
      <c r="DZ891"/>
      <c r="EA891"/>
      <c r="EB891"/>
      <c r="EC891"/>
      <c r="ED891"/>
      <c r="EE891"/>
      <c r="EF891"/>
      <c r="EG891"/>
      <c r="EH891"/>
      <c r="EI891"/>
      <c r="EJ891"/>
      <c r="EK891"/>
      <c r="EL891"/>
      <c r="EM891"/>
      <c r="EN891"/>
      <c r="EO891"/>
      <c r="EP891"/>
      <c r="EQ891"/>
      <c r="ER891"/>
      <c r="ES891"/>
      <c r="ET891"/>
      <c r="EU891"/>
      <c r="EV891"/>
      <c r="EW891"/>
      <c r="EX891"/>
      <c r="EY891"/>
      <c r="EZ891"/>
      <c r="FA891"/>
      <c r="FB891"/>
      <c r="FC891"/>
      <c r="FD891"/>
      <c r="FE891"/>
      <c r="FF891"/>
      <c r="FG891"/>
      <c r="FH891"/>
      <c r="FI891"/>
      <c r="FJ891"/>
      <c r="FK891"/>
      <c r="FL891"/>
      <c r="FM891"/>
      <c r="FN891"/>
      <c r="FO891"/>
      <c r="FP891"/>
      <c r="FQ891"/>
      <c r="FR891"/>
      <c r="FS891"/>
      <c r="FT891"/>
      <c r="FU891"/>
      <c r="FV891"/>
      <c r="FW891"/>
      <c r="FX891"/>
      <c r="FY891"/>
      <c r="FZ891"/>
      <c r="GA891"/>
      <c r="GB891"/>
      <c r="GC891"/>
      <c r="GD891"/>
      <c r="GE891"/>
      <c r="GF891"/>
      <c r="GG891"/>
      <c r="GH891"/>
      <c r="GI891"/>
      <c r="GJ891"/>
      <c r="GK891"/>
      <c r="GL891"/>
      <c r="GM891"/>
      <c r="GN891"/>
      <c r="GO891"/>
      <c r="GP891"/>
      <c r="GQ891"/>
      <c r="GR891"/>
      <c r="GS891"/>
      <c r="GT891"/>
      <c r="GU891"/>
      <c r="GV891"/>
      <c r="GW891"/>
      <c r="GX891"/>
      <c r="GY891"/>
      <c r="GZ891"/>
      <c r="HA891"/>
      <c r="HB891"/>
      <c r="HC891"/>
      <c r="HD891"/>
      <c r="HE891"/>
      <c r="HF891"/>
      <c r="HG891"/>
      <c r="HH891"/>
      <c r="HI891"/>
      <c r="HJ891"/>
      <c r="HK891"/>
      <c r="HL891"/>
      <c r="HM891"/>
      <c r="HN891"/>
      <c r="HO891"/>
      <c r="HP891"/>
      <c r="HQ891"/>
      <c r="HR891"/>
      <c r="HS891"/>
      <c r="HT891"/>
      <c r="HU891"/>
      <c r="HV891"/>
      <c r="HW891"/>
      <c r="HX891"/>
      <c r="HY891"/>
      <c r="HZ891"/>
      <c r="IA891"/>
      <c r="IB891"/>
      <c r="IC891"/>
      <c r="ID891"/>
      <c r="IE891"/>
      <c r="IF891"/>
      <c r="IG891"/>
      <c r="IH891"/>
      <c r="II891"/>
      <c r="IJ891"/>
    </row>
    <row r="892" spans="1:244" ht="30" customHeight="1" x14ac:dyDescent="0.2">
      <c r="A892" s="1155"/>
      <c r="B892" s="2116" t="s">
        <v>898</v>
      </c>
      <c r="C892" s="2075">
        <v>2500000</v>
      </c>
      <c r="D892" s="2075">
        <v>2500000</v>
      </c>
      <c r="E892" s="2075"/>
      <c r="F892" s="2075"/>
      <c r="G892" s="2200"/>
      <c r="H892" s="2200"/>
      <c r="I892" s="2201"/>
      <c r="J892"/>
      <c r="K892"/>
      <c r="L892"/>
      <c r="M892"/>
      <c r="N892"/>
      <c r="O892"/>
      <c r="P892"/>
      <c r="Q892"/>
      <c r="R892"/>
      <c r="S892"/>
      <c r="T892"/>
      <c r="U892"/>
      <c r="V892"/>
      <c r="W892"/>
      <c r="X892"/>
      <c r="Y892"/>
      <c r="Z892"/>
      <c r="AA892"/>
      <c r="AB892"/>
      <c r="AC892"/>
      <c r="AD892"/>
      <c r="AE892"/>
      <c r="AF892"/>
      <c r="AG892"/>
      <c r="AH892"/>
      <c r="AI892"/>
      <c r="AJ892"/>
      <c r="AK892"/>
      <c r="AL892"/>
      <c r="AM892"/>
      <c r="AN892"/>
      <c r="AO892"/>
      <c r="AP892"/>
      <c r="AQ892"/>
      <c r="AR892"/>
      <c r="AS892"/>
      <c r="AT892"/>
      <c r="AU892"/>
      <c r="AV892"/>
      <c r="AW892"/>
      <c r="AX892"/>
      <c r="AY892"/>
      <c r="AZ892"/>
      <c r="BA892"/>
      <c r="BB892"/>
      <c r="BC892"/>
      <c r="BD892"/>
      <c r="BE892"/>
      <c r="BF892"/>
      <c r="BG892"/>
      <c r="BH892"/>
      <c r="BI892"/>
      <c r="BJ892"/>
      <c r="BK892"/>
      <c r="BL892"/>
      <c r="BM892"/>
      <c r="BN892"/>
      <c r="BO892"/>
      <c r="BP892"/>
      <c r="BQ892"/>
      <c r="BR892"/>
      <c r="BS892"/>
      <c r="BT892"/>
      <c r="BU892"/>
      <c r="BV892"/>
      <c r="BW892"/>
      <c r="BX892"/>
      <c r="BY892"/>
      <c r="BZ892"/>
      <c r="CA892"/>
      <c r="CB892"/>
      <c r="CC892"/>
      <c r="CD892"/>
      <c r="CE892"/>
      <c r="CF892"/>
      <c r="CG892"/>
      <c r="CH892"/>
      <c r="CI892"/>
      <c r="CJ892"/>
      <c r="CK892"/>
      <c r="CL892"/>
      <c r="CM892"/>
      <c r="CN892"/>
      <c r="CO892"/>
      <c r="CP892"/>
      <c r="CQ892"/>
      <c r="CR892"/>
      <c r="CS892"/>
      <c r="CT892"/>
      <c r="CU892"/>
      <c r="CV892"/>
      <c r="CW892"/>
      <c r="CX892"/>
      <c r="CY892"/>
      <c r="CZ892"/>
      <c r="DA892"/>
      <c r="DB892"/>
      <c r="DC892"/>
      <c r="DD892"/>
      <c r="DE892"/>
      <c r="DF892"/>
      <c r="DG892"/>
      <c r="DH892"/>
      <c r="DI892"/>
      <c r="DJ892"/>
      <c r="DK892"/>
      <c r="DL892"/>
      <c r="DM892"/>
      <c r="DN892"/>
      <c r="DO892"/>
      <c r="DP892"/>
      <c r="DQ892"/>
      <c r="DR892"/>
      <c r="DS892"/>
      <c r="DT892"/>
      <c r="DU892"/>
      <c r="DV892"/>
      <c r="DW892"/>
      <c r="DX892"/>
      <c r="DY892"/>
      <c r="DZ892"/>
      <c r="EA892"/>
      <c r="EB892"/>
      <c r="EC892"/>
      <c r="ED892"/>
      <c r="EE892"/>
      <c r="EF892"/>
      <c r="EG892"/>
      <c r="EH892"/>
      <c r="EI892"/>
      <c r="EJ892"/>
      <c r="EK892"/>
      <c r="EL892"/>
      <c r="EM892"/>
      <c r="EN892"/>
      <c r="EO892"/>
      <c r="EP892"/>
      <c r="EQ892"/>
      <c r="ER892"/>
      <c r="ES892"/>
      <c r="ET892"/>
      <c r="EU892"/>
      <c r="EV892"/>
      <c r="EW892"/>
      <c r="EX892"/>
      <c r="EY892"/>
      <c r="EZ892"/>
      <c r="FA892"/>
      <c r="FB892"/>
      <c r="FC892"/>
      <c r="FD892"/>
      <c r="FE892"/>
      <c r="FF892"/>
      <c r="FG892"/>
      <c r="FH892"/>
      <c r="FI892"/>
      <c r="FJ892"/>
      <c r="FK892"/>
      <c r="FL892"/>
      <c r="FM892"/>
      <c r="FN892"/>
      <c r="FO892"/>
      <c r="FP892"/>
      <c r="FQ892"/>
      <c r="FR892"/>
      <c r="FS892"/>
      <c r="FT892"/>
      <c r="FU892"/>
      <c r="FV892"/>
      <c r="FW892"/>
      <c r="FX892"/>
      <c r="FY892"/>
      <c r="FZ892"/>
      <c r="GA892"/>
      <c r="GB892"/>
      <c r="GC892"/>
      <c r="GD892"/>
      <c r="GE892"/>
      <c r="GF892"/>
      <c r="GG892"/>
      <c r="GH892"/>
      <c r="GI892"/>
      <c r="GJ892"/>
      <c r="GK892"/>
      <c r="GL892"/>
      <c r="GM892"/>
      <c r="GN892"/>
      <c r="GO892"/>
      <c r="GP892"/>
      <c r="GQ892"/>
      <c r="GR892"/>
      <c r="GS892"/>
      <c r="GT892"/>
      <c r="GU892"/>
      <c r="GV892"/>
      <c r="GW892"/>
      <c r="GX892"/>
      <c r="GY892"/>
      <c r="GZ892"/>
      <c r="HA892"/>
      <c r="HB892"/>
      <c r="HC892"/>
      <c r="HD892"/>
      <c r="HE892"/>
      <c r="HF892"/>
      <c r="HG892"/>
      <c r="HH892"/>
      <c r="HI892"/>
      <c r="HJ892"/>
      <c r="HK892"/>
      <c r="HL892"/>
      <c r="HM892"/>
      <c r="HN892"/>
      <c r="HO892"/>
      <c r="HP892"/>
      <c r="HQ892"/>
      <c r="HR892"/>
      <c r="HS892"/>
      <c r="HT892"/>
      <c r="HU892"/>
      <c r="HV892"/>
      <c r="HW892"/>
      <c r="HX892"/>
      <c r="HY892"/>
      <c r="HZ892"/>
      <c r="IA892"/>
      <c r="IB892"/>
      <c r="IC892"/>
      <c r="ID892"/>
      <c r="IE892"/>
      <c r="IF892"/>
      <c r="IG892"/>
      <c r="IH892"/>
      <c r="II892"/>
      <c r="IJ892"/>
    </row>
    <row r="893" spans="1:244" ht="30" customHeight="1" x14ac:dyDescent="0.2">
      <c r="A893" s="1155"/>
      <c r="B893" s="2116" t="s">
        <v>1962</v>
      </c>
      <c r="C893" s="2075">
        <v>2000000</v>
      </c>
      <c r="D893" s="2075">
        <v>2000000</v>
      </c>
      <c r="E893" s="2075"/>
      <c r="F893" s="2075"/>
      <c r="G893" s="2200"/>
      <c r="H893" s="2200"/>
      <c r="I893" s="2201"/>
      <c r="J893"/>
      <c r="K893"/>
      <c r="L893"/>
      <c r="M893"/>
      <c r="N893"/>
      <c r="O893"/>
      <c r="P893"/>
      <c r="Q893"/>
      <c r="R893"/>
      <c r="S893"/>
      <c r="T893"/>
      <c r="U893"/>
      <c r="V893"/>
      <c r="W893"/>
      <c r="X893"/>
      <c r="Y893"/>
      <c r="Z893"/>
      <c r="AA893"/>
      <c r="AB893"/>
      <c r="AC893"/>
      <c r="AD893"/>
      <c r="AE893"/>
      <c r="AF893"/>
      <c r="AG893"/>
      <c r="AH893"/>
      <c r="AI893"/>
      <c r="AJ893"/>
      <c r="AK893"/>
      <c r="AL893"/>
      <c r="AM893"/>
      <c r="AN893"/>
      <c r="AO893"/>
      <c r="AP893"/>
      <c r="AQ893"/>
      <c r="AR893"/>
      <c r="AS893"/>
      <c r="AT893"/>
      <c r="AU893"/>
      <c r="AV893"/>
      <c r="AW893"/>
      <c r="AX893"/>
      <c r="AY893"/>
      <c r="AZ893"/>
      <c r="BA893"/>
      <c r="BB893"/>
      <c r="BC893"/>
      <c r="BD893"/>
      <c r="BE893"/>
      <c r="BF893"/>
      <c r="BG893"/>
      <c r="BH893"/>
      <c r="BI893"/>
      <c r="BJ893"/>
      <c r="BK893"/>
      <c r="BL893"/>
      <c r="BM893"/>
      <c r="BN893"/>
      <c r="BO893"/>
      <c r="BP893"/>
      <c r="BQ893"/>
      <c r="BR893"/>
      <c r="BS893"/>
      <c r="BT893"/>
      <c r="BU893"/>
      <c r="BV893"/>
      <c r="BW893"/>
      <c r="BX893"/>
      <c r="BY893"/>
      <c r="BZ893"/>
      <c r="CA893"/>
      <c r="CB893"/>
      <c r="CC893"/>
      <c r="CD893"/>
      <c r="CE893"/>
      <c r="CF893"/>
      <c r="CG893"/>
      <c r="CH893"/>
      <c r="CI893"/>
      <c r="CJ893"/>
      <c r="CK893"/>
      <c r="CL893"/>
      <c r="CM893"/>
      <c r="CN893"/>
      <c r="CO893"/>
      <c r="CP893"/>
      <c r="CQ893"/>
      <c r="CR893"/>
      <c r="CS893"/>
      <c r="CT893"/>
      <c r="CU893"/>
      <c r="CV893"/>
      <c r="CW893"/>
      <c r="CX893"/>
      <c r="CY893"/>
      <c r="CZ893"/>
      <c r="DA893"/>
      <c r="DB893"/>
      <c r="DC893"/>
      <c r="DD893"/>
      <c r="DE893"/>
      <c r="DF893"/>
      <c r="DG893"/>
      <c r="DH893"/>
      <c r="DI893"/>
      <c r="DJ893"/>
      <c r="DK893"/>
      <c r="DL893"/>
      <c r="DM893"/>
      <c r="DN893"/>
      <c r="DO893"/>
      <c r="DP893"/>
      <c r="DQ893"/>
      <c r="DR893"/>
      <c r="DS893"/>
      <c r="DT893"/>
      <c r="DU893"/>
      <c r="DV893"/>
      <c r="DW893"/>
      <c r="DX893"/>
      <c r="DY893"/>
      <c r="DZ893"/>
      <c r="EA893"/>
      <c r="EB893"/>
      <c r="EC893"/>
      <c r="ED893"/>
      <c r="EE893"/>
      <c r="EF893"/>
      <c r="EG893"/>
      <c r="EH893"/>
      <c r="EI893"/>
      <c r="EJ893"/>
      <c r="EK893"/>
      <c r="EL893"/>
      <c r="EM893"/>
      <c r="EN893"/>
      <c r="EO893"/>
      <c r="EP893"/>
      <c r="EQ893"/>
      <c r="ER893"/>
      <c r="ES893"/>
      <c r="ET893"/>
      <c r="EU893"/>
      <c r="EV893"/>
      <c r="EW893"/>
      <c r="EX893"/>
      <c r="EY893"/>
      <c r="EZ893"/>
      <c r="FA893"/>
      <c r="FB893"/>
      <c r="FC893"/>
      <c r="FD893"/>
      <c r="FE893"/>
      <c r="FF893"/>
      <c r="FG893"/>
      <c r="FH893"/>
      <c r="FI893"/>
      <c r="FJ893"/>
      <c r="FK893"/>
      <c r="FL893"/>
      <c r="FM893"/>
      <c r="FN893"/>
      <c r="FO893"/>
      <c r="FP893"/>
      <c r="FQ893"/>
      <c r="FR893"/>
      <c r="FS893"/>
      <c r="FT893"/>
      <c r="FU893"/>
      <c r="FV893"/>
      <c r="FW893"/>
      <c r="FX893"/>
      <c r="FY893"/>
      <c r="FZ893"/>
      <c r="GA893"/>
      <c r="GB893"/>
      <c r="GC893"/>
      <c r="GD893"/>
      <c r="GE893"/>
      <c r="GF893"/>
      <c r="GG893"/>
      <c r="GH893"/>
      <c r="GI893"/>
      <c r="GJ893"/>
      <c r="GK893"/>
      <c r="GL893"/>
      <c r="GM893"/>
      <c r="GN893"/>
      <c r="GO893"/>
      <c r="GP893"/>
      <c r="GQ893"/>
      <c r="GR893"/>
      <c r="GS893"/>
      <c r="GT893"/>
      <c r="GU893"/>
      <c r="GV893"/>
      <c r="GW893"/>
      <c r="GX893"/>
      <c r="GY893"/>
      <c r="GZ893"/>
      <c r="HA893"/>
      <c r="HB893"/>
      <c r="HC893"/>
      <c r="HD893"/>
      <c r="HE893"/>
      <c r="HF893"/>
      <c r="HG893"/>
      <c r="HH893"/>
      <c r="HI893"/>
      <c r="HJ893"/>
      <c r="HK893"/>
      <c r="HL893"/>
      <c r="HM893"/>
      <c r="HN893"/>
      <c r="HO893"/>
      <c r="HP893"/>
      <c r="HQ893"/>
      <c r="HR893"/>
      <c r="HS893"/>
      <c r="HT893"/>
      <c r="HU893"/>
      <c r="HV893"/>
      <c r="HW893"/>
      <c r="HX893"/>
      <c r="HY893"/>
      <c r="HZ893"/>
      <c r="IA893"/>
      <c r="IB893"/>
      <c r="IC893"/>
      <c r="ID893"/>
      <c r="IE893"/>
      <c r="IF893"/>
      <c r="IG893"/>
      <c r="IH893"/>
      <c r="II893"/>
      <c r="IJ893"/>
    </row>
    <row r="894" spans="1:244" s="2" customFormat="1" ht="30" customHeight="1" x14ac:dyDescent="0.2">
      <c r="A894" s="1155"/>
      <c r="B894" s="2124" t="s">
        <v>900</v>
      </c>
      <c r="C894" s="2082">
        <f>SUM(C895:C905)</f>
        <v>4370000</v>
      </c>
      <c r="D894" s="2082">
        <f>SUM(D895:D905)</f>
        <v>4370000</v>
      </c>
      <c r="E894" s="2082"/>
      <c r="F894" s="2082"/>
      <c r="G894" s="2459"/>
      <c r="H894" s="2459"/>
      <c r="I894" s="2460"/>
    </row>
    <row r="895" spans="1:244" ht="30" customHeight="1" x14ac:dyDescent="0.2">
      <c r="A895" s="1155"/>
      <c r="B895" s="2116" t="s">
        <v>1963</v>
      </c>
      <c r="C895" s="2075">
        <v>250000</v>
      </c>
      <c r="D895" s="2075">
        <v>250000</v>
      </c>
      <c r="E895" s="2075"/>
      <c r="F895" s="2075"/>
      <c r="G895" s="2200"/>
      <c r="H895" s="2200"/>
      <c r="I895" s="2201"/>
      <c r="J895"/>
      <c r="K895"/>
      <c r="L895"/>
      <c r="M895"/>
      <c r="N895"/>
      <c r="O895"/>
      <c r="P895"/>
      <c r="Q895"/>
      <c r="R895"/>
      <c r="S895"/>
      <c r="T895"/>
      <c r="U895"/>
      <c r="V895"/>
      <c r="W895"/>
      <c r="X895"/>
      <c r="Y895"/>
      <c r="Z895"/>
      <c r="AA895"/>
      <c r="AB895"/>
      <c r="AC895"/>
      <c r="AD895"/>
      <c r="AE895"/>
      <c r="AF895"/>
      <c r="AG895"/>
      <c r="AH895"/>
      <c r="AI895"/>
      <c r="AJ895"/>
      <c r="AK895"/>
      <c r="AL895"/>
      <c r="AM895"/>
      <c r="AN895"/>
      <c r="AO895"/>
      <c r="AP895"/>
      <c r="AQ895"/>
      <c r="AR895"/>
      <c r="AS895"/>
      <c r="AT895"/>
      <c r="AU895"/>
      <c r="AV895"/>
      <c r="AW895"/>
      <c r="AX895"/>
      <c r="AY895"/>
      <c r="AZ895"/>
      <c r="BA895"/>
      <c r="BB895"/>
      <c r="BC895"/>
      <c r="BD895"/>
      <c r="BE895"/>
      <c r="BF895"/>
      <c r="BG895"/>
      <c r="BH895"/>
      <c r="BI895"/>
      <c r="BJ895"/>
      <c r="BK895"/>
      <c r="BL895"/>
      <c r="BM895"/>
      <c r="BN895"/>
      <c r="BO895"/>
      <c r="BP895"/>
      <c r="BQ895"/>
      <c r="BR895"/>
      <c r="BS895"/>
      <c r="BT895"/>
      <c r="BU895"/>
      <c r="BV895"/>
      <c r="BW895"/>
      <c r="BX895"/>
      <c r="BY895"/>
      <c r="BZ895"/>
      <c r="CA895"/>
      <c r="CB895"/>
      <c r="CC895"/>
      <c r="CD895"/>
      <c r="CE895"/>
      <c r="CF895"/>
      <c r="CG895"/>
      <c r="CH895"/>
      <c r="CI895"/>
      <c r="CJ895"/>
      <c r="CK895"/>
      <c r="CL895"/>
      <c r="CM895"/>
      <c r="CN895"/>
      <c r="CO895"/>
      <c r="CP895"/>
      <c r="CQ895"/>
      <c r="CR895"/>
      <c r="CS895"/>
      <c r="CT895"/>
      <c r="CU895"/>
      <c r="CV895"/>
      <c r="CW895"/>
      <c r="CX895"/>
      <c r="CY895"/>
      <c r="CZ895"/>
      <c r="DA895"/>
      <c r="DB895"/>
      <c r="DC895"/>
      <c r="DD895"/>
      <c r="DE895"/>
      <c r="DF895"/>
      <c r="DG895"/>
      <c r="DH895"/>
      <c r="DI895"/>
      <c r="DJ895"/>
      <c r="DK895"/>
      <c r="DL895"/>
      <c r="DM895"/>
      <c r="DN895"/>
      <c r="DO895"/>
      <c r="DP895"/>
      <c r="DQ895"/>
      <c r="DR895"/>
      <c r="DS895"/>
      <c r="DT895"/>
      <c r="DU895"/>
      <c r="DV895"/>
      <c r="DW895"/>
      <c r="DX895"/>
      <c r="DY895"/>
      <c r="DZ895"/>
      <c r="EA895"/>
      <c r="EB895"/>
      <c r="EC895"/>
      <c r="ED895"/>
      <c r="EE895"/>
      <c r="EF895"/>
      <c r="EG895"/>
      <c r="EH895"/>
      <c r="EI895"/>
      <c r="EJ895"/>
      <c r="EK895"/>
      <c r="EL895"/>
      <c r="EM895"/>
      <c r="EN895"/>
      <c r="EO895"/>
      <c r="EP895"/>
      <c r="EQ895"/>
      <c r="ER895"/>
      <c r="ES895"/>
      <c r="ET895"/>
      <c r="EU895"/>
      <c r="EV895"/>
      <c r="EW895"/>
      <c r="EX895"/>
      <c r="EY895"/>
      <c r="EZ895"/>
      <c r="FA895"/>
      <c r="FB895"/>
      <c r="FC895"/>
      <c r="FD895"/>
      <c r="FE895"/>
      <c r="FF895"/>
      <c r="FG895"/>
      <c r="FH895"/>
      <c r="FI895"/>
      <c r="FJ895"/>
      <c r="FK895"/>
      <c r="FL895"/>
      <c r="FM895"/>
      <c r="FN895"/>
      <c r="FO895"/>
      <c r="FP895"/>
      <c r="FQ895"/>
      <c r="FR895"/>
      <c r="FS895"/>
      <c r="FT895"/>
      <c r="FU895"/>
      <c r="FV895"/>
      <c r="FW895"/>
      <c r="FX895"/>
      <c r="FY895"/>
      <c r="FZ895"/>
      <c r="GA895"/>
      <c r="GB895"/>
      <c r="GC895"/>
      <c r="GD895"/>
      <c r="GE895"/>
      <c r="GF895"/>
      <c r="GG895"/>
      <c r="GH895"/>
      <c r="GI895"/>
      <c r="GJ895"/>
      <c r="GK895"/>
      <c r="GL895"/>
      <c r="GM895"/>
      <c r="GN895"/>
      <c r="GO895"/>
      <c r="GP895"/>
      <c r="GQ895"/>
      <c r="GR895"/>
      <c r="GS895"/>
      <c r="GT895"/>
      <c r="GU895"/>
      <c r="GV895"/>
      <c r="GW895"/>
      <c r="GX895"/>
      <c r="GY895"/>
      <c r="GZ895"/>
      <c r="HA895"/>
      <c r="HB895"/>
      <c r="HC895"/>
      <c r="HD895"/>
      <c r="HE895"/>
      <c r="HF895"/>
      <c r="HG895"/>
      <c r="HH895"/>
      <c r="HI895"/>
      <c r="HJ895"/>
      <c r="HK895"/>
      <c r="HL895"/>
      <c r="HM895"/>
      <c r="HN895"/>
      <c r="HO895"/>
      <c r="HP895"/>
      <c r="HQ895"/>
      <c r="HR895"/>
      <c r="HS895"/>
      <c r="HT895"/>
      <c r="HU895"/>
      <c r="HV895"/>
      <c r="HW895"/>
      <c r="HX895"/>
      <c r="HY895"/>
      <c r="HZ895"/>
      <c r="IA895"/>
      <c r="IB895"/>
      <c r="IC895"/>
      <c r="ID895"/>
      <c r="IE895"/>
      <c r="IF895"/>
      <c r="IG895"/>
      <c r="IH895"/>
      <c r="II895"/>
      <c r="IJ895"/>
    </row>
    <row r="896" spans="1:244" ht="30" customHeight="1" x14ac:dyDescent="0.2">
      <c r="A896" s="1155"/>
      <c r="B896" s="2083" t="s">
        <v>1964</v>
      </c>
      <c r="C896" s="2075">
        <v>1000000</v>
      </c>
      <c r="D896" s="2075">
        <f>1000000-50000</f>
        <v>950000</v>
      </c>
      <c r="E896" s="2075"/>
      <c r="F896" s="2075"/>
      <c r="G896" s="2200"/>
      <c r="H896" s="2200"/>
      <c r="I896" s="2201"/>
      <c r="J896"/>
      <c r="K896"/>
      <c r="L896"/>
      <c r="M896"/>
      <c r="N896"/>
      <c r="O896"/>
      <c r="P896"/>
      <c r="Q896"/>
      <c r="R896"/>
      <c r="S896"/>
      <c r="T896"/>
      <c r="U896"/>
      <c r="V896"/>
      <c r="W896"/>
      <c r="X896"/>
      <c r="Y896"/>
      <c r="Z896"/>
      <c r="AA896"/>
      <c r="AB896"/>
      <c r="AC896"/>
      <c r="AD896"/>
      <c r="AE896"/>
      <c r="AF896"/>
      <c r="AG896"/>
      <c r="AH896"/>
      <c r="AI896"/>
      <c r="AJ896"/>
      <c r="AK896"/>
      <c r="AL896"/>
      <c r="AM896"/>
      <c r="AN896"/>
      <c r="AO896"/>
      <c r="AP896"/>
      <c r="AQ896"/>
      <c r="AR896"/>
      <c r="AS896"/>
      <c r="AT896"/>
      <c r="AU896"/>
      <c r="AV896"/>
      <c r="AW896"/>
      <c r="AX896"/>
      <c r="AY896"/>
      <c r="AZ896"/>
      <c r="BA896"/>
      <c r="BB896"/>
      <c r="BC896"/>
      <c r="BD896"/>
      <c r="BE896"/>
      <c r="BF896"/>
      <c r="BG896"/>
      <c r="BH896"/>
      <c r="BI896"/>
      <c r="BJ896"/>
      <c r="BK896"/>
      <c r="BL896"/>
      <c r="BM896"/>
      <c r="BN896"/>
      <c r="BO896"/>
      <c r="BP896"/>
      <c r="BQ896"/>
      <c r="BR896"/>
      <c r="BS896"/>
      <c r="BT896"/>
      <c r="BU896"/>
      <c r="BV896"/>
      <c r="BW896"/>
      <c r="BX896"/>
      <c r="BY896"/>
      <c r="BZ896"/>
      <c r="CA896"/>
      <c r="CB896"/>
      <c r="CC896"/>
      <c r="CD896"/>
      <c r="CE896"/>
      <c r="CF896"/>
      <c r="CG896"/>
      <c r="CH896"/>
      <c r="CI896"/>
      <c r="CJ896"/>
      <c r="CK896"/>
      <c r="CL896"/>
      <c r="CM896"/>
      <c r="CN896"/>
      <c r="CO896"/>
      <c r="CP896"/>
      <c r="CQ896"/>
      <c r="CR896"/>
      <c r="CS896"/>
      <c r="CT896"/>
      <c r="CU896"/>
      <c r="CV896"/>
      <c r="CW896"/>
      <c r="CX896"/>
      <c r="CY896"/>
      <c r="CZ896"/>
      <c r="DA896"/>
      <c r="DB896"/>
      <c r="DC896"/>
      <c r="DD896"/>
      <c r="DE896"/>
      <c r="DF896"/>
      <c r="DG896"/>
      <c r="DH896"/>
      <c r="DI896"/>
      <c r="DJ896"/>
      <c r="DK896"/>
      <c r="DL896"/>
      <c r="DM896"/>
      <c r="DN896"/>
      <c r="DO896"/>
      <c r="DP896"/>
      <c r="DQ896"/>
      <c r="DR896"/>
      <c r="DS896"/>
      <c r="DT896"/>
      <c r="DU896"/>
      <c r="DV896"/>
      <c r="DW896"/>
      <c r="DX896"/>
      <c r="DY896"/>
      <c r="DZ896"/>
      <c r="EA896"/>
      <c r="EB896"/>
      <c r="EC896"/>
      <c r="ED896"/>
      <c r="EE896"/>
      <c r="EF896"/>
      <c r="EG896"/>
      <c r="EH896"/>
      <c r="EI896"/>
      <c r="EJ896"/>
      <c r="EK896"/>
      <c r="EL896"/>
      <c r="EM896"/>
      <c r="EN896"/>
      <c r="EO896"/>
      <c r="EP896"/>
      <c r="EQ896"/>
      <c r="ER896"/>
      <c r="ES896"/>
      <c r="ET896"/>
      <c r="EU896"/>
      <c r="EV896"/>
      <c r="EW896"/>
      <c r="EX896"/>
      <c r="EY896"/>
      <c r="EZ896"/>
      <c r="FA896"/>
      <c r="FB896"/>
      <c r="FC896"/>
      <c r="FD896"/>
      <c r="FE896"/>
      <c r="FF896"/>
      <c r="FG896"/>
      <c r="FH896"/>
      <c r="FI896"/>
      <c r="FJ896"/>
      <c r="FK896"/>
      <c r="FL896"/>
      <c r="FM896"/>
      <c r="FN896"/>
      <c r="FO896"/>
      <c r="FP896"/>
      <c r="FQ896"/>
      <c r="FR896"/>
      <c r="FS896"/>
      <c r="FT896"/>
      <c r="FU896"/>
      <c r="FV896"/>
      <c r="FW896"/>
      <c r="FX896"/>
      <c r="FY896"/>
      <c r="FZ896"/>
      <c r="GA896"/>
      <c r="GB896"/>
      <c r="GC896"/>
      <c r="GD896"/>
      <c r="GE896"/>
      <c r="GF896"/>
      <c r="GG896"/>
      <c r="GH896"/>
      <c r="GI896"/>
      <c r="GJ896"/>
      <c r="GK896"/>
      <c r="GL896"/>
      <c r="GM896"/>
      <c r="GN896"/>
      <c r="GO896"/>
      <c r="GP896"/>
      <c r="GQ896"/>
      <c r="GR896"/>
      <c r="GS896"/>
      <c r="GT896"/>
      <c r="GU896"/>
      <c r="GV896"/>
      <c r="GW896"/>
      <c r="GX896"/>
      <c r="GY896"/>
      <c r="GZ896"/>
      <c r="HA896"/>
      <c r="HB896"/>
      <c r="HC896"/>
      <c r="HD896"/>
      <c r="HE896"/>
      <c r="HF896"/>
      <c r="HG896"/>
      <c r="HH896"/>
      <c r="HI896"/>
      <c r="HJ896"/>
      <c r="HK896"/>
      <c r="HL896"/>
      <c r="HM896"/>
      <c r="HN896"/>
      <c r="HO896"/>
      <c r="HP896"/>
      <c r="HQ896"/>
      <c r="HR896"/>
      <c r="HS896"/>
      <c r="HT896"/>
      <c r="HU896"/>
      <c r="HV896"/>
      <c r="HW896"/>
      <c r="HX896"/>
      <c r="HY896"/>
      <c r="HZ896"/>
      <c r="IA896"/>
      <c r="IB896"/>
      <c r="IC896"/>
      <c r="ID896"/>
      <c r="IE896"/>
      <c r="IF896"/>
      <c r="IG896"/>
      <c r="IH896"/>
      <c r="II896"/>
      <c r="IJ896"/>
    </row>
    <row r="897" spans="1:244" ht="30" customHeight="1" x14ac:dyDescent="0.2">
      <c r="A897" s="1155"/>
      <c r="B897" s="2083" t="s">
        <v>1965</v>
      </c>
      <c r="C897" s="2075">
        <v>50000</v>
      </c>
      <c r="D897" s="2075">
        <v>50000</v>
      </c>
      <c r="E897" s="2075"/>
      <c r="F897" s="2075"/>
      <c r="G897" s="2200"/>
      <c r="H897" s="2200"/>
      <c r="I897" s="2201"/>
      <c r="J897"/>
      <c r="K897"/>
      <c r="L897"/>
      <c r="M897"/>
      <c r="N897"/>
      <c r="O897"/>
      <c r="P897"/>
      <c r="Q897"/>
      <c r="R897"/>
      <c r="S897"/>
      <c r="T897"/>
      <c r="U897"/>
      <c r="V897"/>
      <c r="W897"/>
      <c r="X897"/>
      <c r="Y897"/>
      <c r="Z897"/>
      <c r="AA897"/>
      <c r="AB897"/>
      <c r="AC897"/>
      <c r="AD897"/>
      <c r="AE897"/>
      <c r="AF897"/>
      <c r="AG897"/>
      <c r="AH897"/>
      <c r="AI897"/>
      <c r="AJ897"/>
      <c r="AK897"/>
      <c r="AL897"/>
      <c r="AM897"/>
      <c r="AN897"/>
      <c r="AO897"/>
      <c r="AP897"/>
      <c r="AQ897"/>
      <c r="AR897"/>
      <c r="AS897"/>
      <c r="AT897"/>
      <c r="AU897"/>
      <c r="AV897"/>
      <c r="AW897"/>
      <c r="AX897"/>
      <c r="AY897"/>
      <c r="AZ897"/>
      <c r="BA897"/>
      <c r="BB897"/>
      <c r="BC897"/>
      <c r="BD897"/>
      <c r="BE897"/>
      <c r="BF897"/>
      <c r="BG897"/>
      <c r="BH897"/>
      <c r="BI897"/>
      <c r="BJ897"/>
      <c r="BK897"/>
      <c r="BL897"/>
      <c r="BM897"/>
      <c r="BN897"/>
      <c r="BO897"/>
      <c r="BP897"/>
      <c r="BQ897"/>
      <c r="BR897"/>
      <c r="BS897"/>
      <c r="BT897"/>
      <c r="BU897"/>
      <c r="BV897"/>
      <c r="BW897"/>
      <c r="BX897"/>
      <c r="BY897"/>
      <c r="BZ897"/>
      <c r="CA897"/>
      <c r="CB897"/>
      <c r="CC897"/>
      <c r="CD897"/>
      <c r="CE897"/>
      <c r="CF897"/>
      <c r="CG897"/>
      <c r="CH897"/>
      <c r="CI897"/>
      <c r="CJ897"/>
      <c r="CK897"/>
      <c r="CL897"/>
      <c r="CM897"/>
      <c r="CN897"/>
      <c r="CO897"/>
      <c r="CP897"/>
      <c r="CQ897"/>
      <c r="CR897"/>
      <c r="CS897"/>
      <c r="CT897"/>
      <c r="CU897"/>
      <c r="CV897"/>
      <c r="CW897"/>
      <c r="CX897"/>
      <c r="CY897"/>
      <c r="CZ897"/>
      <c r="DA897"/>
      <c r="DB897"/>
      <c r="DC897"/>
      <c r="DD897"/>
      <c r="DE897"/>
      <c r="DF897"/>
      <c r="DG897"/>
      <c r="DH897"/>
      <c r="DI897"/>
      <c r="DJ897"/>
      <c r="DK897"/>
      <c r="DL897"/>
      <c r="DM897"/>
      <c r="DN897"/>
      <c r="DO897"/>
      <c r="DP897"/>
      <c r="DQ897"/>
      <c r="DR897"/>
      <c r="DS897"/>
      <c r="DT897"/>
      <c r="DU897"/>
      <c r="DV897"/>
      <c r="DW897"/>
      <c r="DX897"/>
      <c r="DY897"/>
      <c r="DZ897"/>
      <c r="EA897"/>
      <c r="EB897"/>
      <c r="EC897"/>
      <c r="ED897"/>
      <c r="EE897"/>
      <c r="EF897"/>
      <c r="EG897"/>
      <c r="EH897"/>
      <c r="EI897"/>
      <c r="EJ897"/>
      <c r="EK897"/>
      <c r="EL897"/>
      <c r="EM897"/>
      <c r="EN897"/>
      <c r="EO897"/>
      <c r="EP897"/>
      <c r="EQ897"/>
      <c r="ER897"/>
      <c r="ES897"/>
      <c r="ET897"/>
      <c r="EU897"/>
      <c r="EV897"/>
      <c r="EW897"/>
      <c r="EX897"/>
      <c r="EY897"/>
      <c r="EZ897"/>
      <c r="FA897"/>
      <c r="FB897"/>
      <c r="FC897"/>
      <c r="FD897"/>
      <c r="FE897"/>
      <c r="FF897"/>
      <c r="FG897"/>
      <c r="FH897"/>
      <c r="FI897"/>
      <c r="FJ897"/>
      <c r="FK897"/>
      <c r="FL897"/>
      <c r="FM897"/>
      <c r="FN897"/>
      <c r="FO897"/>
      <c r="FP897"/>
      <c r="FQ897"/>
      <c r="FR897"/>
      <c r="FS897"/>
      <c r="FT897"/>
      <c r="FU897"/>
      <c r="FV897"/>
      <c r="FW897"/>
      <c r="FX897"/>
      <c r="FY897"/>
      <c r="FZ897"/>
      <c r="GA897"/>
      <c r="GB897"/>
      <c r="GC897"/>
      <c r="GD897"/>
      <c r="GE897"/>
      <c r="GF897"/>
      <c r="GG897"/>
      <c r="GH897"/>
      <c r="GI897"/>
      <c r="GJ897"/>
      <c r="GK897"/>
      <c r="GL897"/>
      <c r="GM897"/>
      <c r="GN897"/>
      <c r="GO897"/>
      <c r="GP897"/>
      <c r="GQ897"/>
      <c r="GR897"/>
      <c r="GS897"/>
      <c r="GT897"/>
      <c r="GU897"/>
      <c r="GV897"/>
      <c r="GW897"/>
      <c r="GX897"/>
      <c r="GY897"/>
      <c r="GZ897"/>
      <c r="HA897"/>
      <c r="HB897"/>
      <c r="HC897"/>
      <c r="HD897"/>
      <c r="HE897"/>
      <c r="HF897"/>
      <c r="HG897"/>
      <c r="HH897"/>
      <c r="HI897"/>
      <c r="HJ897"/>
      <c r="HK897"/>
      <c r="HL897"/>
      <c r="HM897"/>
      <c r="HN897"/>
      <c r="HO897"/>
      <c r="HP897"/>
      <c r="HQ897"/>
      <c r="HR897"/>
      <c r="HS897"/>
      <c r="HT897"/>
      <c r="HU897"/>
      <c r="HV897"/>
      <c r="HW897"/>
      <c r="HX897"/>
      <c r="HY897"/>
      <c r="HZ897"/>
      <c r="IA897"/>
      <c r="IB897"/>
      <c r="IC897"/>
      <c r="ID897"/>
      <c r="IE897"/>
      <c r="IF897"/>
      <c r="IG897"/>
      <c r="IH897"/>
      <c r="II897"/>
      <c r="IJ897"/>
    </row>
    <row r="898" spans="1:244" ht="30" customHeight="1" x14ac:dyDescent="0.2">
      <c r="A898" s="1155"/>
      <c r="B898" s="2125" t="s">
        <v>906</v>
      </c>
      <c r="C898" s="1077">
        <v>0</v>
      </c>
      <c r="D898" s="1077">
        <v>50000</v>
      </c>
      <c r="E898" s="1077"/>
      <c r="F898" s="1077"/>
      <c r="G898" s="2200"/>
      <c r="H898" s="2200"/>
      <c r="I898" s="2201"/>
      <c r="J898"/>
      <c r="K898"/>
      <c r="L898"/>
      <c r="M898"/>
      <c r="N898"/>
      <c r="O898"/>
      <c r="P898"/>
      <c r="Q898"/>
      <c r="R898"/>
      <c r="S898"/>
      <c r="T898"/>
      <c r="U898"/>
      <c r="V898"/>
      <c r="W898"/>
      <c r="X898"/>
      <c r="Y898"/>
      <c r="Z898"/>
      <c r="AA898"/>
      <c r="AB898"/>
      <c r="AC898"/>
      <c r="AD898"/>
      <c r="AE898"/>
      <c r="AF898"/>
      <c r="AG898"/>
      <c r="AH898"/>
      <c r="AI898"/>
      <c r="AJ898"/>
      <c r="AK898"/>
      <c r="AL898"/>
      <c r="AM898"/>
      <c r="AN898"/>
      <c r="AO898"/>
      <c r="AP898"/>
      <c r="AQ898"/>
      <c r="AR898"/>
      <c r="AS898"/>
      <c r="AT898"/>
      <c r="AU898"/>
      <c r="AV898"/>
      <c r="AW898"/>
      <c r="AX898"/>
      <c r="AY898"/>
      <c r="AZ898"/>
      <c r="BA898"/>
      <c r="BB898"/>
      <c r="BC898"/>
      <c r="BD898"/>
      <c r="BE898"/>
      <c r="BF898"/>
      <c r="BG898"/>
      <c r="BH898"/>
      <c r="BI898"/>
      <c r="BJ898"/>
      <c r="BK898"/>
      <c r="BL898"/>
      <c r="BM898"/>
      <c r="BN898"/>
      <c r="BO898"/>
      <c r="BP898"/>
      <c r="BQ898"/>
      <c r="BR898"/>
      <c r="BS898"/>
      <c r="BT898"/>
      <c r="BU898"/>
      <c r="BV898"/>
      <c r="BW898"/>
      <c r="BX898"/>
      <c r="BY898"/>
      <c r="BZ898"/>
      <c r="CA898"/>
      <c r="CB898"/>
      <c r="CC898"/>
      <c r="CD898"/>
      <c r="CE898"/>
      <c r="CF898"/>
      <c r="CG898"/>
      <c r="CH898"/>
      <c r="CI898"/>
      <c r="CJ898"/>
      <c r="CK898"/>
      <c r="CL898"/>
      <c r="CM898"/>
      <c r="CN898"/>
      <c r="CO898"/>
      <c r="CP898"/>
      <c r="CQ898"/>
      <c r="CR898"/>
      <c r="CS898"/>
      <c r="CT898"/>
      <c r="CU898"/>
      <c r="CV898"/>
      <c r="CW898"/>
      <c r="CX898"/>
      <c r="CY898"/>
      <c r="CZ898"/>
      <c r="DA898"/>
      <c r="DB898"/>
      <c r="DC898"/>
      <c r="DD898"/>
      <c r="DE898"/>
      <c r="DF898"/>
      <c r="DG898"/>
      <c r="DH898"/>
      <c r="DI898"/>
      <c r="DJ898"/>
      <c r="DK898"/>
      <c r="DL898"/>
      <c r="DM898"/>
      <c r="DN898"/>
      <c r="DO898"/>
      <c r="DP898"/>
      <c r="DQ898"/>
      <c r="DR898"/>
      <c r="DS898"/>
      <c r="DT898"/>
      <c r="DU898"/>
      <c r="DV898"/>
      <c r="DW898"/>
      <c r="DX898"/>
      <c r="DY898"/>
      <c r="DZ898"/>
      <c r="EA898"/>
      <c r="EB898"/>
      <c r="EC898"/>
      <c r="ED898"/>
      <c r="EE898"/>
      <c r="EF898"/>
      <c r="EG898"/>
      <c r="EH898"/>
      <c r="EI898"/>
      <c r="EJ898"/>
      <c r="EK898"/>
      <c r="EL898"/>
      <c r="EM898"/>
      <c r="EN898"/>
      <c r="EO898"/>
      <c r="EP898"/>
      <c r="EQ898"/>
      <c r="ER898"/>
      <c r="ES898"/>
      <c r="ET898"/>
      <c r="EU898"/>
      <c r="EV898"/>
      <c r="EW898"/>
      <c r="EX898"/>
      <c r="EY898"/>
      <c r="EZ898"/>
      <c r="FA898"/>
      <c r="FB898"/>
      <c r="FC898"/>
      <c r="FD898"/>
      <c r="FE898"/>
      <c r="FF898"/>
      <c r="FG898"/>
      <c r="FH898"/>
      <c r="FI898"/>
      <c r="FJ898"/>
      <c r="FK898"/>
      <c r="FL898"/>
      <c r="FM898"/>
      <c r="FN898"/>
      <c r="FO898"/>
      <c r="FP898"/>
      <c r="FQ898"/>
      <c r="FR898"/>
      <c r="FS898"/>
      <c r="FT898"/>
      <c r="FU898"/>
      <c r="FV898"/>
      <c r="FW898"/>
      <c r="FX898"/>
      <c r="FY898"/>
      <c r="FZ898"/>
      <c r="GA898"/>
      <c r="GB898"/>
      <c r="GC898"/>
      <c r="GD898"/>
      <c r="GE898"/>
      <c r="GF898"/>
      <c r="GG898"/>
      <c r="GH898"/>
      <c r="GI898"/>
      <c r="GJ898"/>
      <c r="GK898"/>
      <c r="GL898"/>
      <c r="GM898"/>
      <c r="GN898"/>
      <c r="GO898"/>
      <c r="GP898"/>
      <c r="GQ898"/>
      <c r="GR898"/>
      <c r="GS898"/>
      <c r="GT898"/>
      <c r="GU898"/>
      <c r="GV898"/>
      <c r="GW898"/>
      <c r="GX898"/>
      <c r="GY898"/>
      <c r="GZ898"/>
      <c r="HA898"/>
      <c r="HB898"/>
      <c r="HC898"/>
      <c r="HD898"/>
      <c r="HE898"/>
      <c r="HF898"/>
      <c r="HG898"/>
      <c r="HH898"/>
      <c r="HI898"/>
      <c r="HJ898"/>
      <c r="HK898"/>
      <c r="HL898"/>
      <c r="HM898"/>
      <c r="HN898"/>
      <c r="HO898"/>
      <c r="HP898"/>
      <c r="HQ898"/>
      <c r="HR898"/>
      <c r="HS898"/>
      <c r="HT898"/>
      <c r="HU898"/>
      <c r="HV898"/>
      <c r="HW898"/>
      <c r="HX898"/>
      <c r="HY898"/>
      <c r="HZ898"/>
      <c r="IA898"/>
      <c r="IB898"/>
      <c r="IC898"/>
      <c r="ID898"/>
      <c r="IE898"/>
      <c r="IF898"/>
      <c r="IG898"/>
      <c r="IH898"/>
      <c r="II898"/>
      <c r="IJ898"/>
    </row>
    <row r="899" spans="1:244" ht="30" customHeight="1" x14ac:dyDescent="0.2">
      <c r="A899" s="1155"/>
      <c r="B899" s="2116" t="s">
        <v>1966</v>
      </c>
      <c r="C899" s="2075">
        <v>200000</v>
      </c>
      <c r="D899" s="2075">
        <v>200000</v>
      </c>
      <c r="E899" s="2075"/>
      <c r="F899" s="2075"/>
      <c r="G899" s="2200"/>
      <c r="H899" s="2200"/>
      <c r="I899" s="2201"/>
      <c r="J899"/>
      <c r="K899"/>
      <c r="L899"/>
      <c r="M899"/>
      <c r="N899"/>
      <c r="O899"/>
      <c r="P899"/>
      <c r="Q899"/>
      <c r="R899"/>
      <c r="S899"/>
      <c r="T899"/>
      <c r="U899"/>
      <c r="V899"/>
      <c r="W899"/>
      <c r="X899"/>
      <c r="Y899"/>
      <c r="Z899"/>
      <c r="AA899"/>
      <c r="AB899"/>
      <c r="AC899"/>
      <c r="AD899"/>
      <c r="AE899"/>
      <c r="AF899"/>
      <c r="AG899"/>
      <c r="AH899"/>
      <c r="AI899"/>
      <c r="AJ899"/>
      <c r="AK899"/>
      <c r="AL899"/>
      <c r="AM899"/>
      <c r="AN899"/>
      <c r="AO899"/>
      <c r="AP899"/>
      <c r="AQ899"/>
      <c r="AR899"/>
      <c r="AS899"/>
      <c r="AT899"/>
      <c r="AU899"/>
      <c r="AV899"/>
      <c r="AW899"/>
      <c r="AX899"/>
      <c r="AY899"/>
      <c r="AZ899"/>
      <c r="BA899"/>
      <c r="BB899"/>
      <c r="BC899"/>
      <c r="BD899"/>
      <c r="BE899"/>
      <c r="BF899"/>
      <c r="BG899"/>
      <c r="BH899"/>
      <c r="BI899"/>
      <c r="BJ899"/>
      <c r="BK899"/>
      <c r="BL899"/>
      <c r="BM899"/>
      <c r="BN899"/>
      <c r="BO899"/>
      <c r="BP899"/>
      <c r="BQ899"/>
      <c r="BR899"/>
      <c r="BS899"/>
      <c r="BT899"/>
      <c r="BU899"/>
      <c r="BV899"/>
      <c r="BW899"/>
      <c r="BX899"/>
      <c r="BY899"/>
      <c r="BZ899"/>
      <c r="CA899"/>
      <c r="CB899"/>
      <c r="CC899"/>
      <c r="CD899"/>
      <c r="CE899"/>
      <c r="CF899"/>
      <c r="CG899"/>
      <c r="CH899"/>
      <c r="CI899"/>
      <c r="CJ899"/>
      <c r="CK899"/>
      <c r="CL899"/>
      <c r="CM899"/>
      <c r="CN899"/>
      <c r="CO899"/>
      <c r="CP899"/>
      <c r="CQ899"/>
      <c r="CR899"/>
      <c r="CS899"/>
      <c r="CT899"/>
      <c r="CU899"/>
      <c r="CV899"/>
      <c r="CW899"/>
      <c r="CX899"/>
      <c r="CY899"/>
      <c r="CZ899"/>
      <c r="DA899"/>
      <c r="DB899"/>
      <c r="DC899"/>
      <c r="DD899"/>
      <c r="DE899"/>
      <c r="DF899"/>
      <c r="DG899"/>
      <c r="DH899"/>
      <c r="DI899"/>
      <c r="DJ899"/>
      <c r="DK899"/>
      <c r="DL899"/>
      <c r="DM899"/>
      <c r="DN899"/>
      <c r="DO899"/>
      <c r="DP899"/>
      <c r="DQ899"/>
      <c r="DR899"/>
      <c r="DS899"/>
      <c r="DT899"/>
      <c r="DU899"/>
      <c r="DV899"/>
      <c r="DW899"/>
      <c r="DX899"/>
      <c r="DY899"/>
      <c r="DZ899"/>
      <c r="EA899"/>
      <c r="EB899"/>
      <c r="EC899"/>
      <c r="ED899"/>
      <c r="EE899"/>
      <c r="EF899"/>
      <c r="EG899"/>
      <c r="EH899"/>
      <c r="EI899"/>
      <c r="EJ899"/>
      <c r="EK899"/>
      <c r="EL899"/>
      <c r="EM899"/>
      <c r="EN899"/>
      <c r="EO899"/>
      <c r="EP899"/>
      <c r="EQ899"/>
      <c r="ER899"/>
      <c r="ES899"/>
      <c r="ET899"/>
      <c r="EU899"/>
      <c r="EV899"/>
      <c r="EW899"/>
      <c r="EX899"/>
      <c r="EY899"/>
      <c r="EZ899"/>
      <c r="FA899"/>
      <c r="FB899"/>
      <c r="FC899"/>
      <c r="FD899"/>
      <c r="FE899"/>
      <c r="FF899"/>
      <c r="FG899"/>
      <c r="FH899"/>
      <c r="FI899"/>
      <c r="FJ899"/>
      <c r="FK899"/>
      <c r="FL899"/>
      <c r="FM899"/>
      <c r="FN899"/>
      <c r="FO899"/>
      <c r="FP899"/>
      <c r="FQ899"/>
      <c r="FR899"/>
      <c r="FS899"/>
      <c r="FT899"/>
      <c r="FU899"/>
      <c r="FV899"/>
      <c r="FW899"/>
      <c r="FX899"/>
      <c r="FY899"/>
      <c r="FZ899"/>
      <c r="GA899"/>
      <c r="GB899"/>
      <c r="GC899"/>
      <c r="GD899"/>
      <c r="GE899"/>
      <c r="GF899"/>
      <c r="GG899"/>
      <c r="GH899"/>
      <c r="GI899"/>
      <c r="GJ899"/>
      <c r="GK899"/>
      <c r="GL899"/>
      <c r="GM899"/>
      <c r="GN899"/>
      <c r="GO899"/>
      <c r="GP899"/>
      <c r="GQ899"/>
      <c r="GR899"/>
      <c r="GS899"/>
      <c r="GT899"/>
      <c r="GU899"/>
      <c r="GV899"/>
      <c r="GW899"/>
      <c r="GX899"/>
      <c r="GY899"/>
      <c r="GZ899"/>
      <c r="HA899"/>
      <c r="HB899"/>
      <c r="HC899"/>
      <c r="HD899"/>
      <c r="HE899"/>
      <c r="HF899"/>
      <c r="HG899"/>
      <c r="HH899"/>
      <c r="HI899"/>
      <c r="HJ899"/>
      <c r="HK899"/>
      <c r="HL899"/>
      <c r="HM899"/>
      <c r="HN899"/>
      <c r="HO899"/>
      <c r="HP899"/>
      <c r="HQ899"/>
      <c r="HR899"/>
      <c r="HS899"/>
      <c r="HT899"/>
      <c r="HU899"/>
      <c r="HV899"/>
      <c r="HW899"/>
      <c r="HX899"/>
      <c r="HY899"/>
      <c r="HZ899"/>
      <c r="IA899"/>
      <c r="IB899"/>
      <c r="IC899"/>
      <c r="ID899"/>
      <c r="IE899"/>
      <c r="IF899"/>
      <c r="IG899"/>
      <c r="IH899"/>
      <c r="II899"/>
      <c r="IJ899"/>
    </row>
    <row r="900" spans="1:244" ht="30" customHeight="1" x14ac:dyDescent="0.2">
      <c r="A900" s="1155"/>
      <c r="B900" s="2126" t="s">
        <v>1967</v>
      </c>
      <c r="C900" s="2075">
        <v>350000</v>
      </c>
      <c r="D900" s="2075">
        <v>350000</v>
      </c>
      <c r="E900" s="2075"/>
      <c r="F900" s="2075"/>
      <c r="G900" s="2200"/>
      <c r="H900" s="2200"/>
      <c r="I900" s="2201"/>
      <c r="J900"/>
      <c r="K900"/>
      <c r="L900"/>
      <c r="M900"/>
      <c r="N900"/>
      <c r="O900"/>
      <c r="P900"/>
      <c r="Q900"/>
      <c r="R900"/>
      <c r="S900"/>
      <c r="T900"/>
      <c r="U900"/>
      <c r="V900"/>
      <c r="W900"/>
      <c r="X900"/>
      <c r="Y900"/>
      <c r="Z900"/>
      <c r="AA900"/>
      <c r="AB900"/>
      <c r="AC900"/>
      <c r="AD900"/>
      <c r="AE900"/>
      <c r="AF900"/>
      <c r="AG900"/>
      <c r="AH900"/>
      <c r="AI900"/>
      <c r="AJ900"/>
      <c r="AK900"/>
      <c r="AL900"/>
      <c r="AM900"/>
      <c r="AN900"/>
      <c r="AO900"/>
      <c r="AP900"/>
      <c r="AQ900"/>
      <c r="AR900"/>
      <c r="AS900"/>
      <c r="AT900"/>
      <c r="AU900"/>
      <c r="AV900"/>
      <c r="AW900"/>
      <c r="AX900"/>
      <c r="AY900"/>
      <c r="AZ900"/>
      <c r="BA900"/>
      <c r="BB900"/>
      <c r="BC900"/>
      <c r="BD900"/>
      <c r="BE900"/>
      <c r="BF900"/>
      <c r="BG900"/>
      <c r="BH900"/>
      <c r="BI900"/>
      <c r="BJ900"/>
      <c r="BK900"/>
      <c r="BL900"/>
      <c r="BM900"/>
      <c r="BN900"/>
      <c r="BO900"/>
      <c r="BP900"/>
      <c r="BQ900"/>
      <c r="BR900"/>
      <c r="BS900"/>
      <c r="BT900"/>
      <c r="BU900"/>
      <c r="BV900"/>
      <c r="BW900"/>
      <c r="BX900"/>
      <c r="BY900"/>
      <c r="BZ900"/>
      <c r="CA900"/>
      <c r="CB900"/>
      <c r="CC900"/>
      <c r="CD900"/>
      <c r="CE900"/>
      <c r="CF900"/>
      <c r="CG900"/>
      <c r="CH900"/>
      <c r="CI900"/>
      <c r="CJ900"/>
      <c r="CK900"/>
      <c r="CL900"/>
      <c r="CM900"/>
      <c r="CN900"/>
      <c r="CO900"/>
      <c r="CP900"/>
      <c r="CQ900"/>
      <c r="CR900"/>
      <c r="CS900"/>
      <c r="CT900"/>
      <c r="CU900"/>
      <c r="CV900"/>
      <c r="CW900"/>
      <c r="CX900"/>
      <c r="CY900"/>
      <c r="CZ900"/>
      <c r="DA900"/>
      <c r="DB900"/>
      <c r="DC900"/>
      <c r="DD900"/>
      <c r="DE900"/>
      <c r="DF900"/>
      <c r="DG900"/>
      <c r="DH900"/>
      <c r="DI900"/>
      <c r="DJ900"/>
      <c r="DK900"/>
      <c r="DL900"/>
      <c r="DM900"/>
      <c r="DN900"/>
      <c r="DO900"/>
      <c r="DP900"/>
      <c r="DQ900"/>
      <c r="DR900"/>
      <c r="DS900"/>
      <c r="DT900"/>
      <c r="DU900"/>
      <c r="DV900"/>
      <c r="DW900"/>
      <c r="DX900"/>
      <c r="DY900"/>
      <c r="DZ900"/>
      <c r="EA900"/>
      <c r="EB900"/>
      <c r="EC900"/>
      <c r="ED900"/>
      <c r="EE900"/>
      <c r="EF900"/>
      <c r="EG900"/>
      <c r="EH900"/>
      <c r="EI900"/>
      <c r="EJ900"/>
      <c r="EK900"/>
      <c r="EL900"/>
      <c r="EM900"/>
      <c r="EN900"/>
      <c r="EO900"/>
      <c r="EP900"/>
      <c r="EQ900"/>
      <c r="ER900"/>
      <c r="ES900"/>
      <c r="ET900"/>
      <c r="EU900"/>
      <c r="EV900"/>
      <c r="EW900"/>
      <c r="EX900"/>
      <c r="EY900"/>
      <c r="EZ900"/>
      <c r="FA900"/>
      <c r="FB900"/>
      <c r="FC900"/>
      <c r="FD900"/>
      <c r="FE900"/>
      <c r="FF900"/>
      <c r="FG900"/>
      <c r="FH900"/>
      <c r="FI900"/>
      <c r="FJ900"/>
      <c r="FK900"/>
      <c r="FL900"/>
      <c r="FM900"/>
      <c r="FN900"/>
      <c r="FO900"/>
      <c r="FP900"/>
      <c r="FQ900"/>
      <c r="FR900"/>
      <c r="FS900"/>
      <c r="FT900"/>
      <c r="FU900"/>
      <c r="FV900"/>
      <c r="FW900"/>
      <c r="FX900"/>
      <c r="FY900"/>
      <c r="FZ900"/>
      <c r="GA900"/>
      <c r="GB900"/>
      <c r="GC900"/>
      <c r="GD900"/>
      <c r="GE900"/>
      <c r="GF900"/>
      <c r="GG900"/>
      <c r="GH900"/>
      <c r="GI900"/>
      <c r="GJ900"/>
      <c r="GK900"/>
      <c r="GL900"/>
      <c r="GM900"/>
      <c r="GN900"/>
      <c r="GO900"/>
      <c r="GP900"/>
      <c r="GQ900"/>
      <c r="GR900"/>
      <c r="GS900"/>
      <c r="GT900"/>
      <c r="GU900"/>
      <c r="GV900"/>
      <c r="GW900"/>
      <c r="GX900"/>
      <c r="GY900"/>
      <c r="GZ900"/>
      <c r="HA900"/>
      <c r="HB900"/>
      <c r="HC900"/>
      <c r="HD900"/>
      <c r="HE900"/>
      <c r="HF900"/>
      <c r="HG900"/>
      <c r="HH900"/>
      <c r="HI900"/>
      <c r="HJ900"/>
      <c r="HK900"/>
      <c r="HL900"/>
      <c r="HM900"/>
      <c r="HN900"/>
      <c r="HO900"/>
      <c r="HP900"/>
      <c r="HQ900"/>
      <c r="HR900"/>
      <c r="HS900"/>
      <c r="HT900"/>
      <c r="HU900"/>
      <c r="HV900"/>
      <c r="HW900"/>
      <c r="HX900"/>
      <c r="HY900"/>
      <c r="HZ900"/>
      <c r="IA900"/>
      <c r="IB900"/>
      <c r="IC900"/>
      <c r="ID900"/>
      <c r="IE900"/>
      <c r="IF900"/>
      <c r="IG900"/>
      <c r="IH900"/>
      <c r="II900"/>
      <c r="IJ900"/>
    </row>
    <row r="901" spans="1:244" ht="30" customHeight="1" x14ac:dyDescent="0.2">
      <c r="A901" s="1155"/>
      <c r="B901" s="2083" t="s">
        <v>1969</v>
      </c>
      <c r="C901" s="2075">
        <v>2300000</v>
      </c>
      <c r="D901" s="2075">
        <v>2300000</v>
      </c>
      <c r="E901" s="2075"/>
      <c r="F901" s="2075"/>
      <c r="G901" s="2200"/>
      <c r="H901" s="2200"/>
      <c r="I901" s="2201"/>
      <c r="J901"/>
      <c r="K901"/>
      <c r="L901"/>
      <c r="M901"/>
      <c r="N901"/>
      <c r="O901"/>
      <c r="P901"/>
      <c r="Q901"/>
      <c r="R901"/>
      <c r="S901"/>
      <c r="T901"/>
      <c r="U901"/>
      <c r="V901"/>
      <c r="W901"/>
      <c r="X901"/>
      <c r="Y901"/>
      <c r="Z901"/>
      <c r="AA901"/>
      <c r="AB901"/>
      <c r="AC901"/>
      <c r="AD901"/>
      <c r="AE901"/>
      <c r="AF901"/>
      <c r="AG901"/>
      <c r="AH901"/>
      <c r="AI901"/>
      <c r="AJ901"/>
      <c r="AK901"/>
      <c r="AL901"/>
      <c r="AM901"/>
      <c r="AN901"/>
      <c r="AO901"/>
      <c r="AP901"/>
      <c r="AQ901"/>
      <c r="AR901"/>
      <c r="AS901"/>
      <c r="AT901"/>
      <c r="AU901"/>
      <c r="AV901"/>
      <c r="AW901"/>
      <c r="AX901"/>
      <c r="AY901"/>
      <c r="AZ901"/>
      <c r="BA901"/>
      <c r="BB901"/>
      <c r="BC901"/>
      <c r="BD901"/>
      <c r="BE901"/>
      <c r="BF901"/>
      <c r="BG901"/>
      <c r="BH901"/>
      <c r="BI901"/>
      <c r="BJ901"/>
      <c r="BK901"/>
      <c r="BL901"/>
      <c r="BM901"/>
      <c r="BN901"/>
      <c r="BO901"/>
      <c r="BP901"/>
      <c r="BQ901"/>
      <c r="BR901"/>
      <c r="BS901"/>
      <c r="BT901"/>
      <c r="BU901"/>
      <c r="BV901"/>
      <c r="BW901"/>
      <c r="BX901"/>
      <c r="BY901"/>
      <c r="BZ901"/>
      <c r="CA901"/>
      <c r="CB901"/>
      <c r="CC901"/>
      <c r="CD901"/>
      <c r="CE901"/>
      <c r="CF901"/>
      <c r="CG901"/>
      <c r="CH901"/>
      <c r="CI901"/>
      <c r="CJ901"/>
      <c r="CK901"/>
      <c r="CL901"/>
      <c r="CM901"/>
      <c r="CN901"/>
      <c r="CO901"/>
      <c r="CP901"/>
      <c r="CQ901"/>
      <c r="CR901"/>
      <c r="CS901"/>
      <c r="CT901"/>
      <c r="CU901"/>
      <c r="CV901"/>
      <c r="CW901"/>
      <c r="CX901"/>
      <c r="CY901"/>
      <c r="CZ901"/>
      <c r="DA901"/>
      <c r="DB901"/>
      <c r="DC901"/>
      <c r="DD901"/>
      <c r="DE901"/>
      <c r="DF901"/>
      <c r="DG901"/>
      <c r="DH901"/>
      <c r="DI901"/>
      <c r="DJ901"/>
      <c r="DK901"/>
      <c r="DL901"/>
      <c r="DM901"/>
      <c r="DN901"/>
      <c r="DO901"/>
      <c r="DP901"/>
      <c r="DQ901"/>
      <c r="DR901"/>
      <c r="DS901"/>
      <c r="DT901"/>
      <c r="DU901"/>
      <c r="DV901"/>
      <c r="DW901"/>
      <c r="DX901"/>
      <c r="DY901"/>
      <c r="DZ901"/>
      <c r="EA901"/>
      <c r="EB901"/>
      <c r="EC901"/>
      <c r="ED901"/>
      <c r="EE901"/>
      <c r="EF901"/>
      <c r="EG901"/>
      <c r="EH901"/>
      <c r="EI901"/>
      <c r="EJ901"/>
      <c r="EK901"/>
      <c r="EL901"/>
      <c r="EM901"/>
      <c r="EN901"/>
      <c r="EO901"/>
      <c r="EP901"/>
      <c r="EQ901"/>
      <c r="ER901"/>
      <c r="ES901"/>
      <c r="ET901"/>
      <c r="EU901"/>
      <c r="EV901"/>
      <c r="EW901"/>
      <c r="EX901"/>
      <c r="EY901"/>
      <c r="EZ901"/>
      <c r="FA901"/>
      <c r="FB901"/>
      <c r="FC901"/>
      <c r="FD901"/>
      <c r="FE901"/>
      <c r="FF901"/>
      <c r="FG901"/>
      <c r="FH901"/>
      <c r="FI901"/>
      <c r="FJ901"/>
      <c r="FK901"/>
      <c r="FL901"/>
      <c r="FM901"/>
      <c r="FN901"/>
      <c r="FO901"/>
      <c r="FP901"/>
      <c r="FQ901"/>
      <c r="FR901"/>
      <c r="FS901"/>
      <c r="FT901"/>
      <c r="FU901"/>
      <c r="FV901"/>
      <c r="FW901"/>
      <c r="FX901"/>
      <c r="FY901"/>
      <c r="FZ901"/>
      <c r="GA901"/>
      <c r="GB901"/>
      <c r="GC901"/>
      <c r="GD901"/>
      <c r="GE901"/>
      <c r="GF901"/>
      <c r="GG901"/>
      <c r="GH901"/>
      <c r="GI901"/>
      <c r="GJ901"/>
      <c r="GK901"/>
      <c r="GL901"/>
      <c r="GM901"/>
      <c r="GN901"/>
      <c r="GO901"/>
      <c r="GP901"/>
      <c r="GQ901"/>
      <c r="GR901"/>
      <c r="GS901"/>
      <c r="GT901"/>
      <c r="GU901"/>
      <c r="GV901"/>
      <c r="GW901"/>
      <c r="GX901"/>
      <c r="GY901"/>
      <c r="GZ901"/>
      <c r="HA901"/>
      <c r="HB901"/>
      <c r="HC901"/>
      <c r="HD901"/>
      <c r="HE901"/>
      <c r="HF901"/>
      <c r="HG901"/>
      <c r="HH901"/>
      <c r="HI901"/>
      <c r="HJ901"/>
      <c r="HK901"/>
      <c r="HL901"/>
      <c r="HM901"/>
      <c r="HN901"/>
      <c r="HO901"/>
      <c r="HP901"/>
      <c r="HQ901"/>
      <c r="HR901"/>
      <c r="HS901"/>
      <c r="HT901"/>
      <c r="HU901"/>
      <c r="HV901"/>
      <c r="HW901"/>
      <c r="HX901"/>
      <c r="HY901"/>
      <c r="HZ901"/>
      <c r="IA901"/>
      <c r="IB901"/>
      <c r="IC901"/>
      <c r="ID901"/>
      <c r="IE901"/>
      <c r="IF901"/>
      <c r="IG901"/>
      <c r="IH901"/>
      <c r="II901"/>
      <c r="IJ901"/>
    </row>
    <row r="902" spans="1:244" ht="30" customHeight="1" x14ac:dyDescent="0.2">
      <c r="A902" s="1155"/>
      <c r="B902" s="2083" t="s">
        <v>2554</v>
      </c>
      <c r="C902" s="2075">
        <v>200000</v>
      </c>
      <c r="D902" s="2075">
        <v>200000</v>
      </c>
      <c r="E902" s="2075"/>
      <c r="F902" s="2075"/>
      <c r="G902" s="2200"/>
      <c r="H902" s="2200"/>
      <c r="I902" s="2201"/>
      <c r="J902"/>
      <c r="K902"/>
      <c r="L902"/>
      <c r="M902"/>
      <c r="N902"/>
      <c r="O902"/>
      <c r="P902"/>
      <c r="Q902"/>
      <c r="R902"/>
      <c r="S902"/>
      <c r="T902"/>
      <c r="U902"/>
      <c r="V902"/>
      <c r="W902"/>
      <c r="X902"/>
      <c r="Y902"/>
      <c r="Z902"/>
      <c r="AA902"/>
      <c r="AB902"/>
      <c r="AC902"/>
      <c r="AD902"/>
      <c r="AE902"/>
      <c r="AF902"/>
      <c r="AG902"/>
      <c r="AH902"/>
      <c r="AI902"/>
      <c r="AJ902"/>
      <c r="AK902"/>
      <c r="AL902"/>
      <c r="AM902"/>
      <c r="AN902"/>
      <c r="AO902"/>
      <c r="AP902"/>
      <c r="AQ902"/>
      <c r="AR902"/>
      <c r="AS902"/>
      <c r="AT902"/>
      <c r="AU902"/>
      <c r="AV902"/>
      <c r="AW902"/>
      <c r="AX902"/>
      <c r="AY902"/>
      <c r="AZ902"/>
      <c r="BA902"/>
      <c r="BB902"/>
      <c r="BC902"/>
      <c r="BD902"/>
      <c r="BE902"/>
      <c r="BF902"/>
      <c r="BG902"/>
      <c r="BH902"/>
      <c r="BI902"/>
      <c r="BJ902"/>
      <c r="BK902"/>
      <c r="BL902"/>
      <c r="BM902"/>
      <c r="BN902"/>
      <c r="BO902"/>
      <c r="BP902"/>
      <c r="BQ902"/>
      <c r="BR902"/>
      <c r="BS902"/>
      <c r="BT902"/>
      <c r="BU902"/>
      <c r="BV902"/>
      <c r="BW902"/>
      <c r="BX902"/>
      <c r="BY902"/>
      <c r="BZ902"/>
      <c r="CA902"/>
      <c r="CB902"/>
      <c r="CC902"/>
      <c r="CD902"/>
      <c r="CE902"/>
      <c r="CF902"/>
      <c r="CG902"/>
      <c r="CH902"/>
      <c r="CI902"/>
      <c r="CJ902"/>
      <c r="CK902"/>
      <c r="CL902"/>
      <c r="CM902"/>
      <c r="CN902"/>
      <c r="CO902"/>
      <c r="CP902"/>
      <c r="CQ902"/>
      <c r="CR902"/>
      <c r="CS902"/>
      <c r="CT902"/>
      <c r="CU902"/>
      <c r="CV902"/>
      <c r="CW902"/>
      <c r="CX902"/>
      <c r="CY902"/>
      <c r="CZ902"/>
      <c r="DA902"/>
      <c r="DB902"/>
      <c r="DC902"/>
      <c r="DD902"/>
      <c r="DE902"/>
      <c r="DF902"/>
      <c r="DG902"/>
      <c r="DH902"/>
      <c r="DI902"/>
      <c r="DJ902"/>
      <c r="DK902"/>
      <c r="DL902"/>
      <c r="DM902"/>
      <c r="DN902"/>
      <c r="DO902"/>
      <c r="DP902"/>
      <c r="DQ902"/>
      <c r="DR902"/>
      <c r="DS902"/>
      <c r="DT902"/>
      <c r="DU902"/>
      <c r="DV902"/>
      <c r="DW902"/>
      <c r="DX902"/>
      <c r="DY902"/>
      <c r="DZ902"/>
      <c r="EA902"/>
      <c r="EB902"/>
      <c r="EC902"/>
      <c r="ED902"/>
      <c r="EE902"/>
      <c r="EF902"/>
      <c r="EG902"/>
      <c r="EH902"/>
      <c r="EI902"/>
      <c r="EJ902"/>
      <c r="EK902"/>
      <c r="EL902"/>
      <c r="EM902"/>
      <c r="EN902"/>
      <c r="EO902"/>
      <c r="EP902"/>
      <c r="EQ902"/>
      <c r="ER902"/>
      <c r="ES902"/>
      <c r="ET902"/>
      <c r="EU902"/>
      <c r="EV902"/>
      <c r="EW902"/>
      <c r="EX902"/>
      <c r="EY902"/>
      <c r="EZ902"/>
      <c r="FA902"/>
      <c r="FB902"/>
      <c r="FC902"/>
      <c r="FD902"/>
      <c r="FE902"/>
      <c r="FF902"/>
      <c r="FG902"/>
      <c r="FH902"/>
      <c r="FI902"/>
      <c r="FJ902"/>
      <c r="FK902"/>
      <c r="FL902"/>
      <c r="FM902"/>
      <c r="FN902"/>
      <c r="FO902"/>
      <c r="FP902"/>
      <c r="FQ902"/>
      <c r="FR902"/>
      <c r="FS902"/>
      <c r="FT902"/>
      <c r="FU902"/>
      <c r="FV902"/>
      <c r="FW902"/>
      <c r="FX902"/>
      <c r="FY902"/>
      <c r="FZ902"/>
      <c r="GA902"/>
      <c r="GB902"/>
      <c r="GC902"/>
      <c r="GD902"/>
      <c r="GE902"/>
      <c r="GF902"/>
      <c r="GG902"/>
      <c r="GH902"/>
      <c r="GI902"/>
      <c r="GJ902"/>
      <c r="GK902"/>
      <c r="GL902"/>
      <c r="GM902"/>
      <c r="GN902"/>
      <c r="GO902"/>
      <c r="GP902"/>
      <c r="GQ902"/>
      <c r="GR902"/>
      <c r="GS902"/>
      <c r="GT902"/>
      <c r="GU902"/>
      <c r="GV902"/>
      <c r="GW902"/>
      <c r="GX902"/>
      <c r="GY902"/>
      <c r="GZ902"/>
      <c r="HA902"/>
      <c r="HB902"/>
      <c r="HC902"/>
      <c r="HD902"/>
      <c r="HE902"/>
      <c r="HF902"/>
      <c r="HG902"/>
      <c r="HH902"/>
      <c r="HI902"/>
      <c r="HJ902"/>
      <c r="HK902"/>
      <c r="HL902"/>
      <c r="HM902"/>
      <c r="HN902"/>
      <c r="HO902"/>
      <c r="HP902"/>
      <c r="HQ902"/>
      <c r="HR902"/>
      <c r="HS902"/>
      <c r="HT902"/>
      <c r="HU902"/>
      <c r="HV902"/>
      <c r="HW902"/>
      <c r="HX902"/>
      <c r="HY902"/>
      <c r="HZ902"/>
      <c r="IA902"/>
      <c r="IB902"/>
      <c r="IC902"/>
      <c r="ID902"/>
      <c r="IE902"/>
      <c r="IF902"/>
      <c r="IG902"/>
      <c r="IH902"/>
      <c r="II902"/>
      <c r="IJ902"/>
    </row>
    <row r="903" spans="1:244" ht="30" customHeight="1" x14ac:dyDescent="0.2">
      <c r="A903" s="1155"/>
      <c r="B903" s="2126" t="s">
        <v>1970</v>
      </c>
      <c r="C903" s="2075">
        <v>0</v>
      </c>
      <c r="D903" s="2075">
        <v>0</v>
      </c>
      <c r="E903" s="2075"/>
      <c r="F903" s="2075"/>
      <c r="G903" s="2200"/>
      <c r="H903" s="2200"/>
      <c r="I903" s="2201"/>
      <c r="J903"/>
      <c r="K903"/>
      <c r="L903"/>
      <c r="M903"/>
      <c r="N903"/>
      <c r="O903"/>
      <c r="P903"/>
      <c r="Q903"/>
      <c r="R903"/>
      <c r="S903"/>
      <c r="T903"/>
      <c r="U903"/>
      <c r="V903"/>
      <c r="W903"/>
      <c r="X903"/>
      <c r="Y903"/>
      <c r="Z903"/>
      <c r="AA903"/>
      <c r="AB903"/>
      <c r="AC903"/>
      <c r="AD903"/>
      <c r="AE903"/>
      <c r="AF903"/>
      <c r="AG903"/>
      <c r="AH903"/>
      <c r="AI903"/>
      <c r="AJ903"/>
      <c r="AK903"/>
      <c r="AL903"/>
      <c r="AM903"/>
      <c r="AN903"/>
      <c r="AO903"/>
      <c r="AP903"/>
      <c r="AQ903"/>
      <c r="AR903"/>
      <c r="AS903"/>
      <c r="AT903"/>
      <c r="AU903"/>
      <c r="AV903"/>
      <c r="AW903"/>
      <c r="AX903"/>
      <c r="AY903"/>
      <c r="AZ903"/>
      <c r="BA903"/>
      <c r="BB903"/>
      <c r="BC903"/>
      <c r="BD903"/>
      <c r="BE903"/>
      <c r="BF903"/>
      <c r="BG903"/>
      <c r="BH903"/>
      <c r="BI903"/>
      <c r="BJ903"/>
      <c r="BK903"/>
      <c r="BL903"/>
      <c r="BM903"/>
      <c r="BN903"/>
      <c r="BO903"/>
      <c r="BP903"/>
      <c r="BQ903"/>
      <c r="BR903"/>
      <c r="BS903"/>
      <c r="BT903"/>
      <c r="BU903"/>
      <c r="BV903"/>
      <c r="BW903"/>
      <c r="BX903"/>
      <c r="BY903"/>
      <c r="BZ903"/>
      <c r="CA903"/>
      <c r="CB903"/>
      <c r="CC903"/>
      <c r="CD903"/>
      <c r="CE903"/>
      <c r="CF903"/>
      <c r="CG903"/>
      <c r="CH903"/>
      <c r="CI903"/>
      <c r="CJ903"/>
      <c r="CK903"/>
      <c r="CL903"/>
      <c r="CM903"/>
      <c r="CN903"/>
      <c r="CO903"/>
      <c r="CP903"/>
      <c r="CQ903"/>
      <c r="CR903"/>
      <c r="CS903"/>
      <c r="CT903"/>
      <c r="CU903"/>
      <c r="CV903"/>
      <c r="CW903"/>
      <c r="CX903"/>
      <c r="CY903"/>
      <c r="CZ903"/>
      <c r="DA903"/>
      <c r="DB903"/>
      <c r="DC903"/>
      <c r="DD903"/>
      <c r="DE903"/>
      <c r="DF903"/>
      <c r="DG903"/>
      <c r="DH903"/>
      <c r="DI903"/>
      <c r="DJ903"/>
      <c r="DK903"/>
      <c r="DL903"/>
      <c r="DM903"/>
      <c r="DN903"/>
      <c r="DO903"/>
      <c r="DP903"/>
      <c r="DQ903"/>
      <c r="DR903"/>
      <c r="DS903"/>
      <c r="DT903"/>
      <c r="DU903"/>
      <c r="DV903"/>
      <c r="DW903"/>
      <c r="DX903"/>
      <c r="DY903"/>
      <c r="DZ903"/>
      <c r="EA903"/>
      <c r="EB903"/>
      <c r="EC903"/>
      <c r="ED903"/>
      <c r="EE903"/>
      <c r="EF903"/>
      <c r="EG903"/>
      <c r="EH903"/>
      <c r="EI903"/>
      <c r="EJ903"/>
      <c r="EK903"/>
      <c r="EL903"/>
      <c r="EM903"/>
      <c r="EN903"/>
      <c r="EO903"/>
      <c r="EP903"/>
      <c r="EQ903"/>
      <c r="ER903"/>
      <c r="ES903"/>
      <c r="ET903"/>
      <c r="EU903"/>
      <c r="EV903"/>
      <c r="EW903"/>
      <c r="EX903"/>
      <c r="EY903"/>
      <c r="EZ903"/>
      <c r="FA903"/>
      <c r="FB903"/>
      <c r="FC903"/>
      <c r="FD903"/>
      <c r="FE903"/>
      <c r="FF903"/>
      <c r="FG903"/>
      <c r="FH903"/>
      <c r="FI903"/>
      <c r="FJ903"/>
      <c r="FK903"/>
      <c r="FL903"/>
      <c r="FM903"/>
      <c r="FN903"/>
      <c r="FO903"/>
      <c r="FP903"/>
      <c r="FQ903"/>
      <c r="FR903"/>
      <c r="FS903"/>
      <c r="FT903"/>
      <c r="FU903"/>
      <c r="FV903"/>
      <c r="FW903"/>
      <c r="FX903"/>
      <c r="FY903"/>
      <c r="FZ903"/>
      <c r="GA903"/>
      <c r="GB903"/>
      <c r="GC903"/>
      <c r="GD903"/>
      <c r="GE903"/>
      <c r="GF903"/>
      <c r="GG903"/>
      <c r="GH903"/>
      <c r="GI903"/>
      <c r="GJ903"/>
      <c r="GK903"/>
      <c r="GL903"/>
      <c r="GM903"/>
      <c r="GN903"/>
      <c r="GO903"/>
      <c r="GP903"/>
      <c r="GQ903"/>
      <c r="GR903"/>
      <c r="GS903"/>
      <c r="GT903"/>
      <c r="GU903"/>
      <c r="GV903"/>
      <c r="GW903"/>
      <c r="GX903"/>
      <c r="GY903"/>
      <c r="GZ903"/>
      <c r="HA903"/>
      <c r="HB903"/>
      <c r="HC903"/>
      <c r="HD903"/>
      <c r="HE903"/>
      <c r="HF903"/>
      <c r="HG903"/>
      <c r="HH903"/>
      <c r="HI903"/>
      <c r="HJ903"/>
      <c r="HK903"/>
      <c r="HL903"/>
      <c r="HM903"/>
      <c r="HN903"/>
      <c r="HO903"/>
      <c r="HP903"/>
      <c r="HQ903"/>
      <c r="HR903"/>
      <c r="HS903"/>
      <c r="HT903"/>
      <c r="HU903"/>
      <c r="HV903"/>
      <c r="HW903"/>
      <c r="HX903"/>
      <c r="HY903"/>
      <c r="HZ903"/>
      <c r="IA903"/>
      <c r="IB903"/>
      <c r="IC903"/>
      <c r="ID903"/>
      <c r="IE903"/>
      <c r="IF903"/>
      <c r="IG903"/>
      <c r="IH903"/>
      <c r="II903"/>
      <c r="IJ903"/>
    </row>
    <row r="904" spans="1:244" ht="30" customHeight="1" x14ac:dyDescent="0.2">
      <c r="A904" s="1155"/>
      <c r="B904" s="2088" t="s">
        <v>911</v>
      </c>
      <c r="C904" s="2075">
        <v>20000</v>
      </c>
      <c r="D904" s="2075">
        <v>20000</v>
      </c>
      <c r="E904" s="2075"/>
      <c r="F904" s="2075"/>
      <c r="G904" s="2200"/>
      <c r="H904" s="2200"/>
      <c r="I904" s="2201"/>
      <c r="J904"/>
      <c r="K904"/>
      <c r="L904"/>
      <c r="M904"/>
      <c r="N904"/>
      <c r="O904"/>
      <c r="P904"/>
      <c r="Q904"/>
      <c r="R904"/>
      <c r="S904"/>
      <c r="T904"/>
      <c r="U904"/>
      <c r="V904"/>
      <c r="W904"/>
      <c r="X904"/>
      <c r="Y904"/>
      <c r="Z904"/>
      <c r="AA904"/>
      <c r="AB904"/>
      <c r="AC904"/>
      <c r="AD904"/>
      <c r="AE904"/>
      <c r="AF904"/>
      <c r="AG904"/>
      <c r="AH904"/>
      <c r="AI904"/>
      <c r="AJ904"/>
      <c r="AK904"/>
      <c r="AL904"/>
      <c r="AM904"/>
      <c r="AN904"/>
      <c r="AO904"/>
      <c r="AP904"/>
      <c r="AQ904"/>
      <c r="AR904"/>
      <c r="AS904"/>
      <c r="AT904"/>
      <c r="AU904"/>
      <c r="AV904"/>
      <c r="AW904"/>
      <c r="AX904"/>
      <c r="AY904"/>
      <c r="AZ904"/>
      <c r="BA904"/>
      <c r="BB904"/>
      <c r="BC904"/>
      <c r="BD904"/>
      <c r="BE904"/>
      <c r="BF904"/>
      <c r="BG904"/>
      <c r="BH904"/>
      <c r="BI904"/>
      <c r="BJ904"/>
      <c r="BK904"/>
      <c r="BL904"/>
      <c r="BM904"/>
      <c r="BN904"/>
      <c r="BO904"/>
      <c r="BP904"/>
      <c r="BQ904"/>
      <c r="BR904"/>
      <c r="BS904"/>
      <c r="BT904"/>
      <c r="BU904"/>
      <c r="BV904"/>
      <c r="BW904"/>
      <c r="BX904"/>
      <c r="BY904"/>
      <c r="BZ904"/>
      <c r="CA904"/>
      <c r="CB904"/>
      <c r="CC904"/>
      <c r="CD904"/>
      <c r="CE904"/>
      <c r="CF904"/>
      <c r="CG904"/>
      <c r="CH904"/>
      <c r="CI904"/>
      <c r="CJ904"/>
      <c r="CK904"/>
      <c r="CL904"/>
      <c r="CM904"/>
      <c r="CN904"/>
      <c r="CO904"/>
      <c r="CP904"/>
      <c r="CQ904"/>
      <c r="CR904"/>
      <c r="CS904"/>
      <c r="CT904"/>
      <c r="CU904"/>
      <c r="CV904"/>
      <c r="CW904"/>
      <c r="CX904"/>
      <c r="CY904"/>
      <c r="CZ904"/>
      <c r="DA904"/>
      <c r="DB904"/>
      <c r="DC904"/>
      <c r="DD904"/>
      <c r="DE904"/>
      <c r="DF904"/>
      <c r="DG904"/>
      <c r="DH904"/>
      <c r="DI904"/>
      <c r="DJ904"/>
      <c r="DK904"/>
      <c r="DL904"/>
      <c r="DM904"/>
      <c r="DN904"/>
      <c r="DO904"/>
      <c r="DP904"/>
      <c r="DQ904"/>
      <c r="DR904"/>
      <c r="DS904"/>
      <c r="DT904"/>
      <c r="DU904"/>
      <c r="DV904"/>
      <c r="DW904"/>
      <c r="DX904"/>
      <c r="DY904"/>
      <c r="DZ904"/>
      <c r="EA904"/>
      <c r="EB904"/>
      <c r="EC904"/>
      <c r="ED904"/>
      <c r="EE904"/>
      <c r="EF904"/>
      <c r="EG904"/>
      <c r="EH904"/>
      <c r="EI904"/>
      <c r="EJ904"/>
      <c r="EK904"/>
      <c r="EL904"/>
      <c r="EM904"/>
      <c r="EN904"/>
      <c r="EO904"/>
      <c r="EP904"/>
      <c r="EQ904"/>
      <c r="ER904"/>
      <c r="ES904"/>
      <c r="ET904"/>
      <c r="EU904"/>
      <c r="EV904"/>
      <c r="EW904"/>
      <c r="EX904"/>
      <c r="EY904"/>
      <c r="EZ904"/>
      <c r="FA904"/>
      <c r="FB904"/>
      <c r="FC904"/>
      <c r="FD904"/>
      <c r="FE904"/>
      <c r="FF904"/>
      <c r="FG904"/>
      <c r="FH904"/>
      <c r="FI904"/>
      <c r="FJ904"/>
      <c r="FK904"/>
      <c r="FL904"/>
      <c r="FM904"/>
      <c r="FN904"/>
      <c r="FO904"/>
      <c r="FP904"/>
      <c r="FQ904"/>
      <c r="FR904"/>
      <c r="FS904"/>
      <c r="FT904"/>
      <c r="FU904"/>
      <c r="FV904"/>
      <c r="FW904"/>
      <c r="FX904"/>
      <c r="FY904"/>
      <c r="FZ904"/>
      <c r="GA904"/>
      <c r="GB904"/>
      <c r="GC904"/>
      <c r="GD904"/>
      <c r="GE904"/>
      <c r="GF904"/>
      <c r="GG904"/>
      <c r="GH904"/>
      <c r="GI904"/>
      <c r="GJ904"/>
      <c r="GK904"/>
      <c r="GL904"/>
      <c r="GM904"/>
      <c r="GN904"/>
      <c r="GO904"/>
      <c r="GP904"/>
      <c r="GQ904"/>
      <c r="GR904"/>
      <c r="GS904"/>
      <c r="GT904"/>
      <c r="GU904"/>
      <c r="GV904"/>
      <c r="GW904"/>
      <c r="GX904"/>
      <c r="GY904"/>
      <c r="GZ904"/>
      <c r="HA904"/>
      <c r="HB904"/>
      <c r="HC904"/>
      <c r="HD904"/>
      <c r="HE904"/>
      <c r="HF904"/>
      <c r="HG904"/>
      <c r="HH904"/>
      <c r="HI904"/>
      <c r="HJ904"/>
      <c r="HK904"/>
      <c r="HL904"/>
      <c r="HM904"/>
      <c r="HN904"/>
      <c r="HO904"/>
      <c r="HP904"/>
      <c r="HQ904"/>
      <c r="HR904"/>
      <c r="HS904"/>
      <c r="HT904"/>
      <c r="HU904"/>
      <c r="HV904"/>
      <c r="HW904"/>
      <c r="HX904"/>
      <c r="HY904"/>
      <c r="HZ904"/>
      <c r="IA904"/>
      <c r="IB904"/>
      <c r="IC904"/>
      <c r="ID904"/>
      <c r="IE904"/>
      <c r="IF904"/>
      <c r="IG904"/>
      <c r="IH904"/>
      <c r="II904"/>
      <c r="IJ904"/>
    </row>
    <row r="905" spans="1:244" ht="30" customHeight="1" x14ac:dyDescent="0.2">
      <c r="A905" s="1155"/>
      <c r="B905" s="2080" t="s">
        <v>1971</v>
      </c>
      <c r="C905" s="2075">
        <v>0</v>
      </c>
      <c r="D905" s="2075">
        <v>0</v>
      </c>
      <c r="E905" s="2075"/>
      <c r="F905" s="2075"/>
      <c r="G905" s="2200"/>
      <c r="H905" s="2200"/>
      <c r="I905" s="2201"/>
      <c r="J905"/>
      <c r="K905"/>
      <c r="L905"/>
      <c r="M905"/>
      <c r="N905"/>
      <c r="O905"/>
      <c r="P905"/>
      <c r="Q905"/>
      <c r="R905"/>
      <c r="S905"/>
      <c r="T905"/>
      <c r="U905"/>
      <c r="V905"/>
      <c r="W905"/>
      <c r="X905"/>
      <c r="Y905"/>
      <c r="Z905"/>
      <c r="AA905"/>
      <c r="AB905"/>
      <c r="AC905"/>
      <c r="AD905"/>
      <c r="AE905"/>
      <c r="AF905"/>
      <c r="AG905"/>
      <c r="AH905"/>
      <c r="AI905"/>
      <c r="AJ905"/>
      <c r="AK905"/>
      <c r="AL905"/>
      <c r="AM905"/>
      <c r="AN905"/>
      <c r="AO905"/>
      <c r="AP905"/>
      <c r="AQ905"/>
      <c r="AR905"/>
      <c r="AS905"/>
      <c r="AT905"/>
      <c r="AU905"/>
      <c r="AV905"/>
      <c r="AW905"/>
      <c r="AX905"/>
      <c r="AY905"/>
      <c r="AZ905"/>
      <c r="BA905"/>
      <c r="BB905"/>
      <c r="BC905"/>
      <c r="BD905"/>
      <c r="BE905"/>
      <c r="BF905"/>
      <c r="BG905"/>
      <c r="BH905"/>
      <c r="BI905"/>
      <c r="BJ905"/>
      <c r="BK905"/>
      <c r="BL905"/>
      <c r="BM905"/>
      <c r="BN905"/>
      <c r="BO905"/>
      <c r="BP905"/>
      <c r="BQ905"/>
      <c r="BR905"/>
      <c r="BS905"/>
      <c r="BT905"/>
      <c r="BU905"/>
      <c r="BV905"/>
      <c r="BW905"/>
      <c r="BX905"/>
      <c r="BY905"/>
      <c r="BZ905"/>
      <c r="CA905"/>
      <c r="CB905"/>
      <c r="CC905"/>
      <c r="CD905"/>
      <c r="CE905"/>
      <c r="CF905"/>
      <c r="CG905"/>
      <c r="CH905"/>
      <c r="CI905"/>
      <c r="CJ905"/>
      <c r="CK905"/>
      <c r="CL905"/>
      <c r="CM905"/>
      <c r="CN905"/>
      <c r="CO905"/>
      <c r="CP905"/>
      <c r="CQ905"/>
      <c r="CR905"/>
      <c r="CS905"/>
      <c r="CT905"/>
      <c r="CU905"/>
      <c r="CV905"/>
      <c r="CW905"/>
      <c r="CX905"/>
      <c r="CY905"/>
      <c r="CZ905"/>
      <c r="DA905"/>
      <c r="DB905"/>
      <c r="DC905"/>
      <c r="DD905"/>
      <c r="DE905"/>
      <c r="DF905"/>
      <c r="DG905"/>
      <c r="DH905"/>
      <c r="DI905"/>
      <c r="DJ905"/>
      <c r="DK905"/>
      <c r="DL905"/>
      <c r="DM905"/>
      <c r="DN905"/>
      <c r="DO905"/>
      <c r="DP905"/>
      <c r="DQ905"/>
      <c r="DR905"/>
      <c r="DS905"/>
      <c r="DT905"/>
      <c r="DU905"/>
      <c r="DV905"/>
      <c r="DW905"/>
      <c r="DX905"/>
      <c r="DY905"/>
      <c r="DZ905"/>
      <c r="EA905"/>
      <c r="EB905"/>
      <c r="EC905"/>
      <c r="ED905"/>
      <c r="EE905"/>
      <c r="EF905"/>
      <c r="EG905"/>
      <c r="EH905"/>
      <c r="EI905"/>
      <c r="EJ905"/>
      <c r="EK905"/>
      <c r="EL905"/>
      <c r="EM905"/>
      <c r="EN905"/>
      <c r="EO905"/>
      <c r="EP905"/>
      <c r="EQ905"/>
      <c r="ER905"/>
      <c r="ES905"/>
      <c r="ET905"/>
      <c r="EU905"/>
      <c r="EV905"/>
      <c r="EW905"/>
      <c r="EX905"/>
      <c r="EY905"/>
      <c r="EZ905"/>
      <c r="FA905"/>
      <c r="FB905"/>
      <c r="FC905"/>
      <c r="FD905"/>
      <c r="FE905"/>
      <c r="FF905"/>
      <c r="FG905"/>
      <c r="FH905"/>
      <c r="FI905"/>
      <c r="FJ905"/>
      <c r="FK905"/>
      <c r="FL905"/>
      <c r="FM905"/>
      <c r="FN905"/>
      <c r="FO905"/>
      <c r="FP905"/>
      <c r="FQ905"/>
      <c r="FR905"/>
      <c r="FS905"/>
      <c r="FT905"/>
      <c r="FU905"/>
      <c r="FV905"/>
      <c r="FW905"/>
      <c r="FX905"/>
      <c r="FY905"/>
      <c r="FZ905"/>
      <c r="GA905"/>
      <c r="GB905"/>
      <c r="GC905"/>
      <c r="GD905"/>
      <c r="GE905"/>
      <c r="GF905"/>
      <c r="GG905"/>
      <c r="GH905"/>
      <c r="GI905"/>
      <c r="GJ905"/>
      <c r="GK905"/>
      <c r="GL905"/>
      <c r="GM905"/>
      <c r="GN905"/>
      <c r="GO905"/>
      <c r="GP905"/>
      <c r="GQ905"/>
      <c r="GR905"/>
      <c r="GS905"/>
      <c r="GT905"/>
      <c r="GU905"/>
      <c r="GV905"/>
      <c r="GW905"/>
      <c r="GX905"/>
      <c r="GY905"/>
      <c r="GZ905"/>
      <c r="HA905"/>
      <c r="HB905"/>
      <c r="HC905"/>
      <c r="HD905"/>
      <c r="HE905"/>
      <c r="HF905"/>
      <c r="HG905"/>
      <c r="HH905"/>
      <c r="HI905"/>
      <c r="HJ905"/>
      <c r="HK905"/>
      <c r="HL905"/>
      <c r="HM905"/>
      <c r="HN905"/>
      <c r="HO905"/>
      <c r="HP905"/>
      <c r="HQ905"/>
      <c r="HR905"/>
      <c r="HS905"/>
      <c r="HT905"/>
      <c r="HU905"/>
      <c r="HV905"/>
      <c r="HW905"/>
      <c r="HX905"/>
      <c r="HY905"/>
      <c r="HZ905"/>
      <c r="IA905"/>
      <c r="IB905"/>
      <c r="IC905"/>
      <c r="ID905"/>
      <c r="IE905"/>
      <c r="IF905"/>
      <c r="IG905"/>
      <c r="IH905"/>
      <c r="II905"/>
      <c r="IJ905"/>
    </row>
    <row r="906" spans="1:244" ht="30" customHeight="1" x14ac:dyDescent="0.2">
      <c r="A906" s="2098"/>
      <c r="B906" s="2087" t="s">
        <v>913</v>
      </c>
      <c r="C906" s="2082">
        <f>C909+C911+C919+C907+C908</f>
        <v>5542000</v>
      </c>
      <c r="D906" s="2082">
        <f>D909+D911+D919+D907+D908</f>
        <v>6542000</v>
      </c>
      <c r="E906" s="2082"/>
      <c r="F906" s="2082"/>
      <c r="G906" s="2459"/>
      <c r="H906" s="2459"/>
      <c r="I906" s="2460"/>
      <c r="J906"/>
      <c r="K906"/>
      <c r="L906"/>
      <c r="M906"/>
      <c r="N906"/>
      <c r="O906"/>
      <c r="P906"/>
      <c r="Q906"/>
      <c r="R906"/>
      <c r="S906"/>
      <c r="T906"/>
      <c r="U906"/>
      <c r="V906"/>
      <c r="W906"/>
      <c r="X906"/>
      <c r="Y906"/>
      <c r="Z906"/>
      <c r="AA906"/>
      <c r="AB906"/>
      <c r="AC906"/>
      <c r="AD906"/>
      <c r="AE906"/>
      <c r="AF906"/>
      <c r="AG906"/>
      <c r="AH906"/>
      <c r="AI906"/>
      <c r="AJ906"/>
      <c r="AK906"/>
      <c r="AL906"/>
      <c r="AM906"/>
      <c r="AN906"/>
      <c r="AO906"/>
      <c r="AP906"/>
      <c r="AQ906"/>
      <c r="AR906"/>
      <c r="AS906"/>
      <c r="AT906"/>
      <c r="AU906"/>
      <c r="AV906"/>
      <c r="AW906"/>
      <c r="AX906"/>
      <c r="AY906"/>
      <c r="AZ906"/>
      <c r="BA906"/>
      <c r="BB906"/>
      <c r="BC906"/>
      <c r="BD906"/>
      <c r="BE906"/>
      <c r="BF906"/>
      <c r="BG906"/>
      <c r="BH906"/>
      <c r="BI906"/>
      <c r="BJ906"/>
      <c r="BK906"/>
      <c r="BL906"/>
      <c r="BM906"/>
      <c r="BN906"/>
      <c r="BO906"/>
      <c r="BP906"/>
      <c r="BQ906"/>
      <c r="BR906"/>
      <c r="BS906"/>
      <c r="BT906"/>
      <c r="BU906"/>
      <c r="BV906"/>
      <c r="BW906"/>
      <c r="BX906"/>
      <c r="BY906"/>
      <c r="BZ906"/>
      <c r="CA906"/>
      <c r="CB906"/>
      <c r="CC906"/>
      <c r="CD906"/>
      <c r="CE906"/>
      <c r="CF906"/>
      <c r="CG906"/>
      <c r="CH906"/>
      <c r="CI906"/>
      <c r="CJ906"/>
      <c r="CK906"/>
      <c r="CL906"/>
      <c r="CM906"/>
      <c r="CN906"/>
      <c r="CO906"/>
      <c r="CP906"/>
      <c r="CQ906"/>
      <c r="CR906"/>
      <c r="CS906"/>
      <c r="CT906"/>
      <c r="CU906"/>
      <c r="CV906"/>
      <c r="CW906"/>
      <c r="CX906"/>
      <c r="CY906"/>
      <c r="CZ906"/>
      <c r="DA906"/>
      <c r="DB906"/>
      <c r="DC906"/>
      <c r="DD906"/>
      <c r="DE906"/>
      <c r="DF906"/>
      <c r="DG906"/>
      <c r="DH906"/>
      <c r="DI906"/>
      <c r="DJ906"/>
      <c r="DK906"/>
      <c r="DL906"/>
      <c r="DM906"/>
      <c r="DN906"/>
      <c r="DO906"/>
      <c r="DP906"/>
      <c r="DQ906"/>
      <c r="DR906"/>
      <c r="DS906"/>
      <c r="DT906"/>
      <c r="DU906"/>
      <c r="DV906"/>
      <c r="DW906"/>
      <c r="DX906"/>
      <c r="DY906"/>
      <c r="DZ906"/>
      <c r="EA906"/>
      <c r="EB906"/>
      <c r="EC906"/>
      <c r="ED906"/>
      <c r="EE906"/>
      <c r="EF906"/>
      <c r="EG906"/>
      <c r="EH906"/>
      <c r="EI906"/>
      <c r="EJ906"/>
      <c r="EK906"/>
      <c r="EL906"/>
      <c r="EM906"/>
      <c r="EN906"/>
      <c r="EO906"/>
      <c r="EP906"/>
      <c r="EQ906"/>
      <c r="ER906"/>
      <c r="ES906"/>
      <c r="ET906"/>
      <c r="EU906"/>
      <c r="EV906"/>
      <c r="EW906"/>
      <c r="EX906"/>
      <c r="EY906"/>
      <c r="EZ906"/>
      <c r="FA906"/>
      <c r="FB906"/>
      <c r="FC906"/>
      <c r="FD906"/>
      <c r="FE906"/>
      <c r="FF906"/>
      <c r="FG906"/>
      <c r="FH906"/>
      <c r="FI906"/>
      <c r="FJ906"/>
      <c r="FK906"/>
      <c r="FL906"/>
      <c r="FM906"/>
      <c r="FN906"/>
      <c r="FO906"/>
      <c r="FP906"/>
      <c r="FQ906"/>
      <c r="FR906"/>
      <c r="FS906"/>
      <c r="FT906"/>
      <c r="FU906"/>
      <c r="FV906"/>
      <c r="FW906"/>
      <c r="FX906"/>
      <c r="FY906"/>
      <c r="FZ906"/>
      <c r="GA906"/>
      <c r="GB906"/>
      <c r="GC906"/>
      <c r="GD906"/>
      <c r="GE906"/>
      <c r="GF906"/>
      <c r="GG906"/>
      <c r="GH906"/>
      <c r="GI906"/>
      <c r="GJ906"/>
      <c r="GK906"/>
      <c r="GL906"/>
      <c r="GM906"/>
      <c r="GN906"/>
      <c r="GO906"/>
      <c r="GP906"/>
      <c r="GQ906"/>
      <c r="GR906"/>
      <c r="GS906"/>
      <c r="GT906"/>
      <c r="GU906"/>
      <c r="GV906"/>
      <c r="GW906"/>
      <c r="GX906"/>
      <c r="GY906"/>
      <c r="GZ906"/>
      <c r="HA906"/>
      <c r="HB906"/>
      <c r="HC906"/>
      <c r="HD906"/>
      <c r="HE906"/>
      <c r="HF906"/>
      <c r="HG906"/>
      <c r="HH906"/>
      <c r="HI906"/>
      <c r="HJ906"/>
      <c r="HK906"/>
      <c r="HL906"/>
      <c r="HM906"/>
      <c r="HN906"/>
      <c r="HO906"/>
      <c r="HP906"/>
      <c r="HQ906"/>
      <c r="HR906"/>
      <c r="HS906"/>
      <c r="HT906"/>
      <c r="HU906"/>
      <c r="HV906"/>
      <c r="HW906"/>
      <c r="HX906"/>
      <c r="HY906"/>
      <c r="HZ906"/>
      <c r="IA906"/>
      <c r="IB906"/>
      <c r="IC906"/>
      <c r="ID906"/>
      <c r="IE906"/>
      <c r="IF906"/>
      <c r="IG906"/>
      <c r="IH906"/>
      <c r="II906"/>
      <c r="IJ906"/>
    </row>
    <row r="907" spans="1:244" ht="30" customHeight="1" x14ac:dyDescent="0.2">
      <c r="A907" s="2098"/>
      <c r="B907" s="2080" t="s">
        <v>2555</v>
      </c>
      <c r="C907" s="2075">
        <f>310000+110000+72000</f>
        <v>492000</v>
      </c>
      <c r="D907" s="2075">
        <f>310000+110000+72000</f>
        <v>492000</v>
      </c>
      <c r="E907" s="2075"/>
      <c r="F907" s="2075"/>
      <c r="G907" s="2200"/>
      <c r="H907" s="2200"/>
      <c r="I907" s="2201"/>
      <c r="J907"/>
      <c r="K907"/>
      <c r="L907"/>
      <c r="M907"/>
      <c r="N907"/>
      <c r="O907"/>
      <c r="P907"/>
      <c r="Q907"/>
      <c r="R907"/>
      <c r="S907"/>
      <c r="T907"/>
      <c r="U907"/>
      <c r="V907"/>
      <c r="W907"/>
      <c r="X907"/>
      <c r="Y907"/>
      <c r="Z907"/>
      <c r="AA907"/>
      <c r="AB907"/>
      <c r="AC907"/>
      <c r="AD907"/>
      <c r="AE907"/>
      <c r="AF907"/>
      <c r="AG907"/>
      <c r="AH907"/>
      <c r="AI907"/>
      <c r="AJ907"/>
      <c r="AK907"/>
      <c r="AL907"/>
      <c r="AM907"/>
      <c r="AN907"/>
      <c r="AO907"/>
      <c r="AP907"/>
      <c r="AQ907"/>
      <c r="AR907"/>
      <c r="AS907"/>
      <c r="AT907"/>
      <c r="AU907"/>
      <c r="AV907"/>
      <c r="AW907"/>
      <c r="AX907"/>
      <c r="AY907"/>
      <c r="AZ907"/>
      <c r="BA907"/>
      <c r="BB907"/>
      <c r="BC907"/>
      <c r="BD907"/>
      <c r="BE907"/>
      <c r="BF907"/>
      <c r="BG907"/>
      <c r="BH907"/>
      <c r="BI907"/>
      <c r="BJ907"/>
      <c r="BK907"/>
      <c r="BL907"/>
      <c r="BM907"/>
      <c r="BN907"/>
      <c r="BO907"/>
      <c r="BP907"/>
      <c r="BQ907"/>
      <c r="BR907"/>
      <c r="BS907"/>
      <c r="BT907"/>
      <c r="BU907"/>
      <c r="BV907"/>
      <c r="BW907"/>
      <c r="BX907"/>
      <c r="BY907"/>
      <c r="BZ907"/>
      <c r="CA907"/>
      <c r="CB907"/>
      <c r="CC907"/>
      <c r="CD907"/>
      <c r="CE907"/>
      <c r="CF907"/>
      <c r="CG907"/>
      <c r="CH907"/>
      <c r="CI907"/>
      <c r="CJ907"/>
      <c r="CK907"/>
      <c r="CL907"/>
      <c r="CM907"/>
      <c r="CN907"/>
      <c r="CO907"/>
      <c r="CP907"/>
      <c r="CQ907"/>
      <c r="CR907"/>
      <c r="CS907"/>
      <c r="CT907"/>
      <c r="CU907"/>
      <c r="CV907"/>
      <c r="CW907"/>
      <c r="CX907"/>
      <c r="CY907"/>
      <c r="CZ907"/>
      <c r="DA907"/>
      <c r="DB907"/>
      <c r="DC907"/>
      <c r="DD907"/>
      <c r="DE907"/>
      <c r="DF907"/>
      <c r="DG907"/>
      <c r="DH907"/>
      <c r="DI907"/>
      <c r="DJ907"/>
      <c r="DK907"/>
      <c r="DL907"/>
      <c r="DM907"/>
      <c r="DN907"/>
      <c r="DO907"/>
      <c r="DP907"/>
      <c r="DQ907"/>
      <c r="DR907"/>
      <c r="DS907"/>
      <c r="DT907"/>
      <c r="DU907"/>
      <c r="DV907"/>
      <c r="DW907"/>
      <c r="DX907"/>
      <c r="DY907"/>
      <c r="DZ907"/>
      <c r="EA907"/>
      <c r="EB907"/>
      <c r="EC907"/>
      <c r="ED907"/>
      <c r="EE907"/>
      <c r="EF907"/>
      <c r="EG907"/>
      <c r="EH907"/>
      <c r="EI907"/>
      <c r="EJ907"/>
      <c r="EK907"/>
      <c r="EL907"/>
      <c r="EM907"/>
      <c r="EN907"/>
      <c r="EO907"/>
      <c r="EP907"/>
      <c r="EQ907"/>
      <c r="ER907"/>
      <c r="ES907"/>
      <c r="ET907"/>
      <c r="EU907"/>
      <c r="EV907"/>
      <c r="EW907"/>
      <c r="EX907"/>
      <c r="EY907"/>
      <c r="EZ907"/>
      <c r="FA907"/>
      <c r="FB907"/>
      <c r="FC907"/>
      <c r="FD907"/>
      <c r="FE907"/>
      <c r="FF907"/>
      <c r="FG907"/>
      <c r="FH907"/>
      <c r="FI907"/>
      <c r="FJ907"/>
      <c r="FK907"/>
      <c r="FL907"/>
      <c r="FM907"/>
      <c r="FN907"/>
      <c r="FO907"/>
      <c r="FP907"/>
      <c r="FQ907"/>
      <c r="FR907"/>
      <c r="FS907"/>
      <c r="FT907"/>
      <c r="FU907"/>
      <c r="FV907"/>
      <c r="FW907"/>
      <c r="FX907"/>
      <c r="FY907"/>
      <c r="FZ907"/>
      <c r="GA907"/>
      <c r="GB907"/>
      <c r="GC907"/>
      <c r="GD907"/>
      <c r="GE907"/>
      <c r="GF907"/>
      <c r="GG907"/>
      <c r="GH907"/>
      <c r="GI907"/>
      <c r="GJ907"/>
      <c r="GK907"/>
      <c r="GL907"/>
      <c r="GM907"/>
      <c r="GN907"/>
      <c r="GO907"/>
      <c r="GP907"/>
      <c r="GQ907"/>
      <c r="GR907"/>
      <c r="GS907"/>
      <c r="GT907"/>
      <c r="GU907"/>
      <c r="GV907"/>
      <c r="GW907"/>
      <c r="GX907"/>
      <c r="GY907"/>
      <c r="GZ907"/>
      <c r="HA907"/>
      <c r="HB907"/>
      <c r="HC907"/>
      <c r="HD907"/>
      <c r="HE907"/>
      <c r="HF907"/>
      <c r="HG907"/>
      <c r="HH907"/>
      <c r="HI907"/>
      <c r="HJ907"/>
      <c r="HK907"/>
      <c r="HL907"/>
      <c r="HM907"/>
      <c r="HN907"/>
      <c r="HO907"/>
      <c r="HP907"/>
      <c r="HQ907"/>
      <c r="HR907"/>
      <c r="HS907"/>
      <c r="HT907"/>
      <c r="HU907"/>
      <c r="HV907"/>
      <c r="HW907"/>
      <c r="HX907"/>
      <c r="HY907"/>
      <c r="HZ907"/>
      <c r="IA907"/>
      <c r="IB907"/>
      <c r="IC907"/>
      <c r="ID907"/>
      <c r="IE907"/>
      <c r="IF907"/>
      <c r="IG907"/>
      <c r="IH907"/>
      <c r="II907"/>
      <c r="IJ907"/>
    </row>
    <row r="908" spans="1:244" ht="30" customHeight="1" x14ac:dyDescent="0.2">
      <c r="A908" s="2098"/>
      <c r="B908" s="2080" t="s">
        <v>1972</v>
      </c>
      <c r="C908" s="2075">
        <v>0</v>
      </c>
      <c r="D908" s="2075">
        <v>0</v>
      </c>
      <c r="E908" s="2075"/>
      <c r="F908" s="2075"/>
      <c r="G908" s="2200"/>
      <c r="H908" s="2200"/>
      <c r="I908" s="2201"/>
      <c r="J908"/>
      <c r="K908"/>
      <c r="L908"/>
      <c r="M908"/>
      <c r="N908"/>
      <c r="O908"/>
      <c r="P908"/>
      <c r="Q908"/>
      <c r="R908"/>
      <c r="S908"/>
      <c r="T908"/>
      <c r="U908"/>
      <c r="V908"/>
      <c r="W908"/>
      <c r="X908"/>
      <c r="Y908"/>
      <c r="Z908"/>
      <c r="AA908"/>
      <c r="AB908"/>
      <c r="AC908"/>
      <c r="AD908"/>
      <c r="AE908"/>
      <c r="AF908"/>
      <c r="AG908"/>
      <c r="AH908"/>
      <c r="AI908"/>
      <c r="AJ908"/>
      <c r="AK908"/>
      <c r="AL908"/>
      <c r="AM908"/>
      <c r="AN908"/>
      <c r="AO908"/>
      <c r="AP908"/>
      <c r="AQ908"/>
      <c r="AR908"/>
      <c r="AS908"/>
      <c r="AT908"/>
      <c r="AU908"/>
      <c r="AV908"/>
      <c r="AW908"/>
      <c r="AX908"/>
      <c r="AY908"/>
      <c r="AZ908"/>
      <c r="BA908"/>
      <c r="BB908"/>
      <c r="BC908"/>
      <c r="BD908"/>
      <c r="BE908"/>
      <c r="BF908"/>
      <c r="BG908"/>
      <c r="BH908"/>
      <c r="BI908"/>
      <c r="BJ908"/>
      <c r="BK908"/>
      <c r="BL908"/>
      <c r="BM908"/>
      <c r="BN908"/>
      <c r="BO908"/>
      <c r="BP908"/>
      <c r="BQ908"/>
      <c r="BR908"/>
      <c r="BS908"/>
      <c r="BT908"/>
      <c r="BU908"/>
      <c r="BV908"/>
      <c r="BW908"/>
      <c r="BX908"/>
      <c r="BY908"/>
      <c r="BZ908"/>
      <c r="CA908"/>
      <c r="CB908"/>
      <c r="CC908"/>
      <c r="CD908"/>
      <c r="CE908"/>
      <c r="CF908"/>
      <c r="CG908"/>
      <c r="CH908"/>
      <c r="CI908"/>
      <c r="CJ908"/>
      <c r="CK908"/>
      <c r="CL908"/>
      <c r="CM908"/>
      <c r="CN908"/>
      <c r="CO908"/>
      <c r="CP908"/>
      <c r="CQ908"/>
      <c r="CR908"/>
      <c r="CS908"/>
      <c r="CT908"/>
      <c r="CU908"/>
      <c r="CV908"/>
      <c r="CW908"/>
      <c r="CX908"/>
      <c r="CY908"/>
      <c r="CZ908"/>
      <c r="DA908"/>
      <c r="DB908"/>
      <c r="DC908"/>
      <c r="DD908"/>
      <c r="DE908"/>
      <c r="DF908"/>
      <c r="DG908"/>
      <c r="DH908"/>
      <c r="DI908"/>
      <c r="DJ908"/>
      <c r="DK908"/>
      <c r="DL908"/>
      <c r="DM908"/>
      <c r="DN908"/>
      <c r="DO908"/>
      <c r="DP908"/>
      <c r="DQ908"/>
      <c r="DR908"/>
      <c r="DS908"/>
      <c r="DT908"/>
      <c r="DU908"/>
      <c r="DV908"/>
      <c r="DW908"/>
      <c r="DX908"/>
      <c r="DY908"/>
      <c r="DZ908"/>
      <c r="EA908"/>
      <c r="EB908"/>
      <c r="EC908"/>
      <c r="ED908"/>
      <c r="EE908"/>
      <c r="EF908"/>
      <c r="EG908"/>
      <c r="EH908"/>
      <c r="EI908"/>
      <c r="EJ908"/>
      <c r="EK908"/>
      <c r="EL908"/>
      <c r="EM908"/>
      <c r="EN908"/>
      <c r="EO908"/>
      <c r="EP908"/>
      <c r="EQ908"/>
      <c r="ER908"/>
      <c r="ES908"/>
      <c r="ET908"/>
      <c r="EU908"/>
      <c r="EV908"/>
      <c r="EW908"/>
      <c r="EX908"/>
      <c r="EY908"/>
      <c r="EZ908"/>
      <c r="FA908"/>
      <c r="FB908"/>
      <c r="FC908"/>
      <c r="FD908"/>
      <c r="FE908"/>
      <c r="FF908"/>
      <c r="FG908"/>
      <c r="FH908"/>
      <c r="FI908"/>
      <c r="FJ908"/>
      <c r="FK908"/>
      <c r="FL908"/>
      <c r="FM908"/>
      <c r="FN908"/>
      <c r="FO908"/>
      <c r="FP908"/>
      <c r="FQ908"/>
      <c r="FR908"/>
      <c r="FS908"/>
      <c r="FT908"/>
      <c r="FU908"/>
      <c r="FV908"/>
      <c r="FW908"/>
      <c r="FX908"/>
      <c r="FY908"/>
      <c r="FZ908"/>
      <c r="GA908"/>
      <c r="GB908"/>
      <c r="GC908"/>
      <c r="GD908"/>
      <c r="GE908"/>
      <c r="GF908"/>
      <c r="GG908"/>
      <c r="GH908"/>
      <c r="GI908"/>
      <c r="GJ908"/>
      <c r="GK908"/>
      <c r="GL908"/>
      <c r="GM908"/>
      <c r="GN908"/>
      <c r="GO908"/>
      <c r="GP908"/>
      <c r="GQ908"/>
      <c r="GR908"/>
      <c r="GS908"/>
      <c r="GT908"/>
      <c r="GU908"/>
      <c r="GV908"/>
      <c r="GW908"/>
      <c r="GX908"/>
      <c r="GY908"/>
      <c r="GZ908"/>
      <c r="HA908"/>
      <c r="HB908"/>
      <c r="HC908"/>
      <c r="HD908"/>
      <c r="HE908"/>
      <c r="HF908"/>
      <c r="HG908"/>
      <c r="HH908"/>
      <c r="HI908"/>
      <c r="HJ908"/>
      <c r="HK908"/>
      <c r="HL908"/>
      <c r="HM908"/>
      <c r="HN908"/>
      <c r="HO908"/>
      <c r="HP908"/>
      <c r="HQ908"/>
      <c r="HR908"/>
      <c r="HS908"/>
      <c r="HT908"/>
      <c r="HU908"/>
      <c r="HV908"/>
      <c r="HW908"/>
      <c r="HX908"/>
      <c r="HY908"/>
      <c r="HZ908"/>
      <c r="IA908"/>
      <c r="IB908"/>
      <c r="IC908"/>
      <c r="ID908"/>
      <c r="IE908"/>
      <c r="IF908"/>
      <c r="IG908"/>
      <c r="IH908"/>
      <c r="II908"/>
      <c r="IJ908"/>
    </row>
    <row r="909" spans="1:244" ht="30" customHeight="1" x14ac:dyDescent="0.2">
      <c r="A909" s="2098"/>
      <c r="B909" s="2095" t="s">
        <v>1974</v>
      </c>
      <c r="C909" s="2085">
        <f>C910</f>
        <v>0</v>
      </c>
      <c r="D909" s="2085">
        <f>D910</f>
        <v>0</v>
      </c>
      <c r="E909" s="2085"/>
      <c r="F909" s="2082"/>
      <c r="G909" s="1663"/>
      <c r="H909" s="1663"/>
      <c r="I909" s="1662"/>
      <c r="J909"/>
      <c r="K909"/>
      <c r="L909"/>
      <c r="M909"/>
      <c r="N909"/>
      <c r="O909"/>
      <c r="P909"/>
      <c r="Q909"/>
      <c r="R909"/>
      <c r="S909"/>
      <c r="T909"/>
      <c r="U909"/>
      <c r="V909"/>
      <c r="W909"/>
      <c r="X909"/>
      <c r="Y909"/>
      <c r="Z909"/>
      <c r="AA909"/>
      <c r="AB909"/>
      <c r="AC909"/>
      <c r="AD909"/>
      <c r="AE909"/>
      <c r="AF909"/>
      <c r="AG909"/>
      <c r="AH909"/>
      <c r="AI909"/>
      <c r="AJ909"/>
      <c r="AK909"/>
      <c r="AL909"/>
      <c r="AM909"/>
      <c r="AN909"/>
      <c r="AO909"/>
      <c r="AP909"/>
      <c r="AQ909"/>
      <c r="AR909"/>
      <c r="AS909"/>
      <c r="AT909"/>
      <c r="AU909"/>
      <c r="AV909"/>
      <c r="AW909"/>
      <c r="AX909"/>
      <c r="AY909"/>
      <c r="AZ909"/>
      <c r="BA909"/>
      <c r="BB909"/>
      <c r="BC909"/>
      <c r="BD909"/>
      <c r="BE909"/>
      <c r="BF909"/>
      <c r="BG909"/>
      <c r="BH909"/>
      <c r="BI909"/>
      <c r="BJ909"/>
      <c r="BK909"/>
      <c r="BL909"/>
      <c r="BM909"/>
      <c r="BN909"/>
      <c r="BO909"/>
      <c r="BP909"/>
      <c r="BQ909"/>
      <c r="BR909"/>
      <c r="BS909"/>
      <c r="BT909"/>
      <c r="BU909"/>
      <c r="BV909"/>
      <c r="BW909"/>
      <c r="BX909"/>
      <c r="BY909"/>
      <c r="BZ909"/>
      <c r="CA909"/>
      <c r="CB909"/>
      <c r="CC909"/>
      <c r="CD909"/>
      <c r="CE909"/>
      <c r="CF909"/>
      <c r="CG909"/>
      <c r="CH909"/>
      <c r="CI909"/>
      <c r="CJ909"/>
      <c r="CK909"/>
      <c r="CL909"/>
      <c r="CM909"/>
      <c r="CN909"/>
      <c r="CO909"/>
      <c r="CP909"/>
      <c r="CQ909"/>
      <c r="CR909"/>
      <c r="CS909"/>
      <c r="CT909"/>
      <c r="CU909"/>
      <c r="CV909"/>
      <c r="CW909"/>
      <c r="CX909"/>
      <c r="CY909"/>
      <c r="CZ909"/>
      <c r="DA909"/>
      <c r="DB909"/>
      <c r="DC909"/>
      <c r="DD909"/>
      <c r="DE909"/>
      <c r="DF909"/>
      <c r="DG909"/>
      <c r="DH909"/>
      <c r="DI909"/>
      <c r="DJ909"/>
      <c r="DK909"/>
      <c r="DL909"/>
      <c r="DM909"/>
      <c r="DN909"/>
      <c r="DO909"/>
      <c r="DP909"/>
      <c r="DQ909"/>
      <c r="DR909"/>
      <c r="DS909"/>
      <c r="DT909"/>
      <c r="DU909"/>
      <c r="DV909"/>
      <c r="DW909"/>
      <c r="DX909"/>
      <c r="DY909"/>
      <c r="DZ909"/>
      <c r="EA909"/>
      <c r="EB909"/>
      <c r="EC909"/>
      <c r="ED909"/>
      <c r="EE909"/>
      <c r="EF909"/>
      <c r="EG909"/>
      <c r="EH909"/>
      <c r="EI909"/>
      <c r="EJ909"/>
      <c r="EK909"/>
      <c r="EL909"/>
      <c r="EM909"/>
      <c r="EN909"/>
      <c r="EO909"/>
      <c r="EP909"/>
      <c r="EQ909"/>
      <c r="ER909"/>
      <c r="ES909"/>
      <c r="ET909"/>
      <c r="EU909"/>
      <c r="EV909"/>
      <c r="EW909"/>
      <c r="EX909"/>
      <c r="EY909"/>
      <c r="EZ909"/>
      <c r="FA909"/>
      <c r="FB909"/>
      <c r="FC909"/>
      <c r="FD909"/>
      <c r="FE909"/>
      <c r="FF909"/>
      <c r="FG909"/>
      <c r="FH909"/>
      <c r="FI909"/>
      <c r="FJ909"/>
      <c r="FK909"/>
      <c r="FL909"/>
      <c r="FM909"/>
      <c r="FN909"/>
      <c r="FO909"/>
      <c r="FP909"/>
      <c r="FQ909"/>
      <c r="FR909"/>
      <c r="FS909"/>
      <c r="FT909"/>
      <c r="FU909"/>
      <c r="FV909"/>
      <c r="FW909"/>
      <c r="FX909"/>
      <c r="FY909"/>
      <c r="FZ909"/>
      <c r="GA909"/>
      <c r="GB909"/>
      <c r="GC909"/>
      <c r="GD909"/>
      <c r="GE909"/>
      <c r="GF909"/>
      <c r="GG909"/>
      <c r="GH909"/>
      <c r="GI909"/>
      <c r="GJ909"/>
      <c r="GK909"/>
      <c r="GL909"/>
      <c r="GM909"/>
      <c r="GN909"/>
      <c r="GO909"/>
      <c r="GP909"/>
      <c r="GQ909"/>
      <c r="GR909"/>
      <c r="GS909"/>
      <c r="GT909"/>
      <c r="GU909"/>
      <c r="GV909"/>
      <c r="GW909"/>
      <c r="GX909"/>
      <c r="GY909"/>
      <c r="GZ909"/>
      <c r="HA909"/>
      <c r="HB909"/>
      <c r="HC909"/>
      <c r="HD909"/>
      <c r="HE909"/>
      <c r="HF909"/>
      <c r="HG909"/>
      <c r="HH909"/>
      <c r="HI909"/>
      <c r="HJ909"/>
      <c r="HK909"/>
      <c r="HL909"/>
      <c r="HM909"/>
      <c r="HN909"/>
      <c r="HO909"/>
      <c r="HP909"/>
      <c r="HQ909"/>
      <c r="HR909"/>
      <c r="HS909"/>
      <c r="HT909"/>
      <c r="HU909"/>
      <c r="HV909"/>
      <c r="HW909"/>
      <c r="HX909"/>
      <c r="HY909"/>
      <c r="HZ909"/>
      <c r="IA909"/>
      <c r="IB909"/>
      <c r="IC909"/>
      <c r="ID909"/>
      <c r="IE909"/>
      <c r="IF909"/>
      <c r="IG909"/>
      <c r="IH909"/>
      <c r="II909"/>
      <c r="IJ909"/>
    </row>
    <row r="910" spans="1:244" ht="30" customHeight="1" x14ac:dyDescent="0.2">
      <c r="A910" s="2098"/>
      <c r="B910" s="2126" t="s">
        <v>916</v>
      </c>
      <c r="C910" s="2075">
        <v>0</v>
      </c>
      <c r="D910" s="2075">
        <v>0</v>
      </c>
      <c r="E910" s="2075"/>
      <c r="F910" s="2075"/>
      <c r="G910" s="2200"/>
      <c r="H910" s="2200"/>
      <c r="I910" s="2201"/>
      <c r="J910"/>
      <c r="K910"/>
      <c r="L910"/>
      <c r="M910"/>
      <c r="N910"/>
      <c r="O910"/>
      <c r="P910"/>
      <c r="Q910"/>
      <c r="R910"/>
      <c r="S910"/>
      <c r="T910"/>
      <c r="U910"/>
      <c r="V910"/>
      <c r="W910"/>
      <c r="X910"/>
      <c r="Y910"/>
      <c r="Z910"/>
      <c r="AA910"/>
      <c r="AB910"/>
      <c r="AC910"/>
      <c r="AD910"/>
      <c r="AE910"/>
      <c r="AF910"/>
      <c r="AG910"/>
      <c r="AH910"/>
      <c r="AI910"/>
      <c r="AJ910"/>
      <c r="AK910"/>
      <c r="AL910"/>
      <c r="AM910"/>
      <c r="AN910"/>
      <c r="AO910"/>
      <c r="AP910"/>
      <c r="AQ910"/>
      <c r="AR910"/>
      <c r="AS910"/>
      <c r="AT910"/>
      <c r="AU910"/>
      <c r="AV910"/>
      <c r="AW910"/>
      <c r="AX910"/>
      <c r="AY910"/>
      <c r="AZ910"/>
      <c r="BA910"/>
      <c r="BB910"/>
      <c r="BC910"/>
      <c r="BD910"/>
      <c r="BE910"/>
      <c r="BF910"/>
      <c r="BG910"/>
      <c r="BH910"/>
      <c r="BI910"/>
      <c r="BJ910"/>
      <c r="BK910"/>
      <c r="BL910"/>
      <c r="BM910"/>
      <c r="BN910"/>
      <c r="BO910"/>
      <c r="BP910"/>
      <c r="BQ910"/>
      <c r="BR910"/>
      <c r="BS910"/>
      <c r="BT910"/>
      <c r="BU910"/>
      <c r="BV910"/>
      <c r="BW910"/>
      <c r="BX910"/>
      <c r="BY910"/>
      <c r="BZ910"/>
      <c r="CA910"/>
      <c r="CB910"/>
      <c r="CC910"/>
      <c r="CD910"/>
      <c r="CE910"/>
      <c r="CF910"/>
      <c r="CG910"/>
      <c r="CH910"/>
      <c r="CI910"/>
      <c r="CJ910"/>
      <c r="CK910"/>
      <c r="CL910"/>
      <c r="CM910"/>
      <c r="CN910"/>
      <c r="CO910"/>
      <c r="CP910"/>
      <c r="CQ910"/>
      <c r="CR910"/>
      <c r="CS910"/>
      <c r="CT910"/>
      <c r="CU910"/>
      <c r="CV910"/>
      <c r="CW910"/>
      <c r="CX910"/>
      <c r="CY910"/>
      <c r="CZ910"/>
      <c r="DA910"/>
      <c r="DB910"/>
      <c r="DC910"/>
      <c r="DD910"/>
      <c r="DE910"/>
      <c r="DF910"/>
      <c r="DG910"/>
      <c r="DH910"/>
      <c r="DI910"/>
      <c r="DJ910"/>
      <c r="DK910"/>
      <c r="DL910"/>
      <c r="DM910"/>
      <c r="DN910"/>
      <c r="DO910"/>
      <c r="DP910"/>
      <c r="DQ910"/>
      <c r="DR910"/>
      <c r="DS910"/>
      <c r="DT910"/>
      <c r="DU910"/>
      <c r="DV910"/>
      <c r="DW910"/>
      <c r="DX910"/>
      <c r="DY910"/>
      <c r="DZ910"/>
      <c r="EA910"/>
      <c r="EB910"/>
      <c r="EC910"/>
      <c r="ED910"/>
      <c r="EE910"/>
      <c r="EF910"/>
      <c r="EG910"/>
      <c r="EH910"/>
      <c r="EI910"/>
      <c r="EJ910"/>
      <c r="EK910"/>
      <c r="EL910"/>
      <c r="EM910"/>
      <c r="EN910"/>
      <c r="EO910"/>
      <c r="EP910"/>
      <c r="EQ910"/>
      <c r="ER910"/>
      <c r="ES910"/>
      <c r="ET910"/>
      <c r="EU910"/>
      <c r="EV910"/>
      <c r="EW910"/>
      <c r="EX910"/>
      <c r="EY910"/>
      <c r="EZ910"/>
      <c r="FA910"/>
      <c r="FB910"/>
      <c r="FC910"/>
      <c r="FD910"/>
      <c r="FE910"/>
      <c r="FF910"/>
      <c r="FG910"/>
      <c r="FH910"/>
      <c r="FI910"/>
      <c r="FJ910"/>
      <c r="FK910"/>
      <c r="FL910"/>
      <c r="FM910"/>
      <c r="FN910"/>
      <c r="FO910"/>
      <c r="FP910"/>
      <c r="FQ910"/>
      <c r="FR910"/>
      <c r="FS910"/>
      <c r="FT910"/>
      <c r="FU910"/>
      <c r="FV910"/>
      <c r="FW910"/>
      <c r="FX910"/>
      <c r="FY910"/>
      <c r="FZ910"/>
      <c r="GA910"/>
      <c r="GB910"/>
      <c r="GC910"/>
      <c r="GD910"/>
      <c r="GE910"/>
      <c r="GF910"/>
      <c r="GG910"/>
      <c r="GH910"/>
      <c r="GI910"/>
      <c r="GJ910"/>
      <c r="GK910"/>
      <c r="GL910"/>
      <c r="GM910"/>
      <c r="GN910"/>
      <c r="GO910"/>
      <c r="GP910"/>
      <c r="GQ910"/>
      <c r="GR910"/>
      <c r="GS910"/>
      <c r="GT910"/>
      <c r="GU910"/>
      <c r="GV910"/>
      <c r="GW910"/>
      <c r="GX910"/>
      <c r="GY910"/>
      <c r="GZ910"/>
      <c r="HA910"/>
      <c r="HB910"/>
      <c r="HC910"/>
      <c r="HD910"/>
      <c r="HE910"/>
      <c r="HF910"/>
      <c r="HG910"/>
      <c r="HH910"/>
      <c r="HI910"/>
      <c r="HJ910"/>
      <c r="HK910"/>
      <c r="HL910"/>
      <c r="HM910"/>
      <c r="HN910"/>
      <c r="HO910"/>
      <c r="HP910"/>
      <c r="HQ910"/>
      <c r="HR910"/>
      <c r="HS910"/>
      <c r="HT910"/>
      <c r="HU910"/>
      <c r="HV910"/>
      <c r="HW910"/>
      <c r="HX910"/>
      <c r="HY910"/>
      <c r="HZ910"/>
      <c r="IA910"/>
      <c r="IB910"/>
      <c r="IC910"/>
      <c r="ID910"/>
      <c r="IE910"/>
      <c r="IF910"/>
      <c r="IG910"/>
      <c r="IH910"/>
      <c r="II910"/>
      <c r="IJ910"/>
    </row>
    <row r="911" spans="1:244" ht="30" customHeight="1" x14ac:dyDescent="0.2">
      <c r="A911" s="2098"/>
      <c r="B911" s="2127" t="s">
        <v>2556</v>
      </c>
      <c r="C911" s="2085">
        <f>SUM(C912:C913)</f>
        <v>3400000</v>
      </c>
      <c r="D911" s="2085">
        <f>SUM(D912:D913)</f>
        <v>4400000</v>
      </c>
      <c r="E911" s="2085"/>
      <c r="F911" s="2082"/>
      <c r="G911" s="1663"/>
      <c r="H911" s="1663"/>
      <c r="I911" s="1662"/>
      <c r="J911"/>
      <c r="K911"/>
      <c r="L911"/>
      <c r="M911"/>
      <c r="N911"/>
      <c r="O911"/>
      <c r="P911"/>
      <c r="Q911"/>
      <c r="R911"/>
      <c r="S911"/>
      <c r="T911"/>
      <c r="U911"/>
      <c r="V911"/>
      <c r="W911"/>
      <c r="X911"/>
      <c r="Y911"/>
      <c r="Z911"/>
      <c r="AA911"/>
      <c r="AB911"/>
      <c r="AC911"/>
      <c r="AD911"/>
      <c r="AE911"/>
      <c r="AF911"/>
      <c r="AG911"/>
      <c r="AH911"/>
      <c r="AI911"/>
      <c r="AJ911"/>
      <c r="AK911"/>
      <c r="AL911"/>
      <c r="AM911"/>
      <c r="AN911"/>
      <c r="AO911"/>
      <c r="AP911"/>
      <c r="AQ911"/>
      <c r="AR911"/>
      <c r="AS911"/>
      <c r="AT911"/>
      <c r="AU911"/>
      <c r="AV911"/>
      <c r="AW911"/>
      <c r="AX911"/>
      <c r="AY911"/>
      <c r="AZ911"/>
      <c r="BA911"/>
      <c r="BB911"/>
      <c r="BC911"/>
      <c r="BD911"/>
      <c r="BE911"/>
      <c r="BF911"/>
      <c r="BG911"/>
      <c r="BH911"/>
      <c r="BI911"/>
      <c r="BJ911"/>
      <c r="BK911"/>
      <c r="BL911"/>
      <c r="BM911"/>
      <c r="BN911"/>
      <c r="BO911"/>
      <c r="BP911"/>
      <c r="BQ911"/>
      <c r="BR911"/>
      <c r="BS911"/>
      <c r="BT911"/>
      <c r="BU911"/>
      <c r="BV911"/>
      <c r="BW911"/>
      <c r="BX911"/>
      <c r="BY911"/>
      <c r="BZ911"/>
      <c r="CA911"/>
      <c r="CB911"/>
      <c r="CC911"/>
      <c r="CD911"/>
      <c r="CE911"/>
      <c r="CF911"/>
      <c r="CG911"/>
      <c r="CH911"/>
      <c r="CI911"/>
      <c r="CJ911"/>
      <c r="CK911"/>
      <c r="CL911"/>
      <c r="CM911"/>
      <c r="CN911"/>
      <c r="CO911"/>
      <c r="CP911"/>
      <c r="CQ911"/>
      <c r="CR911"/>
      <c r="CS911"/>
      <c r="CT911"/>
      <c r="CU911"/>
      <c r="CV911"/>
      <c r="CW911"/>
      <c r="CX911"/>
      <c r="CY911"/>
      <c r="CZ911"/>
      <c r="DA911"/>
      <c r="DB911"/>
      <c r="DC911"/>
      <c r="DD911"/>
      <c r="DE911"/>
      <c r="DF911"/>
      <c r="DG911"/>
      <c r="DH911"/>
      <c r="DI911"/>
      <c r="DJ911"/>
      <c r="DK911"/>
      <c r="DL911"/>
      <c r="DM911"/>
      <c r="DN911"/>
      <c r="DO911"/>
      <c r="DP911"/>
      <c r="DQ911"/>
      <c r="DR911"/>
      <c r="DS911"/>
      <c r="DT911"/>
      <c r="DU911"/>
      <c r="DV911"/>
      <c r="DW911"/>
      <c r="DX911"/>
      <c r="DY911"/>
      <c r="DZ911"/>
      <c r="EA911"/>
      <c r="EB911"/>
      <c r="EC911"/>
      <c r="ED911"/>
      <c r="EE911"/>
      <c r="EF911"/>
      <c r="EG911"/>
      <c r="EH911"/>
      <c r="EI911"/>
      <c r="EJ911"/>
      <c r="EK911"/>
      <c r="EL911"/>
      <c r="EM911"/>
      <c r="EN911"/>
      <c r="EO911"/>
      <c r="EP911"/>
      <c r="EQ911"/>
      <c r="ER911"/>
      <c r="ES911"/>
      <c r="ET911"/>
      <c r="EU911"/>
      <c r="EV911"/>
      <c r="EW911"/>
      <c r="EX911"/>
      <c r="EY911"/>
      <c r="EZ911"/>
      <c r="FA911"/>
      <c r="FB911"/>
      <c r="FC911"/>
      <c r="FD911"/>
      <c r="FE911"/>
      <c r="FF911"/>
      <c r="FG911"/>
      <c r="FH911"/>
      <c r="FI911"/>
      <c r="FJ911"/>
      <c r="FK911"/>
      <c r="FL911"/>
      <c r="FM911"/>
      <c r="FN911"/>
      <c r="FO911"/>
      <c r="FP911"/>
      <c r="FQ911"/>
      <c r="FR911"/>
      <c r="FS911"/>
      <c r="FT911"/>
      <c r="FU911"/>
      <c r="FV911"/>
      <c r="FW911"/>
      <c r="FX911"/>
      <c r="FY911"/>
      <c r="FZ911"/>
      <c r="GA911"/>
      <c r="GB911"/>
      <c r="GC911"/>
      <c r="GD911"/>
      <c r="GE911"/>
      <c r="GF911"/>
      <c r="GG911"/>
      <c r="GH911"/>
      <c r="GI911"/>
      <c r="GJ911"/>
      <c r="GK911"/>
      <c r="GL911"/>
      <c r="GM911"/>
      <c r="GN911"/>
      <c r="GO911"/>
      <c r="GP911"/>
      <c r="GQ911"/>
      <c r="GR911"/>
      <c r="GS911"/>
      <c r="GT911"/>
      <c r="GU911"/>
      <c r="GV911"/>
      <c r="GW911"/>
      <c r="GX911"/>
      <c r="GY911"/>
      <c r="GZ911"/>
      <c r="HA911"/>
      <c r="HB911"/>
      <c r="HC911"/>
      <c r="HD911"/>
      <c r="HE911"/>
      <c r="HF911"/>
      <c r="HG911"/>
      <c r="HH911"/>
      <c r="HI911"/>
      <c r="HJ911"/>
      <c r="HK911"/>
      <c r="HL911"/>
      <c r="HM911"/>
      <c r="HN911"/>
      <c r="HO911"/>
      <c r="HP911"/>
      <c r="HQ911"/>
      <c r="HR911"/>
      <c r="HS911"/>
      <c r="HT911"/>
      <c r="HU911"/>
      <c r="HV911"/>
      <c r="HW911"/>
      <c r="HX911"/>
      <c r="HY911"/>
      <c r="HZ911"/>
      <c r="IA911"/>
      <c r="IB911"/>
      <c r="IC911"/>
      <c r="ID911"/>
      <c r="IE911"/>
      <c r="IF911"/>
      <c r="IG911"/>
      <c r="IH911"/>
      <c r="II911"/>
      <c r="IJ911"/>
    </row>
    <row r="912" spans="1:244" ht="30" customHeight="1" x14ac:dyDescent="0.2">
      <c r="A912" s="2098"/>
      <c r="B912" s="2128" t="s">
        <v>927</v>
      </c>
      <c r="C912" s="2075">
        <v>3000000</v>
      </c>
      <c r="D912" s="2075">
        <f>3000000-30000-20000+1000000</f>
        <v>3950000</v>
      </c>
      <c r="E912" s="2075"/>
      <c r="F912" s="2075"/>
      <c r="G912" s="2200"/>
      <c r="H912" s="2200"/>
      <c r="I912" s="2201"/>
      <c r="J912"/>
      <c r="K912"/>
      <c r="L912"/>
      <c r="M912"/>
      <c r="N912"/>
      <c r="O912"/>
      <c r="P912"/>
      <c r="Q912"/>
      <c r="R912"/>
      <c r="S912"/>
      <c r="T912"/>
      <c r="U912"/>
      <c r="V912"/>
      <c r="W912"/>
      <c r="X912"/>
      <c r="Y912"/>
      <c r="Z912"/>
      <c r="AA912"/>
      <c r="AB912"/>
      <c r="AC912"/>
      <c r="AD912"/>
      <c r="AE912"/>
      <c r="AF912"/>
      <c r="AG912"/>
      <c r="AH912"/>
      <c r="AI912"/>
      <c r="AJ912"/>
      <c r="AK912"/>
      <c r="AL912"/>
      <c r="AM912"/>
      <c r="AN912"/>
      <c r="AO912"/>
      <c r="AP912"/>
      <c r="AQ912"/>
      <c r="AR912"/>
      <c r="AS912"/>
      <c r="AT912"/>
      <c r="AU912"/>
      <c r="AV912"/>
      <c r="AW912"/>
      <c r="AX912"/>
      <c r="AY912"/>
      <c r="AZ912"/>
      <c r="BA912"/>
      <c r="BB912"/>
      <c r="BC912"/>
      <c r="BD912"/>
      <c r="BE912"/>
      <c r="BF912"/>
      <c r="BG912"/>
      <c r="BH912"/>
      <c r="BI912"/>
      <c r="BJ912"/>
      <c r="BK912"/>
      <c r="BL912"/>
      <c r="BM912"/>
      <c r="BN912"/>
      <c r="BO912"/>
      <c r="BP912"/>
      <c r="BQ912"/>
      <c r="BR912"/>
      <c r="BS912"/>
      <c r="BT912"/>
      <c r="BU912"/>
      <c r="BV912"/>
      <c r="BW912"/>
      <c r="BX912"/>
      <c r="BY912"/>
      <c r="BZ912"/>
      <c r="CA912"/>
      <c r="CB912"/>
      <c r="CC912"/>
      <c r="CD912"/>
      <c r="CE912"/>
      <c r="CF912"/>
      <c r="CG912"/>
      <c r="CH912"/>
      <c r="CI912"/>
      <c r="CJ912"/>
      <c r="CK912"/>
      <c r="CL912"/>
      <c r="CM912"/>
      <c r="CN912"/>
      <c r="CO912"/>
      <c r="CP912"/>
      <c r="CQ912"/>
      <c r="CR912"/>
      <c r="CS912"/>
      <c r="CT912"/>
      <c r="CU912"/>
      <c r="CV912"/>
      <c r="CW912"/>
      <c r="CX912"/>
      <c r="CY912"/>
      <c r="CZ912"/>
      <c r="DA912"/>
      <c r="DB912"/>
      <c r="DC912"/>
      <c r="DD912"/>
      <c r="DE912"/>
      <c r="DF912"/>
      <c r="DG912"/>
      <c r="DH912"/>
      <c r="DI912"/>
      <c r="DJ912"/>
      <c r="DK912"/>
      <c r="DL912"/>
      <c r="DM912"/>
      <c r="DN912"/>
      <c r="DO912"/>
      <c r="DP912"/>
      <c r="DQ912"/>
      <c r="DR912"/>
      <c r="DS912"/>
      <c r="DT912"/>
      <c r="DU912"/>
      <c r="DV912"/>
      <c r="DW912"/>
      <c r="DX912"/>
      <c r="DY912"/>
      <c r="DZ912"/>
      <c r="EA912"/>
      <c r="EB912"/>
      <c r="EC912"/>
      <c r="ED912"/>
      <c r="EE912"/>
      <c r="EF912"/>
      <c r="EG912"/>
      <c r="EH912"/>
      <c r="EI912"/>
      <c r="EJ912"/>
      <c r="EK912"/>
      <c r="EL912"/>
      <c r="EM912"/>
      <c r="EN912"/>
      <c r="EO912"/>
      <c r="EP912"/>
      <c r="EQ912"/>
      <c r="ER912"/>
      <c r="ES912"/>
      <c r="ET912"/>
      <c r="EU912"/>
      <c r="EV912"/>
      <c r="EW912"/>
      <c r="EX912"/>
      <c r="EY912"/>
      <c r="EZ912"/>
      <c r="FA912"/>
      <c r="FB912"/>
      <c r="FC912"/>
      <c r="FD912"/>
      <c r="FE912"/>
      <c r="FF912"/>
      <c r="FG912"/>
      <c r="FH912"/>
      <c r="FI912"/>
      <c r="FJ912"/>
      <c r="FK912"/>
      <c r="FL912"/>
      <c r="FM912"/>
      <c r="FN912"/>
      <c r="FO912"/>
      <c r="FP912"/>
      <c r="FQ912"/>
      <c r="FR912"/>
      <c r="FS912"/>
      <c r="FT912"/>
      <c r="FU912"/>
      <c r="FV912"/>
      <c r="FW912"/>
      <c r="FX912"/>
      <c r="FY912"/>
      <c r="FZ912"/>
      <c r="GA912"/>
      <c r="GB912"/>
      <c r="GC912"/>
      <c r="GD912"/>
      <c r="GE912"/>
      <c r="GF912"/>
      <c r="GG912"/>
      <c r="GH912"/>
      <c r="GI912"/>
      <c r="GJ912"/>
      <c r="GK912"/>
      <c r="GL912"/>
      <c r="GM912"/>
      <c r="GN912"/>
      <c r="GO912"/>
      <c r="GP912"/>
      <c r="GQ912"/>
      <c r="GR912"/>
      <c r="GS912"/>
      <c r="GT912"/>
      <c r="GU912"/>
      <c r="GV912"/>
      <c r="GW912"/>
      <c r="GX912"/>
      <c r="GY912"/>
      <c r="GZ912"/>
      <c r="HA912"/>
      <c r="HB912"/>
      <c r="HC912"/>
      <c r="HD912"/>
      <c r="HE912"/>
      <c r="HF912"/>
      <c r="HG912"/>
      <c r="HH912"/>
      <c r="HI912"/>
      <c r="HJ912"/>
      <c r="HK912"/>
      <c r="HL912"/>
      <c r="HM912"/>
      <c r="HN912"/>
      <c r="HO912"/>
      <c r="HP912"/>
      <c r="HQ912"/>
      <c r="HR912"/>
      <c r="HS912"/>
      <c r="HT912"/>
      <c r="HU912"/>
      <c r="HV912"/>
      <c r="HW912"/>
      <c r="HX912"/>
      <c r="HY912"/>
      <c r="HZ912"/>
      <c r="IA912"/>
      <c r="IB912"/>
      <c r="IC912"/>
      <c r="ID912"/>
      <c r="IE912"/>
      <c r="IF912"/>
      <c r="IG912"/>
      <c r="IH912"/>
      <c r="II912"/>
      <c r="IJ912"/>
    </row>
    <row r="913" spans="1:244" ht="30" customHeight="1" x14ac:dyDescent="0.2">
      <c r="A913" s="2098"/>
      <c r="B913" s="2128" t="s">
        <v>1978</v>
      </c>
      <c r="C913" s="2075">
        <f>SUM(C914:C918)</f>
        <v>400000</v>
      </c>
      <c r="D913" s="2075">
        <f>SUM(D914:D918)</f>
        <v>450000</v>
      </c>
      <c r="E913" s="2075"/>
      <c r="F913" s="2075"/>
      <c r="G913" s="2200"/>
      <c r="H913" s="2200"/>
      <c r="I913" s="2201"/>
      <c r="J913"/>
      <c r="K913"/>
      <c r="L913"/>
      <c r="M913"/>
      <c r="N913"/>
      <c r="O913"/>
      <c r="P913"/>
      <c r="Q913"/>
      <c r="R913"/>
      <c r="S913"/>
      <c r="T913"/>
      <c r="U913"/>
      <c r="V913"/>
      <c r="W913"/>
      <c r="X913"/>
      <c r="Y913"/>
      <c r="Z913"/>
      <c r="AA913"/>
      <c r="AB913"/>
      <c r="AC913"/>
      <c r="AD913"/>
      <c r="AE913"/>
      <c r="AF913"/>
      <c r="AG913"/>
      <c r="AH913"/>
      <c r="AI913"/>
      <c r="AJ913"/>
      <c r="AK913"/>
      <c r="AL913"/>
      <c r="AM913"/>
      <c r="AN913"/>
      <c r="AO913"/>
      <c r="AP913"/>
      <c r="AQ913"/>
      <c r="AR913"/>
      <c r="AS913"/>
      <c r="AT913"/>
      <c r="AU913"/>
      <c r="AV913"/>
      <c r="AW913"/>
      <c r="AX913"/>
      <c r="AY913"/>
      <c r="AZ913"/>
      <c r="BA913"/>
      <c r="BB913"/>
      <c r="BC913"/>
      <c r="BD913"/>
      <c r="BE913"/>
      <c r="BF913"/>
      <c r="BG913"/>
      <c r="BH913"/>
      <c r="BI913"/>
      <c r="BJ913"/>
      <c r="BK913"/>
      <c r="BL913"/>
      <c r="BM913"/>
      <c r="BN913"/>
      <c r="BO913"/>
      <c r="BP913"/>
      <c r="BQ913"/>
      <c r="BR913"/>
      <c r="BS913"/>
      <c r="BT913"/>
      <c r="BU913"/>
      <c r="BV913"/>
      <c r="BW913"/>
      <c r="BX913"/>
      <c r="BY913"/>
      <c r="BZ913"/>
      <c r="CA913"/>
      <c r="CB913"/>
      <c r="CC913"/>
      <c r="CD913"/>
      <c r="CE913"/>
      <c r="CF913"/>
      <c r="CG913"/>
      <c r="CH913"/>
      <c r="CI913"/>
      <c r="CJ913"/>
      <c r="CK913"/>
      <c r="CL913"/>
      <c r="CM913"/>
      <c r="CN913"/>
      <c r="CO913"/>
      <c r="CP913"/>
      <c r="CQ913"/>
      <c r="CR913"/>
      <c r="CS913"/>
      <c r="CT913"/>
      <c r="CU913"/>
      <c r="CV913"/>
      <c r="CW913"/>
      <c r="CX913"/>
      <c r="CY913"/>
      <c r="CZ913"/>
      <c r="DA913"/>
      <c r="DB913"/>
      <c r="DC913"/>
      <c r="DD913"/>
      <c r="DE913"/>
      <c r="DF913"/>
      <c r="DG913"/>
      <c r="DH913"/>
      <c r="DI913"/>
      <c r="DJ913"/>
      <c r="DK913"/>
      <c r="DL913"/>
      <c r="DM913"/>
      <c r="DN913"/>
      <c r="DO913"/>
      <c r="DP913"/>
      <c r="DQ913"/>
      <c r="DR913"/>
      <c r="DS913"/>
      <c r="DT913"/>
      <c r="DU913"/>
      <c r="DV913"/>
      <c r="DW913"/>
      <c r="DX913"/>
      <c r="DY913"/>
      <c r="DZ913"/>
      <c r="EA913"/>
      <c r="EB913"/>
      <c r="EC913"/>
      <c r="ED913"/>
      <c r="EE913"/>
      <c r="EF913"/>
      <c r="EG913"/>
      <c r="EH913"/>
      <c r="EI913"/>
      <c r="EJ913"/>
      <c r="EK913"/>
      <c r="EL913"/>
      <c r="EM913"/>
      <c r="EN913"/>
      <c r="EO913"/>
      <c r="EP913"/>
      <c r="EQ913"/>
      <c r="ER913"/>
      <c r="ES913"/>
      <c r="ET913"/>
      <c r="EU913"/>
      <c r="EV913"/>
      <c r="EW913"/>
      <c r="EX913"/>
      <c r="EY913"/>
      <c r="EZ913"/>
      <c r="FA913"/>
      <c r="FB913"/>
      <c r="FC913"/>
      <c r="FD913"/>
      <c r="FE913"/>
      <c r="FF913"/>
      <c r="FG913"/>
      <c r="FH913"/>
      <c r="FI913"/>
      <c r="FJ913"/>
      <c r="FK913"/>
      <c r="FL913"/>
      <c r="FM913"/>
      <c r="FN913"/>
      <c r="FO913"/>
      <c r="FP913"/>
      <c r="FQ913"/>
      <c r="FR913"/>
      <c r="FS913"/>
      <c r="FT913"/>
      <c r="FU913"/>
      <c r="FV913"/>
      <c r="FW913"/>
      <c r="FX913"/>
      <c r="FY913"/>
      <c r="FZ913"/>
      <c r="GA913"/>
      <c r="GB913"/>
      <c r="GC913"/>
      <c r="GD913"/>
      <c r="GE913"/>
      <c r="GF913"/>
      <c r="GG913"/>
      <c r="GH913"/>
      <c r="GI913"/>
      <c r="GJ913"/>
      <c r="GK913"/>
      <c r="GL913"/>
      <c r="GM913"/>
      <c r="GN913"/>
      <c r="GO913"/>
      <c r="GP913"/>
      <c r="GQ913"/>
      <c r="GR913"/>
      <c r="GS913"/>
      <c r="GT913"/>
      <c r="GU913"/>
      <c r="GV913"/>
      <c r="GW913"/>
      <c r="GX913"/>
      <c r="GY913"/>
      <c r="GZ913"/>
      <c r="HA913"/>
      <c r="HB913"/>
      <c r="HC913"/>
      <c r="HD913"/>
      <c r="HE913"/>
      <c r="HF913"/>
      <c r="HG913"/>
      <c r="HH913"/>
      <c r="HI913"/>
      <c r="HJ913"/>
      <c r="HK913"/>
      <c r="HL913"/>
      <c r="HM913"/>
      <c r="HN913"/>
      <c r="HO913"/>
      <c r="HP913"/>
      <c r="HQ913"/>
      <c r="HR913"/>
      <c r="HS913"/>
      <c r="HT913"/>
      <c r="HU913"/>
      <c r="HV913"/>
      <c r="HW913"/>
      <c r="HX913"/>
      <c r="HY913"/>
      <c r="HZ913"/>
      <c r="IA913"/>
      <c r="IB913"/>
      <c r="IC913"/>
      <c r="ID913"/>
      <c r="IE913"/>
      <c r="IF913"/>
      <c r="IG913"/>
      <c r="IH913"/>
      <c r="II913"/>
      <c r="IJ913"/>
    </row>
    <row r="914" spans="1:244" ht="30" customHeight="1" x14ac:dyDescent="0.2">
      <c r="A914" s="1155"/>
      <c r="B914" s="2088" t="s">
        <v>2557</v>
      </c>
      <c r="C914" s="2075">
        <v>100000</v>
      </c>
      <c r="D914" s="2075">
        <v>100000</v>
      </c>
      <c r="E914" s="2075"/>
      <c r="F914" s="2075"/>
      <c r="G914" s="2200"/>
      <c r="H914" s="2200"/>
      <c r="I914" s="2201"/>
      <c r="J914"/>
      <c r="K914"/>
      <c r="L914"/>
      <c r="M914"/>
      <c r="N914"/>
      <c r="O914"/>
      <c r="P914"/>
      <c r="Q914"/>
      <c r="R914"/>
      <c r="S914"/>
      <c r="T914"/>
      <c r="U914"/>
      <c r="V914"/>
      <c r="W914"/>
      <c r="X914"/>
      <c r="Y914"/>
      <c r="Z914"/>
      <c r="AA914"/>
      <c r="AB914"/>
      <c r="AC914"/>
      <c r="AD914"/>
      <c r="AE914"/>
      <c r="AF914"/>
      <c r="AG914"/>
      <c r="AH914"/>
      <c r="AI914"/>
      <c r="AJ914"/>
      <c r="AK914"/>
      <c r="AL914"/>
      <c r="AM914"/>
      <c r="AN914"/>
      <c r="AO914"/>
      <c r="AP914"/>
      <c r="AQ914"/>
      <c r="AR914"/>
      <c r="AS914"/>
      <c r="AT914"/>
      <c r="AU914"/>
      <c r="AV914"/>
      <c r="AW914"/>
      <c r="AX914"/>
      <c r="AY914"/>
      <c r="AZ914"/>
      <c r="BA914"/>
      <c r="BB914"/>
      <c r="BC914"/>
      <c r="BD914"/>
      <c r="BE914"/>
      <c r="BF914"/>
      <c r="BG914"/>
      <c r="BH914"/>
      <c r="BI914"/>
      <c r="BJ914"/>
      <c r="BK914"/>
      <c r="BL914"/>
      <c r="BM914"/>
      <c r="BN914"/>
      <c r="BO914"/>
      <c r="BP914"/>
      <c r="BQ914"/>
      <c r="BR914"/>
      <c r="BS914"/>
      <c r="BT914"/>
      <c r="BU914"/>
      <c r="BV914"/>
      <c r="BW914"/>
      <c r="BX914"/>
      <c r="BY914"/>
      <c r="BZ914"/>
      <c r="CA914"/>
      <c r="CB914"/>
      <c r="CC914"/>
      <c r="CD914"/>
      <c r="CE914"/>
      <c r="CF914"/>
      <c r="CG914"/>
      <c r="CH914"/>
      <c r="CI914"/>
      <c r="CJ914"/>
      <c r="CK914"/>
      <c r="CL914"/>
      <c r="CM914"/>
      <c r="CN914"/>
      <c r="CO914"/>
      <c r="CP914"/>
      <c r="CQ914"/>
      <c r="CR914"/>
      <c r="CS914"/>
      <c r="CT914"/>
      <c r="CU914"/>
      <c r="CV914"/>
      <c r="CW914"/>
      <c r="CX914"/>
      <c r="CY914"/>
      <c r="CZ914"/>
      <c r="DA914"/>
      <c r="DB914"/>
      <c r="DC914"/>
      <c r="DD914"/>
      <c r="DE914"/>
      <c r="DF914"/>
      <c r="DG914"/>
      <c r="DH914"/>
      <c r="DI914"/>
      <c r="DJ914"/>
      <c r="DK914"/>
      <c r="DL914"/>
      <c r="DM914"/>
      <c r="DN914"/>
      <c r="DO914"/>
      <c r="DP914"/>
      <c r="DQ914"/>
      <c r="DR914"/>
      <c r="DS914"/>
      <c r="DT914"/>
      <c r="DU914"/>
      <c r="DV914"/>
      <c r="DW914"/>
      <c r="DX914"/>
      <c r="DY914"/>
      <c r="DZ914"/>
      <c r="EA914"/>
      <c r="EB914"/>
      <c r="EC914"/>
      <c r="ED914"/>
      <c r="EE914"/>
      <c r="EF914"/>
      <c r="EG914"/>
      <c r="EH914"/>
      <c r="EI914"/>
      <c r="EJ914"/>
      <c r="EK914"/>
      <c r="EL914"/>
      <c r="EM914"/>
      <c r="EN914"/>
      <c r="EO914"/>
      <c r="EP914"/>
      <c r="EQ914"/>
      <c r="ER914"/>
      <c r="ES914"/>
      <c r="ET914"/>
      <c r="EU914"/>
      <c r="EV914"/>
      <c r="EW914"/>
      <c r="EX914"/>
      <c r="EY914"/>
      <c r="EZ914"/>
      <c r="FA914"/>
      <c r="FB914"/>
      <c r="FC914"/>
      <c r="FD914"/>
      <c r="FE914"/>
      <c r="FF914"/>
      <c r="FG914"/>
      <c r="FH914"/>
      <c r="FI914"/>
      <c r="FJ914"/>
      <c r="FK914"/>
      <c r="FL914"/>
      <c r="FM914"/>
      <c r="FN914"/>
      <c r="FO914"/>
      <c r="FP914"/>
      <c r="FQ914"/>
      <c r="FR914"/>
      <c r="FS914"/>
      <c r="FT914"/>
      <c r="FU914"/>
      <c r="FV914"/>
      <c r="FW914"/>
      <c r="FX914"/>
      <c r="FY914"/>
      <c r="FZ914"/>
      <c r="GA914"/>
      <c r="GB914"/>
      <c r="GC914"/>
      <c r="GD914"/>
      <c r="GE914"/>
      <c r="GF914"/>
      <c r="GG914"/>
      <c r="GH914"/>
      <c r="GI914"/>
      <c r="GJ914"/>
      <c r="GK914"/>
      <c r="GL914"/>
      <c r="GM914"/>
      <c r="GN914"/>
      <c r="GO914"/>
      <c r="GP914"/>
      <c r="GQ914"/>
      <c r="GR914"/>
      <c r="GS914"/>
      <c r="GT914"/>
      <c r="GU914"/>
      <c r="GV914"/>
      <c r="GW914"/>
      <c r="GX914"/>
      <c r="GY914"/>
      <c r="GZ914"/>
      <c r="HA914"/>
      <c r="HB914"/>
      <c r="HC914"/>
      <c r="HD914"/>
      <c r="HE914"/>
      <c r="HF914"/>
      <c r="HG914"/>
      <c r="HH914"/>
      <c r="HI914"/>
      <c r="HJ914"/>
      <c r="HK914"/>
      <c r="HL914"/>
      <c r="HM914"/>
      <c r="HN914"/>
      <c r="HO914"/>
      <c r="HP914"/>
      <c r="HQ914"/>
      <c r="HR914"/>
      <c r="HS914"/>
      <c r="HT914"/>
      <c r="HU914"/>
      <c r="HV914"/>
      <c r="HW914"/>
      <c r="HX914"/>
      <c r="HY914"/>
      <c r="HZ914"/>
      <c r="IA914"/>
      <c r="IB914"/>
      <c r="IC914"/>
      <c r="ID914"/>
      <c r="IE914"/>
      <c r="IF914"/>
      <c r="IG914"/>
      <c r="IH914"/>
      <c r="II914"/>
      <c r="IJ914"/>
    </row>
    <row r="915" spans="1:244" ht="30" customHeight="1" x14ac:dyDescent="0.2">
      <c r="A915" s="2098"/>
      <c r="B915" s="2113" t="s">
        <v>2558</v>
      </c>
      <c r="C915" s="2075">
        <v>200000</v>
      </c>
      <c r="D915" s="2075">
        <v>200000</v>
      </c>
      <c r="E915" s="2075"/>
      <c r="F915" s="2075"/>
      <c r="G915" s="2200"/>
      <c r="H915" s="2200"/>
      <c r="I915" s="2201"/>
      <c r="J915"/>
      <c r="K915"/>
      <c r="L915"/>
      <c r="M915"/>
      <c r="N915"/>
      <c r="O915"/>
      <c r="P915"/>
      <c r="Q915"/>
      <c r="R915"/>
      <c r="S915"/>
      <c r="T915"/>
      <c r="U915"/>
      <c r="V915"/>
      <c r="W915"/>
      <c r="X915"/>
      <c r="Y915"/>
      <c r="Z915"/>
      <c r="AA915"/>
      <c r="AB915"/>
      <c r="AC915"/>
      <c r="AD915"/>
      <c r="AE915"/>
      <c r="AF915"/>
      <c r="AG915"/>
      <c r="AH915"/>
      <c r="AI915"/>
      <c r="AJ915"/>
      <c r="AK915"/>
      <c r="AL915"/>
      <c r="AM915"/>
      <c r="AN915"/>
      <c r="AO915"/>
      <c r="AP915"/>
      <c r="AQ915"/>
      <c r="AR915"/>
      <c r="AS915"/>
      <c r="AT915"/>
      <c r="AU915"/>
      <c r="AV915"/>
      <c r="AW915"/>
      <c r="AX915"/>
      <c r="AY915"/>
      <c r="AZ915"/>
      <c r="BA915"/>
      <c r="BB915"/>
      <c r="BC915"/>
      <c r="BD915"/>
      <c r="BE915"/>
      <c r="BF915"/>
      <c r="BG915"/>
      <c r="BH915"/>
      <c r="BI915"/>
      <c r="BJ915"/>
      <c r="BK915"/>
      <c r="BL915"/>
      <c r="BM915"/>
      <c r="BN915"/>
      <c r="BO915"/>
      <c r="BP915"/>
      <c r="BQ915"/>
      <c r="BR915"/>
      <c r="BS915"/>
      <c r="BT915"/>
      <c r="BU915"/>
      <c r="BV915"/>
      <c r="BW915"/>
      <c r="BX915"/>
      <c r="BY915"/>
      <c r="BZ915"/>
      <c r="CA915"/>
      <c r="CB915"/>
      <c r="CC915"/>
      <c r="CD915"/>
      <c r="CE915"/>
      <c r="CF915"/>
      <c r="CG915"/>
      <c r="CH915"/>
      <c r="CI915"/>
      <c r="CJ915"/>
      <c r="CK915"/>
      <c r="CL915"/>
      <c r="CM915"/>
      <c r="CN915"/>
      <c r="CO915"/>
      <c r="CP915"/>
      <c r="CQ915"/>
      <c r="CR915"/>
      <c r="CS915"/>
      <c r="CT915"/>
      <c r="CU915"/>
      <c r="CV915"/>
      <c r="CW915"/>
      <c r="CX915"/>
      <c r="CY915"/>
      <c r="CZ915"/>
      <c r="DA915"/>
      <c r="DB915"/>
      <c r="DC915"/>
      <c r="DD915"/>
      <c r="DE915"/>
      <c r="DF915"/>
      <c r="DG915"/>
      <c r="DH915"/>
      <c r="DI915"/>
      <c r="DJ915"/>
      <c r="DK915"/>
      <c r="DL915"/>
      <c r="DM915"/>
      <c r="DN915"/>
      <c r="DO915"/>
      <c r="DP915"/>
      <c r="DQ915"/>
      <c r="DR915"/>
      <c r="DS915"/>
      <c r="DT915"/>
      <c r="DU915"/>
      <c r="DV915"/>
      <c r="DW915"/>
      <c r="DX915"/>
      <c r="DY915"/>
      <c r="DZ915"/>
      <c r="EA915"/>
      <c r="EB915"/>
      <c r="EC915"/>
      <c r="ED915"/>
      <c r="EE915"/>
      <c r="EF915"/>
      <c r="EG915"/>
      <c r="EH915"/>
      <c r="EI915"/>
      <c r="EJ915"/>
      <c r="EK915"/>
      <c r="EL915"/>
      <c r="EM915"/>
      <c r="EN915"/>
      <c r="EO915"/>
      <c r="EP915"/>
      <c r="EQ915"/>
      <c r="ER915"/>
      <c r="ES915"/>
      <c r="ET915"/>
      <c r="EU915"/>
      <c r="EV915"/>
      <c r="EW915"/>
      <c r="EX915"/>
      <c r="EY915"/>
      <c r="EZ915"/>
      <c r="FA915"/>
      <c r="FB915"/>
      <c r="FC915"/>
      <c r="FD915"/>
      <c r="FE915"/>
      <c r="FF915"/>
      <c r="FG915"/>
      <c r="FH915"/>
      <c r="FI915"/>
      <c r="FJ915"/>
      <c r="FK915"/>
      <c r="FL915"/>
      <c r="FM915"/>
      <c r="FN915"/>
      <c r="FO915"/>
      <c r="FP915"/>
      <c r="FQ915"/>
      <c r="FR915"/>
      <c r="FS915"/>
      <c r="FT915"/>
      <c r="FU915"/>
      <c r="FV915"/>
      <c r="FW915"/>
      <c r="FX915"/>
      <c r="FY915"/>
      <c r="FZ915"/>
      <c r="GA915"/>
      <c r="GB915"/>
      <c r="GC915"/>
      <c r="GD915"/>
      <c r="GE915"/>
      <c r="GF915"/>
      <c r="GG915"/>
      <c r="GH915"/>
      <c r="GI915"/>
      <c r="GJ915"/>
      <c r="GK915"/>
      <c r="GL915"/>
      <c r="GM915"/>
      <c r="GN915"/>
      <c r="GO915"/>
      <c r="GP915"/>
      <c r="GQ915"/>
      <c r="GR915"/>
      <c r="GS915"/>
      <c r="GT915"/>
      <c r="GU915"/>
      <c r="GV915"/>
      <c r="GW915"/>
      <c r="GX915"/>
      <c r="GY915"/>
      <c r="GZ915"/>
      <c r="HA915"/>
      <c r="HB915"/>
      <c r="HC915"/>
      <c r="HD915"/>
      <c r="HE915"/>
      <c r="HF915"/>
      <c r="HG915"/>
      <c r="HH915"/>
      <c r="HI915"/>
      <c r="HJ915"/>
      <c r="HK915"/>
      <c r="HL915"/>
      <c r="HM915"/>
      <c r="HN915"/>
      <c r="HO915"/>
      <c r="HP915"/>
      <c r="HQ915"/>
      <c r="HR915"/>
      <c r="HS915"/>
      <c r="HT915"/>
      <c r="HU915"/>
      <c r="HV915"/>
      <c r="HW915"/>
      <c r="HX915"/>
      <c r="HY915"/>
      <c r="HZ915"/>
      <c r="IA915"/>
      <c r="IB915"/>
      <c r="IC915"/>
      <c r="ID915"/>
      <c r="IE915"/>
      <c r="IF915"/>
      <c r="IG915"/>
      <c r="IH915"/>
      <c r="II915"/>
      <c r="IJ915"/>
    </row>
    <row r="916" spans="1:244" ht="30" customHeight="1" x14ac:dyDescent="0.2">
      <c r="A916" s="2098"/>
      <c r="B916" s="2113" t="s">
        <v>1981</v>
      </c>
      <c r="C916" s="2075">
        <v>0</v>
      </c>
      <c r="D916" s="2075">
        <v>0</v>
      </c>
      <c r="E916" s="2075"/>
      <c r="F916" s="2075"/>
      <c r="G916" s="2200"/>
      <c r="H916" s="2200"/>
      <c r="I916" s="2201"/>
      <c r="J916"/>
      <c r="K916"/>
      <c r="L916"/>
      <c r="M916"/>
      <c r="N916"/>
      <c r="O916"/>
      <c r="P916"/>
      <c r="Q916"/>
      <c r="R916"/>
      <c r="S916"/>
      <c r="T916"/>
      <c r="U916"/>
      <c r="V916"/>
      <c r="W916"/>
      <c r="X916"/>
      <c r="Y916"/>
      <c r="Z916"/>
      <c r="AA916"/>
      <c r="AB916"/>
      <c r="AC916"/>
      <c r="AD916"/>
      <c r="AE916"/>
      <c r="AF916"/>
      <c r="AG916"/>
      <c r="AH916"/>
      <c r="AI916"/>
      <c r="AJ916"/>
      <c r="AK916"/>
      <c r="AL916"/>
      <c r="AM916"/>
      <c r="AN916"/>
      <c r="AO916"/>
      <c r="AP916"/>
      <c r="AQ916"/>
      <c r="AR916"/>
      <c r="AS916"/>
      <c r="AT916"/>
      <c r="AU916"/>
      <c r="AV916"/>
      <c r="AW916"/>
      <c r="AX916"/>
      <c r="AY916"/>
      <c r="AZ916"/>
      <c r="BA916"/>
      <c r="BB916"/>
      <c r="BC916"/>
      <c r="BD916"/>
      <c r="BE916"/>
      <c r="BF916"/>
      <c r="BG916"/>
      <c r="BH916"/>
      <c r="BI916"/>
      <c r="BJ916"/>
      <c r="BK916"/>
      <c r="BL916"/>
      <c r="BM916"/>
      <c r="BN916"/>
      <c r="BO916"/>
      <c r="BP916"/>
      <c r="BQ916"/>
      <c r="BR916"/>
      <c r="BS916"/>
      <c r="BT916"/>
      <c r="BU916"/>
      <c r="BV916"/>
      <c r="BW916"/>
      <c r="BX916"/>
      <c r="BY916"/>
      <c r="BZ916"/>
      <c r="CA916"/>
      <c r="CB916"/>
      <c r="CC916"/>
      <c r="CD916"/>
      <c r="CE916"/>
      <c r="CF916"/>
      <c r="CG916"/>
      <c r="CH916"/>
      <c r="CI916"/>
      <c r="CJ916"/>
      <c r="CK916"/>
      <c r="CL916"/>
      <c r="CM916"/>
      <c r="CN916"/>
      <c r="CO916"/>
      <c r="CP916"/>
      <c r="CQ916"/>
      <c r="CR916"/>
      <c r="CS916"/>
      <c r="CT916"/>
      <c r="CU916"/>
      <c r="CV916"/>
      <c r="CW916"/>
      <c r="CX916"/>
      <c r="CY916"/>
      <c r="CZ916"/>
      <c r="DA916"/>
      <c r="DB916"/>
      <c r="DC916"/>
      <c r="DD916"/>
      <c r="DE916"/>
      <c r="DF916"/>
      <c r="DG916"/>
      <c r="DH916"/>
      <c r="DI916"/>
      <c r="DJ916"/>
      <c r="DK916"/>
      <c r="DL916"/>
      <c r="DM916"/>
      <c r="DN916"/>
      <c r="DO916"/>
      <c r="DP916"/>
      <c r="DQ916"/>
      <c r="DR916"/>
      <c r="DS916"/>
      <c r="DT916"/>
      <c r="DU916"/>
      <c r="DV916"/>
      <c r="DW916"/>
      <c r="DX916"/>
      <c r="DY916"/>
      <c r="DZ916"/>
      <c r="EA916"/>
      <c r="EB916"/>
      <c r="EC916"/>
      <c r="ED916"/>
      <c r="EE916"/>
      <c r="EF916"/>
      <c r="EG916"/>
      <c r="EH916"/>
      <c r="EI916"/>
      <c r="EJ916"/>
      <c r="EK916"/>
      <c r="EL916"/>
      <c r="EM916"/>
      <c r="EN916"/>
      <c r="EO916"/>
      <c r="EP916"/>
      <c r="EQ916"/>
      <c r="ER916"/>
      <c r="ES916"/>
      <c r="ET916"/>
      <c r="EU916"/>
      <c r="EV916"/>
      <c r="EW916"/>
      <c r="EX916"/>
      <c r="EY916"/>
      <c r="EZ916"/>
      <c r="FA916"/>
      <c r="FB916"/>
      <c r="FC916"/>
      <c r="FD916"/>
      <c r="FE916"/>
      <c r="FF916"/>
      <c r="FG916"/>
      <c r="FH916"/>
      <c r="FI916"/>
      <c r="FJ916"/>
      <c r="FK916"/>
      <c r="FL916"/>
      <c r="FM916"/>
      <c r="FN916"/>
      <c r="FO916"/>
      <c r="FP916"/>
      <c r="FQ916"/>
      <c r="FR916"/>
      <c r="FS916"/>
      <c r="FT916"/>
      <c r="FU916"/>
      <c r="FV916"/>
      <c r="FW916"/>
      <c r="FX916"/>
      <c r="FY916"/>
      <c r="FZ916"/>
      <c r="GA916"/>
      <c r="GB916"/>
      <c r="GC916"/>
      <c r="GD916"/>
      <c r="GE916"/>
      <c r="GF916"/>
      <c r="GG916"/>
      <c r="GH916"/>
      <c r="GI916"/>
      <c r="GJ916"/>
      <c r="GK916"/>
      <c r="GL916"/>
      <c r="GM916"/>
      <c r="GN916"/>
      <c r="GO916"/>
      <c r="GP916"/>
      <c r="GQ916"/>
      <c r="GR916"/>
      <c r="GS916"/>
      <c r="GT916"/>
      <c r="GU916"/>
      <c r="GV916"/>
      <c r="GW916"/>
      <c r="GX916"/>
      <c r="GY916"/>
      <c r="GZ916"/>
      <c r="HA916"/>
      <c r="HB916"/>
      <c r="HC916"/>
      <c r="HD916"/>
      <c r="HE916"/>
      <c r="HF916"/>
      <c r="HG916"/>
      <c r="HH916"/>
      <c r="HI916"/>
      <c r="HJ916"/>
      <c r="HK916"/>
      <c r="HL916"/>
      <c r="HM916"/>
      <c r="HN916"/>
      <c r="HO916"/>
      <c r="HP916"/>
      <c r="HQ916"/>
      <c r="HR916"/>
      <c r="HS916"/>
      <c r="HT916"/>
      <c r="HU916"/>
      <c r="HV916"/>
      <c r="HW916"/>
      <c r="HX916"/>
      <c r="HY916"/>
      <c r="HZ916"/>
      <c r="IA916"/>
      <c r="IB916"/>
      <c r="IC916"/>
      <c r="ID916"/>
      <c r="IE916"/>
      <c r="IF916"/>
      <c r="IG916"/>
      <c r="IH916"/>
      <c r="II916"/>
      <c r="IJ916"/>
    </row>
    <row r="917" spans="1:244" ht="30" customHeight="1" x14ac:dyDescent="0.2">
      <c r="A917" s="2098"/>
      <c r="B917" s="2113" t="s">
        <v>1982</v>
      </c>
      <c r="C917" s="2075">
        <v>100000</v>
      </c>
      <c r="D917" s="2075">
        <v>100000</v>
      </c>
      <c r="E917" s="2075"/>
      <c r="F917" s="2075"/>
      <c r="G917" s="2200"/>
      <c r="H917" s="2200"/>
      <c r="I917" s="2201"/>
      <c r="J917"/>
      <c r="K917"/>
      <c r="L917"/>
      <c r="M917"/>
      <c r="N917"/>
      <c r="O917"/>
      <c r="P917"/>
      <c r="Q917"/>
      <c r="R917"/>
      <c r="S917"/>
      <c r="T917"/>
      <c r="U917"/>
      <c r="V917"/>
      <c r="W917"/>
      <c r="X917"/>
      <c r="Y917"/>
      <c r="Z917"/>
      <c r="AA917"/>
      <c r="AB917"/>
      <c r="AC917"/>
      <c r="AD917"/>
      <c r="AE917"/>
      <c r="AF917"/>
      <c r="AG917"/>
      <c r="AH917"/>
      <c r="AI917"/>
      <c r="AJ917"/>
      <c r="AK917"/>
      <c r="AL917"/>
      <c r="AM917"/>
      <c r="AN917"/>
      <c r="AO917"/>
      <c r="AP917"/>
      <c r="AQ917"/>
      <c r="AR917"/>
      <c r="AS917"/>
      <c r="AT917"/>
      <c r="AU917"/>
      <c r="AV917"/>
      <c r="AW917"/>
      <c r="AX917"/>
      <c r="AY917"/>
      <c r="AZ917"/>
      <c r="BA917"/>
      <c r="BB917"/>
      <c r="BC917"/>
      <c r="BD917"/>
      <c r="BE917"/>
      <c r="BF917"/>
      <c r="BG917"/>
      <c r="BH917"/>
      <c r="BI917"/>
      <c r="BJ917"/>
      <c r="BK917"/>
      <c r="BL917"/>
      <c r="BM917"/>
      <c r="BN917"/>
      <c r="BO917"/>
      <c r="BP917"/>
      <c r="BQ917"/>
      <c r="BR917"/>
      <c r="BS917"/>
      <c r="BT917"/>
      <c r="BU917"/>
      <c r="BV917"/>
      <c r="BW917"/>
      <c r="BX917"/>
      <c r="BY917"/>
      <c r="BZ917"/>
      <c r="CA917"/>
      <c r="CB917"/>
      <c r="CC917"/>
      <c r="CD917"/>
      <c r="CE917"/>
      <c r="CF917"/>
      <c r="CG917"/>
      <c r="CH917"/>
      <c r="CI917"/>
      <c r="CJ917"/>
      <c r="CK917"/>
      <c r="CL917"/>
      <c r="CM917"/>
      <c r="CN917"/>
      <c r="CO917"/>
      <c r="CP917"/>
      <c r="CQ917"/>
      <c r="CR917"/>
      <c r="CS917"/>
      <c r="CT917"/>
      <c r="CU917"/>
      <c r="CV917"/>
      <c r="CW917"/>
      <c r="CX917"/>
      <c r="CY917"/>
      <c r="CZ917"/>
      <c r="DA917"/>
      <c r="DB917"/>
      <c r="DC917"/>
      <c r="DD917"/>
      <c r="DE917"/>
      <c r="DF917"/>
      <c r="DG917"/>
      <c r="DH917"/>
      <c r="DI917"/>
      <c r="DJ917"/>
      <c r="DK917"/>
      <c r="DL917"/>
      <c r="DM917"/>
      <c r="DN917"/>
      <c r="DO917"/>
      <c r="DP917"/>
      <c r="DQ917"/>
      <c r="DR917"/>
      <c r="DS917"/>
      <c r="DT917"/>
      <c r="DU917"/>
      <c r="DV917"/>
      <c r="DW917"/>
      <c r="DX917"/>
      <c r="DY917"/>
      <c r="DZ917"/>
      <c r="EA917"/>
      <c r="EB917"/>
      <c r="EC917"/>
      <c r="ED917"/>
      <c r="EE917"/>
      <c r="EF917"/>
      <c r="EG917"/>
      <c r="EH917"/>
      <c r="EI917"/>
      <c r="EJ917"/>
      <c r="EK917"/>
      <c r="EL917"/>
      <c r="EM917"/>
      <c r="EN917"/>
      <c r="EO917"/>
      <c r="EP917"/>
      <c r="EQ917"/>
      <c r="ER917"/>
      <c r="ES917"/>
      <c r="ET917"/>
      <c r="EU917"/>
      <c r="EV917"/>
      <c r="EW917"/>
      <c r="EX917"/>
      <c r="EY917"/>
      <c r="EZ917"/>
      <c r="FA917"/>
      <c r="FB917"/>
      <c r="FC917"/>
      <c r="FD917"/>
      <c r="FE917"/>
      <c r="FF917"/>
      <c r="FG917"/>
      <c r="FH917"/>
      <c r="FI917"/>
      <c r="FJ917"/>
      <c r="FK917"/>
      <c r="FL917"/>
      <c r="FM917"/>
      <c r="FN917"/>
      <c r="FO917"/>
      <c r="FP917"/>
      <c r="FQ917"/>
      <c r="FR917"/>
      <c r="FS917"/>
      <c r="FT917"/>
      <c r="FU917"/>
      <c r="FV917"/>
      <c r="FW917"/>
      <c r="FX917"/>
      <c r="FY917"/>
      <c r="FZ917"/>
      <c r="GA917"/>
      <c r="GB917"/>
      <c r="GC917"/>
      <c r="GD917"/>
      <c r="GE917"/>
      <c r="GF917"/>
      <c r="GG917"/>
      <c r="GH917"/>
      <c r="GI917"/>
      <c r="GJ917"/>
      <c r="GK917"/>
      <c r="GL917"/>
      <c r="GM917"/>
      <c r="GN917"/>
      <c r="GO917"/>
      <c r="GP917"/>
      <c r="GQ917"/>
      <c r="GR917"/>
      <c r="GS917"/>
      <c r="GT917"/>
      <c r="GU917"/>
      <c r="GV917"/>
      <c r="GW917"/>
      <c r="GX917"/>
      <c r="GY917"/>
      <c r="GZ917"/>
      <c r="HA917"/>
      <c r="HB917"/>
      <c r="HC917"/>
      <c r="HD917"/>
      <c r="HE917"/>
      <c r="HF917"/>
      <c r="HG917"/>
      <c r="HH917"/>
      <c r="HI917"/>
      <c r="HJ917"/>
      <c r="HK917"/>
      <c r="HL917"/>
      <c r="HM917"/>
      <c r="HN917"/>
      <c r="HO917"/>
      <c r="HP917"/>
      <c r="HQ917"/>
      <c r="HR917"/>
      <c r="HS917"/>
      <c r="HT917"/>
      <c r="HU917"/>
      <c r="HV917"/>
      <c r="HW917"/>
      <c r="HX917"/>
      <c r="HY917"/>
      <c r="HZ917"/>
      <c r="IA917"/>
      <c r="IB917"/>
      <c r="IC917"/>
      <c r="ID917"/>
      <c r="IE917"/>
      <c r="IF917"/>
      <c r="IG917"/>
      <c r="IH917"/>
      <c r="II917"/>
      <c r="IJ917"/>
    </row>
    <row r="918" spans="1:244" ht="30" customHeight="1" x14ac:dyDescent="0.2">
      <c r="A918" s="2098"/>
      <c r="B918" s="2113" t="s">
        <v>2955</v>
      </c>
      <c r="C918" s="2075">
        <v>0</v>
      </c>
      <c r="D918" s="2075">
        <f>30000+20000</f>
        <v>50000</v>
      </c>
      <c r="E918" s="2075"/>
      <c r="F918" s="2075"/>
      <c r="G918" s="2200"/>
      <c r="H918" s="2200"/>
      <c r="I918" s="2201"/>
      <c r="J918"/>
      <c r="K918"/>
      <c r="L918"/>
      <c r="M918"/>
      <c r="N918"/>
      <c r="O918"/>
      <c r="P918"/>
      <c r="Q918"/>
      <c r="R918"/>
      <c r="S918"/>
      <c r="T918"/>
      <c r="U918"/>
      <c r="V918"/>
      <c r="W918"/>
      <c r="X918"/>
      <c r="Y918"/>
      <c r="Z918"/>
      <c r="AA918"/>
      <c r="AB918"/>
      <c r="AC918"/>
      <c r="AD918"/>
      <c r="AE918"/>
      <c r="AF918"/>
      <c r="AG918"/>
      <c r="AH918"/>
      <c r="AI918"/>
      <c r="AJ918"/>
      <c r="AK918"/>
      <c r="AL918"/>
      <c r="AM918"/>
      <c r="AN918"/>
      <c r="AO918"/>
      <c r="AP918"/>
      <c r="AQ918"/>
      <c r="AR918"/>
      <c r="AS918"/>
      <c r="AT918"/>
      <c r="AU918"/>
      <c r="AV918"/>
      <c r="AW918"/>
      <c r="AX918"/>
      <c r="AY918"/>
      <c r="AZ918"/>
      <c r="BA918"/>
      <c r="BB918"/>
      <c r="BC918"/>
      <c r="BD918"/>
      <c r="BE918"/>
      <c r="BF918"/>
      <c r="BG918"/>
      <c r="BH918"/>
      <c r="BI918"/>
      <c r="BJ918"/>
      <c r="BK918"/>
      <c r="BL918"/>
      <c r="BM918"/>
      <c r="BN918"/>
      <c r="BO918"/>
      <c r="BP918"/>
      <c r="BQ918"/>
      <c r="BR918"/>
      <c r="BS918"/>
      <c r="BT918"/>
      <c r="BU918"/>
      <c r="BV918"/>
      <c r="BW918"/>
      <c r="BX918"/>
      <c r="BY918"/>
      <c r="BZ918"/>
      <c r="CA918"/>
      <c r="CB918"/>
      <c r="CC918"/>
      <c r="CD918"/>
      <c r="CE918"/>
      <c r="CF918"/>
      <c r="CG918"/>
      <c r="CH918"/>
      <c r="CI918"/>
      <c r="CJ918"/>
      <c r="CK918"/>
      <c r="CL918"/>
      <c r="CM918"/>
      <c r="CN918"/>
      <c r="CO918"/>
      <c r="CP918"/>
      <c r="CQ918"/>
      <c r="CR918"/>
      <c r="CS918"/>
      <c r="CT918"/>
      <c r="CU918"/>
      <c r="CV918"/>
      <c r="CW918"/>
      <c r="CX918"/>
      <c r="CY918"/>
      <c r="CZ918"/>
      <c r="DA918"/>
      <c r="DB918"/>
      <c r="DC918"/>
      <c r="DD918"/>
      <c r="DE918"/>
      <c r="DF918"/>
      <c r="DG918"/>
      <c r="DH918"/>
      <c r="DI918"/>
      <c r="DJ918"/>
      <c r="DK918"/>
      <c r="DL918"/>
      <c r="DM918"/>
      <c r="DN918"/>
      <c r="DO918"/>
      <c r="DP918"/>
      <c r="DQ918"/>
      <c r="DR918"/>
      <c r="DS918"/>
      <c r="DT918"/>
      <c r="DU918"/>
      <c r="DV918"/>
      <c r="DW918"/>
      <c r="DX918"/>
      <c r="DY918"/>
      <c r="DZ918"/>
      <c r="EA918"/>
      <c r="EB918"/>
      <c r="EC918"/>
      <c r="ED918"/>
      <c r="EE918"/>
      <c r="EF918"/>
      <c r="EG918"/>
      <c r="EH918"/>
      <c r="EI918"/>
      <c r="EJ918"/>
      <c r="EK918"/>
      <c r="EL918"/>
      <c r="EM918"/>
      <c r="EN918"/>
      <c r="EO918"/>
      <c r="EP918"/>
      <c r="EQ918"/>
      <c r="ER918"/>
      <c r="ES918"/>
      <c r="ET918"/>
      <c r="EU918"/>
      <c r="EV918"/>
      <c r="EW918"/>
      <c r="EX918"/>
      <c r="EY918"/>
      <c r="EZ918"/>
      <c r="FA918"/>
      <c r="FB918"/>
      <c r="FC918"/>
      <c r="FD918"/>
      <c r="FE918"/>
      <c r="FF918"/>
      <c r="FG918"/>
      <c r="FH918"/>
      <c r="FI918"/>
      <c r="FJ918"/>
      <c r="FK918"/>
      <c r="FL918"/>
      <c r="FM918"/>
      <c r="FN918"/>
      <c r="FO918"/>
      <c r="FP918"/>
      <c r="FQ918"/>
      <c r="FR918"/>
      <c r="FS918"/>
      <c r="FT918"/>
      <c r="FU918"/>
      <c r="FV918"/>
      <c r="FW918"/>
      <c r="FX918"/>
      <c r="FY918"/>
      <c r="FZ918"/>
      <c r="GA918"/>
      <c r="GB918"/>
      <c r="GC918"/>
      <c r="GD918"/>
      <c r="GE918"/>
      <c r="GF918"/>
      <c r="GG918"/>
      <c r="GH918"/>
      <c r="GI918"/>
      <c r="GJ918"/>
      <c r="GK918"/>
      <c r="GL918"/>
      <c r="GM918"/>
      <c r="GN918"/>
      <c r="GO918"/>
      <c r="GP918"/>
      <c r="GQ918"/>
      <c r="GR918"/>
      <c r="GS918"/>
      <c r="GT918"/>
      <c r="GU918"/>
      <c r="GV918"/>
      <c r="GW918"/>
      <c r="GX918"/>
      <c r="GY918"/>
      <c r="GZ918"/>
      <c r="HA918"/>
      <c r="HB918"/>
      <c r="HC918"/>
      <c r="HD918"/>
      <c r="HE918"/>
      <c r="HF918"/>
      <c r="HG918"/>
      <c r="HH918"/>
      <c r="HI918"/>
      <c r="HJ918"/>
      <c r="HK918"/>
      <c r="HL918"/>
      <c r="HM918"/>
      <c r="HN918"/>
      <c r="HO918"/>
      <c r="HP918"/>
      <c r="HQ918"/>
      <c r="HR918"/>
      <c r="HS918"/>
      <c r="HT918"/>
      <c r="HU918"/>
      <c r="HV918"/>
      <c r="HW918"/>
      <c r="HX918"/>
      <c r="HY918"/>
      <c r="HZ918"/>
      <c r="IA918"/>
      <c r="IB918"/>
      <c r="IC918"/>
      <c r="ID918"/>
      <c r="IE918"/>
      <c r="IF918"/>
      <c r="IG918"/>
      <c r="IH918"/>
      <c r="II918"/>
      <c r="IJ918"/>
    </row>
    <row r="919" spans="1:244" ht="30" customHeight="1" x14ac:dyDescent="0.2">
      <c r="A919" s="2098"/>
      <c r="B919" s="2129" t="s">
        <v>1984</v>
      </c>
      <c r="C919" s="2082">
        <f>SUM(C920:C925)</f>
        <v>1650000</v>
      </c>
      <c r="D919" s="2082">
        <f>SUM(D920:D925)</f>
        <v>1650000</v>
      </c>
      <c r="E919" s="2082"/>
      <c r="F919" s="2082"/>
      <c r="G919" s="2200"/>
      <c r="H919" s="2200"/>
      <c r="I919" s="2201"/>
      <c r="J919"/>
      <c r="K919"/>
      <c r="L919"/>
      <c r="M919"/>
      <c r="N919"/>
      <c r="O919"/>
      <c r="P919"/>
      <c r="Q919"/>
      <c r="R919"/>
      <c r="S919"/>
      <c r="T919"/>
      <c r="U919"/>
      <c r="V919"/>
      <c r="W919"/>
      <c r="X919"/>
      <c r="Y919"/>
      <c r="Z919"/>
      <c r="AA919"/>
      <c r="AB919"/>
      <c r="AC919"/>
      <c r="AD919"/>
      <c r="AE919"/>
      <c r="AF919"/>
      <c r="AG919"/>
      <c r="AH919"/>
      <c r="AI919"/>
      <c r="AJ919"/>
      <c r="AK919"/>
      <c r="AL919"/>
      <c r="AM919"/>
      <c r="AN919"/>
      <c r="AO919"/>
      <c r="AP919"/>
      <c r="AQ919"/>
      <c r="AR919"/>
      <c r="AS919"/>
      <c r="AT919"/>
      <c r="AU919"/>
      <c r="AV919"/>
      <c r="AW919"/>
      <c r="AX919"/>
      <c r="AY919"/>
      <c r="AZ919"/>
      <c r="BA919"/>
      <c r="BB919"/>
      <c r="BC919"/>
      <c r="BD919"/>
      <c r="BE919"/>
      <c r="BF919"/>
      <c r="BG919"/>
      <c r="BH919"/>
      <c r="BI919"/>
      <c r="BJ919"/>
      <c r="BK919"/>
      <c r="BL919"/>
      <c r="BM919"/>
      <c r="BN919"/>
      <c r="BO919"/>
      <c r="BP919"/>
      <c r="BQ919"/>
      <c r="BR919"/>
      <c r="BS919"/>
      <c r="BT919"/>
      <c r="BU919"/>
      <c r="BV919"/>
      <c r="BW919"/>
      <c r="BX919"/>
      <c r="BY919"/>
      <c r="BZ919"/>
      <c r="CA919"/>
      <c r="CB919"/>
      <c r="CC919"/>
      <c r="CD919"/>
      <c r="CE919"/>
      <c r="CF919"/>
      <c r="CG919"/>
      <c r="CH919"/>
      <c r="CI919"/>
      <c r="CJ919"/>
      <c r="CK919"/>
      <c r="CL919"/>
      <c r="CM919"/>
      <c r="CN919"/>
      <c r="CO919"/>
      <c r="CP919"/>
      <c r="CQ919"/>
      <c r="CR919"/>
      <c r="CS919"/>
      <c r="CT919"/>
      <c r="CU919"/>
      <c r="CV919"/>
      <c r="CW919"/>
      <c r="CX919"/>
      <c r="CY919"/>
      <c r="CZ919"/>
      <c r="DA919"/>
      <c r="DB919"/>
      <c r="DC919"/>
      <c r="DD919"/>
      <c r="DE919"/>
      <c r="DF919"/>
      <c r="DG919"/>
      <c r="DH919"/>
      <c r="DI919"/>
      <c r="DJ919"/>
      <c r="DK919"/>
      <c r="DL919"/>
      <c r="DM919"/>
      <c r="DN919"/>
      <c r="DO919"/>
      <c r="DP919"/>
      <c r="DQ919"/>
      <c r="DR919"/>
      <c r="DS919"/>
      <c r="DT919"/>
      <c r="DU919"/>
      <c r="DV919"/>
      <c r="DW919"/>
      <c r="DX919"/>
      <c r="DY919"/>
      <c r="DZ919"/>
      <c r="EA919"/>
      <c r="EB919"/>
      <c r="EC919"/>
      <c r="ED919"/>
      <c r="EE919"/>
      <c r="EF919"/>
      <c r="EG919"/>
      <c r="EH919"/>
      <c r="EI919"/>
      <c r="EJ919"/>
      <c r="EK919"/>
      <c r="EL919"/>
      <c r="EM919"/>
      <c r="EN919"/>
      <c r="EO919"/>
      <c r="EP919"/>
      <c r="EQ919"/>
      <c r="ER919"/>
      <c r="ES919"/>
      <c r="ET919"/>
      <c r="EU919"/>
      <c r="EV919"/>
      <c r="EW919"/>
      <c r="EX919"/>
      <c r="EY919"/>
      <c r="EZ919"/>
      <c r="FA919"/>
      <c r="FB919"/>
      <c r="FC919"/>
      <c r="FD919"/>
      <c r="FE919"/>
      <c r="FF919"/>
      <c r="FG919"/>
      <c r="FH919"/>
      <c r="FI919"/>
      <c r="FJ919"/>
      <c r="FK919"/>
      <c r="FL919"/>
      <c r="FM919"/>
      <c r="FN919"/>
      <c r="FO919"/>
      <c r="FP919"/>
      <c r="FQ919"/>
      <c r="FR919"/>
      <c r="FS919"/>
      <c r="FT919"/>
      <c r="FU919"/>
      <c r="FV919"/>
      <c r="FW919"/>
      <c r="FX919"/>
      <c r="FY919"/>
      <c r="FZ919"/>
      <c r="GA919"/>
      <c r="GB919"/>
      <c r="GC919"/>
      <c r="GD919"/>
      <c r="GE919"/>
      <c r="GF919"/>
      <c r="GG919"/>
      <c r="GH919"/>
      <c r="GI919"/>
      <c r="GJ919"/>
      <c r="GK919"/>
      <c r="GL919"/>
      <c r="GM919"/>
      <c r="GN919"/>
      <c r="GO919"/>
      <c r="GP919"/>
      <c r="GQ919"/>
      <c r="GR919"/>
      <c r="GS919"/>
      <c r="GT919"/>
      <c r="GU919"/>
      <c r="GV919"/>
      <c r="GW919"/>
      <c r="GX919"/>
      <c r="GY919"/>
      <c r="GZ919"/>
      <c r="HA919"/>
      <c r="HB919"/>
      <c r="HC919"/>
      <c r="HD919"/>
      <c r="HE919"/>
      <c r="HF919"/>
      <c r="HG919"/>
      <c r="HH919"/>
      <c r="HI919"/>
      <c r="HJ919"/>
      <c r="HK919"/>
      <c r="HL919"/>
      <c r="HM919"/>
      <c r="HN919"/>
      <c r="HO919"/>
      <c r="HP919"/>
      <c r="HQ919"/>
      <c r="HR919"/>
      <c r="HS919"/>
      <c r="HT919"/>
      <c r="HU919"/>
      <c r="HV919"/>
      <c r="HW919"/>
      <c r="HX919"/>
      <c r="HY919"/>
      <c r="HZ919"/>
      <c r="IA919"/>
      <c r="IB919"/>
      <c r="IC919"/>
      <c r="ID919"/>
      <c r="IE919"/>
      <c r="IF919"/>
      <c r="IG919"/>
      <c r="IH919"/>
      <c r="II919"/>
      <c r="IJ919"/>
    </row>
    <row r="920" spans="1:244" ht="30" customHeight="1" x14ac:dyDescent="0.2">
      <c r="A920" s="2098"/>
      <c r="B920" s="2113" t="s">
        <v>1985</v>
      </c>
      <c r="C920" s="2107">
        <v>100000</v>
      </c>
      <c r="D920" s="2107">
        <v>100000</v>
      </c>
      <c r="E920" s="2107"/>
      <c r="F920" s="2107"/>
      <c r="G920" s="2200"/>
      <c r="H920" s="2200"/>
      <c r="I920" s="2201"/>
      <c r="J920"/>
      <c r="K920"/>
      <c r="L920"/>
      <c r="M920"/>
      <c r="N920"/>
      <c r="O920"/>
      <c r="P920"/>
      <c r="Q920"/>
      <c r="R920"/>
      <c r="S920"/>
      <c r="T920"/>
      <c r="U920"/>
      <c r="V920"/>
      <c r="W920"/>
      <c r="X920"/>
      <c r="Y920"/>
      <c r="Z920"/>
      <c r="AA920"/>
      <c r="AB920"/>
      <c r="AC920"/>
      <c r="AD920"/>
      <c r="AE920"/>
      <c r="AF920"/>
      <c r="AG920"/>
      <c r="AH920"/>
      <c r="AI920"/>
      <c r="AJ920"/>
      <c r="AK920"/>
      <c r="AL920"/>
      <c r="AM920"/>
      <c r="AN920"/>
      <c r="AO920"/>
      <c r="AP920"/>
      <c r="AQ920"/>
      <c r="AR920"/>
      <c r="AS920"/>
      <c r="AT920"/>
      <c r="AU920"/>
      <c r="AV920"/>
      <c r="AW920"/>
      <c r="AX920"/>
      <c r="AY920"/>
      <c r="AZ920"/>
      <c r="BA920"/>
      <c r="BB920"/>
      <c r="BC920"/>
      <c r="BD920"/>
      <c r="BE920"/>
      <c r="BF920"/>
      <c r="BG920"/>
      <c r="BH920"/>
      <c r="BI920"/>
      <c r="BJ920"/>
      <c r="BK920"/>
      <c r="BL920"/>
      <c r="BM920"/>
      <c r="BN920"/>
      <c r="BO920"/>
      <c r="BP920"/>
      <c r="BQ920"/>
      <c r="BR920"/>
      <c r="BS920"/>
      <c r="BT920"/>
      <c r="BU920"/>
      <c r="BV920"/>
      <c r="BW920"/>
      <c r="BX920"/>
      <c r="BY920"/>
      <c r="BZ920"/>
      <c r="CA920"/>
      <c r="CB920"/>
      <c r="CC920"/>
      <c r="CD920"/>
      <c r="CE920"/>
      <c r="CF920"/>
      <c r="CG920"/>
      <c r="CH920"/>
      <c r="CI920"/>
      <c r="CJ920"/>
      <c r="CK920"/>
      <c r="CL920"/>
      <c r="CM920"/>
      <c r="CN920"/>
      <c r="CO920"/>
      <c r="CP920"/>
      <c r="CQ920"/>
      <c r="CR920"/>
      <c r="CS920"/>
      <c r="CT920"/>
      <c r="CU920"/>
      <c r="CV920"/>
      <c r="CW920"/>
      <c r="CX920"/>
      <c r="CY920"/>
      <c r="CZ920"/>
      <c r="DA920"/>
      <c r="DB920"/>
      <c r="DC920"/>
      <c r="DD920"/>
      <c r="DE920"/>
      <c r="DF920"/>
      <c r="DG920"/>
      <c r="DH920"/>
      <c r="DI920"/>
      <c r="DJ920"/>
      <c r="DK920"/>
      <c r="DL920"/>
      <c r="DM920"/>
      <c r="DN920"/>
      <c r="DO920"/>
      <c r="DP920"/>
      <c r="DQ920"/>
      <c r="DR920"/>
      <c r="DS920"/>
      <c r="DT920"/>
      <c r="DU920"/>
      <c r="DV920"/>
      <c r="DW920"/>
      <c r="DX920"/>
      <c r="DY920"/>
      <c r="DZ920"/>
      <c r="EA920"/>
      <c r="EB920"/>
      <c r="EC920"/>
      <c r="ED920"/>
      <c r="EE920"/>
      <c r="EF920"/>
      <c r="EG920"/>
      <c r="EH920"/>
      <c r="EI920"/>
      <c r="EJ920"/>
      <c r="EK920"/>
      <c r="EL920"/>
      <c r="EM920"/>
      <c r="EN920"/>
      <c r="EO920"/>
      <c r="EP920"/>
      <c r="EQ920"/>
      <c r="ER920"/>
      <c r="ES920"/>
      <c r="ET920"/>
      <c r="EU920"/>
      <c r="EV920"/>
      <c r="EW920"/>
      <c r="EX920"/>
      <c r="EY920"/>
      <c r="EZ920"/>
      <c r="FA920"/>
      <c r="FB920"/>
      <c r="FC920"/>
      <c r="FD920"/>
      <c r="FE920"/>
      <c r="FF920"/>
      <c r="FG920"/>
      <c r="FH920"/>
      <c r="FI920"/>
      <c r="FJ920"/>
      <c r="FK920"/>
      <c r="FL920"/>
      <c r="FM920"/>
      <c r="FN920"/>
      <c r="FO920"/>
      <c r="FP920"/>
      <c r="FQ920"/>
      <c r="FR920"/>
      <c r="FS920"/>
      <c r="FT920"/>
      <c r="FU920"/>
      <c r="FV920"/>
      <c r="FW920"/>
      <c r="FX920"/>
      <c r="FY920"/>
      <c r="FZ920"/>
      <c r="GA920"/>
      <c r="GB920"/>
      <c r="GC920"/>
      <c r="GD920"/>
      <c r="GE920"/>
      <c r="GF920"/>
      <c r="GG920"/>
      <c r="GH920"/>
      <c r="GI920"/>
      <c r="GJ920"/>
      <c r="GK920"/>
      <c r="GL920"/>
      <c r="GM920"/>
      <c r="GN920"/>
      <c r="GO920"/>
      <c r="GP920"/>
      <c r="GQ920"/>
      <c r="GR920"/>
      <c r="GS920"/>
      <c r="GT920"/>
      <c r="GU920"/>
      <c r="GV920"/>
      <c r="GW920"/>
      <c r="GX920"/>
      <c r="GY920"/>
      <c r="GZ920"/>
      <c r="HA920"/>
      <c r="HB920"/>
      <c r="HC920"/>
      <c r="HD920"/>
      <c r="HE920"/>
      <c r="HF920"/>
      <c r="HG920"/>
      <c r="HH920"/>
      <c r="HI920"/>
      <c r="HJ920"/>
      <c r="HK920"/>
      <c r="HL920"/>
      <c r="HM920"/>
      <c r="HN920"/>
      <c r="HO920"/>
      <c r="HP920"/>
      <c r="HQ920"/>
      <c r="HR920"/>
      <c r="HS920"/>
      <c r="HT920"/>
      <c r="HU920"/>
      <c r="HV920"/>
      <c r="HW920"/>
      <c r="HX920"/>
      <c r="HY920"/>
      <c r="HZ920"/>
      <c r="IA920"/>
      <c r="IB920"/>
      <c r="IC920"/>
      <c r="ID920"/>
      <c r="IE920"/>
      <c r="IF920"/>
      <c r="IG920"/>
      <c r="IH920"/>
      <c r="II920"/>
      <c r="IJ920"/>
    </row>
    <row r="921" spans="1:244" ht="30" customHeight="1" x14ac:dyDescent="0.2">
      <c r="A921" s="2098"/>
      <c r="B921" s="2113" t="s">
        <v>1986</v>
      </c>
      <c r="C921" s="2107">
        <v>200000</v>
      </c>
      <c r="D921" s="2107">
        <v>200000</v>
      </c>
      <c r="E921" s="2107"/>
      <c r="F921" s="2107"/>
      <c r="G921" s="2200"/>
      <c r="H921" s="2200"/>
      <c r="I921" s="2201"/>
      <c r="J921"/>
      <c r="K921"/>
      <c r="L921"/>
      <c r="M921"/>
      <c r="N921"/>
      <c r="O921"/>
      <c r="P921"/>
      <c r="Q921"/>
      <c r="R921"/>
      <c r="S921"/>
      <c r="T921"/>
      <c r="U921"/>
      <c r="V921"/>
      <c r="W921"/>
      <c r="X921"/>
      <c r="Y921"/>
      <c r="Z921"/>
      <c r="AA921"/>
      <c r="AB921"/>
      <c r="AC921"/>
      <c r="AD921"/>
      <c r="AE921"/>
      <c r="AF921"/>
      <c r="AG921"/>
      <c r="AH921"/>
      <c r="AI921"/>
      <c r="AJ921"/>
      <c r="AK921"/>
      <c r="AL921"/>
      <c r="AM921"/>
      <c r="AN921"/>
      <c r="AO921"/>
      <c r="AP921"/>
      <c r="AQ921"/>
      <c r="AR921"/>
      <c r="AS921"/>
      <c r="AT921"/>
      <c r="AU921"/>
      <c r="AV921"/>
      <c r="AW921"/>
      <c r="AX921"/>
      <c r="AY921"/>
      <c r="AZ921"/>
      <c r="BA921"/>
      <c r="BB921"/>
      <c r="BC921"/>
      <c r="BD921"/>
      <c r="BE921"/>
      <c r="BF921"/>
      <c r="BG921"/>
      <c r="BH921"/>
      <c r="BI921"/>
      <c r="BJ921"/>
      <c r="BK921"/>
      <c r="BL921"/>
      <c r="BM921"/>
      <c r="BN921"/>
      <c r="BO921"/>
      <c r="BP921"/>
      <c r="BQ921"/>
      <c r="BR921"/>
      <c r="BS921"/>
      <c r="BT921"/>
      <c r="BU921"/>
      <c r="BV921"/>
      <c r="BW921"/>
      <c r="BX921"/>
      <c r="BY921"/>
      <c r="BZ921"/>
      <c r="CA921"/>
      <c r="CB921"/>
      <c r="CC921"/>
      <c r="CD921"/>
      <c r="CE921"/>
      <c r="CF921"/>
      <c r="CG921"/>
      <c r="CH921"/>
      <c r="CI921"/>
      <c r="CJ921"/>
      <c r="CK921"/>
      <c r="CL921"/>
      <c r="CM921"/>
      <c r="CN921"/>
      <c r="CO921"/>
      <c r="CP921"/>
      <c r="CQ921"/>
      <c r="CR921"/>
      <c r="CS921"/>
      <c r="CT921"/>
      <c r="CU921"/>
      <c r="CV921"/>
      <c r="CW921"/>
      <c r="CX921"/>
      <c r="CY921"/>
      <c r="CZ921"/>
      <c r="DA921"/>
      <c r="DB921"/>
      <c r="DC921"/>
      <c r="DD921"/>
      <c r="DE921"/>
      <c r="DF921"/>
      <c r="DG921"/>
      <c r="DH921"/>
      <c r="DI921"/>
      <c r="DJ921"/>
      <c r="DK921"/>
      <c r="DL921"/>
      <c r="DM921"/>
      <c r="DN921"/>
      <c r="DO921"/>
      <c r="DP921"/>
      <c r="DQ921"/>
      <c r="DR921"/>
      <c r="DS921"/>
      <c r="DT921"/>
      <c r="DU921"/>
      <c r="DV921"/>
      <c r="DW921"/>
      <c r="DX921"/>
      <c r="DY921"/>
      <c r="DZ921"/>
      <c r="EA921"/>
      <c r="EB921"/>
      <c r="EC921"/>
      <c r="ED921"/>
      <c r="EE921"/>
      <c r="EF921"/>
      <c r="EG921"/>
      <c r="EH921"/>
      <c r="EI921"/>
      <c r="EJ921"/>
      <c r="EK921"/>
      <c r="EL921"/>
      <c r="EM921"/>
      <c r="EN921"/>
      <c r="EO921"/>
      <c r="EP921"/>
      <c r="EQ921"/>
      <c r="ER921"/>
      <c r="ES921"/>
      <c r="ET921"/>
      <c r="EU921"/>
      <c r="EV921"/>
      <c r="EW921"/>
      <c r="EX921"/>
      <c r="EY921"/>
      <c r="EZ921"/>
      <c r="FA921"/>
      <c r="FB921"/>
      <c r="FC921"/>
      <c r="FD921"/>
      <c r="FE921"/>
      <c r="FF921"/>
      <c r="FG921"/>
      <c r="FH921"/>
      <c r="FI921"/>
      <c r="FJ921"/>
      <c r="FK921"/>
      <c r="FL921"/>
      <c r="FM921"/>
      <c r="FN921"/>
      <c r="FO921"/>
      <c r="FP921"/>
      <c r="FQ921"/>
      <c r="FR921"/>
      <c r="FS921"/>
      <c r="FT921"/>
      <c r="FU921"/>
      <c r="FV921"/>
      <c r="FW921"/>
      <c r="FX921"/>
      <c r="FY921"/>
      <c r="FZ921"/>
      <c r="GA921"/>
      <c r="GB921"/>
      <c r="GC921"/>
      <c r="GD921"/>
      <c r="GE921"/>
      <c r="GF921"/>
      <c r="GG921"/>
      <c r="GH921"/>
      <c r="GI921"/>
      <c r="GJ921"/>
      <c r="GK921"/>
      <c r="GL921"/>
      <c r="GM921"/>
      <c r="GN921"/>
      <c r="GO921"/>
      <c r="GP921"/>
      <c r="GQ921"/>
      <c r="GR921"/>
      <c r="GS921"/>
      <c r="GT921"/>
      <c r="GU921"/>
      <c r="GV921"/>
      <c r="GW921"/>
      <c r="GX921"/>
      <c r="GY921"/>
      <c r="GZ921"/>
      <c r="HA921"/>
      <c r="HB921"/>
      <c r="HC921"/>
      <c r="HD921"/>
      <c r="HE921"/>
      <c r="HF921"/>
      <c r="HG921"/>
      <c r="HH921"/>
      <c r="HI921"/>
      <c r="HJ921"/>
      <c r="HK921"/>
      <c r="HL921"/>
      <c r="HM921"/>
      <c r="HN921"/>
      <c r="HO921"/>
      <c r="HP921"/>
      <c r="HQ921"/>
      <c r="HR921"/>
      <c r="HS921"/>
      <c r="HT921"/>
      <c r="HU921"/>
      <c r="HV921"/>
      <c r="HW921"/>
      <c r="HX921"/>
      <c r="HY921"/>
      <c r="HZ921"/>
      <c r="IA921"/>
      <c r="IB921"/>
      <c r="IC921"/>
      <c r="ID921"/>
      <c r="IE921"/>
      <c r="IF921"/>
      <c r="IG921"/>
      <c r="IH921"/>
      <c r="II921"/>
      <c r="IJ921"/>
    </row>
    <row r="922" spans="1:244" ht="30" customHeight="1" x14ac:dyDescent="0.2">
      <c r="A922" s="2098"/>
      <c r="B922" s="2113" t="s">
        <v>2559</v>
      </c>
      <c r="C922" s="2075">
        <v>450000</v>
      </c>
      <c r="D922" s="2075">
        <v>450000</v>
      </c>
      <c r="E922" s="2075"/>
      <c r="F922" s="2075"/>
      <c r="G922" s="2200"/>
      <c r="H922" s="2200"/>
      <c r="I922" s="2201"/>
      <c r="J922"/>
      <c r="K922"/>
      <c r="L922"/>
      <c r="M922"/>
      <c r="N922"/>
      <c r="O922"/>
      <c r="P922"/>
      <c r="Q922"/>
      <c r="R922"/>
      <c r="S922"/>
      <c r="T922"/>
      <c r="U922"/>
      <c r="V922"/>
      <c r="W922"/>
      <c r="X922"/>
      <c r="Y922"/>
      <c r="Z922"/>
      <c r="AA922"/>
      <c r="AB922"/>
      <c r="AC922"/>
      <c r="AD922"/>
      <c r="AE922"/>
      <c r="AF922"/>
      <c r="AG922"/>
      <c r="AH922"/>
      <c r="AI922"/>
      <c r="AJ922"/>
      <c r="AK922"/>
      <c r="AL922"/>
      <c r="AM922"/>
      <c r="AN922"/>
      <c r="AO922"/>
      <c r="AP922"/>
      <c r="AQ922"/>
      <c r="AR922"/>
      <c r="AS922"/>
      <c r="AT922"/>
      <c r="AU922"/>
      <c r="AV922"/>
      <c r="AW922"/>
      <c r="AX922"/>
      <c r="AY922"/>
      <c r="AZ922"/>
      <c r="BA922"/>
      <c r="BB922"/>
      <c r="BC922"/>
      <c r="BD922"/>
      <c r="BE922"/>
      <c r="BF922"/>
      <c r="BG922"/>
      <c r="BH922"/>
      <c r="BI922"/>
      <c r="BJ922"/>
      <c r="BK922"/>
      <c r="BL922"/>
      <c r="BM922"/>
      <c r="BN922"/>
      <c r="BO922"/>
      <c r="BP922"/>
      <c r="BQ922"/>
      <c r="BR922"/>
      <c r="BS922"/>
      <c r="BT922"/>
      <c r="BU922"/>
      <c r="BV922"/>
      <c r="BW922"/>
      <c r="BX922"/>
      <c r="BY922"/>
      <c r="BZ922"/>
      <c r="CA922"/>
      <c r="CB922"/>
      <c r="CC922"/>
      <c r="CD922"/>
      <c r="CE922"/>
      <c r="CF922"/>
      <c r="CG922"/>
      <c r="CH922"/>
      <c r="CI922"/>
      <c r="CJ922"/>
      <c r="CK922"/>
      <c r="CL922"/>
      <c r="CM922"/>
      <c r="CN922"/>
      <c r="CO922"/>
      <c r="CP922"/>
      <c r="CQ922"/>
      <c r="CR922"/>
      <c r="CS922"/>
      <c r="CT922"/>
      <c r="CU922"/>
      <c r="CV922"/>
      <c r="CW922"/>
      <c r="CX922"/>
      <c r="CY922"/>
      <c r="CZ922"/>
      <c r="DA922"/>
      <c r="DB922"/>
      <c r="DC922"/>
      <c r="DD922"/>
      <c r="DE922"/>
      <c r="DF922"/>
      <c r="DG922"/>
      <c r="DH922"/>
      <c r="DI922"/>
      <c r="DJ922"/>
      <c r="DK922"/>
      <c r="DL922"/>
      <c r="DM922"/>
      <c r="DN922"/>
      <c r="DO922"/>
      <c r="DP922"/>
      <c r="DQ922"/>
      <c r="DR922"/>
      <c r="DS922"/>
      <c r="DT922"/>
      <c r="DU922"/>
      <c r="DV922"/>
      <c r="DW922"/>
      <c r="DX922"/>
      <c r="DY922"/>
      <c r="DZ922"/>
      <c r="EA922"/>
      <c r="EB922"/>
      <c r="EC922"/>
      <c r="ED922"/>
      <c r="EE922"/>
      <c r="EF922"/>
      <c r="EG922"/>
      <c r="EH922"/>
      <c r="EI922"/>
      <c r="EJ922"/>
      <c r="EK922"/>
      <c r="EL922"/>
      <c r="EM922"/>
      <c r="EN922"/>
      <c r="EO922"/>
      <c r="EP922"/>
      <c r="EQ922"/>
      <c r="ER922"/>
      <c r="ES922"/>
      <c r="ET922"/>
      <c r="EU922"/>
      <c r="EV922"/>
      <c r="EW922"/>
      <c r="EX922"/>
      <c r="EY922"/>
      <c r="EZ922"/>
      <c r="FA922"/>
      <c r="FB922"/>
      <c r="FC922"/>
      <c r="FD922"/>
      <c r="FE922"/>
      <c r="FF922"/>
      <c r="FG922"/>
      <c r="FH922"/>
      <c r="FI922"/>
      <c r="FJ922"/>
      <c r="FK922"/>
      <c r="FL922"/>
      <c r="FM922"/>
      <c r="FN922"/>
      <c r="FO922"/>
      <c r="FP922"/>
      <c r="FQ922"/>
      <c r="FR922"/>
      <c r="FS922"/>
      <c r="FT922"/>
      <c r="FU922"/>
      <c r="FV922"/>
      <c r="FW922"/>
      <c r="FX922"/>
      <c r="FY922"/>
      <c r="FZ922"/>
      <c r="GA922"/>
      <c r="GB922"/>
      <c r="GC922"/>
      <c r="GD922"/>
      <c r="GE922"/>
      <c r="GF922"/>
      <c r="GG922"/>
      <c r="GH922"/>
      <c r="GI922"/>
      <c r="GJ922"/>
      <c r="GK922"/>
      <c r="GL922"/>
      <c r="GM922"/>
      <c r="GN922"/>
      <c r="GO922"/>
      <c r="GP922"/>
      <c r="GQ922"/>
      <c r="GR922"/>
      <c r="GS922"/>
      <c r="GT922"/>
      <c r="GU922"/>
      <c r="GV922"/>
      <c r="GW922"/>
      <c r="GX922"/>
      <c r="GY922"/>
      <c r="GZ922"/>
      <c r="HA922"/>
      <c r="HB922"/>
      <c r="HC922"/>
      <c r="HD922"/>
      <c r="HE922"/>
      <c r="HF922"/>
      <c r="HG922"/>
      <c r="HH922"/>
      <c r="HI922"/>
      <c r="HJ922"/>
      <c r="HK922"/>
      <c r="HL922"/>
      <c r="HM922"/>
      <c r="HN922"/>
      <c r="HO922"/>
      <c r="HP922"/>
      <c r="HQ922"/>
      <c r="HR922"/>
      <c r="HS922"/>
      <c r="HT922"/>
      <c r="HU922"/>
      <c r="HV922"/>
      <c r="HW922"/>
      <c r="HX922"/>
      <c r="HY922"/>
      <c r="HZ922"/>
      <c r="IA922"/>
      <c r="IB922"/>
      <c r="IC922"/>
      <c r="ID922"/>
      <c r="IE922"/>
      <c r="IF922"/>
      <c r="IG922"/>
      <c r="IH922"/>
      <c r="II922"/>
      <c r="IJ922"/>
    </row>
    <row r="923" spans="1:244" ht="30" customHeight="1" x14ac:dyDescent="0.2">
      <c r="A923" s="2098"/>
      <c r="B923" s="2112" t="s">
        <v>1988</v>
      </c>
      <c r="C923" s="2107">
        <v>200000</v>
      </c>
      <c r="D923" s="2107">
        <v>200000</v>
      </c>
      <c r="E923" s="2107"/>
      <c r="F923" s="2107"/>
      <c r="G923" s="2200"/>
      <c r="H923" s="2200"/>
      <c r="I923" s="2201"/>
      <c r="J923"/>
      <c r="K923"/>
      <c r="L923"/>
      <c r="M923"/>
      <c r="N923"/>
      <c r="O923"/>
      <c r="P923"/>
      <c r="Q923"/>
      <c r="R923"/>
      <c r="S923"/>
      <c r="T923"/>
      <c r="U923"/>
      <c r="V923"/>
      <c r="W923"/>
      <c r="X923"/>
      <c r="Y923"/>
      <c r="Z923"/>
      <c r="AA923"/>
      <c r="AB923"/>
      <c r="AC923"/>
      <c r="AD923"/>
      <c r="AE923"/>
      <c r="AF923"/>
      <c r="AG923"/>
      <c r="AH923"/>
      <c r="AI923"/>
      <c r="AJ923"/>
      <c r="AK923"/>
      <c r="AL923"/>
      <c r="AM923"/>
      <c r="AN923"/>
      <c r="AO923"/>
      <c r="AP923"/>
      <c r="AQ923"/>
      <c r="AR923"/>
      <c r="AS923"/>
      <c r="AT923"/>
      <c r="AU923"/>
      <c r="AV923"/>
      <c r="AW923"/>
      <c r="AX923"/>
      <c r="AY923"/>
      <c r="AZ923"/>
      <c r="BA923"/>
      <c r="BB923"/>
      <c r="BC923"/>
      <c r="BD923"/>
      <c r="BE923"/>
      <c r="BF923"/>
      <c r="BG923"/>
      <c r="BH923"/>
      <c r="BI923"/>
      <c r="BJ923"/>
      <c r="BK923"/>
      <c r="BL923"/>
      <c r="BM923"/>
      <c r="BN923"/>
      <c r="BO923"/>
      <c r="BP923"/>
      <c r="BQ923"/>
      <c r="BR923"/>
      <c r="BS923"/>
      <c r="BT923"/>
      <c r="BU923"/>
      <c r="BV923"/>
      <c r="BW923"/>
      <c r="BX923"/>
      <c r="BY923"/>
      <c r="BZ923"/>
      <c r="CA923"/>
      <c r="CB923"/>
      <c r="CC923"/>
      <c r="CD923"/>
      <c r="CE923"/>
      <c r="CF923"/>
      <c r="CG923"/>
      <c r="CH923"/>
      <c r="CI923"/>
      <c r="CJ923"/>
      <c r="CK923"/>
      <c r="CL923"/>
      <c r="CM923"/>
      <c r="CN923"/>
      <c r="CO923"/>
      <c r="CP923"/>
      <c r="CQ923"/>
      <c r="CR923"/>
      <c r="CS923"/>
      <c r="CT923"/>
      <c r="CU923"/>
      <c r="CV923"/>
      <c r="CW923"/>
      <c r="CX923"/>
      <c r="CY923"/>
      <c r="CZ923"/>
      <c r="DA923"/>
      <c r="DB923"/>
      <c r="DC923"/>
      <c r="DD923"/>
      <c r="DE923"/>
      <c r="DF923"/>
      <c r="DG923"/>
      <c r="DH923"/>
      <c r="DI923"/>
      <c r="DJ923"/>
      <c r="DK923"/>
      <c r="DL923"/>
      <c r="DM923"/>
      <c r="DN923"/>
      <c r="DO923"/>
      <c r="DP923"/>
      <c r="DQ923"/>
      <c r="DR923"/>
      <c r="DS923"/>
      <c r="DT923"/>
      <c r="DU923"/>
      <c r="DV923"/>
      <c r="DW923"/>
      <c r="DX923"/>
      <c r="DY923"/>
      <c r="DZ923"/>
      <c r="EA923"/>
      <c r="EB923"/>
      <c r="EC923"/>
      <c r="ED923"/>
      <c r="EE923"/>
      <c r="EF923"/>
      <c r="EG923"/>
      <c r="EH923"/>
      <c r="EI923"/>
      <c r="EJ923"/>
      <c r="EK923"/>
      <c r="EL923"/>
      <c r="EM923"/>
      <c r="EN923"/>
      <c r="EO923"/>
      <c r="EP923"/>
      <c r="EQ923"/>
      <c r="ER923"/>
      <c r="ES923"/>
      <c r="ET923"/>
      <c r="EU923"/>
      <c r="EV923"/>
      <c r="EW923"/>
      <c r="EX923"/>
      <c r="EY923"/>
      <c r="EZ923"/>
      <c r="FA923"/>
      <c r="FB923"/>
      <c r="FC923"/>
      <c r="FD923"/>
      <c r="FE923"/>
      <c r="FF923"/>
      <c r="FG923"/>
      <c r="FH923"/>
      <c r="FI923"/>
      <c r="FJ923"/>
      <c r="FK923"/>
      <c r="FL923"/>
      <c r="FM923"/>
      <c r="FN923"/>
      <c r="FO923"/>
      <c r="FP923"/>
      <c r="FQ923"/>
      <c r="FR923"/>
      <c r="FS923"/>
      <c r="FT923"/>
      <c r="FU923"/>
      <c r="FV923"/>
      <c r="FW923"/>
      <c r="FX923"/>
      <c r="FY923"/>
      <c r="FZ923"/>
      <c r="GA923"/>
      <c r="GB923"/>
      <c r="GC923"/>
      <c r="GD923"/>
      <c r="GE923"/>
      <c r="GF923"/>
      <c r="GG923"/>
      <c r="GH923"/>
      <c r="GI923"/>
      <c r="GJ923"/>
      <c r="GK923"/>
      <c r="GL923"/>
      <c r="GM923"/>
      <c r="GN923"/>
      <c r="GO923"/>
      <c r="GP923"/>
      <c r="GQ923"/>
      <c r="GR923"/>
      <c r="GS923"/>
      <c r="GT923"/>
      <c r="GU923"/>
      <c r="GV923"/>
      <c r="GW923"/>
      <c r="GX923"/>
      <c r="GY923"/>
      <c r="GZ923"/>
      <c r="HA923"/>
      <c r="HB923"/>
      <c r="HC923"/>
      <c r="HD923"/>
      <c r="HE923"/>
      <c r="HF923"/>
      <c r="HG923"/>
      <c r="HH923"/>
      <c r="HI923"/>
      <c r="HJ923"/>
      <c r="HK923"/>
      <c r="HL923"/>
      <c r="HM923"/>
      <c r="HN923"/>
      <c r="HO923"/>
      <c r="HP923"/>
      <c r="HQ923"/>
      <c r="HR923"/>
      <c r="HS923"/>
      <c r="HT923"/>
      <c r="HU923"/>
      <c r="HV923"/>
      <c r="HW923"/>
      <c r="HX923"/>
      <c r="HY923"/>
      <c r="HZ923"/>
      <c r="IA923"/>
      <c r="IB923"/>
      <c r="IC923"/>
      <c r="ID923"/>
      <c r="IE923"/>
      <c r="IF923"/>
      <c r="IG923"/>
      <c r="IH923"/>
      <c r="II923"/>
      <c r="IJ923"/>
    </row>
    <row r="924" spans="1:244" ht="30" customHeight="1" x14ac:dyDescent="0.2">
      <c r="A924" s="2098"/>
      <c r="B924" s="2126" t="s">
        <v>2560</v>
      </c>
      <c r="C924" s="2111">
        <v>200000</v>
      </c>
      <c r="D924" s="2111">
        <v>200000</v>
      </c>
      <c r="E924" s="2111"/>
      <c r="F924" s="2111"/>
      <c r="G924" s="2200"/>
      <c r="H924" s="2200"/>
      <c r="I924" s="2201"/>
      <c r="J924"/>
      <c r="K924"/>
      <c r="L924"/>
      <c r="M924"/>
      <c r="N924"/>
      <c r="O924"/>
      <c r="P924"/>
      <c r="Q924"/>
      <c r="R924"/>
      <c r="S924"/>
      <c r="T924"/>
      <c r="U924"/>
      <c r="V924"/>
      <c r="W924"/>
      <c r="X924"/>
      <c r="Y924"/>
      <c r="Z924"/>
      <c r="AA924"/>
      <c r="AB924"/>
      <c r="AC924"/>
      <c r="AD924"/>
      <c r="AE924"/>
      <c r="AF924"/>
      <c r="AG924"/>
      <c r="AH924"/>
      <c r="AI924"/>
      <c r="AJ924"/>
      <c r="AK924"/>
      <c r="AL924"/>
      <c r="AM924"/>
      <c r="AN924"/>
      <c r="AO924"/>
      <c r="AP924"/>
      <c r="AQ924"/>
      <c r="AR924"/>
      <c r="AS924"/>
      <c r="AT924"/>
      <c r="AU924"/>
      <c r="AV924"/>
      <c r="AW924"/>
      <c r="AX924"/>
      <c r="AY924"/>
      <c r="AZ924"/>
      <c r="BA924"/>
      <c r="BB924"/>
      <c r="BC924"/>
      <c r="BD924"/>
      <c r="BE924"/>
      <c r="BF924"/>
      <c r="BG924"/>
      <c r="BH924"/>
      <c r="BI924"/>
      <c r="BJ924"/>
      <c r="BK924"/>
      <c r="BL924"/>
      <c r="BM924"/>
      <c r="BN924"/>
      <c r="BO924"/>
      <c r="BP924"/>
      <c r="BQ924"/>
      <c r="BR924"/>
      <c r="BS924"/>
      <c r="BT924"/>
      <c r="BU924"/>
      <c r="BV924"/>
      <c r="BW924"/>
      <c r="BX924"/>
      <c r="BY924"/>
      <c r="BZ924"/>
      <c r="CA924"/>
      <c r="CB924"/>
      <c r="CC924"/>
      <c r="CD924"/>
      <c r="CE924"/>
      <c r="CF924"/>
      <c r="CG924"/>
      <c r="CH924"/>
      <c r="CI924"/>
      <c r="CJ924"/>
      <c r="CK924"/>
      <c r="CL924"/>
      <c r="CM924"/>
      <c r="CN924"/>
      <c r="CO924"/>
      <c r="CP924"/>
      <c r="CQ924"/>
      <c r="CR924"/>
      <c r="CS924"/>
      <c r="CT924"/>
      <c r="CU924"/>
      <c r="CV924"/>
      <c r="CW924"/>
      <c r="CX924"/>
      <c r="CY924"/>
      <c r="CZ924"/>
      <c r="DA924"/>
      <c r="DB924"/>
      <c r="DC924"/>
      <c r="DD924"/>
      <c r="DE924"/>
      <c r="DF924"/>
      <c r="DG924"/>
      <c r="DH924"/>
      <c r="DI924"/>
      <c r="DJ924"/>
      <c r="DK924"/>
      <c r="DL924"/>
      <c r="DM924"/>
      <c r="DN924"/>
      <c r="DO924"/>
      <c r="DP924"/>
      <c r="DQ924"/>
      <c r="DR924"/>
      <c r="DS924"/>
      <c r="DT924"/>
      <c r="DU924"/>
      <c r="DV924"/>
      <c r="DW924"/>
      <c r="DX924"/>
      <c r="DY924"/>
      <c r="DZ924"/>
      <c r="EA924"/>
      <c r="EB924"/>
      <c r="EC924"/>
      <c r="ED924"/>
      <c r="EE924"/>
      <c r="EF924"/>
      <c r="EG924"/>
      <c r="EH924"/>
      <c r="EI924"/>
      <c r="EJ924"/>
      <c r="EK924"/>
      <c r="EL924"/>
      <c r="EM924"/>
      <c r="EN924"/>
      <c r="EO924"/>
      <c r="EP924"/>
      <c r="EQ924"/>
      <c r="ER924"/>
      <c r="ES924"/>
      <c r="ET924"/>
      <c r="EU924"/>
      <c r="EV924"/>
      <c r="EW924"/>
      <c r="EX924"/>
      <c r="EY924"/>
      <c r="EZ924"/>
      <c r="FA924"/>
      <c r="FB924"/>
      <c r="FC924"/>
      <c r="FD924"/>
      <c r="FE924"/>
      <c r="FF924"/>
      <c r="FG924"/>
      <c r="FH924"/>
      <c r="FI924"/>
      <c r="FJ924"/>
      <c r="FK924"/>
      <c r="FL924"/>
      <c r="FM924"/>
      <c r="FN924"/>
      <c r="FO924"/>
      <c r="FP924"/>
      <c r="FQ924"/>
      <c r="FR924"/>
      <c r="FS924"/>
      <c r="FT924"/>
      <c r="FU924"/>
      <c r="FV924"/>
      <c r="FW924"/>
      <c r="FX924"/>
      <c r="FY924"/>
      <c r="FZ924"/>
      <c r="GA924"/>
      <c r="GB924"/>
      <c r="GC924"/>
      <c r="GD924"/>
      <c r="GE924"/>
      <c r="GF924"/>
      <c r="GG924"/>
      <c r="GH924"/>
      <c r="GI924"/>
      <c r="GJ924"/>
      <c r="GK924"/>
      <c r="GL924"/>
      <c r="GM924"/>
      <c r="GN924"/>
      <c r="GO924"/>
      <c r="GP924"/>
      <c r="GQ924"/>
      <c r="GR924"/>
      <c r="GS924"/>
      <c r="GT924"/>
      <c r="GU924"/>
      <c r="GV924"/>
      <c r="GW924"/>
      <c r="GX924"/>
      <c r="GY924"/>
      <c r="GZ924"/>
      <c r="HA924"/>
      <c r="HB924"/>
      <c r="HC924"/>
      <c r="HD924"/>
      <c r="HE924"/>
      <c r="HF924"/>
      <c r="HG924"/>
      <c r="HH924"/>
      <c r="HI924"/>
      <c r="HJ924"/>
      <c r="HK924"/>
      <c r="HL924"/>
      <c r="HM924"/>
      <c r="HN924"/>
      <c r="HO924"/>
      <c r="HP924"/>
      <c r="HQ924"/>
      <c r="HR924"/>
      <c r="HS924"/>
      <c r="HT924"/>
      <c r="HU924"/>
      <c r="HV924"/>
      <c r="HW924"/>
      <c r="HX924"/>
      <c r="HY924"/>
      <c r="HZ924"/>
      <c r="IA924"/>
      <c r="IB924"/>
      <c r="IC924"/>
      <c r="ID924"/>
      <c r="IE924"/>
      <c r="IF924"/>
      <c r="IG924"/>
      <c r="IH924"/>
      <c r="II924"/>
      <c r="IJ924"/>
    </row>
    <row r="925" spans="1:244" s="488" customFormat="1" ht="30" customHeight="1" x14ac:dyDescent="0.2">
      <c r="A925" s="1155"/>
      <c r="B925" s="2112" t="s">
        <v>2561</v>
      </c>
      <c r="C925" s="2107">
        <v>500000</v>
      </c>
      <c r="D925" s="2107">
        <v>500000</v>
      </c>
      <c r="E925" s="2111"/>
      <c r="F925" s="2111"/>
      <c r="G925" s="2200"/>
      <c r="H925" s="2200"/>
      <c r="I925" s="2201"/>
    </row>
    <row r="926" spans="1:244" s="488" customFormat="1" ht="30" customHeight="1" x14ac:dyDescent="0.2">
      <c r="A926" s="1155">
        <v>3634</v>
      </c>
      <c r="B926" s="2130" t="s">
        <v>1991</v>
      </c>
      <c r="C926" s="2131">
        <f>SUM(C927:C931)</f>
        <v>5700000</v>
      </c>
      <c r="D926" s="2131">
        <f>SUM(D927:D931)</f>
        <v>5900000</v>
      </c>
      <c r="E926" s="2131"/>
      <c r="F926" s="2107"/>
      <c r="G926" s="1663"/>
      <c r="H926" s="1663"/>
      <c r="I926" s="1662"/>
    </row>
    <row r="927" spans="1:244" s="488" customFormat="1" ht="30" customHeight="1" x14ac:dyDescent="0.2">
      <c r="A927" s="1155"/>
      <c r="B927" s="2113" t="s">
        <v>2562</v>
      </c>
      <c r="C927" s="2107">
        <v>500000</v>
      </c>
      <c r="D927" s="2107">
        <v>500000</v>
      </c>
      <c r="E927" s="2107"/>
      <c r="F927" s="2107"/>
      <c r="G927" s="2200"/>
      <c r="H927" s="2200"/>
      <c r="I927" s="2201"/>
    </row>
    <row r="928" spans="1:244" ht="30" customHeight="1" x14ac:dyDescent="0.2">
      <c r="A928" s="1155"/>
      <c r="B928" s="2113" t="s">
        <v>1993</v>
      </c>
      <c r="C928" s="2107">
        <v>0</v>
      </c>
      <c r="D928" s="2107">
        <v>0</v>
      </c>
      <c r="E928" s="2107"/>
      <c r="F928" s="2107"/>
      <c r="G928" s="2200"/>
      <c r="H928" s="2200"/>
      <c r="I928" s="2201"/>
      <c r="J928"/>
      <c r="K928"/>
      <c r="L928"/>
      <c r="M928"/>
      <c r="N928"/>
      <c r="O928"/>
      <c r="P928"/>
      <c r="Q928"/>
      <c r="R928"/>
      <c r="S928"/>
      <c r="T928"/>
      <c r="U928"/>
      <c r="V928"/>
      <c r="W928"/>
      <c r="X928"/>
      <c r="Y928"/>
      <c r="Z928"/>
      <c r="AA928"/>
      <c r="AB928"/>
      <c r="AC928"/>
      <c r="AD928"/>
      <c r="AE928"/>
      <c r="AF928"/>
      <c r="AG928"/>
      <c r="AH928"/>
      <c r="AI928"/>
      <c r="AJ928"/>
      <c r="AK928"/>
      <c r="AL928"/>
      <c r="AM928"/>
      <c r="AN928"/>
      <c r="AO928"/>
      <c r="AP928"/>
      <c r="AQ928"/>
      <c r="AR928"/>
      <c r="AS928"/>
      <c r="AT928"/>
      <c r="AU928"/>
      <c r="AV928"/>
      <c r="AW928"/>
      <c r="AX928"/>
      <c r="AY928"/>
      <c r="AZ928"/>
      <c r="BA928"/>
      <c r="BB928"/>
      <c r="BC928"/>
      <c r="BD928"/>
      <c r="BE928"/>
      <c r="BF928"/>
      <c r="BG928"/>
      <c r="BH928"/>
      <c r="BI928"/>
      <c r="BJ928"/>
      <c r="BK928"/>
      <c r="BL928"/>
      <c r="BM928"/>
      <c r="BN928"/>
      <c r="BO928"/>
      <c r="BP928"/>
      <c r="BQ928"/>
      <c r="BR928"/>
      <c r="BS928"/>
      <c r="BT928"/>
      <c r="BU928"/>
      <c r="BV928"/>
      <c r="BW928"/>
      <c r="BX928"/>
      <c r="BY928"/>
      <c r="BZ928"/>
      <c r="CA928"/>
      <c r="CB928"/>
      <c r="CC928"/>
      <c r="CD928"/>
      <c r="CE928"/>
      <c r="CF928"/>
      <c r="CG928"/>
      <c r="CH928"/>
      <c r="CI928"/>
      <c r="CJ928"/>
      <c r="CK928"/>
      <c r="CL928"/>
      <c r="CM928"/>
      <c r="CN928"/>
      <c r="CO928"/>
      <c r="CP928"/>
      <c r="CQ928"/>
      <c r="CR928"/>
      <c r="CS928"/>
      <c r="CT928"/>
      <c r="CU928"/>
      <c r="CV928"/>
      <c r="CW928"/>
      <c r="CX928"/>
      <c r="CY928"/>
      <c r="CZ928"/>
      <c r="DA928"/>
      <c r="DB928"/>
      <c r="DC928"/>
      <c r="DD928"/>
      <c r="DE928"/>
      <c r="DF928"/>
      <c r="DG928"/>
      <c r="DH928"/>
      <c r="DI928"/>
      <c r="DJ928"/>
      <c r="DK928"/>
      <c r="DL928"/>
      <c r="DM928"/>
      <c r="DN928"/>
      <c r="DO928"/>
      <c r="DP928"/>
      <c r="DQ928"/>
      <c r="DR928"/>
      <c r="DS928"/>
      <c r="DT928"/>
      <c r="DU928"/>
      <c r="DV928"/>
      <c r="DW928"/>
      <c r="DX928"/>
      <c r="DY928"/>
      <c r="DZ928"/>
      <c r="EA928"/>
      <c r="EB928"/>
      <c r="EC928"/>
      <c r="ED928"/>
      <c r="EE928"/>
      <c r="EF928"/>
      <c r="EG928"/>
      <c r="EH928"/>
      <c r="EI928"/>
      <c r="EJ928"/>
      <c r="EK928"/>
      <c r="EL928"/>
      <c r="EM928"/>
      <c r="EN928"/>
      <c r="EO928"/>
      <c r="EP928"/>
      <c r="EQ928"/>
      <c r="ER928"/>
      <c r="ES928"/>
      <c r="ET928"/>
      <c r="EU928"/>
      <c r="EV928"/>
      <c r="EW928"/>
      <c r="EX928"/>
      <c r="EY928"/>
      <c r="EZ928"/>
      <c r="FA928"/>
      <c r="FB928"/>
      <c r="FC928"/>
      <c r="FD928"/>
      <c r="FE928"/>
      <c r="FF928"/>
      <c r="FG928"/>
      <c r="FH928"/>
      <c r="FI928"/>
      <c r="FJ928"/>
      <c r="FK928"/>
      <c r="FL928"/>
      <c r="FM928"/>
      <c r="FN928"/>
      <c r="FO928"/>
      <c r="FP928"/>
      <c r="FQ928"/>
      <c r="FR928"/>
      <c r="FS928"/>
      <c r="FT928"/>
      <c r="FU928"/>
      <c r="FV928"/>
      <c r="FW928"/>
      <c r="FX928"/>
      <c r="FY928"/>
      <c r="FZ928"/>
      <c r="GA928"/>
      <c r="GB928"/>
      <c r="GC928"/>
      <c r="GD928"/>
      <c r="GE928"/>
      <c r="GF928"/>
      <c r="GG928"/>
      <c r="GH928"/>
      <c r="GI928"/>
      <c r="GJ928"/>
      <c r="GK928"/>
      <c r="GL928"/>
      <c r="GM928"/>
      <c r="GN928"/>
      <c r="GO928"/>
      <c r="GP928"/>
      <c r="GQ928"/>
      <c r="GR928"/>
      <c r="GS928"/>
      <c r="GT928"/>
      <c r="GU928"/>
      <c r="GV928"/>
      <c r="GW928"/>
      <c r="GX928"/>
      <c r="GY928"/>
      <c r="GZ928"/>
      <c r="HA928"/>
      <c r="HB928"/>
      <c r="HC928"/>
      <c r="HD928"/>
      <c r="HE928"/>
      <c r="HF928"/>
      <c r="HG928"/>
      <c r="HH928"/>
      <c r="HI928"/>
      <c r="HJ928"/>
      <c r="HK928"/>
      <c r="HL928"/>
      <c r="HM928"/>
      <c r="HN928"/>
      <c r="HO928"/>
      <c r="HP928"/>
      <c r="HQ928"/>
      <c r="HR928"/>
      <c r="HS928"/>
      <c r="HT928"/>
      <c r="HU928"/>
      <c r="HV928"/>
      <c r="HW928"/>
      <c r="HX928"/>
      <c r="HY928"/>
      <c r="HZ928"/>
      <c r="IA928"/>
      <c r="IB928"/>
      <c r="IC928"/>
      <c r="ID928"/>
      <c r="IE928"/>
      <c r="IF928"/>
      <c r="IG928"/>
      <c r="IH928"/>
      <c r="II928"/>
      <c r="IJ928"/>
    </row>
    <row r="929" spans="1:244" ht="30" customHeight="1" x14ac:dyDescent="0.2">
      <c r="A929" s="1155"/>
      <c r="B929" s="2113" t="s">
        <v>2563</v>
      </c>
      <c r="C929" s="2075">
        <v>700000</v>
      </c>
      <c r="D929" s="2075">
        <f>700000+1000000</f>
        <v>1700000</v>
      </c>
      <c r="E929" s="2107"/>
      <c r="F929" s="2107"/>
      <c r="G929" s="2200"/>
      <c r="H929" s="2200"/>
      <c r="I929" s="2201"/>
      <c r="J929"/>
      <c r="K929"/>
      <c r="L929"/>
      <c r="M929"/>
      <c r="N929"/>
      <c r="O929"/>
      <c r="P929"/>
      <c r="Q929"/>
      <c r="R929"/>
      <c r="S929"/>
      <c r="T929"/>
      <c r="U929"/>
      <c r="V929"/>
      <c r="W929"/>
      <c r="X929"/>
      <c r="Y929"/>
      <c r="Z929"/>
      <c r="AA929"/>
      <c r="AB929"/>
      <c r="AC929"/>
      <c r="AD929"/>
      <c r="AE929"/>
      <c r="AF929"/>
      <c r="AG929"/>
      <c r="AH929"/>
      <c r="AI929"/>
      <c r="AJ929"/>
      <c r="AK929"/>
      <c r="AL929"/>
      <c r="AM929"/>
      <c r="AN929"/>
      <c r="AO929"/>
      <c r="AP929"/>
      <c r="AQ929"/>
      <c r="AR929"/>
      <c r="AS929"/>
      <c r="AT929"/>
      <c r="AU929"/>
      <c r="AV929"/>
      <c r="AW929"/>
      <c r="AX929"/>
      <c r="AY929"/>
      <c r="AZ929"/>
      <c r="BA929"/>
      <c r="BB929"/>
      <c r="BC929"/>
      <c r="BD929"/>
      <c r="BE929"/>
      <c r="BF929"/>
      <c r="BG929"/>
      <c r="BH929"/>
      <c r="BI929"/>
      <c r="BJ929"/>
      <c r="BK929"/>
      <c r="BL929"/>
      <c r="BM929"/>
      <c r="BN929"/>
      <c r="BO929"/>
      <c r="BP929"/>
      <c r="BQ929"/>
      <c r="BR929"/>
      <c r="BS929"/>
      <c r="BT929"/>
      <c r="BU929"/>
      <c r="BV929"/>
      <c r="BW929"/>
      <c r="BX929"/>
      <c r="BY929"/>
      <c r="BZ929"/>
      <c r="CA929"/>
      <c r="CB929"/>
      <c r="CC929"/>
      <c r="CD929"/>
      <c r="CE929"/>
      <c r="CF929"/>
      <c r="CG929"/>
      <c r="CH929"/>
      <c r="CI929"/>
      <c r="CJ929"/>
      <c r="CK929"/>
      <c r="CL929"/>
      <c r="CM929"/>
      <c r="CN929"/>
      <c r="CO929"/>
      <c r="CP929"/>
      <c r="CQ929"/>
      <c r="CR929"/>
      <c r="CS929"/>
      <c r="CT929"/>
      <c r="CU929"/>
      <c r="CV929"/>
      <c r="CW929"/>
      <c r="CX929"/>
      <c r="CY929"/>
      <c r="CZ929"/>
      <c r="DA929"/>
      <c r="DB929"/>
      <c r="DC929"/>
      <c r="DD929"/>
      <c r="DE929"/>
      <c r="DF929"/>
      <c r="DG929"/>
      <c r="DH929"/>
      <c r="DI929"/>
      <c r="DJ929"/>
      <c r="DK929"/>
      <c r="DL929"/>
      <c r="DM929"/>
      <c r="DN929"/>
      <c r="DO929"/>
      <c r="DP929"/>
      <c r="DQ929"/>
      <c r="DR929"/>
      <c r="DS929"/>
      <c r="DT929"/>
      <c r="DU929"/>
      <c r="DV929"/>
      <c r="DW929"/>
      <c r="DX929"/>
      <c r="DY929"/>
      <c r="DZ929"/>
      <c r="EA929"/>
      <c r="EB929"/>
      <c r="EC929"/>
      <c r="ED929"/>
      <c r="EE929"/>
      <c r="EF929"/>
      <c r="EG929"/>
      <c r="EH929"/>
      <c r="EI929"/>
      <c r="EJ929"/>
      <c r="EK929"/>
      <c r="EL929"/>
      <c r="EM929"/>
      <c r="EN929"/>
      <c r="EO929"/>
      <c r="EP929"/>
      <c r="EQ929"/>
      <c r="ER929"/>
      <c r="ES929"/>
      <c r="ET929"/>
      <c r="EU929"/>
      <c r="EV929"/>
      <c r="EW929"/>
      <c r="EX929"/>
      <c r="EY929"/>
      <c r="EZ929"/>
      <c r="FA929"/>
      <c r="FB929"/>
      <c r="FC929"/>
      <c r="FD929"/>
      <c r="FE929"/>
      <c r="FF929"/>
      <c r="FG929"/>
      <c r="FH929"/>
      <c r="FI929"/>
      <c r="FJ929"/>
      <c r="FK929"/>
      <c r="FL929"/>
      <c r="FM929"/>
      <c r="FN929"/>
      <c r="FO929"/>
      <c r="FP929"/>
      <c r="FQ929"/>
      <c r="FR929"/>
      <c r="FS929"/>
      <c r="FT929"/>
      <c r="FU929"/>
      <c r="FV929"/>
      <c r="FW929"/>
      <c r="FX929"/>
      <c r="FY929"/>
      <c r="FZ929"/>
      <c r="GA929"/>
      <c r="GB929"/>
      <c r="GC929"/>
      <c r="GD929"/>
      <c r="GE929"/>
      <c r="GF929"/>
      <c r="GG929"/>
      <c r="GH929"/>
      <c r="GI929"/>
      <c r="GJ929"/>
      <c r="GK929"/>
      <c r="GL929"/>
      <c r="GM929"/>
      <c r="GN929"/>
      <c r="GO929"/>
      <c r="GP929"/>
      <c r="GQ929"/>
      <c r="GR929"/>
      <c r="GS929"/>
      <c r="GT929"/>
      <c r="GU929"/>
      <c r="GV929"/>
      <c r="GW929"/>
      <c r="GX929"/>
      <c r="GY929"/>
      <c r="GZ929"/>
      <c r="HA929"/>
      <c r="HB929"/>
      <c r="HC929"/>
      <c r="HD929"/>
      <c r="HE929"/>
      <c r="HF929"/>
      <c r="HG929"/>
      <c r="HH929"/>
      <c r="HI929"/>
      <c r="HJ929"/>
      <c r="HK929"/>
      <c r="HL929"/>
      <c r="HM929"/>
      <c r="HN929"/>
      <c r="HO929"/>
      <c r="HP929"/>
      <c r="HQ929"/>
      <c r="HR929"/>
      <c r="HS929"/>
      <c r="HT929"/>
      <c r="HU929"/>
      <c r="HV929"/>
      <c r="HW929"/>
      <c r="HX929"/>
      <c r="HY929"/>
      <c r="HZ929"/>
      <c r="IA929"/>
      <c r="IB929"/>
      <c r="IC929"/>
      <c r="ID929"/>
      <c r="IE929"/>
      <c r="IF929"/>
      <c r="IG929"/>
      <c r="IH929"/>
      <c r="II929"/>
      <c r="IJ929"/>
    </row>
    <row r="930" spans="1:244" s="488" customFormat="1" ht="30" customHeight="1" x14ac:dyDescent="0.2">
      <c r="A930" s="1155"/>
      <c r="B930" s="2132" t="s">
        <v>2564</v>
      </c>
      <c r="C930" s="2075">
        <v>2500000</v>
      </c>
      <c r="D930" s="2075">
        <v>2500000</v>
      </c>
      <c r="E930" s="2075"/>
      <c r="F930" s="2075"/>
      <c r="G930" s="2200"/>
      <c r="H930" s="2200"/>
      <c r="I930" s="2201"/>
    </row>
    <row r="931" spans="1:244" s="488" customFormat="1" ht="30" customHeight="1" x14ac:dyDescent="0.2">
      <c r="A931" s="2122"/>
      <c r="B931" s="2106" t="s">
        <v>951</v>
      </c>
      <c r="C931" s="2107">
        <f>SUM(C932:C934)</f>
        <v>2000000</v>
      </c>
      <c r="D931" s="2107">
        <f>SUM(D932:D934)</f>
        <v>1200000</v>
      </c>
      <c r="E931" s="2107"/>
      <c r="F931" s="2107"/>
      <c r="G931" s="2200"/>
      <c r="H931" s="2200"/>
      <c r="I931" s="2201"/>
    </row>
    <row r="932" spans="1:244" s="488" customFormat="1" ht="30" customHeight="1" x14ac:dyDescent="0.2">
      <c r="A932" s="2086"/>
      <c r="B932" s="2133" t="s">
        <v>2565</v>
      </c>
      <c r="C932" s="2075">
        <v>400000</v>
      </c>
      <c r="D932" s="2075">
        <v>400000</v>
      </c>
      <c r="E932" s="2075"/>
      <c r="F932" s="2075"/>
      <c r="G932" s="2200"/>
      <c r="H932" s="2200"/>
      <c r="I932" s="2201"/>
    </row>
    <row r="933" spans="1:244" s="488" customFormat="1" ht="30" customHeight="1" x14ac:dyDescent="0.2">
      <c r="A933" s="2086"/>
      <c r="B933" s="2133" t="s">
        <v>2566</v>
      </c>
      <c r="C933" s="2107">
        <v>800000</v>
      </c>
      <c r="D933" s="2107">
        <v>800000</v>
      </c>
      <c r="E933" s="2107"/>
      <c r="F933" s="2107"/>
      <c r="G933" s="2200"/>
      <c r="H933" s="2200"/>
      <c r="I933" s="2201"/>
    </row>
    <row r="934" spans="1:244" s="488" customFormat="1" ht="30" customHeight="1" x14ac:dyDescent="0.2">
      <c r="A934" s="2086"/>
      <c r="B934" s="2133" t="s">
        <v>2567</v>
      </c>
      <c r="C934" s="2107">
        <v>800000</v>
      </c>
      <c r="D934" s="2107">
        <f>800000-800000</f>
        <v>0</v>
      </c>
      <c r="E934" s="2107"/>
      <c r="F934" s="2107"/>
      <c r="G934" s="2200"/>
      <c r="H934" s="2200"/>
      <c r="I934" s="2201"/>
    </row>
    <row r="935" spans="1:244" s="488" customFormat="1" ht="30" customHeight="1" x14ac:dyDescent="0.2">
      <c r="A935" s="1155">
        <v>4351</v>
      </c>
      <c r="B935" s="2134" t="s">
        <v>1998</v>
      </c>
      <c r="C935" s="2085">
        <v>15000</v>
      </c>
      <c r="D935" s="2085">
        <v>15000</v>
      </c>
      <c r="E935" s="2085"/>
      <c r="F935" s="2075"/>
      <c r="G935" s="1663"/>
      <c r="H935" s="1663"/>
      <c r="I935" s="1662"/>
    </row>
    <row r="936" spans="1:244" s="488" customFormat="1" ht="30" customHeight="1" x14ac:dyDescent="0.2">
      <c r="A936" s="1155">
        <v>4374</v>
      </c>
      <c r="B936" s="2134" t="s">
        <v>759</v>
      </c>
      <c r="C936" s="2085">
        <f>C937</f>
        <v>350000</v>
      </c>
      <c r="D936" s="2085">
        <f>D937</f>
        <v>350000</v>
      </c>
      <c r="E936" s="2085"/>
      <c r="F936" s="2075"/>
      <c r="G936" s="1663"/>
      <c r="H936" s="1663"/>
      <c r="I936" s="1662"/>
    </row>
    <row r="937" spans="1:244" s="488" customFormat="1" ht="30" customHeight="1" x14ac:dyDescent="0.2">
      <c r="A937" s="2086"/>
      <c r="B937" s="2133" t="s">
        <v>1999</v>
      </c>
      <c r="C937" s="2075">
        <f>C938+C939</f>
        <v>350000</v>
      </c>
      <c r="D937" s="2075">
        <f>D938+D939</f>
        <v>350000</v>
      </c>
      <c r="E937" s="2075"/>
      <c r="F937" s="2075"/>
      <c r="G937" s="2200"/>
      <c r="H937" s="2200"/>
      <c r="I937" s="2201"/>
    </row>
    <row r="938" spans="1:244" s="488" customFormat="1" ht="30" customHeight="1" x14ac:dyDescent="0.2">
      <c r="A938" s="2086">
        <v>800</v>
      </c>
      <c r="B938" s="2133" t="s">
        <v>2000</v>
      </c>
      <c r="C938" s="2107">
        <v>250000</v>
      </c>
      <c r="D938" s="2107">
        <v>250000</v>
      </c>
      <c r="E938" s="2107"/>
      <c r="F938" s="2107"/>
      <c r="G938" s="2200"/>
      <c r="H938" s="2200"/>
      <c r="I938" s="2201"/>
    </row>
    <row r="939" spans="1:244" s="488" customFormat="1" ht="30" customHeight="1" x14ac:dyDescent="0.2">
      <c r="A939" s="1155"/>
      <c r="B939" s="2083" t="s">
        <v>2001</v>
      </c>
      <c r="C939" s="2075">
        <v>100000</v>
      </c>
      <c r="D939" s="2075">
        <v>100000</v>
      </c>
      <c r="E939" s="2075"/>
      <c r="F939" s="2075"/>
      <c r="G939" s="2200"/>
      <c r="H939" s="2200"/>
      <c r="I939" s="2201"/>
    </row>
    <row r="940" spans="1:244" s="488" customFormat="1" ht="30" customHeight="1" x14ac:dyDescent="0.2">
      <c r="A940" s="1155">
        <v>6171</v>
      </c>
      <c r="B940" s="2135" t="s">
        <v>975</v>
      </c>
      <c r="C940" s="2131">
        <f>SUM(C941:C945)</f>
        <v>500000</v>
      </c>
      <c r="D940" s="2131">
        <f>SUM(D941:D945)</f>
        <v>500000</v>
      </c>
      <c r="E940" s="2131"/>
      <c r="F940" s="2107"/>
      <c r="G940" s="1663"/>
      <c r="H940" s="1663"/>
      <c r="I940" s="1662"/>
    </row>
    <row r="941" spans="1:244" s="488" customFormat="1" ht="30" customHeight="1" x14ac:dyDescent="0.2">
      <c r="A941" s="2136"/>
      <c r="B941" s="2128" t="s">
        <v>2002</v>
      </c>
      <c r="C941" s="2137">
        <v>250000</v>
      </c>
      <c r="D941" s="2137">
        <v>250000</v>
      </c>
      <c r="E941" s="2137"/>
      <c r="F941" s="2137"/>
      <c r="G941" s="2200"/>
      <c r="H941" s="2200"/>
      <c r="I941" s="2201"/>
    </row>
    <row r="942" spans="1:244" s="488" customFormat="1" ht="30" customHeight="1" x14ac:dyDescent="0.2">
      <c r="A942" s="2091"/>
      <c r="B942" s="2138" t="s">
        <v>2003</v>
      </c>
      <c r="C942" s="2075">
        <v>0</v>
      </c>
      <c r="D942" s="2075">
        <v>0</v>
      </c>
      <c r="E942" s="2075"/>
      <c r="F942" s="2075"/>
      <c r="G942" s="2200"/>
      <c r="H942" s="2200"/>
      <c r="I942" s="2201"/>
    </row>
    <row r="943" spans="1:244" s="488" customFormat="1" ht="30" customHeight="1" x14ac:dyDescent="0.2">
      <c r="A943" s="2086"/>
      <c r="B943" s="2078" t="s">
        <v>2568</v>
      </c>
      <c r="C943" s="2075">
        <v>250000</v>
      </c>
      <c r="D943" s="2075">
        <v>250000</v>
      </c>
      <c r="E943" s="2075"/>
      <c r="F943" s="2075"/>
      <c r="G943" s="2200"/>
      <c r="H943" s="2200"/>
      <c r="I943" s="2201"/>
    </row>
    <row r="944" spans="1:244" s="488" customFormat="1" ht="30" customHeight="1" x14ac:dyDescent="0.2">
      <c r="A944" s="2091"/>
      <c r="B944" s="2078" t="s">
        <v>2005</v>
      </c>
      <c r="C944" s="2139">
        <v>0</v>
      </c>
      <c r="D944" s="2139">
        <v>0</v>
      </c>
      <c r="E944" s="2139"/>
      <c r="F944" s="2139"/>
      <c r="G944" s="2200"/>
      <c r="H944" s="2200"/>
      <c r="I944" s="2201"/>
    </row>
    <row r="945" spans="1:243" s="488" customFormat="1" ht="30" customHeight="1" x14ac:dyDescent="0.2">
      <c r="A945" s="2086"/>
      <c r="B945" s="2088" t="s">
        <v>2006</v>
      </c>
      <c r="C945" s="2075">
        <v>0</v>
      </c>
      <c r="D945" s="2075">
        <v>0</v>
      </c>
      <c r="E945" s="2075"/>
      <c r="F945" s="2075"/>
      <c r="G945" s="2200"/>
      <c r="H945" s="2200"/>
      <c r="I945" s="2201"/>
    </row>
    <row r="946" spans="1:243" s="488" customFormat="1" ht="30" customHeight="1" x14ac:dyDescent="0.2">
      <c r="A946" s="2140"/>
      <c r="B946" s="2141"/>
      <c r="C946" s="2144"/>
      <c r="D946" s="2144"/>
      <c r="E946" s="2142"/>
      <c r="F946" s="2143"/>
      <c r="G946" s="2475"/>
      <c r="H946" s="2475"/>
      <c r="I946" s="2144"/>
    </row>
    <row r="947" spans="1:243" s="545" customFormat="1" ht="30" customHeight="1" x14ac:dyDescent="0.3">
      <c r="A947" s="649"/>
      <c r="B947" s="701" t="s">
        <v>52</v>
      </c>
      <c r="C947" s="2145">
        <f t="shared" ref="C947:D947" si="97">SUM(C948+C953)</f>
        <v>290000</v>
      </c>
      <c r="D947" s="2145">
        <f t="shared" si="97"/>
        <v>290000</v>
      </c>
      <c r="E947" s="1217"/>
      <c r="F947" s="2476"/>
      <c r="G947" s="949"/>
      <c r="H947" s="949"/>
      <c r="I947" s="949"/>
      <c r="IC947" s="98"/>
      <c r="ID947" s="98"/>
      <c r="IE947" s="98"/>
      <c r="IF947" s="98"/>
      <c r="IG947" s="98"/>
      <c r="IH947" s="98"/>
      <c r="II947" s="98"/>
    </row>
    <row r="948" spans="1:243" s="545" customFormat="1" ht="30" customHeight="1" x14ac:dyDescent="0.2">
      <c r="A948" s="764">
        <v>2169</v>
      </c>
      <c r="B948" s="709" t="s">
        <v>2007</v>
      </c>
      <c r="C948" s="746">
        <f>SUM(C949:C952)</f>
        <v>250000</v>
      </c>
      <c r="D948" s="746">
        <f>SUM(D949:D952)</f>
        <v>250000</v>
      </c>
      <c r="E948" s="731"/>
      <c r="F948" s="738"/>
      <c r="G948" s="1663"/>
      <c r="H948" s="1663"/>
      <c r="I948" s="1662"/>
      <c r="IC948" s="98"/>
      <c r="ID948" s="98"/>
      <c r="IE948" s="98"/>
      <c r="IF948" s="98"/>
      <c r="IG948" s="98"/>
      <c r="IH948" s="98"/>
      <c r="II948" s="98"/>
    </row>
    <row r="949" spans="1:243" s="545" customFormat="1" ht="30" customHeight="1" x14ac:dyDescent="0.2">
      <c r="A949" s="764"/>
      <c r="B949" s="766" t="s">
        <v>982</v>
      </c>
      <c r="C949" s="1856">
        <v>37000</v>
      </c>
      <c r="D949" s="1856">
        <v>37000</v>
      </c>
      <c r="E949" s="738"/>
      <c r="F949" s="2146"/>
      <c r="G949" s="2200"/>
      <c r="H949" s="2200"/>
      <c r="I949" s="2201"/>
      <c r="IC949" s="98"/>
      <c r="ID949" s="98"/>
      <c r="IE949" s="98"/>
      <c r="IF949" s="98"/>
      <c r="IG949" s="98"/>
      <c r="IH949" s="98"/>
      <c r="II949" s="98"/>
    </row>
    <row r="950" spans="1:243" s="545" customFormat="1" ht="30" customHeight="1" x14ac:dyDescent="0.2">
      <c r="A950" s="764"/>
      <c r="B950" s="766" t="s">
        <v>983</v>
      </c>
      <c r="C950" s="858">
        <v>200000</v>
      </c>
      <c r="D950" s="858">
        <v>200000</v>
      </c>
      <c r="E950" s="738"/>
      <c r="F950" s="1256"/>
      <c r="G950" s="2200"/>
      <c r="H950" s="2200"/>
      <c r="I950" s="2201"/>
      <c r="IC950" s="98"/>
      <c r="ID950" s="98"/>
      <c r="IE950" s="98"/>
      <c r="IF950" s="98"/>
      <c r="IG950" s="98"/>
      <c r="IH950" s="98"/>
      <c r="II950" s="98"/>
    </row>
    <row r="951" spans="1:243" s="545" customFormat="1" ht="30" customHeight="1" x14ac:dyDescent="0.2">
      <c r="A951" s="764"/>
      <c r="B951" s="766" t="s">
        <v>2569</v>
      </c>
      <c r="C951" s="858">
        <v>10000</v>
      </c>
      <c r="D951" s="858">
        <v>10000</v>
      </c>
      <c r="E951" s="738"/>
      <c r="F951" s="1256"/>
      <c r="G951" s="2200"/>
      <c r="H951" s="2200"/>
      <c r="I951" s="2201"/>
      <c r="IC951" s="98"/>
      <c r="ID951" s="98"/>
      <c r="IE951" s="98"/>
      <c r="IF951" s="98"/>
      <c r="IG951" s="98"/>
      <c r="IH951" s="98"/>
      <c r="II951" s="98"/>
    </row>
    <row r="952" spans="1:243" s="545" customFormat="1" ht="30" customHeight="1" x14ac:dyDescent="0.2">
      <c r="A952" s="764"/>
      <c r="B952" s="766" t="s">
        <v>984</v>
      </c>
      <c r="C952" s="866">
        <v>3000</v>
      </c>
      <c r="D952" s="866">
        <v>3000</v>
      </c>
      <c r="E952" s="738"/>
      <c r="F952" s="2045"/>
      <c r="G952" s="2200"/>
      <c r="H952" s="2200"/>
      <c r="I952" s="2201"/>
      <c r="IC952" s="98"/>
      <c r="ID952" s="98"/>
      <c r="IE952" s="98"/>
      <c r="IF952" s="98"/>
      <c r="IG952" s="98"/>
      <c r="IH952" s="98"/>
      <c r="II952" s="98"/>
    </row>
    <row r="953" spans="1:243" s="545" customFormat="1" ht="30" customHeight="1" x14ac:dyDescent="0.2">
      <c r="A953" s="771">
        <v>3635</v>
      </c>
      <c r="B953" s="717" t="s">
        <v>986</v>
      </c>
      <c r="C953" s="726">
        <f t="shared" ref="C953:D953" si="98">SUM(C954:C955)</f>
        <v>40000</v>
      </c>
      <c r="D953" s="726">
        <f t="shared" si="98"/>
        <v>40000</v>
      </c>
      <c r="E953" s="726"/>
      <c r="F953" s="750"/>
      <c r="G953" s="1663"/>
      <c r="H953" s="1663"/>
      <c r="I953" s="1662"/>
      <c r="IC953" s="98"/>
      <c r="ID953" s="98"/>
      <c r="IE953" s="98"/>
      <c r="IF953" s="98"/>
      <c r="IG953" s="98"/>
      <c r="IH953" s="98"/>
      <c r="II953" s="98"/>
    </row>
    <row r="954" spans="1:243" s="545" customFormat="1" ht="30" customHeight="1" x14ac:dyDescent="0.2">
      <c r="A954" s="776"/>
      <c r="B954" s="737" t="s">
        <v>2570</v>
      </c>
      <c r="C954" s="2146">
        <v>0</v>
      </c>
      <c r="D954" s="2146">
        <v>0</v>
      </c>
      <c r="E954" s="738"/>
      <c r="F954" s="2146"/>
      <c r="G954" s="2200"/>
      <c r="H954" s="2200"/>
      <c r="I954" s="2201"/>
      <c r="IC954" s="98"/>
      <c r="ID954" s="98"/>
      <c r="IE954" s="98"/>
      <c r="IF954" s="98"/>
      <c r="IG954" s="98"/>
      <c r="IH954" s="98"/>
      <c r="II954" s="98"/>
    </row>
    <row r="955" spans="1:243" s="545" customFormat="1" ht="30" customHeight="1" x14ac:dyDescent="0.2">
      <c r="A955" s="1529"/>
      <c r="B955" s="1530" t="s">
        <v>2571</v>
      </c>
      <c r="C955" s="1260">
        <v>40000</v>
      </c>
      <c r="D955" s="1260">
        <v>40000</v>
      </c>
      <c r="E955" s="1040"/>
      <c r="F955" s="1269"/>
      <c r="G955" s="2200"/>
      <c r="H955" s="2200"/>
      <c r="I955" s="2201"/>
      <c r="IC955" s="98"/>
      <c r="ID955" s="98"/>
      <c r="IE955" s="98"/>
      <c r="IF955" s="98"/>
      <c r="IG955" s="98"/>
      <c r="IH955" s="98"/>
      <c r="II955" s="98"/>
    </row>
    <row r="956" spans="1:243" s="550" customFormat="1" ht="30" customHeight="1" x14ac:dyDescent="0.2">
      <c r="A956" s="1373"/>
      <c r="B956" s="1236"/>
      <c r="C956" s="2147"/>
      <c r="D956" s="2147"/>
      <c r="E956" s="1042"/>
      <c r="F956" s="2477"/>
      <c r="G956" s="2478"/>
      <c r="H956" s="2478"/>
      <c r="I956" s="2147"/>
      <c r="IC956" s="1"/>
      <c r="ID956" s="1"/>
      <c r="IE956" s="1"/>
      <c r="IF956" s="1"/>
      <c r="IG956" s="1"/>
      <c r="IH956" s="1"/>
      <c r="II956" s="1"/>
    </row>
    <row r="957" spans="1:243" s="244" customFormat="1" ht="30" customHeight="1" x14ac:dyDescent="0.3">
      <c r="A957" s="1195"/>
      <c r="B957" s="1051" t="s">
        <v>54</v>
      </c>
      <c r="C957" s="652">
        <f>SUM(C958:C962,C963:C967,C971,C976)</f>
        <v>65900000</v>
      </c>
      <c r="D957" s="652">
        <f>SUM(D958:D962,D963:D967,D971,D976)</f>
        <v>107180109.11999999</v>
      </c>
      <c r="E957" s="652"/>
      <c r="F957" s="2270"/>
      <c r="G957" s="949"/>
      <c r="H957" s="949"/>
      <c r="I957" s="949"/>
    </row>
    <row r="958" spans="1:243" s="553" customFormat="1" ht="30" customHeight="1" x14ac:dyDescent="0.2">
      <c r="A958" s="2148">
        <v>2223</v>
      </c>
      <c r="B958" s="1208" t="s">
        <v>2572</v>
      </c>
      <c r="C958" s="765">
        <v>0</v>
      </c>
      <c r="D958" s="765">
        <v>0</v>
      </c>
      <c r="E958" s="882"/>
      <c r="F958" s="2407"/>
      <c r="G958" s="1663"/>
      <c r="H958" s="1663"/>
      <c r="I958" s="1662"/>
    </row>
    <row r="959" spans="1:243" s="98" customFormat="1" ht="30" customHeight="1" x14ac:dyDescent="0.2">
      <c r="A959" s="716">
        <v>3111</v>
      </c>
      <c r="B959" s="717" t="s">
        <v>2982</v>
      </c>
      <c r="C959" s="1145">
        <v>0</v>
      </c>
      <c r="D959" s="1145">
        <f>(76214.38+111686.75)</f>
        <v>187901.13</v>
      </c>
      <c r="E959" s="882"/>
      <c r="F959" s="1040"/>
      <c r="G959" s="1663"/>
      <c r="H959" s="1663"/>
      <c r="I959" s="1662"/>
    </row>
    <row r="960" spans="1:243" s="98" customFormat="1" ht="30" customHeight="1" x14ac:dyDescent="0.2">
      <c r="A960" s="716">
        <v>3113</v>
      </c>
      <c r="B960" s="717" t="s">
        <v>2983</v>
      </c>
      <c r="C960" s="1145">
        <v>0</v>
      </c>
      <c r="D960" s="1145">
        <f>(212592.52+261781.31+349438.48)</f>
        <v>823812.30999999994</v>
      </c>
      <c r="E960" s="882"/>
      <c r="F960" s="1040"/>
      <c r="G960" s="1663"/>
      <c r="H960" s="1663"/>
      <c r="I960" s="1662"/>
    </row>
    <row r="961" spans="1:9" s="98" customFormat="1" ht="30" customHeight="1" x14ac:dyDescent="0.2">
      <c r="A961" s="771">
        <v>3233</v>
      </c>
      <c r="B961" s="717" t="s">
        <v>2963</v>
      </c>
      <c r="C961" s="730">
        <v>0</v>
      </c>
      <c r="D961" s="730">
        <v>3730</v>
      </c>
      <c r="E961" s="882"/>
      <c r="F961" s="731"/>
      <c r="G961" s="1663"/>
      <c r="H961" s="1663"/>
      <c r="I961" s="1662"/>
    </row>
    <row r="962" spans="1:9" s="98" customFormat="1" ht="30" customHeight="1" x14ac:dyDescent="0.2">
      <c r="A962" s="716">
        <v>3392</v>
      </c>
      <c r="B962" s="717" t="s">
        <v>2984</v>
      </c>
      <c r="C962" s="1145">
        <v>0</v>
      </c>
      <c r="D962" s="1145">
        <v>61299</v>
      </c>
      <c r="E962" s="882"/>
      <c r="F962" s="1040"/>
      <c r="G962" s="1663"/>
      <c r="H962" s="1663"/>
      <c r="I962" s="1662"/>
    </row>
    <row r="963" spans="1:9" s="98" customFormat="1" ht="30" customHeight="1" x14ac:dyDescent="0.2">
      <c r="A963" s="771">
        <v>3612</v>
      </c>
      <c r="B963" s="1035" t="s">
        <v>2575</v>
      </c>
      <c r="C963" s="722">
        <v>700000</v>
      </c>
      <c r="D963" s="722">
        <v>700000</v>
      </c>
      <c r="E963" s="882"/>
      <c r="F963" s="740"/>
      <c r="G963" s="1663"/>
      <c r="H963" s="1663"/>
      <c r="I963" s="1662"/>
    </row>
    <row r="964" spans="1:9" s="553" customFormat="1" ht="30" customHeight="1" x14ac:dyDescent="0.2">
      <c r="A964" s="1207" t="s">
        <v>2019</v>
      </c>
      <c r="B964" s="709" t="s">
        <v>2020</v>
      </c>
      <c r="C964" s="731">
        <v>200000</v>
      </c>
      <c r="D964" s="731">
        <v>200000</v>
      </c>
      <c r="E964" s="882"/>
      <c r="F964" s="738"/>
      <c r="G964" s="1663"/>
      <c r="H964" s="1663"/>
      <c r="I964" s="1662"/>
    </row>
    <row r="965" spans="1:9" ht="30" customHeight="1" x14ac:dyDescent="0.2">
      <c r="A965" s="771">
        <v>6171</v>
      </c>
      <c r="B965" s="1526" t="s">
        <v>2576</v>
      </c>
      <c r="C965" s="731">
        <v>100000</v>
      </c>
      <c r="D965" s="731">
        <v>100000</v>
      </c>
      <c r="E965" s="882"/>
      <c r="F965" s="738"/>
      <c r="G965" s="1663"/>
      <c r="H965" s="1663"/>
      <c r="I965" s="1662"/>
    </row>
    <row r="966" spans="1:9" ht="30" customHeight="1" x14ac:dyDescent="0.2">
      <c r="A966" s="771">
        <v>6310</v>
      </c>
      <c r="B966" s="717" t="s">
        <v>2577</v>
      </c>
      <c r="C966" s="731">
        <v>400000</v>
      </c>
      <c r="D966" s="731">
        <v>400000</v>
      </c>
      <c r="E966" s="998"/>
      <c r="F966" s="738"/>
      <c r="G966" s="1663"/>
      <c r="H966" s="1663"/>
      <c r="I966" s="1662"/>
    </row>
    <row r="967" spans="1:9" ht="30" customHeight="1" x14ac:dyDescent="0.2">
      <c r="A967" s="771">
        <v>6399</v>
      </c>
      <c r="B967" s="717" t="s">
        <v>1005</v>
      </c>
      <c r="C967" s="726">
        <f t="shared" ref="C967:D967" si="99">SUM(C968:C970)</f>
        <v>61000000</v>
      </c>
      <c r="D967" s="726">
        <f t="shared" si="99"/>
        <v>86564110</v>
      </c>
      <c r="E967" s="734"/>
      <c r="F967" s="750"/>
      <c r="G967" s="1663"/>
      <c r="H967" s="1663"/>
      <c r="I967" s="1662"/>
    </row>
    <row r="968" spans="1:9" ht="30" customHeight="1" x14ac:dyDescent="0.2">
      <c r="A968" s="776"/>
      <c r="B968" s="737" t="s">
        <v>2023</v>
      </c>
      <c r="C968" s="2150">
        <v>30000000</v>
      </c>
      <c r="D968" s="2150">
        <f>30000000+25564110</f>
        <v>55564110</v>
      </c>
      <c r="E968" s="894"/>
      <c r="F968" s="738"/>
      <c r="G968" s="2200"/>
      <c r="H968" s="2200"/>
      <c r="I968" s="2201"/>
    </row>
    <row r="969" spans="1:9" ht="30" customHeight="1" x14ac:dyDescent="0.2">
      <c r="A969" s="776"/>
      <c r="B969" s="737" t="s">
        <v>2024</v>
      </c>
      <c r="C969" s="1946">
        <v>3000000</v>
      </c>
      <c r="D969" s="1946">
        <v>3000000</v>
      </c>
      <c r="E969" s="893"/>
      <c r="F969" s="2150"/>
      <c r="G969" s="2200"/>
      <c r="H969" s="2200"/>
      <c r="I969" s="2201"/>
    </row>
    <row r="970" spans="1:9" ht="30" customHeight="1" x14ac:dyDescent="0.2">
      <c r="A970" s="776"/>
      <c r="B970" s="737" t="s">
        <v>2578</v>
      </c>
      <c r="C970" s="742">
        <v>28000000</v>
      </c>
      <c r="D970" s="742">
        <v>28000000</v>
      </c>
      <c r="E970" s="893"/>
      <c r="F970" s="742"/>
      <c r="G970" s="2200"/>
      <c r="H970" s="2200"/>
      <c r="I970" s="2201"/>
    </row>
    <row r="971" spans="1:9" s="98" customFormat="1" ht="30" customHeight="1" x14ac:dyDescent="0.2">
      <c r="A971" s="771">
        <v>6402</v>
      </c>
      <c r="B971" s="717" t="s">
        <v>2579</v>
      </c>
      <c r="C971" s="726">
        <f>SUM(C973:C975)</f>
        <v>0</v>
      </c>
      <c r="D971" s="726">
        <f>SUM(D972:D975)</f>
        <v>23069.96</v>
      </c>
      <c r="E971" s="734"/>
      <c r="F971" s="750"/>
      <c r="G971" s="1663"/>
      <c r="H971" s="1663"/>
      <c r="I971" s="1662"/>
    </row>
    <row r="972" spans="1:9" s="2" customFormat="1" ht="30" customHeight="1" x14ac:dyDescent="0.2">
      <c r="A972" s="1034"/>
      <c r="B972" s="1035" t="s">
        <v>2966</v>
      </c>
      <c r="C972" s="1232">
        <v>0</v>
      </c>
      <c r="D972" s="1232">
        <f>(913.14+3011.86)</f>
        <v>3925</v>
      </c>
      <c r="E972" s="894"/>
      <c r="F972" s="738"/>
      <c r="G972" s="2200"/>
      <c r="H972" s="2200"/>
      <c r="I972" s="2201"/>
    </row>
    <row r="973" spans="1:9" s="2" customFormat="1" ht="30" customHeight="1" x14ac:dyDescent="0.2">
      <c r="A973" s="1034"/>
      <c r="B973" s="1035" t="s">
        <v>2985</v>
      </c>
      <c r="C973" s="1232">
        <v>0</v>
      </c>
      <c r="D973" s="1232">
        <v>15187.53</v>
      </c>
      <c r="E973" s="894"/>
      <c r="F973" s="738"/>
      <c r="G973" s="2200"/>
      <c r="H973" s="2200"/>
      <c r="I973" s="2201"/>
    </row>
    <row r="974" spans="1:9" s="2" customFormat="1" ht="30" customHeight="1" x14ac:dyDescent="0.2">
      <c r="A974" s="1034"/>
      <c r="B974" s="1035" t="s">
        <v>2968</v>
      </c>
      <c r="C974" s="1864">
        <v>0</v>
      </c>
      <c r="D974" s="1864">
        <v>3957.43</v>
      </c>
      <c r="E974" s="894"/>
      <c r="F974" s="738"/>
      <c r="G974" s="2200"/>
      <c r="H974" s="2200"/>
      <c r="I974" s="2201"/>
    </row>
    <row r="975" spans="1:9" s="2" customFormat="1" ht="30" customHeight="1" x14ac:dyDescent="0.2">
      <c r="A975" s="1034"/>
      <c r="B975" s="1035" t="s">
        <v>2582</v>
      </c>
      <c r="C975" s="1864">
        <v>0</v>
      </c>
      <c r="D975" s="1864">
        <v>0</v>
      </c>
      <c r="E975" s="894"/>
      <c r="F975" s="738"/>
      <c r="G975" s="2200"/>
      <c r="H975" s="2200"/>
      <c r="I975" s="2201"/>
    </row>
    <row r="976" spans="1:9" s="244" customFormat="1" ht="30" customHeight="1" x14ac:dyDescent="0.25">
      <c r="A976" s="771">
        <v>6409</v>
      </c>
      <c r="B976" s="717" t="s">
        <v>1014</v>
      </c>
      <c r="C976" s="726">
        <f t="shared" ref="C976:D976" si="100">SUM(C977:C979)</f>
        <v>3500000</v>
      </c>
      <c r="D976" s="726">
        <f t="shared" si="100"/>
        <v>18116186.720000003</v>
      </c>
      <c r="E976" s="998"/>
      <c r="F976" s="750"/>
      <c r="G976" s="1663"/>
      <c r="H976" s="1663"/>
      <c r="I976" s="1662"/>
    </row>
    <row r="977" spans="1:9" s="98" customFormat="1" ht="30" customHeight="1" x14ac:dyDescent="0.2">
      <c r="A977" s="1529"/>
      <c r="B977" s="1530" t="s">
        <v>2031</v>
      </c>
      <c r="C977" s="1234">
        <v>3000000</v>
      </c>
      <c r="D977" s="1234">
        <f>3000000-3178500+99036-432200-595004.14+3000000+145092-7500-15000-30000-30000-7500-80000+472672.5-214000-641178.72-104517-19144.96+463363-400000+21520868.17+1247432.21-60000+297792+2743942.28-14800000-6020000+1571026.45-27427.5+5889660-1700000-5000000-2000000-3000000+85015+472380+706318.75+1093905.82-300000-280000+25671.25+25000000-3000000-3375008.64-370000-300000-1266234.75+810777+5424450-4500000-5000000+300000</f>
        <v>17616186.720000003</v>
      </c>
      <c r="E977" s="993"/>
      <c r="F977" s="1234"/>
      <c r="G977" s="2200"/>
      <c r="H977" s="2200"/>
      <c r="I977" s="2201"/>
    </row>
    <row r="978" spans="1:9" s="98" customFormat="1" ht="38.25" x14ac:dyDescent="0.2">
      <c r="A978" s="809"/>
      <c r="B978" s="1258" t="s">
        <v>2032</v>
      </c>
      <c r="C978" s="1077">
        <v>500000</v>
      </c>
      <c r="D978" s="1077">
        <v>500000</v>
      </c>
      <c r="E978" s="993"/>
      <c r="F978" s="1077"/>
      <c r="G978" s="2200"/>
      <c r="H978" s="2200"/>
      <c r="I978" s="2201"/>
    </row>
    <row r="979" spans="1:9" s="98" customFormat="1" ht="30" customHeight="1" x14ac:dyDescent="0.2">
      <c r="A979" s="1531"/>
      <c r="B979" s="1532" t="s">
        <v>2584</v>
      </c>
      <c r="C979" s="1864">
        <v>0</v>
      </c>
      <c r="D979" s="1864">
        <v>0</v>
      </c>
      <c r="E979" s="993"/>
      <c r="F979" s="1864"/>
      <c r="G979" s="2200"/>
      <c r="H979" s="2200"/>
      <c r="I979" s="2201"/>
    </row>
    <row r="980" spans="1:9" s="98" customFormat="1" ht="30" customHeight="1" x14ac:dyDescent="0.2">
      <c r="A980" s="1535"/>
      <c r="B980" s="1536"/>
      <c r="C980" s="762"/>
      <c r="D980" s="762"/>
      <c r="E980" s="1341"/>
      <c r="F980" s="2037"/>
      <c r="G980" s="2037"/>
      <c r="H980" s="2037"/>
      <c r="I980" s="762"/>
    </row>
    <row r="981" spans="1:9" s="98" customFormat="1" ht="30" customHeight="1" x14ac:dyDescent="0.4">
      <c r="A981" s="691"/>
      <c r="B981" s="1539" t="s">
        <v>55</v>
      </c>
      <c r="C981" s="2483">
        <f>SUM(C274+C390+C611+C614+C621+C630+C634+C639+C728+C732+C754+C763+C793+C800+C825+C947+C957)</f>
        <v>1121493640</v>
      </c>
      <c r="D981" s="2483">
        <f>SUM(D274+D390+D611+D614+D621+D630+D634+D639+D728+D732+D754+D763+D793+D800+D825+D947+D957)</f>
        <v>1198554898.3399999</v>
      </c>
      <c r="E981" s="2483"/>
      <c r="F981" s="2535"/>
      <c r="G981" s="2485"/>
      <c r="H981" s="2485"/>
      <c r="I981" s="2485"/>
    </row>
    <row r="982" spans="1:9" ht="12.75" customHeight="1" x14ac:dyDescent="0.2">
      <c r="B982" s="1542"/>
    </row>
    <row r="983" spans="1:9" ht="12.75" customHeight="1" x14ac:dyDescent="0.35">
      <c r="B983" s="1543"/>
    </row>
    <row r="984" spans="1:9" s="98" customFormat="1" ht="12.75" hidden="1" customHeight="1" x14ac:dyDescent="0.35">
      <c r="A984" s="1"/>
      <c r="B984" s="1543"/>
      <c r="E984" s="29"/>
      <c r="F984" s="1"/>
      <c r="G984" s="1"/>
      <c r="H984" s="1"/>
    </row>
    <row r="985" spans="1:9" s="98" customFormat="1" x14ac:dyDescent="0.2">
      <c r="A985" s="1"/>
      <c r="B985" s="564"/>
      <c r="C985" s="88">
        <f t="shared" ref="C985:I985" si="101">C981-C9</f>
        <v>2.0000934600830078E-3</v>
      </c>
      <c r="D985" s="88">
        <f t="shared" si="101"/>
        <v>1.9998550415039063E-3</v>
      </c>
      <c r="E985" s="88">
        <f t="shared" si="101"/>
        <v>0</v>
      </c>
      <c r="F985" s="88">
        <f t="shared" si="101"/>
        <v>0</v>
      </c>
      <c r="G985" s="88">
        <f t="shared" si="101"/>
        <v>0</v>
      </c>
      <c r="H985" s="88">
        <f t="shared" si="101"/>
        <v>0</v>
      </c>
      <c r="I985" s="88">
        <f t="shared" si="101"/>
        <v>0</v>
      </c>
    </row>
    <row r="986" spans="1:9" s="98" customFormat="1" x14ac:dyDescent="0.2">
      <c r="A986" s="1"/>
      <c r="B986" s="564"/>
      <c r="C986" s="88"/>
      <c r="D986" s="88"/>
      <c r="E986" s="88"/>
      <c r="F986" s="88"/>
      <c r="G986" s="88"/>
      <c r="H986" s="88"/>
      <c r="I986" s="88"/>
    </row>
  </sheetData>
  <sheetProtection selectLockedCells="1" selectUnlockedCells="1"/>
  <autoFilter ref="I1:I990"/>
  <printOptions horizontalCentered="1"/>
  <pageMargins left="0.23622047244094491" right="0.23622047244094491" top="0.55118110236220474" bottom="0.55118110236220474" header="0.31496062992125984" footer="0.31496062992125984"/>
  <pageSetup paperSize="9" scale="67" firstPageNumber="0" fitToHeight="0" orientation="landscape"/>
  <headerFooter>
    <oddFooter>&amp;C&amp;P</oddFooter>
  </headerFooter>
  <rowBreaks count="1" manualBreakCount="1">
    <brk id="30" max="16383" man="1"/>
  </rowBreaks>
  <legacy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9"/>
  <sheetViews>
    <sheetView workbookViewId="0">
      <selection activeCell="G4" sqref="G4"/>
    </sheetView>
  </sheetViews>
  <sheetFormatPr defaultRowHeight="15" x14ac:dyDescent="0.2"/>
  <cols>
    <col min="2" max="3" width="8.28515625" customWidth="1"/>
    <col min="4" max="4" width="5" customWidth="1"/>
    <col min="5" max="5" width="8.28515625" customWidth="1"/>
    <col min="6" max="6" width="16.7109375" customWidth="1"/>
    <col min="7" max="7" width="18.85546875" style="2536" customWidth="1"/>
    <col min="8" max="8" width="4.7109375" style="29" customWidth="1"/>
    <col min="9" max="9" width="16.85546875" customWidth="1"/>
    <col min="10" max="10" width="1.5703125" customWidth="1"/>
    <col min="11" max="11" width="14.5703125" customWidth="1"/>
    <col min="12" max="12" width="17.7109375" customWidth="1"/>
    <col min="258" max="259" width="8.28515625" customWidth="1"/>
    <col min="260" max="260" width="5" customWidth="1"/>
    <col min="261" max="261" width="8.28515625" customWidth="1"/>
    <col min="262" max="262" width="16.7109375" customWidth="1"/>
    <col min="263" max="263" width="17.7109375" customWidth="1"/>
    <col min="264" max="264" width="4.7109375" customWidth="1"/>
    <col min="265" max="265" width="16.85546875" customWidth="1"/>
    <col min="266" max="266" width="1.5703125" customWidth="1"/>
    <col min="267" max="267" width="14.5703125" customWidth="1"/>
    <col min="268" max="268" width="17.7109375" customWidth="1"/>
    <col min="514" max="515" width="8.28515625" customWidth="1"/>
    <col min="516" max="516" width="5" customWidth="1"/>
    <col min="517" max="517" width="8.28515625" customWidth="1"/>
    <col min="518" max="518" width="16.7109375" customWidth="1"/>
    <col min="519" max="519" width="17.7109375" customWidth="1"/>
    <col min="520" max="520" width="4.7109375" customWidth="1"/>
    <col min="521" max="521" width="16.85546875" customWidth="1"/>
    <col min="522" max="522" width="1.5703125" customWidth="1"/>
    <col min="523" max="523" width="14.5703125" customWidth="1"/>
    <col min="524" max="524" width="17.7109375" customWidth="1"/>
    <col min="770" max="771" width="8.28515625" customWidth="1"/>
    <col min="772" max="772" width="5" customWidth="1"/>
    <col min="773" max="773" width="8.28515625" customWidth="1"/>
    <col min="774" max="774" width="16.7109375" customWidth="1"/>
    <col min="775" max="775" width="17.7109375" customWidth="1"/>
    <col min="776" max="776" width="4.7109375" customWidth="1"/>
    <col min="777" max="777" width="16.85546875" customWidth="1"/>
    <col min="778" max="778" width="1.5703125" customWidth="1"/>
    <col min="779" max="779" width="14.5703125" customWidth="1"/>
    <col min="780" max="780" width="17.7109375" customWidth="1"/>
    <col min="1026" max="1027" width="8.28515625" customWidth="1"/>
    <col min="1028" max="1028" width="5" customWidth="1"/>
    <col min="1029" max="1029" width="8.28515625" customWidth="1"/>
    <col min="1030" max="1030" width="16.7109375" customWidth="1"/>
    <col min="1031" max="1031" width="17.7109375" customWidth="1"/>
    <col min="1032" max="1032" width="4.7109375" customWidth="1"/>
    <col min="1033" max="1033" width="16.85546875" customWidth="1"/>
    <col min="1034" max="1034" width="1.5703125" customWidth="1"/>
    <col min="1035" max="1035" width="14.5703125" customWidth="1"/>
    <col min="1036" max="1036" width="17.7109375" customWidth="1"/>
    <col min="1282" max="1283" width="8.28515625" customWidth="1"/>
    <col min="1284" max="1284" width="5" customWidth="1"/>
    <col min="1285" max="1285" width="8.28515625" customWidth="1"/>
    <col min="1286" max="1286" width="16.7109375" customWidth="1"/>
    <col min="1287" max="1287" width="17.7109375" customWidth="1"/>
    <col min="1288" max="1288" width="4.7109375" customWidth="1"/>
    <col min="1289" max="1289" width="16.85546875" customWidth="1"/>
    <col min="1290" max="1290" width="1.5703125" customWidth="1"/>
    <col min="1291" max="1291" width="14.5703125" customWidth="1"/>
    <col min="1292" max="1292" width="17.7109375" customWidth="1"/>
    <col min="1538" max="1539" width="8.28515625" customWidth="1"/>
    <col min="1540" max="1540" width="5" customWidth="1"/>
    <col min="1541" max="1541" width="8.28515625" customWidth="1"/>
    <col min="1542" max="1542" width="16.7109375" customWidth="1"/>
    <col min="1543" max="1543" width="17.7109375" customWidth="1"/>
    <col min="1544" max="1544" width="4.7109375" customWidth="1"/>
    <col min="1545" max="1545" width="16.85546875" customWidth="1"/>
    <col min="1546" max="1546" width="1.5703125" customWidth="1"/>
    <col min="1547" max="1547" width="14.5703125" customWidth="1"/>
    <col min="1548" max="1548" width="17.7109375" customWidth="1"/>
    <col min="1794" max="1795" width="8.28515625" customWidth="1"/>
    <col min="1796" max="1796" width="5" customWidth="1"/>
    <col min="1797" max="1797" width="8.28515625" customWidth="1"/>
    <col min="1798" max="1798" width="16.7109375" customWidth="1"/>
    <col min="1799" max="1799" width="17.7109375" customWidth="1"/>
    <col min="1800" max="1800" width="4.7109375" customWidth="1"/>
    <col min="1801" max="1801" width="16.85546875" customWidth="1"/>
    <col min="1802" max="1802" width="1.5703125" customWidth="1"/>
    <col min="1803" max="1803" width="14.5703125" customWidth="1"/>
    <col min="1804" max="1804" width="17.7109375" customWidth="1"/>
    <col min="2050" max="2051" width="8.28515625" customWidth="1"/>
    <col min="2052" max="2052" width="5" customWidth="1"/>
    <col min="2053" max="2053" width="8.28515625" customWidth="1"/>
    <col min="2054" max="2054" width="16.7109375" customWidth="1"/>
    <col min="2055" max="2055" width="17.7109375" customWidth="1"/>
    <col min="2056" max="2056" width="4.7109375" customWidth="1"/>
    <col min="2057" max="2057" width="16.85546875" customWidth="1"/>
    <col min="2058" max="2058" width="1.5703125" customWidth="1"/>
    <col min="2059" max="2059" width="14.5703125" customWidth="1"/>
    <col min="2060" max="2060" width="17.7109375" customWidth="1"/>
    <col min="2306" max="2307" width="8.28515625" customWidth="1"/>
    <col min="2308" max="2308" width="5" customWidth="1"/>
    <col min="2309" max="2309" width="8.28515625" customWidth="1"/>
    <col min="2310" max="2310" width="16.7109375" customWidth="1"/>
    <col min="2311" max="2311" width="17.7109375" customWidth="1"/>
    <col min="2312" max="2312" width="4.7109375" customWidth="1"/>
    <col min="2313" max="2313" width="16.85546875" customWidth="1"/>
    <col min="2314" max="2314" width="1.5703125" customWidth="1"/>
    <col min="2315" max="2315" width="14.5703125" customWidth="1"/>
    <col min="2316" max="2316" width="17.7109375" customWidth="1"/>
    <col min="2562" max="2563" width="8.28515625" customWidth="1"/>
    <col min="2564" max="2564" width="5" customWidth="1"/>
    <col min="2565" max="2565" width="8.28515625" customWidth="1"/>
    <col min="2566" max="2566" width="16.7109375" customWidth="1"/>
    <col min="2567" max="2567" width="17.7109375" customWidth="1"/>
    <col min="2568" max="2568" width="4.7109375" customWidth="1"/>
    <col min="2569" max="2569" width="16.85546875" customWidth="1"/>
    <col min="2570" max="2570" width="1.5703125" customWidth="1"/>
    <col min="2571" max="2571" width="14.5703125" customWidth="1"/>
    <col min="2572" max="2572" width="17.7109375" customWidth="1"/>
    <col min="2818" max="2819" width="8.28515625" customWidth="1"/>
    <col min="2820" max="2820" width="5" customWidth="1"/>
    <col min="2821" max="2821" width="8.28515625" customWidth="1"/>
    <col min="2822" max="2822" width="16.7109375" customWidth="1"/>
    <col min="2823" max="2823" width="17.7109375" customWidth="1"/>
    <col min="2824" max="2824" width="4.7109375" customWidth="1"/>
    <col min="2825" max="2825" width="16.85546875" customWidth="1"/>
    <col min="2826" max="2826" width="1.5703125" customWidth="1"/>
    <col min="2827" max="2827" width="14.5703125" customWidth="1"/>
    <col min="2828" max="2828" width="17.7109375" customWidth="1"/>
    <col min="3074" max="3075" width="8.28515625" customWidth="1"/>
    <col min="3076" max="3076" width="5" customWidth="1"/>
    <col min="3077" max="3077" width="8.28515625" customWidth="1"/>
    <col min="3078" max="3078" width="16.7109375" customWidth="1"/>
    <col min="3079" max="3079" width="17.7109375" customWidth="1"/>
    <col min="3080" max="3080" width="4.7109375" customWidth="1"/>
    <col min="3081" max="3081" width="16.85546875" customWidth="1"/>
    <col min="3082" max="3082" width="1.5703125" customWidth="1"/>
    <col min="3083" max="3083" width="14.5703125" customWidth="1"/>
    <col min="3084" max="3084" width="17.7109375" customWidth="1"/>
    <col min="3330" max="3331" width="8.28515625" customWidth="1"/>
    <col min="3332" max="3332" width="5" customWidth="1"/>
    <col min="3333" max="3333" width="8.28515625" customWidth="1"/>
    <col min="3334" max="3334" width="16.7109375" customWidth="1"/>
    <col min="3335" max="3335" width="17.7109375" customWidth="1"/>
    <col min="3336" max="3336" width="4.7109375" customWidth="1"/>
    <col min="3337" max="3337" width="16.85546875" customWidth="1"/>
    <col min="3338" max="3338" width="1.5703125" customWidth="1"/>
    <col min="3339" max="3339" width="14.5703125" customWidth="1"/>
    <col min="3340" max="3340" width="17.7109375" customWidth="1"/>
    <col min="3586" max="3587" width="8.28515625" customWidth="1"/>
    <col min="3588" max="3588" width="5" customWidth="1"/>
    <col min="3589" max="3589" width="8.28515625" customWidth="1"/>
    <col min="3590" max="3590" width="16.7109375" customWidth="1"/>
    <col min="3591" max="3591" width="17.7109375" customWidth="1"/>
    <col min="3592" max="3592" width="4.7109375" customWidth="1"/>
    <col min="3593" max="3593" width="16.85546875" customWidth="1"/>
    <col min="3594" max="3594" width="1.5703125" customWidth="1"/>
    <col min="3595" max="3595" width="14.5703125" customWidth="1"/>
    <col min="3596" max="3596" width="17.7109375" customWidth="1"/>
    <col min="3842" max="3843" width="8.28515625" customWidth="1"/>
    <col min="3844" max="3844" width="5" customWidth="1"/>
    <col min="3845" max="3845" width="8.28515625" customWidth="1"/>
    <col min="3846" max="3846" width="16.7109375" customWidth="1"/>
    <col min="3847" max="3847" width="17.7109375" customWidth="1"/>
    <col min="3848" max="3848" width="4.7109375" customWidth="1"/>
    <col min="3849" max="3849" width="16.85546875" customWidth="1"/>
    <col min="3850" max="3850" width="1.5703125" customWidth="1"/>
    <col min="3851" max="3851" width="14.5703125" customWidth="1"/>
    <col min="3852" max="3852" width="17.7109375" customWidth="1"/>
    <col min="4098" max="4099" width="8.28515625" customWidth="1"/>
    <col min="4100" max="4100" width="5" customWidth="1"/>
    <col min="4101" max="4101" width="8.28515625" customWidth="1"/>
    <col min="4102" max="4102" width="16.7109375" customWidth="1"/>
    <col min="4103" max="4103" width="17.7109375" customWidth="1"/>
    <col min="4104" max="4104" width="4.7109375" customWidth="1"/>
    <col min="4105" max="4105" width="16.85546875" customWidth="1"/>
    <col min="4106" max="4106" width="1.5703125" customWidth="1"/>
    <col min="4107" max="4107" width="14.5703125" customWidth="1"/>
    <col min="4108" max="4108" width="17.7109375" customWidth="1"/>
    <col min="4354" max="4355" width="8.28515625" customWidth="1"/>
    <col min="4356" max="4356" width="5" customWidth="1"/>
    <col min="4357" max="4357" width="8.28515625" customWidth="1"/>
    <col min="4358" max="4358" width="16.7109375" customWidth="1"/>
    <col min="4359" max="4359" width="17.7109375" customWidth="1"/>
    <col min="4360" max="4360" width="4.7109375" customWidth="1"/>
    <col min="4361" max="4361" width="16.85546875" customWidth="1"/>
    <col min="4362" max="4362" width="1.5703125" customWidth="1"/>
    <col min="4363" max="4363" width="14.5703125" customWidth="1"/>
    <col min="4364" max="4364" width="17.7109375" customWidth="1"/>
    <col min="4610" max="4611" width="8.28515625" customWidth="1"/>
    <col min="4612" max="4612" width="5" customWidth="1"/>
    <col min="4613" max="4613" width="8.28515625" customWidth="1"/>
    <col min="4614" max="4614" width="16.7109375" customWidth="1"/>
    <col min="4615" max="4615" width="17.7109375" customWidth="1"/>
    <col min="4616" max="4616" width="4.7109375" customWidth="1"/>
    <col min="4617" max="4617" width="16.85546875" customWidth="1"/>
    <col min="4618" max="4618" width="1.5703125" customWidth="1"/>
    <col min="4619" max="4619" width="14.5703125" customWidth="1"/>
    <col min="4620" max="4620" width="17.7109375" customWidth="1"/>
    <col min="4866" max="4867" width="8.28515625" customWidth="1"/>
    <col min="4868" max="4868" width="5" customWidth="1"/>
    <col min="4869" max="4869" width="8.28515625" customWidth="1"/>
    <col min="4870" max="4870" width="16.7109375" customWidth="1"/>
    <col min="4871" max="4871" width="17.7109375" customWidth="1"/>
    <col min="4872" max="4872" width="4.7109375" customWidth="1"/>
    <col min="4873" max="4873" width="16.85546875" customWidth="1"/>
    <col min="4874" max="4874" width="1.5703125" customWidth="1"/>
    <col min="4875" max="4875" width="14.5703125" customWidth="1"/>
    <col min="4876" max="4876" width="17.7109375" customWidth="1"/>
    <col min="5122" max="5123" width="8.28515625" customWidth="1"/>
    <col min="5124" max="5124" width="5" customWidth="1"/>
    <col min="5125" max="5125" width="8.28515625" customWidth="1"/>
    <col min="5126" max="5126" width="16.7109375" customWidth="1"/>
    <col min="5127" max="5127" width="17.7109375" customWidth="1"/>
    <col min="5128" max="5128" width="4.7109375" customWidth="1"/>
    <col min="5129" max="5129" width="16.85546875" customWidth="1"/>
    <col min="5130" max="5130" width="1.5703125" customWidth="1"/>
    <col min="5131" max="5131" width="14.5703125" customWidth="1"/>
    <col min="5132" max="5132" width="17.7109375" customWidth="1"/>
    <col min="5378" max="5379" width="8.28515625" customWidth="1"/>
    <col min="5380" max="5380" width="5" customWidth="1"/>
    <col min="5381" max="5381" width="8.28515625" customWidth="1"/>
    <col min="5382" max="5382" width="16.7109375" customWidth="1"/>
    <col min="5383" max="5383" width="17.7109375" customWidth="1"/>
    <col min="5384" max="5384" width="4.7109375" customWidth="1"/>
    <col min="5385" max="5385" width="16.85546875" customWidth="1"/>
    <col min="5386" max="5386" width="1.5703125" customWidth="1"/>
    <col min="5387" max="5387" width="14.5703125" customWidth="1"/>
    <col min="5388" max="5388" width="17.7109375" customWidth="1"/>
    <col min="5634" max="5635" width="8.28515625" customWidth="1"/>
    <col min="5636" max="5636" width="5" customWidth="1"/>
    <col min="5637" max="5637" width="8.28515625" customWidth="1"/>
    <col min="5638" max="5638" width="16.7109375" customWidth="1"/>
    <col min="5639" max="5639" width="17.7109375" customWidth="1"/>
    <col min="5640" max="5640" width="4.7109375" customWidth="1"/>
    <col min="5641" max="5641" width="16.85546875" customWidth="1"/>
    <col min="5642" max="5642" width="1.5703125" customWidth="1"/>
    <col min="5643" max="5643" width="14.5703125" customWidth="1"/>
    <col min="5644" max="5644" width="17.7109375" customWidth="1"/>
    <col min="5890" max="5891" width="8.28515625" customWidth="1"/>
    <col min="5892" max="5892" width="5" customWidth="1"/>
    <col min="5893" max="5893" width="8.28515625" customWidth="1"/>
    <col min="5894" max="5894" width="16.7109375" customWidth="1"/>
    <col min="5895" max="5895" width="17.7109375" customWidth="1"/>
    <col min="5896" max="5896" width="4.7109375" customWidth="1"/>
    <col min="5897" max="5897" width="16.85546875" customWidth="1"/>
    <col min="5898" max="5898" width="1.5703125" customWidth="1"/>
    <col min="5899" max="5899" width="14.5703125" customWidth="1"/>
    <col min="5900" max="5900" width="17.7109375" customWidth="1"/>
    <col min="6146" max="6147" width="8.28515625" customWidth="1"/>
    <col min="6148" max="6148" width="5" customWidth="1"/>
    <col min="6149" max="6149" width="8.28515625" customWidth="1"/>
    <col min="6150" max="6150" width="16.7109375" customWidth="1"/>
    <col min="6151" max="6151" width="17.7109375" customWidth="1"/>
    <col min="6152" max="6152" width="4.7109375" customWidth="1"/>
    <col min="6153" max="6153" width="16.85546875" customWidth="1"/>
    <col min="6154" max="6154" width="1.5703125" customWidth="1"/>
    <col min="6155" max="6155" width="14.5703125" customWidth="1"/>
    <col min="6156" max="6156" width="17.7109375" customWidth="1"/>
    <col min="6402" max="6403" width="8.28515625" customWidth="1"/>
    <col min="6404" max="6404" width="5" customWidth="1"/>
    <col min="6405" max="6405" width="8.28515625" customWidth="1"/>
    <col min="6406" max="6406" width="16.7109375" customWidth="1"/>
    <col min="6407" max="6407" width="17.7109375" customWidth="1"/>
    <col min="6408" max="6408" width="4.7109375" customWidth="1"/>
    <col min="6409" max="6409" width="16.85546875" customWidth="1"/>
    <col min="6410" max="6410" width="1.5703125" customWidth="1"/>
    <col min="6411" max="6411" width="14.5703125" customWidth="1"/>
    <col min="6412" max="6412" width="17.7109375" customWidth="1"/>
    <col min="6658" max="6659" width="8.28515625" customWidth="1"/>
    <col min="6660" max="6660" width="5" customWidth="1"/>
    <col min="6661" max="6661" width="8.28515625" customWidth="1"/>
    <col min="6662" max="6662" width="16.7109375" customWidth="1"/>
    <col min="6663" max="6663" width="17.7109375" customWidth="1"/>
    <col min="6664" max="6664" width="4.7109375" customWidth="1"/>
    <col min="6665" max="6665" width="16.85546875" customWidth="1"/>
    <col min="6666" max="6666" width="1.5703125" customWidth="1"/>
    <col min="6667" max="6667" width="14.5703125" customWidth="1"/>
    <col min="6668" max="6668" width="17.7109375" customWidth="1"/>
    <col min="6914" max="6915" width="8.28515625" customWidth="1"/>
    <col min="6916" max="6916" width="5" customWidth="1"/>
    <col min="6917" max="6917" width="8.28515625" customWidth="1"/>
    <col min="6918" max="6918" width="16.7109375" customWidth="1"/>
    <col min="6919" max="6919" width="17.7109375" customWidth="1"/>
    <col min="6920" max="6920" width="4.7109375" customWidth="1"/>
    <col min="6921" max="6921" width="16.85546875" customWidth="1"/>
    <col min="6922" max="6922" width="1.5703125" customWidth="1"/>
    <col min="6923" max="6923" width="14.5703125" customWidth="1"/>
    <col min="6924" max="6924" width="17.7109375" customWidth="1"/>
    <col min="7170" max="7171" width="8.28515625" customWidth="1"/>
    <col min="7172" max="7172" width="5" customWidth="1"/>
    <col min="7173" max="7173" width="8.28515625" customWidth="1"/>
    <col min="7174" max="7174" width="16.7109375" customWidth="1"/>
    <col min="7175" max="7175" width="17.7109375" customWidth="1"/>
    <col min="7176" max="7176" width="4.7109375" customWidth="1"/>
    <col min="7177" max="7177" width="16.85546875" customWidth="1"/>
    <col min="7178" max="7178" width="1.5703125" customWidth="1"/>
    <col min="7179" max="7179" width="14.5703125" customWidth="1"/>
    <col min="7180" max="7180" width="17.7109375" customWidth="1"/>
    <col min="7426" max="7427" width="8.28515625" customWidth="1"/>
    <col min="7428" max="7428" width="5" customWidth="1"/>
    <col min="7429" max="7429" width="8.28515625" customWidth="1"/>
    <col min="7430" max="7430" width="16.7109375" customWidth="1"/>
    <col min="7431" max="7431" width="17.7109375" customWidth="1"/>
    <col min="7432" max="7432" width="4.7109375" customWidth="1"/>
    <col min="7433" max="7433" width="16.85546875" customWidth="1"/>
    <col min="7434" max="7434" width="1.5703125" customWidth="1"/>
    <col min="7435" max="7435" width="14.5703125" customWidth="1"/>
    <col min="7436" max="7436" width="17.7109375" customWidth="1"/>
    <col min="7682" max="7683" width="8.28515625" customWidth="1"/>
    <col min="7684" max="7684" width="5" customWidth="1"/>
    <col min="7685" max="7685" width="8.28515625" customWidth="1"/>
    <col min="7686" max="7686" width="16.7109375" customWidth="1"/>
    <col min="7687" max="7687" width="17.7109375" customWidth="1"/>
    <col min="7688" max="7688" width="4.7109375" customWidth="1"/>
    <col min="7689" max="7689" width="16.85546875" customWidth="1"/>
    <col min="7690" max="7690" width="1.5703125" customWidth="1"/>
    <col min="7691" max="7691" width="14.5703125" customWidth="1"/>
    <col min="7692" max="7692" width="17.7109375" customWidth="1"/>
    <col min="7938" max="7939" width="8.28515625" customWidth="1"/>
    <col min="7940" max="7940" width="5" customWidth="1"/>
    <col min="7941" max="7941" width="8.28515625" customWidth="1"/>
    <col min="7942" max="7942" width="16.7109375" customWidth="1"/>
    <col min="7943" max="7943" width="17.7109375" customWidth="1"/>
    <col min="7944" max="7944" width="4.7109375" customWidth="1"/>
    <col min="7945" max="7945" width="16.85546875" customWidth="1"/>
    <col min="7946" max="7946" width="1.5703125" customWidth="1"/>
    <col min="7947" max="7947" width="14.5703125" customWidth="1"/>
    <col min="7948" max="7948" width="17.7109375" customWidth="1"/>
    <col min="8194" max="8195" width="8.28515625" customWidth="1"/>
    <col min="8196" max="8196" width="5" customWidth="1"/>
    <col min="8197" max="8197" width="8.28515625" customWidth="1"/>
    <col min="8198" max="8198" width="16.7109375" customWidth="1"/>
    <col min="8199" max="8199" width="17.7109375" customWidth="1"/>
    <col min="8200" max="8200" width="4.7109375" customWidth="1"/>
    <col min="8201" max="8201" width="16.85546875" customWidth="1"/>
    <col min="8202" max="8202" width="1.5703125" customWidth="1"/>
    <col min="8203" max="8203" width="14.5703125" customWidth="1"/>
    <col min="8204" max="8204" width="17.7109375" customWidth="1"/>
    <col min="8450" max="8451" width="8.28515625" customWidth="1"/>
    <col min="8452" max="8452" width="5" customWidth="1"/>
    <col min="8453" max="8453" width="8.28515625" customWidth="1"/>
    <col min="8454" max="8454" width="16.7109375" customWidth="1"/>
    <col min="8455" max="8455" width="17.7109375" customWidth="1"/>
    <col min="8456" max="8456" width="4.7109375" customWidth="1"/>
    <col min="8457" max="8457" width="16.85546875" customWidth="1"/>
    <col min="8458" max="8458" width="1.5703125" customWidth="1"/>
    <col min="8459" max="8459" width="14.5703125" customWidth="1"/>
    <col min="8460" max="8460" width="17.7109375" customWidth="1"/>
    <col min="8706" max="8707" width="8.28515625" customWidth="1"/>
    <col min="8708" max="8708" width="5" customWidth="1"/>
    <col min="8709" max="8709" width="8.28515625" customWidth="1"/>
    <col min="8710" max="8710" width="16.7109375" customWidth="1"/>
    <col min="8711" max="8711" width="17.7109375" customWidth="1"/>
    <col min="8712" max="8712" width="4.7109375" customWidth="1"/>
    <col min="8713" max="8713" width="16.85546875" customWidth="1"/>
    <col min="8714" max="8714" width="1.5703125" customWidth="1"/>
    <col min="8715" max="8715" width="14.5703125" customWidth="1"/>
    <col min="8716" max="8716" width="17.7109375" customWidth="1"/>
    <col min="8962" max="8963" width="8.28515625" customWidth="1"/>
    <col min="8964" max="8964" width="5" customWidth="1"/>
    <col min="8965" max="8965" width="8.28515625" customWidth="1"/>
    <col min="8966" max="8966" width="16.7109375" customWidth="1"/>
    <col min="8967" max="8967" width="17.7109375" customWidth="1"/>
    <col min="8968" max="8968" width="4.7109375" customWidth="1"/>
    <col min="8969" max="8969" width="16.85546875" customWidth="1"/>
    <col min="8970" max="8970" width="1.5703125" customWidth="1"/>
    <col min="8971" max="8971" width="14.5703125" customWidth="1"/>
    <col min="8972" max="8972" width="17.7109375" customWidth="1"/>
    <col min="9218" max="9219" width="8.28515625" customWidth="1"/>
    <col min="9220" max="9220" width="5" customWidth="1"/>
    <col min="9221" max="9221" width="8.28515625" customWidth="1"/>
    <col min="9222" max="9222" width="16.7109375" customWidth="1"/>
    <col min="9223" max="9223" width="17.7109375" customWidth="1"/>
    <col min="9224" max="9224" width="4.7109375" customWidth="1"/>
    <col min="9225" max="9225" width="16.85546875" customWidth="1"/>
    <col min="9226" max="9226" width="1.5703125" customWidth="1"/>
    <col min="9227" max="9227" width="14.5703125" customWidth="1"/>
    <col min="9228" max="9228" width="17.7109375" customWidth="1"/>
    <col min="9474" max="9475" width="8.28515625" customWidth="1"/>
    <col min="9476" max="9476" width="5" customWidth="1"/>
    <col min="9477" max="9477" width="8.28515625" customWidth="1"/>
    <col min="9478" max="9478" width="16.7109375" customWidth="1"/>
    <col min="9479" max="9479" width="17.7109375" customWidth="1"/>
    <col min="9480" max="9480" width="4.7109375" customWidth="1"/>
    <col min="9481" max="9481" width="16.85546875" customWidth="1"/>
    <col min="9482" max="9482" width="1.5703125" customWidth="1"/>
    <col min="9483" max="9483" width="14.5703125" customWidth="1"/>
    <col min="9484" max="9484" width="17.7109375" customWidth="1"/>
    <col min="9730" max="9731" width="8.28515625" customWidth="1"/>
    <col min="9732" max="9732" width="5" customWidth="1"/>
    <col min="9733" max="9733" width="8.28515625" customWidth="1"/>
    <col min="9734" max="9734" width="16.7109375" customWidth="1"/>
    <col min="9735" max="9735" width="17.7109375" customWidth="1"/>
    <col min="9736" max="9736" width="4.7109375" customWidth="1"/>
    <col min="9737" max="9737" width="16.85546875" customWidth="1"/>
    <col min="9738" max="9738" width="1.5703125" customWidth="1"/>
    <col min="9739" max="9739" width="14.5703125" customWidth="1"/>
    <col min="9740" max="9740" width="17.7109375" customWidth="1"/>
    <col min="9986" max="9987" width="8.28515625" customWidth="1"/>
    <col min="9988" max="9988" width="5" customWidth="1"/>
    <col min="9989" max="9989" width="8.28515625" customWidth="1"/>
    <col min="9990" max="9990" width="16.7109375" customWidth="1"/>
    <col min="9991" max="9991" width="17.7109375" customWidth="1"/>
    <col min="9992" max="9992" width="4.7109375" customWidth="1"/>
    <col min="9993" max="9993" width="16.85546875" customWidth="1"/>
    <col min="9994" max="9994" width="1.5703125" customWidth="1"/>
    <col min="9995" max="9995" width="14.5703125" customWidth="1"/>
    <col min="9996" max="9996" width="17.7109375" customWidth="1"/>
    <col min="10242" max="10243" width="8.28515625" customWidth="1"/>
    <col min="10244" max="10244" width="5" customWidth="1"/>
    <col min="10245" max="10245" width="8.28515625" customWidth="1"/>
    <col min="10246" max="10246" width="16.7109375" customWidth="1"/>
    <col min="10247" max="10247" width="17.7109375" customWidth="1"/>
    <col min="10248" max="10248" width="4.7109375" customWidth="1"/>
    <col min="10249" max="10249" width="16.85546875" customWidth="1"/>
    <col min="10250" max="10250" width="1.5703125" customWidth="1"/>
    <col min="10251" max="10251" width="14.5703125" customWidth="1"/>
    <col min="10252" max="10252" width="17.7109375" customWidth="1"/>
    <col min="10498" max="10499" width="8.28515625" customWidth="1"/>
    <col min="10500" max="10500" width="5" customWidth="1"/>
    <col min="10501" max="10501" width="8.28515625" customWidth="1"/>
    <col min="10502" max="10502" width="16.7109375" customWidth="1"/>
    <col min="10503" max="10503" width="17.7109375" customWidth="1"/>
    <col min="10504" max="10504" width="4.7109375" customWidth="1"/>
    <col min="10505" max="10505" width="16.85546875" customWidth="1"/>
    <col min="10506" max="10506" width="1.5703125" customWidth="1"/>
    <col min="10507" max="10507" width="14.5703125" customWidth="1"/>
    <col min="10508" max="10508" width="17.7109375" customWidth="1"/>
    <col min="10754" max="10755" width="8.28515625" customWidth="1"/>
    <col min="10756" max="10756" width="5" customWidth="1"/>
    <col min="10757" max="10757" width="8.28515625" customWidth="1"/>
    <col min="10758" max="10758" width="16.7109375" customWidth="1"/>
    <col min="10759" max="10759" width="17.7109375" customWidth="1"/>
    <col min="10760" max="10760" width="4.7109375" customWidth="1"/>
    <col min="10761" max="10761" width="16.85546875" customWidth="1"/>
    <col min="10762" max="10762" width="1.5703125" customWidth="1"/>
    <col min="10763" max="10763" width="14.5703125" customWidth="1"/>
    <col min="10764" max="10764" width="17.7109375" customWidth="1"/>
    <col min="11010" max="11011" width="8.28515625" customWidth="1"/>
    <col min="11012" max="11012" width="5" customWidth="1"/>
    <col min="11013" max="11013" width="8.28515625" customWidth="1"/>
    <col min="11014" max="11014" width="16.7109375" customWidth="1"/>
    <col min="11015" max="11015" width="17.7109375" customWidth="1"/>
    <col min="11016" max="11016" width="4.7109375" customWidth="1"/>
    <col min="11017" max="11017" width="16.85546875" customWidth="1"/>
    <col min="11018" max="11018" width="1.5703125" customWidth="1"/>
    <col min="11019" max="11019" width="14.5703125" customWidth="1"/>
    <col min="11020" max="11020" width="17.7109375" customWidth="1"/>
    <col min="11266" max="11267" width="8.28515625" customWidth="1"/>
    <col min="11268" max="11268" width="5" customWidth="1"/>
    <col min="11269" max="11269" width="8.28515625" customWidth="1"/>
    <col min="11270" max="11270" width="16.7109375" customWidth="1"/>
    <col min="11271" max="11271" width="17.7109375" customWidth="1"/>
    <col min="11272" max="11272" width="4.7109375" customWidth="1"/>
    <col min="11273" max="11273" width="16.85546875" customWidth="1"/>
    <col min="11274" max="11274" width="1.5703125" customWidth="1"/>
    <col min="11275" max="11275" width="14.5703125" customWidth="1"/>
    <col min="11276" max="11276" width="17.7109375" customWidth="1"/>
    <col min="11522" max="11523" width="8.28515625" customWidth="1"/>
    <col min="11524" max="11524" width="5" customWidth="1"/>
    <col min="11525" max="11525" width="8.28515625" customWidth="1"/>
    <col min="11526" max="11526" width="16.7109375" customWidth="1"/>
    <col min="11527" max="11527" width="17.7109375" customWidth="1"/>
    <col min="11528" max="11528" width="4.7109375" customWidth="1"/>
    <col min="11529" max="11529" width="16.85546875" customWidth="1"/>
    <col min="11530" max="11530" width="1.5703125" customWidth="1"/>
    <col min="11531" max="11531" width="14.5703125" customWidth="1"/>
    <col min="11532" max="11532" width="17.7109375" customWidth="1"/>
    <col min="11778" max="11779" width="8.28515625" customWidth="1"/>
    <col min="11780" max="11780" width="5" customWidth="1"/>
    <col min="11781" max="11781" width="8.28515625" customWidth="1"/>
    <col min="11782" max="11782" width="16.7109375" customWidth="1"/>
    <col min="11783" max="11783" width="17.7109375" customWidth="1"/>
    <col min="11784" max="11784" width="4.7109375" customWidth="1"/>
    <col min="11785" max="11785" width="16.85546875" customWidth="1"/>
    <col min="11786" max="11786" width="1.5703125" customWidth="1"/>
    <col min="11787" max="11787" width="14.5703125" customWidth="1"/>
    <col min="11788" max="11788" width="17.7109375" customWidth="1"/>
    <col min="12034" max="12035" width="8.28515625" customWidth="1"/>
    <col min="12036" max="12036" width="5" customWidth="1"/>
    <col min="12037" max="12037" width="8.28515625" customWidth="1"/>
    <col min="12038" max="12038" width="16.7109375" customWidth="1"/>
    <col min="12039" max="12039" width="17.7109375" customWidth="1"/>
    <col min="12040" max="12040" width="4.7109375" customWidth="1"/>
    <col min="12041" max="12041" width="16.85546875" customWidth="1"/>
    <col min="12042" max="12042" width="1.5703125" customWidth="1"/>
    <col min="12043" max="12043" width="14.5703125" customWidth="1"/>
    <col min="12044" max="12044" width="17.7109375" customWidth="1"/>
    <col min="12290" max="12291" width="8.28515625" customWidth="1"/>
    <col min="12292" max="12292" width="5" customWidth="1"/>
    <col min="12293" max="12293" width="8.28515625" customWidth="1"/>
    <col min="12294" max="12294" width="16.7109375" customWidth="1"/>
    <col min="12295" max="12295" width="17.7109375" customWidth="1"/>
    <col min="12296" max="12296" width="4.7109375" customWidth="1"/>
    <col min="12297" max="12297" width="16.85546875" customWidth="1"/>
    <col min="12298" max="12298" width="1.5703125" customWidth="1"/>
    <col min="12299" max="12299" width="14.5703125" customWidth="1"/>
    <col min="12300" max="12300" width="17.7109375" customWidth="1"/>
    <col min="12546" max="12547" width="8.28515625" customWidth="1"/>
    <col min="12548" max="12548" width="5" customWidth="1"/>
    <col min="12549" max="12549" width="8.28515625" customWidth="1"/>
    <col min="12550" max="12550" width="16.7109375" customWidth="1"/>
    <col min="12551" max="12551" width="17.7109375" customWidth="1"/>
    <col min="12552" max="12552" width="4.7109375" customWidth="1"/>
    <col min="12553" max="12553" width="16.85546875" customWidth="1"/>
    <col min="12554" max="12554" width="1.5703125" customWidth="1"/>
    <col min="12555" max="12555" width="14.5703125" customWidth="1"/>
    <col min="12556" max="12556" width="17.7109375" customWidth="1"/>
    <col min="12802" max="12803" width="8.28515625" customWidth="1"/>
    <col min="12804" max="12804" width="5" customWidth="1"/>
    <col min="12805" max="12805" width="8.28515625" customWidth="1"/>
    <col min="12806" max="12806" width="16.7109375" customWidth="1"/>
    <col min="12807" max="12807" width="17.7109375" customWidth="1"/>
    <col min="12808" max="12808" width="4.7109375" customWidth="1"/>
    <col min="12809" max="12809" width="16.85546875" customWidth="1"/>
    <col min="12810" max="12810" width="1.5703125" customWidth="1"/>
    <col min="12811" max="12811" width="14.5703125" customWidth="1"/>
    <col min="12812" max="12812" width="17.7109375" customWidth="1"/>
    <col min="13058" max="13059" width="8.28515625" customWidth="1"/>
    <col min="13060" max="13060" width="5" customWidth="1"/>
    <col min="13061" max="13061" width="8.28515625" customWidth="1"/>
    <col min="13062" max="13062" width="16.7109375" customWidth="1"/>
    <col min="13063" max="13063" width="17.7109375" customWidth="1"/>
    <col min="13064" max="13064" width="4.7109375" customWidth="1"/>
    <col min="13065" max="13065" width="16.85546875" customWidth="1"/>
    <col min="13066" max="13066" width="1.5703125" customWidth="1"/>
    <col min="13067" max="13067" width="14.5703125" customWidth="1"/>
    <col min="13068" max="13068" width="17.7109375" customWidth="1"/>
    <col min="13314" max="13315" width="8.28515625" customWidth="1"/>
    <col min="13316" max="13316" width="5" customWidth="1"/>
    <col min="13317" max="13317" width="8.28515625" customWidth="1"/>
    <col min="13318" max="13318" width="16.7109375" customWidth="1"/>
    <col min="13319" max="13319" width="17.7109375" customWidth="1"/>
    <col min="13320" max="13320" width="4.7109375" customWidth="1"/>
    <col min="13321" max="13321" width="16.85546875" customWidth="1"/>
    <col min="13322" max="13322" width="1.5703125" customWidth="1"/>
    <col min="13323" max="13323" width="14.5703125" customWidth="1"/>
    <col min="13324" max="13324" width="17.7109375" customWidth="1"/>
    <col min="13570" max="13571" width="8.28515625" customWidth="1"/>
    <col min="13572" max="13572" width="5" customWidth="1"/>
    <col min="13573" max="13573" width="8.28515625" customWidth="1"/>
    <col min="13574" max="13574" width="16.7109375" customWidth="1"/>
    <col min="13575" max="13575" width="17.7109375" customWidth="1"/>
    <col min="13576" max="13576" width="4.7109375" customWidth="1"/>
    <col min="13577" max="13577" width="16.85546875" customWidth="1"/>
    <col min="13578" max="13578" width="1.5703125" customWidth="1"/>
    <col min="13579" max="13579" width="14.5703125" customWidth="1"/>
    <col min="13580" max="13580" width="17.7109375" customWidth="1"/>
    <col min="13826" max="13827" width="8.28515625" customWidth="1"/>
    <col min="13828" max="13828" width="5" customWidth="1"/>
    <col min="13829" max="13829" width="8.28515625" customWidth="1"/>
    <col min="13830" max="13830" width="16.7109375" customWidth="1"/>
    <col min="13831" max="13831" width="17.7109375" customWidth="1"/>
    <col min="13832" max="13832" width="4.7109375" customWidth="1"/>
    <col min="13833" max="13833" width="16.85546875" customWidth="1"/>
    <col min="13834" max="13834" width="1.5703125" customWidth="1"/>
    <col min="13835" max="13835" width="14.5703125" customWidth="1"/>
    <col min="13836" max="13836" width="17.7109375" customWidth="1"/>
    <col min="14082" max="14083" width="8.28515625" customWidth="1"/>
    <col min="14084" max="14084" width="5" customWidth="1"/>
    <col min="14085" max="14085" width="8.28515625" customWidth="1"/>
    <col min="14086" max="14086" width="16.7109375" customWidth="1"/>
    <col min="14087" max="14087" width="17.7109375" customWidth="1"/>
    <col min="14088" max="14088" width="4.7109375" customWidth="1"/>
    <col min="14089" max="14089" width="16.85546875" customWidth="1"/>
    <col min="14090" max="14090" width="1.5703125" customWidth="1"/>
    <col min="14091" max="14091" width="14.5703125" customWidth="1"/>
    <col min="14092" max="14092" width="17.7109375" customWidth="1"/>
    <col min="14338" max="14339" width="8.28515625" customWidth="1"/>
    <col min="14340" max="14340" width="5" customWidth="1"/>
    <col min="14341" max="14341" width="8.28515625" customWidth="1"/>
    <col min="14342" max="14342" width="16.7109375" customWidth="1"/>
    <col min="14343" max="14343" width="17.7109375" customWidth="1"/>
    <col min="14344" max="14344" width="4.7109375" customWidth="1"/>
    <col min="14345" max="14345" width="16.85546875" customWidth="1"/>
    <col min="14346" max="14346" width="1.5703125" customWidth="1"/>
    <col min="14347" max="14347" width="14.5703125" customWidth="1"/>
    <col min="14348" max="14348" width="17.7109375" customWidth="1"/>
    <col min="14594" max="14595" width="8.28515625" customWidth="1"/>
    <col min="14596" max="14596" width="5" customWidth="1"/>
    <col min="14597" max="14597" width="8.28515625" customWidth="1"/>
    <col min="14598" max="14598" width="16.7109375" customWidth="1"/>
    <col min="14599" max="14599" width="17.7109375" customWidth="1"/>
    <col min="14600" max="14600" width="4.7109375" customWidth="1"/>
    <col min="14601" max="14601" width="16.85546875" customWidth="1"/>
    <col min="14602" max="14602" width="1.5703125" customWidth="1"/>
    <col min="14603" max="14603" width="14.5703125" customWidth="1"/>
    <col min="14604" max="14604" width="17.7109375" customWidth="1"/>
    <col min="14850" max="14851" width="8.28515625" customWidth="1"/>
    <col min="14852" max="14852" width="5" customWidth="1"/>
    <col min="14853" max="14853" width="8.28515625" customWidth="1"/>
    <col min="14854" max="14854" width="16.7109375" customWidth="1"/>
    <col min="14855" max="14855" width="17.7109375" customWidth="1"/>
    <col min="14856" max="14856" width="4.7109375" customWidth="1"/>
    <col min="14857" max="14857" width="16.85546875" customWidth="1"/>
    <col min="14858" max="14858" width="1.5703125" customWidth="1"/>
    <col min="14859" max="14859" width="14.5703125" customWidth="1"/>
    <col min="14860" max="14860" width="17.7109375" customWidth="1"/>
    <col min="15106" max="15107" width="8.28515625" customWidth="1"/>
    <col min="15108" max="15108" width="5" customWidth="1"/>
    <col min="15109" max="15109" width="8.28515625" customWidth="1"/>
    <col min="15110" max="15110" width="16.7109375" customWidth="1"/>
    <col min="15111" max="15111" width="17.7109375" customWidth="1"/>
    <col min="15112" max="15112" width="4.7109375" customWidth="1"/>
    <col min="15113" max="15113" width="16.85546875" customWidth="1"/>
    <col min="15114" max="15114" width="1.5703125" customWidth="1"/>
    <col min="15115" max="15115" width="14.5703125" customWidth="1"/>
    <col min="15116" max="15116" width="17.7109375" customWidth="1"/>
    <col min="15362" max="15363" width="8.28515625" customWidth="1"/>
    <col min="15364" max="15364" width="5" customWidth="1"/>
    <col min="15365" max="15365" width="8.28515625" customWidth="1"/>
    <col min="15366" max="15366" width="16.7109375" customWidth="1"/>
    <col min="15367" max="15367" width="17.7109375" customWidth="1"/>
    <col min="15368" max="15368" width="4.7109375" customWidth="1"/>
    <col min="15369" max="15369" width="16.85546875" customWidth="1"/>
    <col min="15370" max="15370" width="1.5703125" customWidth="1"/>
    <col min="15371" max="15371" width="14.5703125" customWidth="1"/>
    <col min="15372" max="15372" width="17.7109375" customWidth="1"/>
    <col min="15618" max="15619" width="8.28515625" customWidth="1"/>
    <col min="15620" max="15620" width="5" customWidth="1"/>
    <col min="15621" max="15621" width="8.28515625" customWidth="1"/>
    <col min="15622" max="15622" width="16.7109375" customWidth="1"/>
    <col min="15623" max="15623" width="17.7109375" customWidth="1"/>
    <col min="15624" max="15624" width="4.7109375" customWidth="1"/>
    <col min="15625" max="15625" width="16.85546875" customWidth="1"/>
    <col min="15626" max="15626" width="1.5703125" customWidth="1"/>
    <col min="15627" max="15627" width="14.5703125" customWidth="1"/>
    <col min="15628" max="15628" width="17.7109375" customWidth="1"/>
    <col min="15874" max="15875" width="8.28515625" customWidth="1"/>
    <col min="15876" max="15876" width="5" customWidth="1"/>
    <col min="15877" max="15877" width="8.28515625" customWidth="1"/>
    <col min="15878" max="15878" width="16.7109375" customWidth="1"/>
    <col min="15879" max="15879" width="17.7109375" customWidth="1"/>
    <col min="15880" max="15880" width="4.7109375" customWidth="1"/>
    <col min="15881" max="15881" width="16.85546875" customWidth="1"/>
    <col min="15882" max="15882" width="1.5703125" customWidth="1"/>
    <col min="15883" max="15883" width="14.5703125" customWidth="1"/>
    <col min="15884" max="15884" width="17.7109375" customWidth="1"/>
    <col min="16130" max="16131" width="8.28515625" customWidth="1"/>
    <col min="16132" max="16132" width="5" customWidth="1"/>
    <col min="16133" max="16133" width="8.28515625" customWidth="1"/>
    <col min="16134" max="16134" width="16.7109375" customWidth="1"/>
    <col min="16135" max="16135" width="17.7109375" customWidth="1"/>
    <col min="16136" max="16136" width="4.7109375" customWidth="1"/>
    <col min="16137" max="16137" width="16.85546875" customWidth="1"/>
    <col min="16138" max="16138" width="1.5703125" customWidth="1"/>
    <col min="16139" max="16139" width="14.5703125" customWidth="1"/>
    <col min="16140" max="16140" width="17.7109375" customWidth="1"/>
  </cols>
  <sheetData>
    <row r="1" spans="1:12" x14ac:dyDescent="0.2">
      <c r="A1" t="s">
        <v>2986</v>
      </c>
    </row>
    <row r="3" spans="1:12" ht="15.75" x14ac:dyDescent="0.25">
      <c r="A3" s="244" t="s">
        <v>2987</v>
      </c>
    </row>
    <row r="4" spans="1:12" s="19" customFormat="1" ht="15.75" x14ac:dyDescent="0.25">
      <c r="A4" s="1" t="s">
        <v>2988</v>
      </c>
      <c r="B4" s="244"/>
      <c r="C4" s="244"/>
      <c r="D4" s="244"/>
      <c r="E4" s="244"/>
      <c r="F4" s="2537" t="s">
        <v>2989</v>
      </c>
      <c r="G4" s="2538" t="s">
        <v>2990</v>
      </c>
      <c r="H4" s="29"/>
      <c r="I4" s="2539"/>
    </row>
    <row r="5" spans="1:12" s="19" customFormat="1" ht="15.75" x14ac:dyDescent="0.25">
      <c r="A5" s="1"/>
      <c r="B5" s="244"/>
      <c r="C5" s="244"/>
      <c r="D5" s="244"/>
      <c r="E5" s="244"/>
      <c r="F5" s="2537"/>
      <c r="G5" s="2540"/>
      <c r="H5" s="29"/>
      <c r="I5" s="2539"/>
    </row>
    <row r="6" spans="1:12" s="19" customFormat="1" ht="15.75" x14ac:dyDescent="0.25">
      <c r="A6" s="1"/>
      <c r="B6" s="244"/>
      <c r="C6" s="244"/>
      <c r="D6" s="244"/>
      <c r="E6" s="244"/>
      <c r="F6" s="2537"/>
      <c r="G6" s="2541"/>
      <c r="H6" s="2542"/>
      <c r="I6" s="2543"/>
    </row>
    <row r="7" spans="1:12" s="19" customFormat="1" ht="15.75" x14ac:dyDescent="0.25">
      <c r="B7" s="244"/>
      <c r="C7" s="244"/>
      <c r="D7" s="244"/>
      <c r="E7" s="244"/>
      <c r="G7" s="2544" t="s">
        <v>2991</v>
      </c>
      <c r="H7" s="29"/>
      <c r="I7" s="2545" t="s">
        <v>2992</v>
      </c>
    </row>
    <row r="8" spans="1:12" x14ac:dyDescent="0.2">
      <c r="I8" s="29"/>
    </row>
    <row r="9" spans="1:12" ht="16.5" customHeight="1" x14ac:dyDescent="0.25">
      <c r="A9" s="244" t="s">
        <v>8</v>
      </c>
      <c r="B9" t="s">
        <v>2993</v>
      </c>
      <c r="E9" t="s">
        <v>2994</v>
      </c>
      <c r="G9" s="2546">
        <v>465177980.77999997</v>
      </c>
      <c r="I9" s="29">
        <v>928376837.61000001</v>
      </c>
    </row>
    <row r="10" spans="1:12" ht="16.5" customHeight="1" x14ac:dyDescent="0.2">
      <c r="I10" s="29"/>
    </row>
    <row r="11" spans="1:12" ht="16.5" customHeight="1" x14ac:dyDescent="0.2">
      <c r="B11" t="s">
        <v>2995</v>
      </c>
      <c r="E11" t="s">
        <v>2996</v>
      </c>
      <c r="G11" s="2547">
        <v>3900239.03</v>
      </c>
      <c r="H11" s="2548"/>
      <c r="I11" s="29">
        <v>7800000</v>
      </c>
      <c r="L11" t="s">
        <v>2997</v>
      </c>
    </row>
    <row r="12" spans="1:12" ht="16.5" customHeight="1" x14ac:dyDescent="0.2">
      <c r="I12" s="29"/>
    </row>
    <row r="13" spans="1:12" ht="16.5" customHeight="1" x14ac:dyDescent="0.25">
      <c r="A13" s="244" t="s">
        <v>13</v>
      </c>
      <c r="C13" s="2549"/>
      <c r="D13" s="2549"/>
      <c r="E13" s="2549"/>
      <c r="F13" s="2549"/>
      <c r="G13" s="2546">
        <f>SUM(G9:G11)</f>
        <v>469078219.80999994</v>
      </c>
      <c r="I13" s="2550">
        <f>SUM(I9:I11)</f>
        <v>936176837.61000001</v>
      </c>
    </row>
    <row r="14" spans="1:12" ht="16.5" customHeight="1" x14ac:dyDescent="0.2">
      <c r="I14" s="29"/>
    </row>
    <row r="15" spans="1:12" s="244" customFormat="1" ht="16.5" customHeight="1" x14ac:dyDescent="0.25">
      <c r="B15" s="2551" t="s">
        <v>2998</v>
      </c>
      <c r="D15" s="2551"/>
      <c r="E15" s="2551"/>
      <c r="F15" s="2552" t="s">
        <v>2999</v>
      </c>
      <c r="G15" s="2546">
        <v>-13280468.92</v>
      </c>
      <c r="H15" s="1846"/>
      <c r="I15" s="88">
        <v>262407060.72999999</v>
      </c>
    </row>
    <row r="16" spans="1:12" ht="16.5" customHeight="1" x14ac:dyDescent="0.2">
      <c r="I16" s="29"/>
    </row>
    <row r="17" spans="1:13" s="244" customFormat="1" ht="16.5" customHeight="1" x14ac:dyDescent="0.25">
      <c r="A17" s="244" t="s">
        <v>3000</v>
      </c>
      <c r="C17" s="2551"/>
      <c r="D17" s="2551"/>
      <c r="E17" s="2551"/>
      <c r="F17" s="2551"/>
      <c r="G17" s="2553">
        <f>SUM(G13:G15)</f>
        <v>455797750.88999993</v>
      </c>
      <c r="H17" s="1846"/>
      <c r="I17" s="2554">
        <f>SUM(I13:I15)</f>
        <v>1198583898.3399999</v>
      </c>
      <c r="L17" s="88"/>
      <c r="M17" s="2"/>
    </row>
    <row r="18" spans="1:13" ht="16.5" customHeight="1" x14ac:dyDescent="0.2">
      <c r="I18" s="29"/>
      <c r="L18" s="88"/>
    </row>
    <row r="19" spans="1:13" ht="16.5" customHeight="1" x14ac:dyDescent="0.2">
      <c r="I19" s="29"/>
    </row>
    <row r="20" spans="1:13" ht="16.5" customHeight="1" x14ac:dyDescent="0.2">
      <c r="I20" s="29"/>
    </row>
    <row r="21" spans="1:13" ht="16.5" customHeight="1" x14ac:dyDescent="0.25">
      <c r="A21" s="244" t="s">
        <v>257</v>
      </c>
      <c r="B21" t="s">
        <v>2993</v>
      </c>
      <c r="E21" t="s">
        <v>3001</v>
      </c>
      <c r="G21" s="2546">
        <v>451897511.86000001</v>
      </c>
      <c r="I21" s="29">
        <v>1190783898.3399999</v>
      </c>
    </row>
    <row r="22" spans="1:13" ht="16.5" customHeight="1" x14ac:dyDescent="0.2">
      <c r="I22" s="29"/>
    </row>
    <row r="23" spans="1:13" ht="16.5" customHeight="1" x14ac:dyDescent="0.2">
      <c r="B23" t="s">
        <v>2995</v>
      </c>
      <c r="E23" t="str">
        <f>E11</f>
        <v>ř. 4281</v>
      </c>
      <c r="G23" s="2547">
        <f>G11</f>
        <v>3900239.03</v>
      </c>
      <c r="H23" s="2548"/>
      <c r="I23" s="2555">
        <f>I11</f>
        <v>7800000</v>
      </c>
    </row>
    <row r="24" spans="1:13" ht="16.5" customHeight="1" x14ac:dyDescent="0.2">
      <c r="I24" s="29"/>
    </row>
    <row r="25" spans="1:13" s="98" customFormat="1" ht="16.5" customHeight="1" x14ac:dyDescent="0.25">
      <c r="A25" s="244" t="s">
        <v>55</v>
      </c>
      <c r="C25" s="2496"/>
      <c r="D25" s="2496"/>
      <c r="E25" s="2496"/>
      <c r="F25" s="2496"/>
      <c r="G25" s="2553">
        <f>SUM(G21:G23)</f>
        <v>455797750.88999999</v>
      </c>
      <c r="H25" s="1846"/>
      <c r="I25" s="2554">
        <f>SUM(I21:I23)</f>
        <v>1198583898.3399999</v>
      </c>
    </row>
    <row r="26" spans="1:13" x14ac:dyDescent="0.2">
      <c r="I26" s="29"/>
    </row>
    <row r="27" spans="1:13" x14ac:dyDescent="0.2">
      <c r="I27" s="29"/>
      <c r="L27" s="2556" t="s">
        <v>3002</v>
      </c>
    </row>
    <row r="28" spans="1:13" x14ac:dyDescent="0.2">
      <c r="A28" s="98" t="s">
        <v>3003</v>
      </c>
      <c r="B28" s="98" t="s">
        <v>3004</v>
      </c>
      <c r="E28" s="2556" t="s">
        <v>3002</v>
      </c>
      <c r="G28" s="2536">
        <f>G30-G29</f>
        <v>386538524.73000002</v>
      </c>
      <c r="I28" s="29">
        <f>I30-I29</f>
        <v>841654958.4799999</v>
      </c>
      <c r="K28" s="88"/>
      <c r="L28" s="88">
        <f>396038224.58-37715335.43+3000168.03</f>
        <v>361323057.17999995</v>
      </c>
    </row>
    <row r="29" spans="1:13" x14ac:dyDescent="0.2">
      <c r="A29" s="98"/>
      <c r="B29" s="98" t="s">
        <v>3005</v>
      </c>
      <c r="E29" t="s">
        <v>3006</v>
      </c>
      <c r="G29" s="2547">
        <v>69259226.159999996</v>
      </c>
      <c r="I29" s="2555">
        <v>356928939.86000001</v>
      </c>
      <c r="L29" s="88"/>
    </row>
    <row r="30" spans="1:13" x14ac:dyDescent="0.2">
      <c r="A30" t="s">
        <v>3007</v>
      </c>
      <c r="G30" s="2536">
        <f>G25</f>
        <v>455797750.88999999</v>
      </c>
      <c r="I30" s="29">
        <f>I25</f>
        <v>1198583898.3399999</v>
      </c>
      <c r="L30" s="88"/>
    </row>
    <row r="31" spans="1:13" x14ac:dyDescent="0.2">
      <c r="I31" s="29"/>
    </row>
    <row r="32" spans="1:13" x14ac:dyDescent="0.2">
      <c r="I32" s="29"/>
    </row>
    <row r="33" spans="1:9" x14ac:dyDescent="0.2">
      <c r="I33" s="29"/>
    </row>
    <row r="34" spans="1:9" x14ac:dyDescent="0.2">
      <c r="A34" t="s">
        <v>3008</v>
      </c>
      <c r="E34" t="s">
        <v>3009</v>
      </c>
      <c r="G34" s="2536">
        <v>595292562.74000001</v>
      </c>
      <c r="I34" s="29">
        <v>109028813.05</v>
      </c>
    </row>
    <row r="35" spans="1:9" x14ac:dyDescent="0.2">
      <c r="I35" s="29"/>
    </row>
    <row r="36" spans="1:9" x14ac:dyDescent="0.2">
      <c r="E36" t="s">
        <v>3010</v>
      </c>
      <c r="G36" s="2536">
        <v>0</v>
      </c>
      <c r="I36" s="29">
        <v>0</v>
      </c>
    </row>
    <row r="37" spans="1:9" x14ac:dyDescent="0.2">
      <c r="E37" t="s">
        <v>3011</v>
      </c>
      <c r="G37" s="2536">
        <v>548295579.29999995</v>
      </c>
      <c r="I37" s="29">
        <f>I11</f>
        <v>7800000</v>
      </c>
    </row>
    <row r="38" spans="1:9" x14ac:dyDescent="0.2">
      <c r="E38" t="s">
        <v>3012</v>
      </c>
      <c r="G38" s="2547">
        <v>0</v>
      </c>
      <c r="I38" s="2555">
        <v>0</v>
      </c>
    </row>
    <row r="39" spans="1:9" x14ac:dyDescent="0.2">
      <c r="I39" s="29"/>
    </row>
    <row r="40" spans="1:9" x14ac:dyDescent="0.2">
      <c r="A40" t="s">
        <v>3013</v>
      </c>
      <c r="F40" t="s">
        <v>3014</v>
      </c>
      <c r="G40" s="2536">
        <f>SUM(G36:G39)</f>
        <v>548295579.29999995</v>
      </c>
      <c r="I40" s="29">
        <f>SUM(I36:I39)</f>
        <v>7800000</v>
      </c>
    </row>
    <row r="41" spans="1:9" x14ac:dyDescent="0.2">
      <c r="I41" s="29"/>
    </row>
    <row r="42" spans="1:9" x14ac:dyDescent="0.2">
      <c r="A42" s="1" t="s">
        <v>3015</v>
      </c>
      <c r="G42" s="2536">
        <f>G34-G40</f>
        <v>46996983.440000057</v>
      </c>
      <c r="I42" s="29">
        <f>I34-I40</f>
        <v>101228813.05</v>
      </c>
    </row>
    <row r="43" spans="1:9" ht="16.5" customHeight="1" x14ac:dyDescent="0.2">
      <c r="B43" t="s">
        <v>2995</v>
      </c>
      <c r="G43" s="2547">
        <f>G11</f>
        <v>3900239.03</v>
      </c>
      <c r="H43" s="2548"/>
      <c r="I43" s="2555">
        <f>I11</f>
        <v>7800000</v>
      </c>
    </row>
    <row r="44" spans="1:9" x14ac:dyDescent="0.2">
      <c r="I44" s="29"/>
    </row>
    <row r="45" spans="1:9" ht="15.75" x14ac:dyDescent="0.25">
      <c r="A45" s="244" t="s">
        <v>3016</v>
      </c>
      <c r="G45" s="2557">
        <f>SUM(G42:G44)</f>
        <v>50897222.470000058</v>
      </c>
      <c r="I45" s="1846">
        <f>SUM(I42:I44)</f>
        <v>109028813.05</v>
      </c>
    </row>
    <row r="48" spans="1:9" x14ac:dyDescent="0.2">
      <c r="C48" s="2"/>
    </row>
    <row r="49" spans="1:13" x14ac:dyDescent="0.2">
      <c r="A49" s="2" t="s">
        <v>3017</v>
      </c>
      <c r="B49" s="2"/>
      <c r="C49" s="2677">
        <v>45867</v>
      </c>
      <c r="D49" s="2677"/>
      <c r="G49" s="2558"/>
      <c r="H49" s="2542"/>
      <c r="I49" s="2559"/>
    </row>
    <row r="50" spans="1:13" x14ac:dyDescent="0.2">
      <c r="I50" s="2"/>
    </row>
    <row r="51" spans="1:13" ht="12.75" x14ac:dyDescent="0.2">
      <c r="G51" s="2544" t="s">
        <v>2991</v>
      </c>
      <c r="I51" s="2544" t="s">
        <v>3018</v>
      </c>
    </row>
    <row r="52" spans="1:13" ht="14.25" x14ac:dyDescent="0.2">
      <c r="A52" t="s">
        <v>8</v>
      </c>
      <c r="B52" t="s">
        <v>3019</v>
      </c>
      <c r="E52" t="s">
        <v>3020</v>
      </c>
      <c r="F52" s="2560"/>
      <c r="G52" s="2561">
        <v>314340296.67000002</v>
      </c>
      <c r="I52" s="29">
        <v>596572665.84000003</v>
      </c>
    </row>
    <row r="53" spans="1:13" ht="14.25" x14ac:dyDescent="0.2">
      <c r="B53" t="s">
        <v>3021</v>
      </c>
      <c r="E53" t="s">
        <v>3022</v>
      </c>
      <c r="F53" s="2560"/>
      <c r="G53" s="2561">
        <v>103418717.67</v>
      </c>
      <c r="I53" s="29">
        <v>172703100.72</v>
      </c>
    </row>
    <row r="54" spans="1:13" ht="14.25" x14ac:dyDescent="0.2">
      <c r="B54" t="s">
        <v>3023</v>
      </c>
      <c r="E54" t="s">
        <v>3024</v>
      </c>
      <c r="F54" s="2560"/>
      <c r="G54" s="2561">
        <v>421983</v>
      </c>
      <c r="I54" s="29">
        <v>57872258</v>
      </c>
    </row>
    <row r="55" spans="1:13" ht="14.25" x14ac:dyDescent="0.2">
      <c r="B55" t="s">
        <v>3025</v>
      </c>
      <c r="C55" t="s">
        <v>3026</v>
      </c>
      <c r="F55" s="2560"/>
      <c r="G55" s="2562">
        <f>G45</f>
        <v>50897222.470000058</v>
      </c>
      <c r="I55" s="2555">
        <f>I45</f>
        <v>109028813.05</v>
      </c>
    </row>
    <row r="56" spans="1:13" ht="14.25" x14ac:dyDescent="0.2">
      <c r="A56" t="s">
        <v>13</v>
      </c>
      <c r="F56" s="2560"/>
      <c r="G56" s="2561">
        <f>SUM(G52:G55)</f>
        <v>469078219.81000006</v>
      </c>
      <c r="I56" s="29">
        <f>SUM(I52:I55)</f>
        <v>936176837.61000001</v>
      </c>
    </row>
    <row r="57" spans="1:13" ht="14.25" x14ac:dyDescent="0.2">
      <c r="B57" t="s">
        <v>3027</v>
      </c>
      <c r="F57" s="2560"/>
      <c r="G57" s="2563">
        <f>G15</f>
        <v>-13280468.92</v>
      </c>
      <c r="I57" s="2550">
        <f>I15</f>
        <v>262407060.72999999</v>
      </c>
    </row>
    <row r="58" spans="1:13" ht="14.25" x14ac:dyDescent="0.2">
      <c r="F58" s="2560"/>
      <c r="G58" s="2561"/>
      <c r="I58" s="29"/>
    </row>
    <row r="59" spans="1:13" x14ac:dyDescent="0.25">
      <c r="A59" s="98" t="s">
        <v>3000</v>
      </c>
      <c r="C59" s="2549"/>
      <c r="D59" s="2549"/>
      <c r="E59" s="2549"/>
      <c r="F59" s="2564"/>
      <c r="G59" s="2565">
        <f>SUM(G56:G58)</f>
        <v>455797750.89000005</v>
      </c>
      <c r="I59" s="29">
        <f>SUM(I56:I57)</f>
        <v>1198583898.3399999</v>
      </c>
    </row>
    <row r="60" spans="1:13" ht="14.25" x14ac:dyDescent="0.2">
      <c r="F60" s="2560"/>
      <c r="G60" s="2561"/>
      <c r="I60" s="29"/>
      <c r="J60" s="2"/>
      <c r="K60" s="2"/>
    </row>
    <row r="62" spans="1:13" x14ac:dyDescent="0.2">
      <c r="G62" s="2558"/>
      <c r="H62" s="2542"/>
      <c r="I62" s="2559"/>
    </row>
    <row r="63" spans="1:13" ht="12.75" x14ac:dyDescent="0.2">
      <c r="B63" t="s">
        <v>3028</v>
      </c>
      <c r="E63" t="s">
        <v>3029</v>
      </c>
      <c r="G63" s="29">
        <v>632829489.39999998</v>
      </c>
      <c r="I63" s="29">
        <v>107209109.12</v>
      </c>
      <c r="L63" s="2566" t="s">
        <v>3030</v>
      </c>
      <c r="M63" t="s">
        <v>3031</v>
      </c>
    </row>
    <row r="64" spans="1:13" ht="12.75" x14ac:dyDescent="0.2">
      <c r="C64" s="2549"/>
      <c r="D64" s="2496" t="s">
        <v>3032</v>
      </c>
      <c r="E64" s="2549" t="s">
        <v>3033</v>
      </c>
      <c r="F64" s="2549" t="s">
        <v>3034</v>
      </c>
      <c r="G64" s="2555">
        <v>-544395340.26999998</v>
      </c>
      <c r="I64" s="2555">
        <v>0</v>
      </c>
      <c r="L64" s="2566" t="s">
        <v>3030</v>
      </c>
      <c r="M64" t="s">
        <v>3035</v>
      </c>
    </row>
    <row r="65" spans="2:9" ht="12.75" x14ac:dyDescent="0.2">
      <c r="B65" t="s">
        <v>3036</v>
      </c>
      <c r="G65" s="29">
        <f>SUM(G63:G64)</f>
        <v>88434149.129999995</v>
      </c>
      <c r="I65" s="29">
        <f>SUM(I63:I64)</f>
        <v>107209109.12</v>
      </c>
    </row>
    <row r="66" spans="2:9" ht="12.75" x14ac:dyDescent="0.2">
      <c r="G66" s="29"/>
      <c r="I66" s="1"/>
    </row>
    <row r="67" spans="2:9" ht="12.75" x14ac:dyDescent="0.2">
      <c r="G67" s="29"/>
      <c r="I67" s="1"/>
    </row>
    <row r="68" spans="2:9" ht="12.75" x14ac:dyDescent="0.2">
      <c r="B68" t="s">
        <v>3037</v>
      </c>
      <c r="G68" s="29"/>
      <c r="I68" s="1"/>
    </row>
    <row r="69" spans="2:9" x14ac:dyDescent="0.2">
      <c r="B69" t="s">
        <v>3038</v>
      </c>
    </row>
  </sheetData>
  <mergeCells count="1">
    <mergeCell ref="C49:D49"/>
  </mergeCells>
  <pageMargins left="0.78740157480314954" right="0.35433070866141736" top="0.98425196850393704" bottom="0.98425196850393704" header="0.51181102362204722" footer="0.51181102362204722"/>
  <pageSetup paperSize="9" scale="80" orientation="portrait"/>
  <rowBreaks count="1" manualBreakCount="1">
    <brk id="49" max="16383" man="1"/>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2"/>
  </sheetPr>
  <dimension ref="A1:BHA931"/>
  <sheetViews>
    <sheetView tabSelected="1" topLeftCell="A320" zoomScaleNormal="100" workbookViewId="0">
      <selection activeCell="B497" sqref="B497"/>
    </sheetView>
  </sheetViews>
  <sheetFormatPr defaultColWidth="9.5703125" defaultRowHeight="12.75" x14ac:dyDescent="0.2"/>
  <cols>
    <col min="1" max="1" width="12" style="1" customWidth="1"/>
    <col min="2" max="2" width="91.85546875" style="1" customWidth="1"/>
    <col min="3" max="5" width="26.85546875" style="1" customWidth="1"/>
    <col min="6" max="6" width="22" style="1" hidden="1" customWidth="1"/>
    <col min="7" max="8" width="10.5703125" style="1" customWidth="1"/>
    <col min="9" max="9" width="12.140625" style="1" customWidth="1"/>
    <col min="10" max="10" width="19.28515625" style="29" hidden="1" customWidth="1"/>
    <col min="11" max="16384" width="9.5703125" style="1"/>
  </cols>
  <sheetData>
    <row r="1" spans="1:10" ht="67.5" customHeight="1" x14ac:dyDescent="0.2">
      <c r="A1" s="566" t="s">
        <v>2585</v>
      </c>
      <c r="B1" s="2153" t="s">
        <v>3039</v>
      </c>
      <c r="C1" s="1594" t="s">
        <v>3040</v>
      </c>
      <c r="D1" s="1594" t="s">
        <v>3041</v>
      </c>
      <c r="E1" s="1594" t="s">
        <v>3042</v>
      </c>
      <c r="F1" s="2154" t="s">
        <v>2590</v>
      </c>
      <c r="G1" s="1594" t="s">
        <v>2591</v>
      </c>
      <c r="H1" s="1594" t="s">
        <v>2592</v>
      </c>
      <c r="I1" s="1594" t="s">
        <v>2593</v>
      </c>
      <c r="J1" s="2155" t="s">
        <v>3043</v>
      </c>
    </row>
    <row r="2" spans="1:10" ht="20.25" x14ac:dyDescent="0.3">
      <c r="A2" s="2156"/>
      <c r="B2" s="1597" t="s">
        <v>56</v>
      </c>
      <c r="C2" s="1600"/>
      <c r="D2" s="1600"/>
      <c r="E2" s="1599"/>
      <c r="F2" s="966"/>
      <c r="G2" s="966"/>
      <c r="H2" s="966"/>
      <c r="I2" s="1600"/>
    </row>
    <row r="3" spans="1:10" s="98" customFormat="1" ht="18" x14ac:dyDescent="0.25">
      <c r="A3" s="2157"/>
      <c r="B3" s="1602" t="s">
        <v>57</v>
      </c>
      <c r="C3" s="1603">
        <f t="shared" ref="C3:I3" si="0">C32</f>
        <v>570976355.83999991</v>
      </c>
      <c r="D3" s="1603">
        <f t="shared" si="0"/>
        <v>598627727.23000002</v>
      </c>
      <c r="E3" s="1603">
        <f t="shared" si="0"/>
        <v>606548564.00999999</v>
      </c>
      <c r="F3" s="2252">
        <f t="shared" si="0"/>
        <v>606548564.01000023</v>
      </c>
      <c r="G3" s="1603">
        <f t="shared" si="0"/>
        <v>106.23006676303916</v>
      </c>
      <c r="H3" s="1603">
        <f t="shared" si="0"/>
        <v>101.32316570377581</v>
      </c>
      <c r="I3" s="1603">
        <f t="shared" si="0"/>
        <v>107.55223443757733</v>
      </c>
      <c r="J3" s="29"/>
    </row>
    <row r="4" spans="1:10" s="98" customFormat="1" ht="18.75" customHeight="1" x14ac:dyDescent="0.25">
      <c r="A4" s="2159"/>
      <c r="B4" s="1601" t="s">
        <v>10</v>
      </c>
      <c r="C4" s="1605">
        <f t="shared" ref="C4:I4" si="1">C66</f>
        <v>172178289.50999999</v>
      </c>
      <c r="D4" s="1605">
        <f t="shared" si="1"/>
        <v>175650933.67000002</v>
      </c>
      <c r="E4" s="1605">
        <f t="shared" si="1"/>
        <v>190709346.36000001</v>
      </c>
      <c r="F4" s="1864">
        <f t="shared" si="1"/>
        <v>190709346.35999998</v>
      </c>
      <c r="G4" s="1605">
        <f t="shared" si="1"/>
        <v>110.7627139883532</v>
      </c>
      <c r="H4" s="1605">
        <f t="shared" si="1"/>
        <v>108.57291924123251</v>
      </c>
      <c r="I4" s="1605">
        <f t="shared" si="1"/>
        <v>65.638894523882769</v>
      </c>
      <c r="J4" s="29"/>
    </row>
    <row r="5" spans="1:10" s="98" customFormat="1" ht="18.75" customHeight="1" x14ac:dyDescent="0.25">
      <c r="A5" s="2161"/>
      <c r="B5" s="1601" t="s">
        <v>11</v>
      </c>
      <c r="C5" s="1605">
        <f t="shared" ref="C5:I5" si="2">C175</f>
        <v>45747371</v>
      </c>
      <c r="D5" s="1605">
        <f t="shared" si="2"/>
        <v>24498887</v>
      </c>
      <c r="E5" s="1605">
        <f t="shared" si="2"/>
        <v>25617953.84</v>
      </c>
      <c r="F5" s="1864">
        <f t="shared" si="2"/>
        <v>25617953.84</v>
      </c>
      <c r="G5" s="1605">
        <f t="shared" si="2"/>
        <v>55.998745457963039</v>
      </c>
      <c r="H5" s="1605">
        <f t="shared" si="2"/>
        <v>104.56782726496922</v>
      </c>
      <c r="I5" s="1605">
        <f t="shared" si="2"/>
        <v>23.366223914547142</v>
      </c>
      <c r="J5" s="29"/>
    </row>
    <row r="6" spans="1:10" s="98" customFormat="1" ht="18.75" customHeight="1" x14ac:dyDescent="0.25">
      <c r="A6" s="2161"/>
      <c r="B6" s="1601" t="s">
        <v>196</v>
      </c>
      <c r="C6" s="1607">
        <f t="shared" ref="C6:I6" si="3">C193</f>
        <v>91705431.088</v>
      </c>
      <c r="D6" s="1607">
        <f t="shared" si="3"/>
        <v>106187563.81999999</v>
      </c>
      <c r="E6" s="1607">
        <f t="shared" si="3"/>
        <v>106522563.81999999</v>
      </c>
      <c r="F6" s="1864">
        <f t="shared" si="3"/>
        <v>106522563.81999999</v>
      </c>
      <c r="G6" s="1607">
        <f t="shared" si="3"/>
        <v>116.15731212013121</v>
      </c>
      <c r="H6" s="1607">
        <f t="shared" si="3"/>
        <v>100.31547950433053</v>
      </c>
      <c r="I6" s="1607">
        <f t="shared" si="3"/>
        <v>91.635139929184803</v>
      </c>
      <c r="J6" s="29"/>
    </row>
    <row r="7" spans="1:10" s="98" customFormat="1" ht="20.25" x14ac:dyDescent="0.3">
      <c r="A7" s="2162"/>
      <c r="B7" s="1609" t="s">
        <v>13</v>
      </c>
      <c r="C7" s="1610">
        <f>C262</f>
        <v>880607447.43799996</v>
      </c>
      <c r="D7" s="1610">
        <f>D262</f>
        <v>904965111.72000003</v>
      </c>
      <c r="E7" s="1610">
        <f t="shared" ref="E7:I7" si="4">E262</f>
        <v>929398428.02999997</v>
      </c>
      <c r="F7" s="2567">
        <f t="shared" si="4"/>
        <v>929398428.02999997</v>
      </c>
      <c r="G7" s="1610">
        <f t="shared" si="4"/>
        <v>105.54060503734671</v>
      </c>
      <c r="H7" s="1610">
        <f t="shared" si="4"/>
        <v>102.6999180403277</v>
      </c>
      <c r="I7" s="1610">
        <f t="shared" si="4"/>
        <v>86.024863356785346</v>
      </c>
      <c r="J7" s="29"/>
    </row>
    <row r="8" spans="1:10" s="98" customFormat="1" ht="18" x14ac:dyDescent="0.25">
      <c r="A8" s="2164"/>
      <c r="B8" s="1612" t="s">
        <v>14</v>
      </c>
      <c r="C8" s="1613">
        <f t="shared" ref="C8:I8" si="5">C264</f>
        <v>240886192.56</v>
      </c>
      <c r="D8" s="1613">
        <f t="shared" si="5"/>
        <v>262407060.73000002</v>
      </c>
      <c r="E8" s="1613">
        <f t="shared" si="5"/>
        <v>146465109.90000001</v>
      </c>
      <c r="F8" s="2568">
        <f t="shared" si="5"/>
        <v>146465109.90000001</v>
      </c>
      <c r="G8" s="1613">
        <f t="shared" si="5"/>
        <v>60.802617345333502</v>
      </c>
      <c r="H8" s="1613">
        <f t="shared" si="5"/>
        <v>55.815994239081533</v>
      </c>
      <c r="I8" s="1613">
        <f t="shared" si="5"/>
        <v>-79.637949444554508</v>
      </c>
      <c r="J8" s="29"/>
    </row>
    <row r="9" spans="1:10" s="85" customFormat="1" ht="26.25" customHeight="1" x14ac:dyDescent="0.4">
      <c r="A9" s="2166"/>
      <c r="B9" s="612" t="s">
        <v>15</v>
      </c>
      <c r="C9" s="1614">
        <f t="shared" ref="C9:I9" si="6">C272</f>
        <v>1121493639.9979999</v>
      </c>
      <c r="D9" s="1614">
        <f t="shared" si="6"/>
        <v>1167372172.45</v>
      </c>
      <c r="E9" s="1614">
        <f t="shared" si="6"/>
        <v>1075863537.9300001</v>
      </c>
      <c r="F9" s="2569">
        <f t="shared" si="6"/>
        <v>1075863537.9300001</v>
      </c>
      <c r="G9" s="1614">
        <f t="shared" si="6"/>
        <v>95.931309778263099</v>
      </c>
      <c r="H9" s="1614">
        <f t="shared" si="6"/>
        <v>92.161143063060351</v>
      </c>
      <c r="I9" s="1614">
        <f t="shared" si="6"/>
        <v>120.01113209922607</v>
      </c>
      <c r="J9" s="29"/>
    </row>
    <row r="10" spans="1:10" s="98" customFormat="1" ht="20.25" customHeight="1" x14ac:dyDescent="0.3">
      <c r="A10" s="2168"/>
      <c r="B10" s="1597" t="s">
        <v>257</v>
      </c>
      <c r="C10" s="1620"/>
      <c r="D10" s="1620"/>
      <c r="E10" s="1618"/>
      <c r="F10" s="966"/>
      <c r="G10" s="2169"/>
      <c r="H10" s="2169"/>
      <c r="I10" s="2170"/>
      <c r="J10" s="29"/>
    </row>
    <row r="11" spans="1:10" s="1622" customFormat="1" ht="20.25" customHeight="1" x14ac:dyDescent="0.2">
      <c r="A11" s="2171"/>
      <c r="B11" s="1467" t="s">
        <v>17</v>
      </c>
      <c r="C11" s="1624">
        <f>C30-C12</f>
        <v>796898130</v>
      </c>
      <c r="D11" s="1624">
        <f>D30-D12</f>
        <v>855715290.91000009</v>
      </c>
      <c r="E11" s="2570">
        <f>E30-E12</f>
        <v>773576528.08000004</v>
      </c>
      <c r="F11" s="2571">
        <f>F30-F12</f>
        <v>875863537.93000007</v>
      </c>
      <c r="G11" s="2572">
        <f t="shared" ref="G11:G12" si="7">E11/C11*100</f>
        <v>97.073452547818135</v>
      </c>
      <c r="H11" s="2573">
        <f t="shared" ref="H11:H12" si="8">E11/D11*100</f>
        <v>90.401157522538767</v>
      </c>
      <c r="I11" s="2573">
        <f t="shared" ref="I11:I12" si="9">E11/J11*100</f>
        <v>110.29813546315137</v>
      </c>
      <c r="J11" s="2175">
        <v>701350503.19000006</v>
      </c>
    </row>
    <row r="12" spans="1:10" s="1622" customFormat="1" ht="20.25" customHeight="1" x14ac:dyDescent="0.2">
      <c r="A12" s="2171"/>
      <c r="B12" s="1467" t="s">
        <v>18</v>
      </c>
      <c r="C12" s="1629">
        <v>324595510</v>
      </c>
      <c r="D12" s="1629">
        <v>311656881.54000002</v>
      </c>
      <c r="E12" s="1627">
        <v>302287009.85000002</v>
      </c>
      <c r="F12" s="2489">
        <v>200000000</v>
      </c>
      <c r="G12" s="2572">
        <f t="shared" si="7"/>
        <v>93.127292441599096</v>
      </c>
      <c r="H12" s="2573">
        <f t="shared" si="8"/>
        <v>96.993529665156004</v>
      </c>
      <c r="I12" s="2573">
        <f t="shared" si="9"/>
        <v>154.92421200759193</v>
      </c>
      <c r="J12" s="2175">
        <v>195119281.83000001</v>
      </c>
    </row>
    <row r="13" spans="1:10" s="12" customFormat="1" ht="20.25" customHeight="1" x14ac:dyDescent="0.25">
      <c r="A13" s="2177"/>
      <c r="B13" s="1601" t="s">
        <v>258</v>
      </c>
      <c r="C13" s="1605">
        <f t="shared" ref="C13:I13" si="10">C274</f>
        <v>79616000</v>
      </c>
      <c r="D13" s="1605">
        <f t="shared" si="10"/>
        <v>80837664.640000001</v>
      </c>
      <c r="E13" s="1605">
        <f t="shared" si="10"/>
        <v>71572548.989999995</v>
      </c>
      <c r="F13" s="740">
        <f t="shared" si="10"/>
        <v>71572548.989999995</v>
      </c>
      <c r="G13" s="2179">
        <f t="shared" si="10"/>
        <v>89.89719276276125</v>
      </c>
      <c r="H13" s="2179">
        <f t="shared" si="10"/>
        <v>88.538615395111933</v>
      </c>
      <c r="I13" s="2179">
        <f t="shared" si="10"/>
        <v>93.893083614489612</v>
      </c>
      <c r="J13" s="29"/>
    </row>
    <row r="14" spans="1:10" s="12" customFormat="1" ht="20.25" customHeight="1" x14ac:dyDescent="0.25">
      <c r="A14" s="2177"/>
      <c r="B14" s="1601" t="s">
        <v>1031</v>
      </c>
      <c r="C14" s="1605">
        <f t="shared" ref="C14:I14" si="11">C383</f>
        <v>323192700</v>
      </c>
      <c r="D14" s="1605">
        <f t="shared" si="11"/>
        <v>282860099</v>
      </c>
      <c r="E14" s="1605">
        <f t="shared" si="11"/>
        <v>271734218.97000003</v>
      </c>
      <c r="F14" s="740">
        <f t="shared" si="11"/>
        <v>271734218.97000003</v>
      </c>
      <c r="G14" s="1605">
        <f t="shared" si="11"/>
        <v>84.078080652811778</v>
      </c>
      <c r="H14" s="1605">
        <f t="shared" si="11"/>
        <v>96.066649177691204</v>
      </c>
      <c r="I14" s="1605">
        <f t="shared" si="11"/>
        <v>171.69301636308438</v>
      </c>
      <c r="J14" s="29"/>
    </row>
    <row r="15" spans="1:10" s="12" customFormat="1" ht="20.25" customHeight="1" x14ac:dyDescent="0.25">
      <c r="A15" s="2180"/>
      <c r="B15" s="1632" t="s">
        <v>31</v>
      </c>
      <c r="C15" s="1633">
        <f t="shared" ref="C15:I15" si="12">C575</f>
        <v>15000</v>
      </c>
      <c r="D15" s="1633">
        <f t="shared" si="12"/>
        <v>15000</v>
      </c>
      <c r="E15" s="1633">
        <f t="shared" si="12"/>
        <v>15000</v>
      </c>
      <c r="F15" s="1077">
        <f t="shared" si="12"/>
        <v>15000</v>
      </c>
      <c r="G15" s="1633">
        <f t="shared" si="12"/>
        <v>100</v>
      </c>
      <c r="H15" s="1633">
        <f t="shared" si="12"/>
        <v>100</v>
      </c>
      <c r="I15" s="1633">
        <f t="shared" si="12"/>
        <v>100</v>
      </c>
      <c r="J15" s="29"/>
    </row>
    <row r="16" spans="1:10" s="1634" customFormat="1" ht="20.25" customHeight="1" x14ac:dyDescent="0.25">
      <c r="A16" s="1605"/>
      <c r="B16" s="1607" t="s">
        <v>1032</v>
      </c>
      <c r="C16" s="1633">
        <f t="shared" ref="C16:I16" si="13">C578</f>
        <v>17594633</v>
      </c>
      <c r="D16" s="1633">
        <f t="shared" si="13"/>
        <v>18152198</v>
      </c>
      <c r="E16" s="1633">
        <f t="shared" si="13"/>
        <v>17536891.300000001</v>
      </c>
      <c r="F16" s="1077">
        <f t="shared" si="13"/>
        <v>17536891.300000001</v>
      </c>
      <c r="G16" s="1633">
        <f t="shared" si="13"/>
        <v>99.671822083472847</v>
      </c>
      <c r="H16" s="1633">
        <f t="shared" si="13"/>
        <v>96.610290941075021</v>
      </c>
      <c r="I16" s="1633">
        <f t="shared" si="13"/>
        <v>112.74827539347081</v>
      </c>
      <c r="J16" s="29"/>
    </row>
    <row r="17" spans="1:241" s="1635" customFormat="1" ht="20.25" customHeight="1" x14ac:dyDescent="0.25">
      <c r="A17" s="2180"/>
      <c r="B17" s="1632" t="s">
        <v>33</v>
      </c>
      <c r="C17" s="1633">
        <f t="shared" ref="C17:I17" si="14">C585</f>
        <v>11914064</v>
      </c>
      <c r="D17" s="1633">
        <f t="shared" si="14"/>
        <v>11914064</v>
      </c>
      <c r="E17" s="1633">
        <f t="shared" si="14"/>
        <v>11744906.27</v>
      </c>
      <c r="F17" s="1077">
        <f t="shared" si="14"/>
        <v>11744906.27</v>
      </c>
      <c r="G17" s="1633">
        <f t="shared" si="14"/>
        <v>98.580184477773486</v>
      </c>
      <c r="H17" s="1633">
        <f t="shared" si="14"/>
        <v>98.580184477773486</v>
      </c>
      <c r="I17" s="1633">
        <f t="shared" si="14"/>
        <v>107.36188338799401</v>
      </c>
      <c r="J17" s="29"/>
    </row>
    <row r="18" spans="1:241" s="1635" customFormat="1" ht="20.25" customHeight="1" x14ac:dyDescent="0.25">
      <c r="A18" s="2182"/>
      <c r="B18" s="1601" t="s">
        <v>34</v>
      </c>
      <c r="C18" s="1605">
        <f t="shared" ref="C18:I18" si="15">C594</f>
        <v>162000</v>
      </c>
      <c r="D18" s="1605">
        <f t="shared" si="15"/>
        <v>162000</v>
      </c>
      <c r="E18" s="1605">
        <f t="shared" si="15"/>
        <v>32803</v>
      </c>
      <c r="F18" s="1864">
        <f t="shared" si="15"/>
        <v>32803</v>
      </c>
      <c r="G18" s="1605">
        <f t="shared" si="15"/>
        <v>20.248765432098764</v>
      </c>
      <c r="H18" s="1605">
        <f t="shared" si="15"/>
        <v>20.248765432098764</v>
      </c>
      <c r="I18" s="1605">
        <f t="shared" si="15"/>
        <v>37.257575317023885</v>
      </c>
      <c r="J18" s="29"/>
    </row>
    <row r="19" spans="1:241" s="1635" customFormat="1" ht="20.25" customHeight="1" x14ac:dyDescent="0.25">
      <c r="A19" s="2180"/>
      <c r="B19" s="1601" t="s">
        <v>630</v>
      </c>
      <c r="C19" s="1605">
        <f t="shared" ref="C19:I19" si="16">C598</f>
        <v>500000</v>
      </c>
      <c r="D19" s="1605">
        <f t="shared" si="16"/>
        <v>735000</v>
      </c>
      <c r="E19" s="1605">
        <f t="shared" si="16"/>
        <v>656091.16</v>
      </c>
      <c r="F19" s="1864">
        <f t="shared" si="16"/>
        <v>656091.16</v>
      </c>
      <c r="G19" s="1605">
        <f t="shared" si="16"/>
        <v>131.218232</v>
      </c>
      <c r="H19" s="1605">
        <f t="shared" si="16"/>
        <v>89.264103401360558</v>
      </c>
      <c r="I19" s="1605">
        <f t="shared" si="16"/>
        <v>46.273500568859284</v>
      </c>
      <c r="J19" s="29"/>
    </row>
    <row r="20" spans="1:241" s="1637" customFormat="1" ht="20.25" customHeight="1" x14ac:dyDescent="0.25">
      <c r="A20" s="2183"/>
      <c r="B20" s="1638" t="s">
        <v>36</v>
      </c>
      <c r="C20" s="1607">
        <f t="shared" ref="C20:I20" si="17">C601</f>
        <v>125656247</v>
      </c>
      <c r="D20" s="1607">
        <f t="shared" si="17"/>
        <v>143459095.66999999</v>
      </c>
      <c r="E20" s="1607">
        <f t="shared" si="17"/>
        <v>142981075.81999999</v>
      </c>
      <c r="F20" s="1864">
        <f t="shared" si="17"/>
        <v>142981075.81999999</v>
      </c>
      <c r="G20" s="1607">
        <f t="shared" si="17"/>
        <v>113.78747912151155</v>
      </c>
      <c r="H20" s="1607">
        <f t="shared" si="17"/>
        <v>99.666790141282092</v>
      </c>
      <c r="I20" s="1607">
        <f t="shared" si="17"/>
        <v>109.07416285911231</v>
      </c>
      <c r="J20" s="2184"/>
    </row>
    <row r="21" spans="1:241" s="12" customFormat="1" ht="20.25" customHeight="1" x14ac:dyDescent="0.25">
      <c r="A21" s="2157"/>
      <c r="B21" s="1601" t="s">
        <v>716</v>
      </c>
      <c r="C21" s="1633">
        <f t="shared" ref="C21:I21" si="18">C690</f>
        <v>30378980</v>
      </c>
      <c r="D21" s="1633">
        <f t="shared" si="18"/>
        <v>31548124.350000001</v>
      </c>
      <c r="E21" s="1633">
        <f t="shared" si="18"/>
        <v>30018799.309999999</v>
      </c>
      <c r="F21" s="1077">
        <f t="shared" si="18"/>
        <v>30018799.309999999</v>
      </c>
      <c r="G21" s="1633">
        <f t="shared" si="18"/>
        <v>98.814375301606574</v>
      </c>
      <c r="H21" s="1633">
        <f t="shared" si="18"/>
        <v>95.152405819650568</v>
      </c>
      <c r="I21" s="1633">
        <f t="shared" si="18"/>
        <v>109.42553469530714</v>
      </c>
      <c r="J21" s="29"/>
    </row>
    <row r="22" spans="1:241" s="12" customFormat="1" ht="20.25" customHeight="1" x14ac:dyDescent="0.25">
      <c r="A22" s="2157"/>
      <c r="B22" s="1601" t="s">
        <v>719</v>
      </c>
      <c r="C22" s="1605">
        <f t="shared" ref="C22:I22" si="19">C694</f>
        <v>37939410</v>
      </c>
      <c r="D22" s="1605">
        <f t="shared" si="19"/>
        <v>35738416.399999999</v>
      </c>
      <c r="E22" s="1605">
        <f t="shared" si="19"/>
        <v>29788329.359999999</v>
      </c>
      <c r="F22" s="1864">
        <f t="shared" si="19"/>
        <v>29788329.359999999</v>
      </c>
      <c r="G22" s="1605">
        <f t="shared" si="19"/>
        <v>78.515531369623304</v>
      </c>
      <c r="H22" s="1605">
        <f t="shared" si="19"/>
        <v>83.351005334416556</v>
      </c>
      <c r="I22" s="1605">
        <f t="shared" si="19"/>
        <v>99.459364232716538</v>
      </c>
      <c r="J22" s="29"/>
    </row>
    <row r="23" spans="1:241" s="12" customFormat="1" ht="20.25" customHeight="1" x14ac:dyDescent="0.25">
      <c r="A23" s="2157"/>
      <c r="B23" s="1601" t="s">
        <v>735</v>
      </c>
      <c r="C23" s="1603">
        <f t="shared" ref="C23:I23" si="20">C716</f>
        <v>190047550</v>
      </c>
      <c r="D23" s="1603">
        <f t="shared" si="20"/>
        <v>190893593</v>
      </c>
      <c r="E23" s="1603">
        <f t="shared" si="20"/>
        <v>179564310.03</v>
      </c>
      <c r="F23" s="2252">
        <f t="shared" si="20"/>
        <v>179564310.03</v>
      </c>
      <c r="G23" s="1603">
        <f t="shared" si="20"/>
        <v>94.483885759116603</v>
      </c>
      <c r="H23" s="1603">
        <f t="shared" si="20"/>
        <v>94.065131892614119</v>
      </c>
      <c r="I23" s="1603">
        <f t="shared" si="20"/>
        <v>107.10277456310406</v>
      </c>
      <c r="J23" s="29"/>
    </row>
    <row r="24" spans="1:241" s="12" customFormat="1" ht="20.25" customHeight="1" x14ac:dyDescent="0.25">
      <c r="A24" s="2157"/>
      <c r="B24" s="1601" t="s">
        <v>43</v>
      </c>
      <c r="C24" s="1603">
        <f t="shared" ref="C24:I24" si="21">C725</f>
        <v>16959056</v>
      </c>
      <c r="D24" s="1603">
        <f t="shared" si="21"/>
        <v>18156526</v>
      </c>
      <c r="E24" s="1603">
        <f t="shared" si="21"/>
        <v>16523645.84</v>
      </c>
      <c r="F24" s="2252">
        <f t="shared" si="21"/>
        <v>16523645.84</v>
      </c>
      <c r="G24" s="1603">
        <f t="shared" si="21"/>
        <v>97.432580209653167</v>
      </c>
      <c r="H24" s="1603">
        <f t="shared" si="21"/>
        <v>91.006648738861159</v>
      </c>
      <c r="I24" s="1603">
        <f t="shared" si="21"/>
        <v>107.86159090168685</v>
      </c>
      <c r="J24" s="29"/>
    </row>
    <row r="25" spans="1:241" s="12" customFormat="1" ht="20.25" customHeight="1" x14ac:dyDescent="0.25">
      <c r="A25" s="2183"/>
      <c r="B25" s="1632" t="s">
        <v>777</v>
      </c>
      <c r="C25" s="1633">
        <f t="shared" ref="C25:I25" si="22">C757</f>
        <v>18612000</v>
      </c>
      <c r="D25" s="1633">
        <f t="shared" si="22"/>
        <v>19169000</v>
      </c>
      <c r="E25" s="1633">
        <f t="shared" si="22"/>
        <v>15885436.48</v>
      </c>
      <c r="F25" s="1077">
        <f t="shared" si="22"/>
        <v>15885436.48</v>
      </c>
      <c r="G25" s="1633">
        <f t="shared" si="22"/>
        <v>85.350507629486358</v>
      </c>
      <c r="H25" s="1633">
        <f t="shared" si="22"/>
        <v>82.87044958005113</v>
      </c>
      <c r="I25" s="1633">
        <f t="shared" si="22"/>
        <v>94.53533663662445</v>
      </c>
      <c r="J25" s="29"/>
    </row>
    <row r="26" spans="1:241" s="12" customFormat="1" ht="20.25" customHeight="1" x14ac:dyDescent="0.25">
      <c r="A26" s="2157"/>
      <c r="B26" s="1601" t="s">
        <v>2117</v>
      </c>
      <c r="C26" s="1633">
        <f t="shared" ref="C26:I26" si="23">C763</f>
        <v>72242000</v>
      </c>
      <c r="D26" s="1633">
        <f t="shared" si="23"/>
        <v>72703526.5</v>
      </c>
      <c r="E26" s="1633">
        <f t="shared" si="23"/>
        <v>71118466.159999996</v>
      </c>
      <c r="F26" s="1077">
        <f t="shared" si="23"/>
        <v>71118466.159999996</v>
      </c>
      <c r="G26" s="1633">
        <f t="shared" si="23"/>
        <v>98.444763655491258</v>
      </c>
      <c r="H26" s="1633">
        <f t="shared" si="23"/>
        <v>97.81983018389073</v>
      </c>
      <c r="I26" s="1633">
        <f t="shared" si="23"/>
        <v>103.24545545698169</v>
      </c>
      <c r="J26" s="29"/>
    </row>
    <row r="27" spans="1:241" s="12" customFormat="1" ht="20.25" customHeight="1" x14ac:dyDescent="0.25">
      <c r="A27" s="2185"/>
      <c r="B27" s="1632" t="s">
        <v>803</v>
      </c>
      <c r="C27" s="1633">
        <f t="shared" ref="C27:I27" si="24">C787</f>
        <v>130474000</v>
      </c>
      <c r="D27" s="1633">
        <f t="shared" si="24"/>
        <v>139524683.86000001</v>
      </c>
      <c r="E27" s="1633">
        <f t="shared" si="24"/>
        <v>123747689.29000001</v>
      </c>
      <c r="F27" s="2341">
        <f t="shared" si="24"/>
        <v>123747689.29000001</v>
      </c>
      <c r="G27" s="1633">
        <f t="shared" si="24"/>
        <v>94.844711812315111</v>
      </c>
      <c r="H27" s="1633">
        <f t="shared" si="24"/>
        <v>88.692327311896477</v>
      </c>
      <c r="I27" s="1633">
        <f t="shared" si="24"/>
        <v>102.34269000740466</v>
      </c>
      <c r="J27" s="88"/>
    </row>
    <row r="28" spans="1:241" s="1640" customFormat="1" ht="20.25" customHeight="1" x14ac:dyDescent="0.25">
      <c r="A28" s="2157"/>
      <c r="B28" s="1601" t="s">
        <v>52</v>
      </c>
      <c r="C28" s="1633">
        <f t="shared" ref="C28:I28" si="25">C890</f>
        <v>290000</v>
      </c>
      <c r="D28" s="1633">
        <f t="shared" si="25"/>
        <v>290000</v>
      </c>
      <c r="E28" s="1633">
        <f t="shared" si="25"/>
        <v>44600</v>
      </c>
      <c r="F28" s="1077">
        <f t="shared" si="25"/>
        <v>44600</v>
      </c>
      <c r="G28" s="1633">
        <f t="shared" si="25"/>
        <v>15.379310344827587</v>
      </c>
      <c r="H28" s="1633">
        <f t="shared" si="25"/>
        <v>15.379310344827587</v>
      </c>
      <c r="I28" s="1633">
        <f t="shared" si="25"/>
        <v>34.084829957967138</v>
      </c>
      <c r="J28" s="2047"/>
      <c r="IA28" s="1635"/>
      <c r="IB28" s="1635"/>
      <c r="IC28" s="1635"/>
      <c r="ID28" s="1635"/>
      <c r="IE28" s="1635"/>
      <c r="IF28" s="1635"/>
      <c r="IG28" s="1635"/>
    </row>
    <row r="29" spans="1:241" s="1635" customFormat="1" ht="20.25" customHeight="1" x14ac:dyDescent="0.25">
      <c r="A29" s="2187"/>
      <c r="B29" s="1612" t="s">
        <v>54</v>
      </c>
      <c r="C29" s="1642">
        <f t="shared" ref="C29:I29" si="26">C900</f>
        <v>65900000</v>
      </c>
      <c r="D29" s="1642">
        <f t="shared" si="26"/>
        <v>121213181.03</v>
      </c>
      <c r="E29" s="1641">
        <f t="shared" si="26"/>
        <v>92898725.950000003</v>
      </c>
      <c r="F29" s="1950">
        <f t="shared" si="26"/>
        <v>92898725.949999988</v>
      </c>
      <c r="G29" s="1641">
        <f t="shared" si="26"/>
        <v>140.96923512898331</v>
      </c>
      <c r="H29" s="1641">
        <f t="shared" si="26"/>
        <v>76.640778800292168</v>
      </c>
      <c r="I29" s="1641">
        <f t="shared" si="26"/>
        <v>166.536467632746</v>
      </c>
      <c r="J29" s="29"/>
    </row>
    <row r="30" spans="1:241" s="98" customFormat="1" ht="26.25" customHeight="1" x14ac:dyDescent="0.35">
      <c r="A30" s="2189"/>
      <c r="B30" s="691" t="s">
        <v>55</v>
      </c>
      <c r="C30" s="2190">
        <f t="shared" ref="C30:I30" si="27">C925</f>
        <v>1121493640</v>
      </c>
      <c r="D30" s="2190">
        <f t="shared" si="27"/>
        <v>1167372172.45</v>
      </c>
      <c r="E30" s="2574">
        <f t="shared" si="27"/>
        <v>1075863537.9300001</v>
      </c>
      <c r="F30" s="2443">
        <f t="shared" si="27"/>
        <v>1075863537.9300001</v>
      </c>
      <c r="G30" s="1644">
        <f t="shared" si="27"/>
        <v>95.931309778092015</v>
      </c>
      <c r="H30" s="1644">
        <f t="shared" si="27"/>
        <v>92.161143063060351</v>
      </c>
      <c r="I30" s="2192">
        <f t="shared" si="27"/>
        <v>120.01113209922607</v>
      </c>
      <c r="J30" s="29"/>
    </row>
    <row r="31" spans="1:241" ht="22.5" customHeight="1" x14ac:dyDescent="0.3">
      <c r="A31" s="2193"/>
      <c r="B31" s="951" t="s">
        <v>2118</v>
      </c>
      <c r="C31" s="1650"/>
      <c r="D31" s="1650"/>
      <c r="E31" s="1649"/>
      <c r="F31" s="582"/>
      <c r="G31" s="582"/>
      <c r="H31" s="582"/>
      <c r="I31" s="1650"/>
    </row>
    <row r="32" spans="1:241" s="98" customFormat="1" ht="18" x14ac:dyDescent="0.25">
      <c r="A32" s="2194"/>
      <c r="B32" s="2195" t="s">
        <v>57</v>
      </c>
      <c r="C32" s="1654">
        <f>SUM(C33:C44,C48:C52,C61:C64)</f>
        <v>570976355.83999991</v>
      </c>
      <c r="D32" s="1654">
        <f>SUM(D33:D44,D48:D52,D61:D64)</f>
        <v>598627727.23000002</v>
      </c>
      <c r="E32" s="1653">
        <v>606548564.00999999</v>
      </c>
      <c r="F32" s="2196">
        <f>SUM(E33:E44,E48:E52,E59:E64)</f>
        <v>606548564.01000023</v>
      </c>
      <c r="G32" s="1654">
        <f t="shared" ref="G32:G95" si="28">E32/C32*100</f>
        <v>106.23006676303916</v>
      </c>
      <c r="H32" s="1654">
        <f t="shared" ref="H32:H95" si="29">E32/D32*100</f>
        <v>101.32316570377581</v>
      </c>
      <c r="I32" s="1654">
        <f t="shared" ref="I32:I95" si="30">E32/J32*100</f>
        <v>107.55223443757733</v>
      </c>
      <c r="J32" s="29">
        <v>563957194.54999995</v>
      </c>
    </row>
    <row r="33" spans="1:10" s="98" customFormat="1" ht="12.75" customHeight="1" x14ac:dyDescent="0.2">
      <c r="A33" s="2197">
        <v>1111</v>
      </c>
      <c r="B33" s="709" t="s">
        <v>2119</v>
      </c>
      <c r="C33" s="1656">
        <f>(54100000*0.155174/100)*1000</f>
        <v>83949134</v>
      </c>
      <c r="D33" s="1656">
        <f>(54100000*0.155174/100)*1000</f>
        <v>83949134</v>
      </c>
      <c r="E33" s="1656">
        <v>82721186.650000006</v>
      </c>
      <c r="F33" s="2198"/>
      <c r="G33" s="1657">
        <f t="shared" si="28"/>
        <v>98.537272165309062</v>
      </c>
      <c r="H33" s="1657">
        <f t="shared" si="29"/>
        <v>98.537272165309062</v>
      </c>
      <c r="I33" s="1656">
        <f t="shared" si="30"/>
        <v>106.58047072329289</v>
      </c>
      <c r="J33" s="29">
        <v>77613831.209999993</v>
      </c>
    </row>
    <row r="34" spans="1:10" s="98" customFormat="1" ht="12.75" customHeight="1" x14ac:dyDescent="0.2">
      <c r="A34" s="2199">
        <v>1111</v>
      </c>
      <c r="B34" s="717" t="s">
        <v>1047</v>
      </c>
      <c r="C34" s="1662">
        <f>(3400000*0.263492/100)*1000</f>
        <v>8958728.0000000019</v>
      </c>
      <c r="D34" s="1662">
        <f>(3400000*0.263492/100)*1000</f>
        <v>8958728.0000000019</v>
      </c>
      <c r="E34" s="1662">
        <v>8155211.4900000002</v>
      </c>
      <c r="F34" s="2200"/>
      <c r="G34" s="1663">
        <f t="shared" si="28"/>
        <v>91.030908517369852</v>
      </c>
      <c r="H34" s="1663">
        <f t="shared" si="29"/>
        <v>91.030908517369852</v>
      </c>
      <c r="I34" s="1662">
        <f t="shared" si="30"/>
        <v>103.02110753385962</v>
      </c>
      <c r="J34" s="29">
        <v>7916058.8399999999</v>
      </c>
    </row>
    <row r="35" spans="1:10" s="98" customFormat="1" ht="12.75" customHeight="1" x14ac:dyDescent="0.2">
      <c r="A35" s="2199">
        <v>1112</v>
      </c>
      <c r="B35" s="717" t="s">
        <v>2120</v>
      </c>
      <c r="C35" s="1667">
        <f>(4600000*0.155174/100)*1000-1138004</f>
        <v>6000000</v>
      </c>
      <c r="D35" s="1667">
        <f>(4600000*0.155174/100)*1000-1138004</f>
        <v>6000000</v>
      </c>
      <c r="E35" s="1667">
        <v>8062547.2800000003</v>
      </c>
      <c r="F35" s="2200"/>
      <c r="G35" s="1663">
        <f t="shared" si="28"/>
        <v>134.375788</v>
      </c>
      <c r="H35" s="1663">
        <f t="shared" si="29"/>
        <v>134.375788</v>
      </c>
      <c r="I35" s="1662">
        <f t="shared" si="30"/>
        <v>137.47678329144136</v>
      </c>
      <c r="J35" s="29">
        <v>5864660.9900000002</v>
      </c>
    </row>
    <row r="36" spans="1:10" s="98" customFormat="1" ht="12.75" customHeight="1" x14ac:dyDescent="0.2">
      <c r="A36" s="2199">
        <v>1113</v>
      </c>
      <c r="B36" s="717" t="s">
        <v>1049</v>
      </c>
      <c r="C36" s="1667">
        <f>(9700000*0.155174/100)*1000</f>
        <v>15051878</v>
      </c>
      <c r="D36" s="1667">
        <f>(9700000*0.155174/100)*1000</f>
        <v>15051878</v>
      </c>
      <c r="E36" s="1667">
        <v>16350856.439999999</v>
      </c>
      <c r="F36" s="2200"/>
      <c r="G36" s="1663">
        <f t="shared" si="28"/>
        <v>108.6300090925531</v>
      </c>
      <c r="H36" s="1663">
        <f t="shared" si="29"/>
        <v>108.6300090925531</v>
      </c>
      <c r="I36" s="1662">
        <f t="shared" si="30"/>
        <v>89.65566274398158</v>
      </c>
      <c r="J36" s="29">
        <v>18237393.98</v>
      </c>
    </row>
    <row r="37" spans="1:10" s="98" customFormat="1" ht="12.75" customHeight="1" x14ac:dyDescent="0.2">
      <c r="A37" s="2199">
        <v>1121</v>
      </c>
      <c r="B37" s="717" t="s">
        <v>2121</v>
      </c>
      <c r="C37" s="1667">
        <v>119018458</v>
      </c>
      <c r="D37" s="1667">
        <f>119018458-2000000</f>
        <v>117018458</v>
      </c>
      <c r="E37" s="1667">
        <v>123683464.2</v>
      </c>
      <c r="F37" s="2201"/>
      <c r="G37" s="1663">
        <f t="shared" si="28"/>
        <v>103.91956531649906</v>
      </c>
      <c r="H37" s="1663">
        <f t="shared" si="29"/>
        <v>105.69568794010257</v>
      </c>
      <c r="I37" s="1662">
        <f t="shared" si="30"/>
        <v>109.51186892867236</v>
      </c>
      <c r="J37" s="29">
        <v>112940693.47</v>
      </c>
    </row>
    <row r="38" spans="1:10" s="98" customFormat="1" ht="25.5" customHeight="1" x14ac:dyDescent="0.2">
      <c r="A38" s="2199">
        <v>1122</v>
      </c>
      <c r="B38" s="725" t="s">
        <v>1051</v>
      </c>
      <c r="C38" s="734">
        <v>30000000</v>
      </c>
      <c r="D38" s="734">
        <f>30000000+25564110</f>
        <v>55564110</v>
      </c>
      <c r="E38" s="734">
        <v>55564110</v>
      </c>
      <c r="F38" s="1783"/>
      <c r="G38" s="1663">
        <f t="shared" si="28"/>
        <v>185.21369999999999</v>
      </c>
      <c r="H38" s="1663">
        <f t="shared" si="29"/>
        <v>100</v>
      </c>
      <c r="I38" s="1662">
        <f t="shared" si="30"/>
        <v>119.65984746436152</v>
      </c>
      <c r="J38" s="1866">
        <v>46435050</v>
      </c>
    </row>
    <row r="39" spans="1:10" s="98" customFormat="1" ht="12.75" customHeight="1" x14ac:dyDescent="0.2">
      <c r="A39" s="2199">
        <v>1211</v>
      </c>
      <c r="B39" s="717" t="s">
        <v>1052</v>
      </c>
      <c r="C39" s="1667">
        <f>(150600000*0.155174/100)*1000</f>
        <v>233692044.00000003</v>
      </c>
      <c r="D39" s="1667">
        <f>(150600000*0.155174/100)*1000</f>
        <v>233692044.00000003</v>
      </c>
      <c r="E39" s="1672">
        <v>231064823.02000001</v>
      </c>
      <c r="F39" s="2201"/>
      <c r="G39" s="1663">
        <f t="shared" si="28"/>
        <v>98.875776455616077</v>
      </c>
      <c r="H39" s="1663">
        <f t="shared" si="29"/>
        <v>98.875776455616077</v>
      </c>
      <c r="I39" s="1662">
        <f t="shared" si="30"/>
        <v>101.89159960404508</v>
      </c>
      <c r="J39" s="29">
        <v>226775145.27000001</v>
      </c>
    </row>
    <row r="40" spans="1:10" s="98" customFormat="1" ht="25.5" x14ac:dyDescent="0.2">
      <c r="A40" s="2199">
        <v>1334</v>
      </c>
      <c r="B40" s="725" t="s">
        <v>1053</v>
      </c>
      <c r="C40" s="746">
        <v>50000</v>
      </c>
      <c r="D40" s="746">
        <v>50000</v>
      </c>
      <c r="E40" s="972">
        <v>9240.7000000000007</v>
      </c>
      <c r="F40" s="854"/>
      <c r="G40" s="1663">
        <f t="shared" si="28"/>
        <v>18.481400000000001</v>
      </c>
      <c r="H40" s="1663">
        <f t="shared" si="29"/>
        <v>18.481400000000001</v>
      </c>
      <c r="I40" s="1662">
        <f t="shared" si="30"/>
        <v>30.973409800129385</v>
      </c>
      <c r="J40" s="1866">
        <v>29834.3</v>
      </c>
    </row>
    <row r="41" spans="1:10" s="98" customFormat="1" x14ac:dyDescent="0.2">
      <c r="A41" s="2199">
        <v>1335</v>
      </c>
      <c r="B41" s="717" t="s">
        <v>1054</v>
      </c>
      <c r="C41" s="746">
        <v>2000</v>
      </c>
      <c r="D41" s="746">
        <v>2000</v>
      </c>
      <c r="E41" s="972">
        <v>2756.6</v>
      </c>
      <c r="F41" s="854"/>
      <c r="G41" s="1663">
        <f t="shared" si="28"/>
        <v>137.82999999999998</v>
      </c>
      <c r="H41" s="1663">
        <f t="shared" si="29"/>
        <v>137.82999999999998</v>
      </c>
      <c r="I41" s="1662">
        <f t="shared" si="30"/>
        <v>129.18252197874293</v>
      </c>
      <c r="J41" s="29">
        <v>2133.88</v>
      </c>
    </row>
    <row r="42" spans="1:10" s="98" customFormat="1" x14ac:dyDescent="0.2">
      <c r="A42" s="2199">
        <v>1336</v>
      </c>
      <c r="B42" s="717" t="s">
        <v>1055</v>
      </c>
      <c r="C42" s="746">
        <v>0</v>
      </c>
      <c r="D42" s="746">
        <v>32200</v>
      </c>
      <c r="E42" s="972">
        <v>32200</v>
      </c>
      <c r="F42" s="854"/>
      <c r="G42" s="1663">
        <v>0</v>
      </c>
      <c r="H42" s="1663">
        <f t="shared" si="29"/>
        <v>100</v>
      </c>
      <c r="I42" s="1662">
        <f t="shared" si="30"/>
        <v>100</v>
      </c>
      <c r="J42" s="29">
        <v>32200</v>
      </c>
    </row>
    <row r="43" spans="1:10" s="98" customFormat="1" x14ac:dyDescent="0.2">
      <c r="A43" s="2199">
        <v>1341</v>
      </c>
      <c r="B43" s="717" t="s">
        <v>1056</v>
      </c>
      <c r="C43" s="734">
        <v>650000</v>
      </c>
      <c r="D43" s="734">
        <v>650000</v>
      </c>
      <c r="E43" s="972">
        <v>543715.6</v>
      </c>
      <c r="F43" s="854"/>
      <c r="G43" s="1663">
        <f t="shared" si="28"/>
        <v>83.648553846153845</v>
      </c>
      <c r="H43" s="1663">
        <f t="shared" si="29"/>
        <v>83.648553846153845</v>
      </c>
      <c r="I43" s="1662">
        <f t="shared" si="30"/>
        <v>81.663934300163319</v>
      </c>
      <c r="J43" s="29">
        <v>665796.48</v>
      </c>
    </row>
    <row r="44" spans="1:10" s="98" customFormat="1" x14ac:dyDescent="0.2">
      <c r="A44" s="2199">
        <v>1343</v>
      </c>
      <c r="B44" s="717" t="s">
        <v>1057</v>
      </c>
      <c r="C44" s="1678">
        <f t="shared" ref="C44:D44" si="31">SUM(C45:C47)</f>
        <v>495000</v>
      </c>
      <c r="D44" s="1678">
        <f t="shared" si="31"/>
        <v>735000</v>
      </c>
      <c r="E44" s="1678">
        <v>736118</v>
      </c>
      <c r="F44" s="2201">
        <f>SUM(E45:E47)</f>
        <v>736118</v>
      </c>
      <c r="G44" s="1663">
        <f t="shared" si="28"/>
        <v>148.71070707070706</v>
      </c>
      <c r="H44" s="1663">
        <f t="shared" si="29"/>
        <v>100.15210884353742</v>
      </c>
      <c r="I44" s="1662">
        <f t="shared" si="30"/>
        <v>149.02863482500038</v>
      </c>
      <c r="J44" s="29">
        <v>493944</v>
      </c>
    </row>
    <row r="45" spans="1:10" x14ac:dyDescent="0.2">
      <c r="A45" s="2204"/>
      <c r="B45" s="737" t="s">
        <v>1059</v>
      </c>
      <c r="C45" s="767">
        <v>320000</v>
      </c>
      <c r="D45" s="767">
        <v>320000</v>
      </c>
      <c r="E45" s="968">
        <v>267955</v>
      </c>
      <c r="F45" s="854"/>
      <c r="G45" s="2200">
        <f t="shared" si="28"/>
        <v>83.735937500000006</v>
      </c>
      <c r="H45" s="2200">
        <f t="shared" si="29"/>
        <v>83.735937500000006</v>
      </c>
      <c r="I45" s="2201">
        <f t="shared" si="30"/>
        <v>100.40919872743692</v>
      </c>
      <c r="J45" s="29">
        <v>266863</v>
      </c>
    </row>
    <row r="46" spans="1:10" x14ac:dyDescent="0.2">
      <c r="A46" s="2205"/>
      <c r="B46" s="737" t="s">
        <v>1060</v>
      </c>
      <c r="C46" s="767">
        <v>90000</v>
      </c>
      <c r="D46" s="767">
        <f>90000+240000</f>
        <v>330000</v>
      </c>
      <c r="E46" s="968">
        <v>334752</v>
      </c>
      <c r="F46" s="854"/>
      <c r="G46" s="2200">
        <f t="shared" si="28"/>
        <v>371.94666666666666</v>
      </c>
      <c r="H46" s="2200">
        <f t="shared" si="29"/>
        <v>101.44</v>
      </c>
      <c r="I46" s="2201">
        <f t="shared" si="30"/>
        <v>234.58937468902641</v>
      </c>
      <c r="J46" s="29">
        <v>142697</v>
      </c>
    </row>
    <row r="47" spans="1:10" x14ac:dyDescent="0.2">
      <c r="A47" s="2205"/>
      <c r="B47" s="737" t="s">
        <v>1061</v>
      </c>
      <c r="C47" s="767">
        <v>85000</v>
      </c>
      <c r="D47" s="767">
        <v>85000</v>
      </c>
      <c r="E47" s="968">
        <v>133411</v>
      </c>
      <c r="F47" s="854"/>
      <c r="G47" s="2200">
        <f t="shared" si="28"/>
        <v>156.95411764705881</v>
      </c>
      <c r="H47" s="2200">
        <f t="shared" si="29"/>
        <v>156.95411764705881</v>
      </c>
      <c r="I47" s="2201">
        <f t="shared" si="30"/>
        <v>158.099876753887</v>
      </c>
      <c r="J47" s="29">
        <v>84384</v>
      </c>
    </row>
    <row r="48" spans="1:10" ht="25.5" x14ac:dyDescent="0.2">
      <c r="A48" s="2206">
        <v>1345</v>
      </c>
      <c r="B48" s="725" t="s">
        <v>1062</v>
      </c>
      <c r="C48" s="746">
        <v>17500000</v>
      </c>
      <c r="D48" s="746">
        <v>17500000</v>
      </c>
      <c r="E48" s="1840">
        <v>17319324.02</v>
      </c>
      <c r="F48" s="1781"/>
      <c r="G48" s="1663">
        <f t="shared" si="28"/>
        <v>98.967565828571423</v>
      </c>
      <c r="H48" s="1663">
        <f t="shared" si="29"/>
        <v>98.967565828571423</v>
      </c>
      <c r="I48" s="1662">
        <f t="shared" si="30"/>
        <v>99.618969201846141</v>
      </c>
      <c r="J48" s="1866">
        <v>17385568.390000001</v>
      </c>
    </row>
    <row r="49" spans="1:1561" s="98" customFormat="1" ht="24.75" x14ac:dyDescent="0.2">
      <c r="A49" s="2199">
        <v>1346</v>
      </c>
      <c r="B49" s="725" t="s">
        <v>1063</v>
      </c>
      <c r="C49" s="746">
        <v>180000</v>
      </c>
      <c r="D49" s="746">
        <v>180000</v>
      </c>
      <c r="E49" s="2207">
        <v>248000</v>
      </c>
      <c r="F49" s="1781"/>
      <c r="G49" s="1663">
        <f t="shared" si="28"/>
        <v>137.77777777777777</v>
      </c>
      <c r="H49" s="1663">
        <f t="shared" si="29"/>
        <v>137.77777777777777</v>
      </c>
      <c r="I49" s="1662">
        <f t="shared" si="30"/>
        <v>96.498054474708169</v>
      </c>
      <c r="J49" s="1866">
        <v>257000</v>
      </c>
    </row>
    <row r="50" spans="1:1561" s="98" customFormat="1" x14ac:dyDescent="0.2">
      <c r="A50" s="2199">
        <v>1353</v>
      </c>
      <c r="B50" s="717" t="s">
        <v>1064</v>
      </c>
      <c r="C50" s="746">
        <v>750000</v>
      </c>
      <c r="D50" s="746">
        <v>750000</v>
      </c>
      <c r="E50" s="2208">
        <v>1065200</v>
      </c>
      <c r="F50" s="854"/>
      <c r="G50" s="1663">
        <f t="shared" si="28"/>
        <v>142.02666666666664</v>
      </c>
      <c r="H50" s="1663">
        <f t="shared" si="29"/>
        <v>142.02666666666664</v>
      </c>
      <c r="I50" s="1662">
        <f t="shared" si="30"/>
        <v>105.11150582198539</v>
      </c>
      <c r="J50" s="29">
        <v>1013400</v>
      </c>
    </row>
    <row r="51" spans="1:1561" s="98" customFormat="1" ht="12.75" customHeight="1" x14ac:dyDescent="0.2">
      <c r="A51" s="2199">
        <v>1356</v>
      </c>
      <c r="B51" s="717" t="s">
        <v>1065</v>
      </c>
      <c r="C51" s="734">
        <v>242547.84</v>
      </c>
      <c r="D51" s="734">
        <v>242547.84</v>
      </c>
      <c r="E51" s="972">
        <v>242547.84</v>
      </c>
      <c r="F51" s="854"/>
      <c r="G51" s="1663">
        <f t="shared" si="28"/>
        <v>100</v>
      </c>
      <c r="H51" s="1663">
        <f t="shared" si="29"/>
        <v>100</v>
      </c>
      <c r="I51" s="1662">
        <f t="shared" si="30"/>
        <v>100</v>
      </c>
      <c r="J51" s="29">
        <v>242547.84</v>
      </c>
    </row>
    <row r="52" spans="1:1561" s="98" customFormat="1" ht="12.75" customHeight="1" x14ac:dyDescent="0.2">
      <c r="A52" s="2199">
        <v>1361</v>
      </c>
      <c r="B52" s="717" t="s">
        <v>1067</v>
      </c>
      <c r="C52" s="1678">
        <f>SUM(C53:C58)</f>
        <v>9395000</v>
      </c>
      <c r="D52" s="1678">
        <f>SUM(D53:D58)</f>
        <v>10759600</v>
      </c>
      <c r="E52" s="1678">
        <v>12909510</v>
      </c>
      <c r="F52" s="2201">
        <f>SUM(E53:E58)</f>
        <v>12909510</v>
      </c>
      <c r="G52" s="1663">
        <f t="shared" si="28"/>
        <v>137.40830228845132</v>
      </c>
      <c r="H52" s="1663">
        <f t="shared" si="29"/>
        <v>119.98131900814157</v>
      </c>
      <c r="I52" s="1662">
        <f t="shared" si="30"/>
        <v>111.49986030722383</v>
      </c>
      <c r="J52" s="29">
        <v>11578050.380000001</v>
      </c>
    </row>
    <row r="53" spans="1:1561" ht="12.75" customHeight="1" x14ac:dyDescent="0.2">
      <c r="A53" s="2205"/>
      <c r="B53" s="737" t="s">
        <v>1068</v>
      </c>
      <c r="C53" s="767">
        <v>5600000</v>
      </c>
      <c r="D53" s="767">
        <f>5600000+1150000</f>
        <v>6750000</v>
      </c>
      <c r="E53" s="968">
        <v>6899720</v>
      </c>
      <c r="F53" s="854"/>
      <c r="G53" s="2200">
        <f t="shared" si="28"/>
        <v>123.20928571428571</v>
      </c>
      <c r="H53" s="2200">
        <f t="shared" si="29"/>
        <v>102.21807407407408</v>
      </c>
      <c r="I53" s="2201">
        <f t="shared" si="30"/>
        <v>100.98767022235752</v>
      </c>
      <c r="J53" s="29">
        <v>6832240</v>
      </c>
    </row>
    <row r="54" spans="1:1561" ht="27.75" customHeight="1" x14ac:dyDescent="0.2">
      <c r="A54" s="2209"/>
      <c r="B54" s="749" t="s">
        <v>2596</v>
      </c>
      <c r="C54" s="767">
        <v>450000</v>
      </c>
      <c r="D54" s="767">
        <f>450000</f>
        <v>450000</v>
      </c>
      <c r="E54" s="968">
        <v>567240</v>
      </c>
      <c r="F54" s="854"/>
      <c r="G54" s="2200">
        <f t="shared" si="28"/>
        <v>126.05333333333333</v>
      </c>
      <c r="H54" s="2200">
        <f t="shared" si="29"/>
        <v>126.05333333333333</v>
      </c>
      <c r="I54" s="2201">
        <f t="shared" si="30"/>
        <v>119.02803424542554</v>
      </c>
      <c r="J54" s="1866">
        <v>476560</v>
      </c>
    </row>
    <row r="55" spans="1:1561" ht="12.75" customHeight="1" x14ac:dyDescent="0.2">
      <c r="A55" s="2205"/>
      <c r="B55" s="737" t="s">
        <v>1071</v>
      </c>
      <c r="C55" s="767">
        <v>1000000</v>
      </c>
      <c r="D55" s="767">
        <v>1000000</v>
      </c>
      <c r="E55" s="968">
        <v>2281400</v>
      </c>
      <c r="F55" s="854"/>
      <c r="G55" s="2200">
        <f t="shared" si="28"/>
        <v>228.14000000000001</v>
      </c>
      <c r="H55" s="2200">
        <f t="shared" si="29"/>
        <v>228.14000000000001</v>
      </c>
      <c r="I55" s="2201">
        <f t="shared" si="30"/>
        <v>181.42345924453281</v>
      </c>
      <c r="J55" s="29">
        <v>1257500</v>
      </c>
    </row>
    <row r="56" spans="1:1561" s="126" customFormat="1" ht="24" customHeight="1" x14ac:dyDescent="0.2">
      <c r="A56" s="2209"/>
      <c r="B56" s="788" t="s">
        <v>2122</v>
      </c>
      <c r="C56" s="772">
        <v>2153000</v>
      </c>
      <c r="D56" s="772">
        <v>2153000</v>
      </c>
      <c r="E56" s="968">
        <v>2649900</v>
      </c>
      <c r="F56" s="854"/>
      <c r="G56" s="2200">
        <f t="shared" si="28"/>
        <v>123.07942405945194</v>
      </c>
      <c r="H56" s="2200">
        <f t="shared" si="29"/>
        <v>123.07942405945194</v>
      </c>
      <c r="I56" s="2201">
        <f t="shared" si="30"/>
        <v>98.520267153325094</v>
      </c>
      <c r="J56" s="1866">
        <v>2689700.38</v>
      </c>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c r="AW56" s="1"/>
      <c r="AX56" s="1"/>
      <c r="AY56" s="1"/>
      <c r="AZ56" s="1"/>
      <c r="BA56" s="1"/>
      <c r="BB56" s="1"/>
      <c r="BC56" s="1"/>
      <c r="BD56" s="1"/>
      <c r="BE56" s="1"/>
      <c r="BF56" s="1"/>
      <c r="BG56" s="1"/>
      <c r="BH56" s="1"/>
      <c r="BI56" s="1"/>
      <c r="BJ56" s="1"/>
      <c r="BK56" s="1"/>
      <c r="BL56" s="1"/>
      <c r="BM56" s="1"/>
      <c r="BN56" s="1"/>
      <c r="BO56" s="1"/>
      <c r="BP56" s="1"/>
      <c r="BQ56" s="1"/>
      <c r="BR56" s="1"/>
      <c r="BS56" s="1"/>
      <c r="BT56" s="1"/>
      <c r="BU56" s="1"/>
      <c r="BV56" s="1"/>
      <c r="BW56" s="1"/>
      <c r="BX56" s="1"/>
      <c r="BY56" s="1"/>
      <c r="BZ56" s="1"/>
      <c r="CA56" s="1"/>
      <c r="CB56" s="1"/>
      <c r="CC56" s="1"/>
      <c r="CD56" s="1"/>
      <c r="CE56" s="1"/>
      <c r="CF56" s="1"/>
      <c r="CG56" s="1"/>
      <c r="CH56" s="1"/>
      <c r="CI56" s="1"/>
      <c r="CJ56" s="1"/>
      <c r="CK56" s="1"/>
      <c r="CL56" s="1"/>
      <c r="CM56" s="1"/>
      <c r="CN56" s="1"/>
      <c r="CO56" s="1"/>
      <c r="CP56" s="1"/>
      <c r="CQ56" s="1"/>
      <c r="CR56" s="1"/>
      <c r="CS56" s="1"/>
      <c r="CT56" s="1"/>
      <c r="CU56" s="1"/>
      <c r="CV56" s="1"/>
      <c r="CW56" s="1"/>
      <c r="CX56" s="1"/>
      <c r="CY56" s="1"/>
      <c r="CZ56" s="1"/>
      <c r="DA56" s="1"/>
      <c r="DB56" s="1"/>
      <c r="DC56" s="1"/>
      <c r="DD56" s="1"/>
      <c r="DE56" s="1"/>
      <c r="DF56" s="1"/>
      <c r="DG56" s="1"/>
      <c r="DH56" s="1"/>
      <c r="DI56" s="1"/>
      <c r="DJ56" s="1"/>
      <c r="DK56" s="1"/>
      <c r="DL56" s="1"/>
      <c r="DM56" s="1"/>
      <c r="DN56" s="1"/>
      <c r="DO56" s="1"/>
      <c r="DP56" s="1"/>
      <c r="DQ56" s="1"/>
      <c r="DR56" s="1"/>
      <c r="DS56" s="1"/>
      <c r="DT56" s="1"/>
      <c r="DU56" s="1"/>
      <c r="DV56" s="1"/>
      <c r="DW56" s="1"/>
      <c r="DX56" s="1"/>
      <c r="DY56" s="1"/>
      <c r="DZ56" s="1"/>
      <c r="EA56" s="1"/>
      <c r="EB56" s="1"/>
      <c r="EC56" s="1"/>
      <c r="ED56" s="1"/>
      <c r="EE56" s="1"/>
      <c r="EF56" s="1"/>
      <c r="EG56" s="1"/>
      <c r="EH56" s="1"/>
      <c r="EI56" s="1"/>
      <c r="EJ56" s="1"/>
      <c r="EK56" s="1"/>
      <c r="EL56" s="1"/>
      <c r="EM56" s="1"/>
      <c r="EN56" s="1"/>
      <c r="EO56" s="1"/>
      <c r="EP56" s="1"/>
      <c r="EQ56" s="1"/>
      <c r="ER56" s="1"/>
      <c r="ES56" s="1"/>
      <c r="ET56" s="1"/>
      <c r="EU56" s="1"/>
      <c r="EV56" s="1"/>
      <c r="EW56" s="1"/>
      <c r="EX56" s="1"/>
      <c r="EY56" s="1"/>
      <c r="EZ56" s="1"/>
      <c r="FA56" s="1"/>
      <c r="FB56" s="1"/>
      <c r="FC56" s="1"/>
      <c r="FD56" s="1"/>
      <c r="FE56" s="1"/>
      <c r="FF56" s="1"/>
      <c r="FG56" s="1"/>
      <c r="FH56" s="1"/>
      <c r="FI56" s="1"/>
      <c r="FJ56" s="1"/>
      <c r="FK56" s="1"/>
      <c r="FL56" s="1"/>
      <c r="FM56" s="1"/>
      <c r="FN56" s="1"/>
      <c r="FO56" s="1"/>
      <c r="FP56" s="1"/>
      <c r="FQ56" s="1"/>
      <c r="FR56" s="1"/>
      <c r="FS56" s="1"/>
      <c r="FT56" s="1"/>
      <c r="FU56" s="1"/>
      <c r="FV56" s="1"/>
      <c r="FW56" s="1"/>
      <c r="FX56" s="1"/>
      <c r="FY56" s="1"/>
      <c r="FZ56" s="1"/>
      <c r="GA56" s="1"/>
      <c r="GB56" s="1"/>
      <c r="GC56" s="1"/>
      <c r="GD56" s="1"/>
      <c r="GE56" s="1"/>
      <c r="GF56" s="1"/>
      <c r="GG56" s="1"/>
      <c r="GH56" s="1"/>
      <c r="GI56" s="1"/>
      <c r="GJ56" s="1"/>
      <c r="GK56" s="1"/>
      <c r="GL56" s="1"/>
      <c r="GM56" s="1"/>
      <c r="GN56" s="1"/>
      <c r="GO56" s="1"/>
      <c r="GP56" s="1"/>
      <c r="GQ56" s="1"/>
      <c r="GR56" s="1"/>
      <c r="GS56" s="1"/>
      <c r="GT56" s="1"/>
      <c r="GU56" s="1"/>
      <c r="GV56" s="1"/>
      <c r="GW56" s="1"/>
      <c r="GX56" s="1"/>
      <c r="GY56" s="1"/>
      <c r="GZ56" s="1"/>
      <c r="HA56" s="1"/>
      <c r="HB56" s="1"/>
      <c r="HC56" s="1"/>
      <c r="HD56" s="1"/>
      <c r="HE56" s="1"/>
      <c r="HF56" s="1"/>
      <c r="HG56" s="1"/>
      <c r="HH56" s="1"/>
      <c r="HI56" s="1"/>
      <c r="HJ56" s="1"/>
      <c r="HK56" s="1"/>
      <c r="HL56" s="1"/>
      <c r="HM56" s="1"/>
      <c r="HN56" s="1"/>
      <c r="HO56" s="1"/>
      <c r="HP56" s="1"/>
      <c r="HQ56" s="1"/>
      <c r="HR56" s="1"/>
      <c r="HS56" s="1"/>
      <c r="HT56" s="1"/>
      <c r="HU56" s="1"/>
      <c r="HV56" s="1"/>
      <c r="HW56" s="1"/>
      <c r="HX56" s="1"/>
      <c r="HY56" s="1"/>
      <c r="HZ56" s="1"/>
      <c r="IA56" s="1"/>
      <c r="IB56" s="1"/>
      <c r="IC56" s="1"/>
      <c r="ID56" s="1"/>
      <c r="IE56" s="1"/>
      <c r="IF56" s="1"/>
      <c r="IG56" s="1"/>
      <c r="IH56" s="1"/>
      <c r="II56" s="1"/>
      <c r="IJ56" s="1"/>
      <c r="IK56" s="1"/>
      <c r="IL56" s="1"/>
      <c r="IM56" s="1"/>
      <c r="IN56" s="1"/>
      <c r="IO56" s="1"/>
      <c r="IP56" s="1"/>
      <c r="IQ56" s="1"/>
      <c r="IR56" s="1"/>
      <c r="IS56" s="1"/>
      <c r="IT56" s="1"/>
      <c r="IU56" s="1"/>
      <c r="IV56" s="1"/>
      <c r="IW56" s="1"/>
      <c r="IX56" s="1"/>
      <c r="IY56" s="1"/>
      <c r="IZ56" s="1"/>
      <c r="JA56" s="1"/>
      <c r="JB56" s="1"/>
      <c r="JC56" s="1"/>
      <c r="JD56" s="1"/>
      <c r="JE56" s="1"/>
      <c r="JF56" s="1"/>
      <c r="JG56" s="1"/>
      <c r="JH56" s="1"/>
      <c r="JI56" s="1"/>
      <c r="JJ56" s="1"/>
      <c r="JK56" s="1"/>
      <c r="JL56" s="1"/>
      <c r="JM56" s="1"/>
      <c r="JN56" s="1"/>
      <c r="JO56" s="1"/>
      <c r="JP56" s="1"/>
      <c r="JQ56" s="1"/>
      <c r="JR56" s="1"/>
      <c r="JS56" s="1"/>
      <c r="JT56" s="1"/>
      <c r="JU56" s="1"/>
      <c r="JV56" s="1"/>
      <c r="JW56" s="1"/>
      <c r="JX56" s="1"/>
      <c r="JY56" s="1"/>
      <c r="JZ56" s="1"/>
      <c r="KA56" s="1"/>
      <c r="KB56" s="1"/>
      <c r="KC56" s="1"/>
      <c r="KD56" s="1"/>
      <c r="KE56" s="1"/>
      <c r="KF56" s="1"/>
      <c r="KG56" s="1"/>
      <c r="KH56" s="1"/>
      <c r="KI56" s="1"/>
      <c r="KJ56" s="1"/>
      <c r="KK56" s="1"/>
      <c r="KL56" s="1"/>
      <c r="KM56" s="1"/>
      <c r="KN56" s="1"/>
      <c r="KO56" s="1"/>
      <c r="KP56" s="1"/>
      <c r="KQ56" s="1"/>
      <c r="KR56" s="1"/>
      <c r="KS56" s="1"/>
      <c r="KT56" s="1"/>
      <c r="KU56" s="1"/>
      <c r="KV56" s="1"/>
      <c r="KW56" s="1"/>
      <c r="KX56" s="1"/>
      <c r="KY56" s="1"/>
      <c r="KZ56" s="1"/>
      <c r="LA56" s="1"/>
      <c r="LB56" s="1"/>
      <c r="LC56" s="1"/>
      <c r="LD56" s="1"/>
      <c r="LE56" s="1"/>
      <c r="LF56" s="1"/>
      <c r="LG56" s="1"/>
      <c r="LH56" s="1"/>
      <c r="LI56" s="1"/>
      <c r="LJ56" s="1"/>
      <c r="LK56" s="1"/>
      <c r="LL56" s="1"/>
      <c r="LM56" s="1"/>
      <c r="LN56" s="1"/>
      <c r="LO56" s="1"/>
      <c r="LP56" s="1"/>
      <c r="LQ56" s="1"/>
      <c r="LR56" s="1"/>
      <c r="LS56" s="1"/>
      <c r="LT56" s="1"/>
      <c r="LU56" s="1"/>
      <c r="LV56" s="1"/>
      <c r="LW56" s="1"/>
      <c r="LX56" s="1"/>
      <c r="LY56" s="1"/>
      <c r="LZ56" s="1"/>
      <c r="MA56" s="1"/>
      <c r="MB56" s="1"/>
      <c r="MC56" s="1"/>
      <c r="MD56" s="1"/>
      <c r="ME56" s="1"/>
      <c r="MF56" s="1"/>
      <c r="MG56" s="1"/>
      <c r="MH56" s="1"/>
      <c r="MI56" s="1"/>
      <c r="MJ56" s="1"/>
      <c r="MK56" s="1"/>
      <c r="ML56" s="1"/>
      <c r="MM56" s="1"/>
      <c r="MN56" s="1"/>
      <c r="MO56" s="1"/>
      <c r="MP56" s="1"/>
      <c r="MQ56" s="1"/>
      <c r="MR56" s="1"/>
      <c r="MS56" s="1"/>
      <c r="MT56" s="1"/>
      <c r="MU56" s="1"/>
      <c r="MV56" s="1"/>
      <c r="MW56" s="1"/>
      <c r="MX56" s="1"/>
      <c r="MY56" s="1"/>
      <c r="MZ56" s="1"/>
      <c r="NA56" s="1"/>
      <c r="NB56" s="1"/>
      <c r="NC56" s="1"/>
      <c r="ND56" s="1"/>
      <c r="NE56" s="1"/>
      <c r="NF56" s="1"/>
      <c r="NG56" s="1"/>
      <c r="NH56" s="1"/>
      <c r="NI56" s="1"/>
      <c r="NJ56" s="1"/>
      <c r="NK56" s="1"/>
      <c r="NL56" s="1"/>
      <c r="NM56" s="1"/>
      <c r="NN56" s="1"/>
      <c r="NO56" s="1"/>
      <c r="NP56" s="1"/>
      <c r="NQ56" s="1"/>
      <c r="NR56" s="1"/>
      <c r="NS56" s="1"/>
      <c r="NT56" s="1"/>
      <c r="NU56" s="1"/>
      <c r="NV56" s="1"/>
      <c r="NW56" s="1"/>
      <c r="NX56" s="1"/>
      <c r="NY56" s="1"/>
      <c r="NZ56" s="1"/>
      <c r="OA56" s="1"/>
      <c r="OB56" s="1"/>
      <c r="OC56" s="1"/>
      <c r="OD56" s="1"/>
      <c r="OE56" s="1"/>
      <c r="OF56" s="1"/>
      <c r="OG56" s="1"/>
      <c r="OH56" s="1"/>
      <c r="OI56" s="1"/>
      <c r="OJ56" s="1"/>
      <c r="OK56" s="1"/>
      <c r="OL56" s="1"/>
      <c r="OM56" s="1"/>
      <c r="ON56" s="1"/>
      <c r="OO56" s="1"/>
      <c r="OP56" s="1"/>
      <c r="OQ56" s="1"/>
      <c r="OR56" s="1"/>
      <c r="OS56" s="1"/>
      <c r="OT56" s="1"/>
      <c r="OU56" s="1"/>
      <c r="OV56" s="1"/>
      <c r="OW56" s="1"/>
      <c r="OX56" s="1"/>
      <c r="OY56" s="1"/>
      <c r="OZ56" s="1"/>
      <c r="PA56" s="1"/>
      <c r="PB56" s="1"/>
      <c r="PC56" s="1"/>
      <c r="PD56" s="1"/>
      <c r="PE56" s="1"/>
      <c r="PF56" s="1"/>
      <c r="PG56" s="1"/>
      <c r="PH56" s="1"/>
      <c r="PI56" s="1"/>
      <c r="PJ56" s="1"/>
      <c r="PK56" s="1"/>
      <c r="PL56" s="1"/>
      <c r="PM56" s="1"/>
      <c r="PN56" s="1"/>
      <c r="PO56" s="1"/>
      <c r="PP56" s="1"/>
      <c r="PQ56" s="1"/>
      <c r="PR56" s="1"/>
      <c r="PS56" s="1"/>
      <c r="PT56" s="1"/>
      <c r="PU56" s="1"/>
      <c r="PV56" s="1"/>
      <c r="PW56" s="1"/>
      <c r="PX56" s="1"/>
      <c r="PY56" s="1"/>
      <c r="PZ56" s="1"/>
      <c r="QA56" s="1"/>
      <c r="QB56" s="1"/>
      <c r="QC56" s="1"/>
      <c r="QD56" s="1"/>
      <c r="QE56" s="1"/>
      <c r="QF56" s="1"/>
      <c r="QG56" s="1"/>
      <c r="QH56" s="1"/>
      <c r="QI56" s="1"/>
      <c r="QJ56" s="1"/>
      <c r="QK56" s="1"/>
      <c r="QL56" s="1"/>
      <c r="QM56" s="1"/>
      <c r="QN56" s="1"/>
      <c r="QO56" s="1"/>
      <c r="QP56" s="1"/>
      <c r="QQ56" s="1"/>
      <c r="QR56" s="1"/>
      <c r="QS56" s="1"/>
      <c r="QT56" s="1"/>
      <c r="QU56" s="1"/>
      <c r="QV56" s="1"/>
      <c r="QW56" s="1"/>
      <c r="QX56" s="1"/>
      <c r="QY56" s="1"/>
      <c r="QZ56" s="1"/>
      <c r="RA56" s="1"/>
      <c r="RB56" s="1"/>
      <c r="RC56" s="1"/>
      <c r="RD56" s="1"/>
      <c r="RE56" s="1"/>
      <c r="RF56" s="1"/>
      <c r="RG56" s="1"/>
      <c r="RH56" s="1"/>
      <c r="RI56" s="1"/>
      <c r="RJ56" s="1"/>
      <c r="RK56" s="1"/>
      <c r="RL56" s="1"/>
      <c r="RM56" s="1"/>
      <c r="RN56" s="1"/>
      <c r="RO56" s="1"/>
      <c r="RP56" s="1"/>
      <c r="RQ56" s="1"/>
      <c r="RR56" s="1"/>
      <c r="RS56" s="1"/>
      <c r="RT56" s="1"/>
      <c r="RU56" s="1"/>
      <c r="RV56" s="1"/>
      <c r="RW56" s="1"/>
      <c r="RX56" s="1"/>
      <c r="RY56" s="1"/>
      <c r="RZ56" s="1"/>
      <c r="SA56" s="1"/>
      <c r="SB56" s="1"/>
      <c r="SC56" s="1"/>
      <c r="SD56" s="1"/>
      <c r="SE56" s="1"/>
      <c r="SF56" s="1"/>
      <c r="SG56" s="1"/>
      <c r="SH56" s="1"/>
      <c r="SI56" s="1"/>
      <c r="SJ56" s="1"/>
      <c r="SK56" s="1"/>
      <c r="SL56" s="1"/>
      <c r="SM56" s="1"/>
      <c r="SN56" s="1"/>
      <c r="SO56" s="1"/>
      <c r="SP56" s="1"/>
      <c r="SQ56" s="1"/>
      <c r="SR56" s="1"/>
      <c r="SS56" s="1"/>
      <c r="ST56" s="1"/>
      <c r="SU56" s="1"/>
      <c r="SV56" s="1"/>
      <c r="SW56" s="1"/>
      <c r="SX56" s="1"/>
      <c r="SY56" s="1"/>
      <c r="SZ56" s="1"/>
      <c r="TA56" s="1"/>
      <c r="TB56" s="1"/>
      <c r="TC56" s="1"/>
      <c r="TD56" s="1"/>
      <c r="TE56" s="1"/>
      <c r="TF56" s="1"/>
      <c r="TG56" s="1"/>
      <c r="TH56" s="1"/>
      <c r="TI56" s="1"/>
      <c r="TJ56" s="1"/>
      <c r="TK56" s="1"/>
      <c r="TL56" s="1"/>
      <c r="TM56" s="1"/>
      <c r="TN56" s="1"/>
      <c r="TO56" s="1"/>
      <c r="TP56" s="1"/>
      <c r="TQ56" s="1"/>
      <c r="TR56" s="1"/>
      <c r="TS56" s="1"/>
      <c r="TT56" s="1"/>
      <c r="TU56" s="1"/>
      <c r="TV56" s="1"/>
      <c r="TW56" s="1"/>
      <c r="TX56" s="1"/>
      <c r="TY56" s="1"/>
      <c r="TZ56" s="1"/>
      <c r="UA56" s="1"/>
      <c r="UB56" s="1"/>
      <c r="UC56" s="1"/>
      <c r="UD56" s="1"/>
      <c r="UE56" s="1"/>
      <c r="UF56" s="1"/>
      <c r="UG56" s="1"/>
      <c r="UH56" s="1"/>
      <c r="UI56" s="1"/>
      <c r="UJ56" s="1"/>
      <c r="UK56" s="1"/>
      <c r="UL56" s="1"/>
      <c r="UM56" s="1"/>
      <c r="UN56" s="1"/>
      <c r="UO56" s="1"/>
      <c r="UP56" s="1"/>
      <c r="UQ56" s="1"/>
      <c r="UR56" s="1"/>
      <c r="US56" s="1"/>
      <c r="UT56" s="1"/>
      <c r="UU56" s="1"/>
      <c r="UV56" s="1"/>
      <c r="UW56" s="1"/>
      <c r="UX56" s="1"/>
      <c r="UY56" s="1"/>
      <c r="UZ56" s="1"/>
      <c r="VA56" s="1"/>
      <c r="VB56" s="1"/>
      <c r="VC56" s="1"/>
      <c r="VD56" s="1"/>
      <c r="VE56" s="1"/>
      <c r="VF56" s="1"/>
      <c r="VG56" s="1"/>
      <c r="VH56" s="1"/>
      <c r="VI56" s="1"/>
      <c r="VJ56" s="1"/>
      <c r="VK56" s="1"/>
      <c r="VL56" s="1"/>
      <c r="VM56" s="1"/>
      <c r="VN56" s="1"/>
      <c r="VO56" s="1"/>
      <c r="VP56" s="1"/>
      <c r="VQ56" s="1"/>
      <c r="VR56" s="1"/>
      <c r="VS56" s="1"/>
      <c r="VT56" s="1"/>
      <c r="VU56" s="1"/>
      <c r="VV56" s="1"/>
      <c r="VW56" s="1"/>
      <c r="VX56" s="1"/>
      <c r="VY56" s="1"/>
      <c r="VZ56" s="1"/>
      <c r="WA56" s="1"/>
      <c r="WB56" s="1"/>
      <c r="WC56" s="1"/>
      <c r="WD56" s="1"/>
      <c r="WE56" s="1"/>
      <c r="WF56" s="1"/>
      <c r="WG56" s="1"/>
      <c r="WH56" s="1"/>
      <c r="WI56" s="1"/>
      <c r="WJ56" s="1"/>
      <c r="WK56" s="1"/>
      <c r="WL56" s="1"/>
      <c r="WM56" s="1"/>
      <c r="WN56" s="1"/>
      <c r="WO56" s="1"/>
      <c r="WP56" s="1"/>
      <c r="WQ56" s="1"/>
      <c r="WR56" s="1"/>
      <c r="WS56" s="1"/>
      <c r="WT56" s="1"/>
      <c r="WU56" s="1"/>
      <c r="WV56" s="1"/>
      <c r="WW56" s="1"/>
      <c r="WX56" s="1"/>
      <c r="WY56" s="1"/>
      <c r="WZ56" s="1"/>
      <c r="XA56" s="1"/>
      <c r="XB56" s="1"/>
      <c r="XC56" s="1"/>
      <c r="XD56" s="1"/>
      <c r="XE56" s="1"/>
      <c r="XF56" s="1"/>
      <c r="XG56" s="1"/>
      <c r="XH56" s="1"/>
      <c r="XI56" s="1"/>
      <c r="XJ56" s="1"/>
      <c r="XK56" s="1"/>
      <c r="XL56" s="1"/>
      <c r="XM56" s="1"/>
      <c r="XN56" s="1"/>
      <c r="XO56" s="1"/>
      <c r="XP56" s="1"/>
      <c r="XQ56" s="1"/>
      <c r="XR56" s="1"/>
      <c r="XS56" s="1"/>
      <c r="XT56" s="1"/>
      <c r="XU56" s="1"/>
      <c r="XV56" s="1"/>
      <c r="XW56" s="1"/>
      <c r="XX56" s="1"/>
      <c r="XY56" s="1"/>
      <c r="XZ56" s="1"/>
      <c r="YA56" s="1"/>
      <c r="YB56" s="1"/>
      <c r="YC56" s="1"/>
      <c r="YD56" s="1"/>
      <c r="YE56" s="1"/>
      <c r="YF56" s="1"/>
      <c r="YG56" s="1"/>
      <c r="YH56" s="1"/>
      <c r="YI56" s="1"/>
      <c r="YJ56" s="1"/>
      <c r="YK56" s="1"/>
      <c r="YL56" s="1"/>
      <c r="YM56" s="1"/>
      <c r="YN56" s="1"/>
      <c r="YO56" s="1"/>
      <c r="YP56" s="1"/>
      <c r="YQ56" s="1"/>
      <c r="YR56" s="1"/>
      <c r="YS56" s="1"/>
      <c r="YT56" s="1"/>
      <c r="YU56" s="1"/>
      <c r="YV56" s="1"/>
      <c r="YW56" s="1"/>
      <c r="YX56" s="1"/>
      <c r="YY56" s="1"/>
      <c r="YZ56" s="1"/>
      <c r="ZA56" s="1"/>
      <c r="ZB56" s="1"/>
      <c r="ZC56" s="1"/>
      <c r="ZD56" s="1"/>
      <c r="ZE56" s="1"/>
      <c r="ZF56" s="1"/>
      <c r="ZG56" s="1"/>
      <c r="ZH56" s="1"/>
      <c r="ZI56" s="1"/>
      <c r="ZJ56" s="1"/>
      <c r="ZK56" s="1"/>
      <c r="ZL56" s="1"/>
      <c r="ZM56" s="1"/>
      <c r="ZN56" s="1"/>
      <c r="ZO56" s="1"/>
      <c r="ZP56" s="1"/>
      <c r="ZQ56" s="1"/>
      <c r="ZR56" s="1"/>
      <c r="ZS56" s="1"/>
      <c r="ZT56" s="1"/>
      <c r="ZU56" s="1"/>
      <c r="ZV56" s="1"/>
      <c r="ZW56" s="1"/>
      <c r="ZX56" s="1"/>
      <c r="ZY56" s="1"/>
      <c r="ZZ56" s="1"/>
      <c r="AAA56" s="1"/>
      <c r="AAB56" s="1"/>
      <c r="AAC56" s="1"/>
      <c r="AAD56" s="1"/>
      <c r="AAE56" s="1"/>
      <c r="AAF56" s="1"/>
      <c r="AAG56" s="1"/>
      <c r="AAH56" s="1"/>
      <c r="AAI56" s="1"/>
      <c r="AAJ56" s="1"/>
      <c r="AAK56" s="1"/>
      <c r="AAL56" s="1"/>
      <c r="AAM56" s="1"/>
      <c r="AAN56" s="1"/>
      <c r="AAO56" s="1"/>
      <c r="AAP56" s="1"/>
      <c r="AAQ56" s="1"/>
      <c r="AAR56" s="1"/>
      <c r="AAS56" s="1"/>
      <c r="AAT56" s="1"/>
      <c r="AAU56" s="1"/>
      <c r="AAV56" s="1"/>
      <c r="AAW56" s="1"/>
      <c r="AAX56" s="1"/>
      <c r="AAY56" s="1"/>
      <c r="AAZ56" s="1"/>
      <c r="ABA56" s="1"/>
      <c r="ABB56" s="1"/>
      <c r="ABC56" s="1"/>
      <c r="ABD56" s="1"/>
      <c r="ABE56" s="1"/>
      <c r="ABF56" s="1"/>
      <c r="ABG56" s="1"/>
      <c r="ABH56" s="1"/>
      <c r="ABI56" s="1"/>
      <c r="ABJ56" s="1"/>
      <c r="ABK56" s="1"/>
      <c r="ABL56" s="1"/>
      <c r="ABM56" s="1"/>
      <c r="ABN56" s="1"/>
      <c r="ABO56" s="1"/>
      <c r="ABP56" s="1"/>
      <c r="ABQ56" s="1"/>
      <c r="ABR56" s="1"/>
      <c r="ABS56" s="1"/>
      <c r="ABT56" s="1"/>
      <c r="ABU56" s="1"/>
      <c r="ABV56" s="1"/>
      <c r="ABW56" s="1"/>
      <c r="ABX56" s="1"/>
      <c r="ABY56" s="1"/>
      <c r="ABZ56" s="1"/>
      <c r="ACA56" s="1"/>
      <c r="ACB56" s="1"/>
      <c r="ACC56" s="1"/>
      <c r="ACD56" s="1"/>
      <c r="ACE56" s="1"/>
      <c r="ACF56" s="1"/>
      <c r="ACG56" s="1"/>
      <c r="ACH56" s="1"/>
      <c r="ACI56" s="1"/>
      <c r="ACJ56" s="1"/>
      <c r="ACK56" s="1"/>
      <c r="ACL56" s="1"/>
      <c r="ACM56" s="1"/>
      <c r="ACN56" s="1"/>
      <c r="ACO56" s="1"/>
      <c r="ACP56" s="1"/>
      <c r="ACQ56" s="1"/>
      <c r="ACR56" s="1"/>
      <c r="ACS56" s="1"/>
      <c r="ACT56" s="1"/>
      <c r="ACU56" s="1"/>
      <c r="ACV56" s="1"/>
      <c r="ACW56" s="1"/>
      <c r="ACX56" s="1"/>
      <c r="ACY56" s="1"/>
      <c r="ACZ56" s="1"/>
      <c r="ADA56" s="1"/>
      <c r="ADB56" s="1"/>
      <c r="ADC56" s="1"/>
      <c r="ADD56" s="1"/>
      <c r="ADE56" s="1"/>
      <c r="ADF56" s="1"/>
      <c r="ADG56" s="1"/>
      <c r="ADH56" s="1"/>
      <c r="ADI56" s="1"/>
      <c r="ADJ56" s="1"/>
      <c r="ADK56" s="1"/>
      <c r="ADL56" s="1"/>
      <c r="ADM56" s="1"/>
      <c r="ADN56" s="1"/>
      <c r="ADO56" s="1"/>
      <c r="ADP56" s="1"/>
      <c r="ADQ56" s="1"/>
      <c r="ADR56" s="1"/>
      <c r="ADS56" s="1"/>
      <c r="ADT56" s="1"/>
      <c r="ADU56" s="1"/>
      <c r="ADV56" s="1"/>
      <c r="ADW56" s="1"/>
      <c r="ADX56" s="1"/>
      <c r="ADY56" s="1"/>
      <c r="ADZ56" s="1"/>
      <c r="AEA56" s="1"/>
      <c r="AEB56" s="1"/>
      <c r="AEC56" s="1"/>
      <c r="AED56" s="1"/>
      <c r="AEE56" s="1"/>
      <c r="AEF56" s="1"/>
      <c r="AEG56" s="1"/>
      <c r="AEH56" s="1"/>
      <c r="AEI56" s="1"/>
      <c r="AEJ56" s="1"/>
      <c r="AEK56" s="1"/>
      <c r="AEL56" s="1"/>
      <c r="AEM56" s="1"/>
      <c r="AEN56" s="1"/>
      <c r="AEO56" s="1"/>
      <c r="AEP56" s="1"/>
      <c r="AEQ56" s="1"/>
      <c r="AER56" s="1"/>
      <c r="AES56" s="1"/>
      <c r="AET56" s="1"/>
      <c r="AEU56" s="1"/>
      <c r="AEV56" s="1"/>
      <c r="AEW56" s="1"/>
      <c r="AEX56" s="1"/>
      <c r="AEY56" s="1"/>
      <c r="AEZ56" s="1"/>
      <c r="AFA56" s="1"/>
      <c r="AFB56" s="1"/>
      <c r="AFC56" s="1"/>
      <c r="AFD56" s="1"/>
      <c r="AFE56" s="1"/>
      <c r="AFF56" s="1"/>
      <c r="AFG56" s="1"/>
      <c r="AFH56" s="1"/>
      <c r="AFI56" s="1"/>
      <c r="AFJ56" s="1"/>
      <c r="AFK56" s="1"/>
      <c r="AFL56" s="1"/>
      <c r="AFM56" s="1"/>
      <c r="AFN56" s="1"/>
      <c r="AFO56" s="1"/>
      <c r="AFP56" s="1"/>
      <c r="AFQ56" s="1"/>
      <c r="AFR56" s="1"/>
      <c r="AFS56" s="1"/>
      <c r="AFT56" s="1"/>
      <c r="AFU56" s="1"/>
      <c r="AFV56" s="1"/>
      <c r="AFW56" s="1"/>
      <c r="AFX56" s="1"/>
      <c r="AFY56" s="1"/>
      <c r="AFZ56" s="1"/>
      <c r="AGA56" s="1"/>
      <c r="AGB56" s="1"/>
      <c r="AGC56" s="1"/>
      <c r="AGD56" s="1"/>
      <c r="AGE56" s="1"/>
      <c r="AGF56" s="1"/>
      <c r="AGG56" s="1"/>
      <c r="AGH56" s="1"/>
      <c r="AGI56" s="1"/>
      <c r="AGJ56" s="1"/>
      <c r="AGK56" s="1"/>
      <c r="AGL56" s="1"/>
      <c r="AGM56" s="1"/>
      <c r="AGN56" s="1"/>
      <c r="AGO56" s="1"/>
      <c r="AGP56" s="1"/>
      <c r="AGQ56" s="1"/>
      <c r="AGR56" s="1"/>
      <c r="AGS56" s="1"/>
      <c r="AGT56" s="1"/>
      <c r="AGU56" s="1"/>
      <c r="AGV56" s="1"/>
      <c r="AGW56" s="1"/>
      <c r="AGX56" s="1"/>
      <c r="AGY56" s="1"/>
      <c r="AGZ56" s="1"/>
      <c r="AHA56" s="1"/>
      <c r="AHB56" s="1"/>
      <c r="AHC56" s="1"/>
      <c r="AHD56" s="1"/>
      <c r="AHE56" s="1"/>
      <c r="AHF56" s="1"/>
      <c r="AHG56" s="1"/>
      <c r="AHH56" s="1"/>
      <c r="AHI56" s="1"/>
      <c r="AHJ56" s="1"/>
      <c r="AHK56" s="1"/>
      <c r="AHL56" s="1"/>
      <c r="AHM56" s="1"/>
      <c r="AHN56" s="1"/>
      <c r="AHO56" s="1"/>
      <c r="AHP56" s="1"/>
      <c r="AHQ56" s="1"/>
      <c r="AHR56" s="1"/>
      <c r="AHS56" s="1"/>
      <c r="AHT56" s="1"/>
      <c r="AHU56" s="1"/>
      <c r="AHV56" s="1"/>
      <c r="AHW56" s="1"/>
      <c r="AHX56" s="1"/>
      <c r="AHY56" s="1"/>
      <c r="AHZ56" s="1"/>
      <c r="AIA56" s="1"/>
      <c r="AIB56" s="1"/>
      <c r="AIC56" s="1"/>
      <c r="AID56" s="1"/>
      <c r="AIE56" s="1"/>
      <c r="AIF56" s="1"/>
      <c r="AIG56" s="1"/>
      <c r="AIH56" s="1"/>
      <c r="AII56" s="1"/>
      <c r="AIJ56" s="1"/>
      <c r="AIK56" s="1"/>
      <c r="AIL56" s="1"/>
      <c r="AIM56" s="1"/>
      <c r="AIN56" s="1"/>
      <c r="AIO56" s="1"/>
      <c r="AIP56" s="1"/>
      <c r="AIQ56" s="1"/>
      <c r="AIR56" s="1"/>
      <c r="AIS56" s="1"/>
      <c r="AIT56" s="1"/>
      <c r="AIU56" s="1"/>
      <c r="AIV56" s="1"/>
      <c r="AIW56" s="1"/>
      <c r="AIX56" s="1"/>
      <c r="AIY56" s="1"/>
      <c r="AIZ56" s="1"/>
      <c r="AJA56" s="1"/>
      <c r="AJB56" s="1"/>
      <c r="AJC56" s="1"/>
      <c r="AJD56" s="1"/>
      <c r="AJE56" s="1"/>
      <c r="AJF56" s="1"/>
      <c r="AJG56" s="1"/>
      <c r="AJH56" s="1"/>
      <c r="AJI56" s="1"/>
      <c r="AJJ56" s="1"/>
      <c r="AJK56" s="1"/>
      <c r="AJL56" s="1"/>
      <c r="AJM56" s="1"/>
      <c r="AJN56" s="1"/>
      <c r="AJO56" s="1"/>
      <c r="AJP56" s="1"/>
      <c r="AJQ56" s="1"/>
      <c r="AJR56" s="1"/>
      <c r="AJS56" s="1"/>
      <c r="AJT56" s="1"/>
      <c r="AJU56" s="1"/>
      <c r="AJV56" s="1"/>
      <c r="AJW56" s="1"/>
      <c r="AJX56" s="1"/>
      <c r="AJY56" s="1"/>
      <c r="AJZ56" s="1"/>
      <c r="AKA56" s="1"/>
      <c r="AKB56" s="1"/>
      <c r="AKC56" s="1"/>
      <c r="AKD56" s="1"/>
      <c r="AKE56" s="1"/>
      <c r="AKF56" s="1"/>
      <c r="AKG56" s="1"/>
      <c r="AKH56" s="1"/>
      <c r="AKI56" s="1"/>
      <c r="AKJ56" s="1"/>
      <c r="AKK56" s="1"/>
      <c r="AKL56" s="1"/>
      <c r="AKM56" s="1"/>
      <c r="AKN56" s="1"/>
      <c r="AKO56" s="1"/>
      <c r="AKP56" s="1"/>
      <c r="AKQ56" s="1"/>
      <c r="AKR56" s="1"/>
      <c r="AKS56" s="1"/>
      <c r="AKT56" s="1"/>
      <c r="AKU56" s="1"/>
      <c r="AKV56" s="1"/>
      <c r="AKW56" s="1"/>
      <c r="AKX56" s="1"/>
      <c r="AKY56" s="1"/>
      <c r="AKZ56" s="1"/>
      <c r="ALA56" s="1"/>
      <c r="ALB56" s="1"/>
      <c r="ALC56" s="1"/>
      <c r="ALD56" s="1"/>
      <c r="ALE56" s="1"/>
      <c r="ALF56" s="1"/>
      <c r="ALG56" s="1"/>
      <c r="ALH56" s="1"/>
      <c r="ALI56" s="1"/>
      <c r="ALJ56" s="1"/>
      <c r="ALK56" s="1"/>
      <c r="ALL56" s="1"/>
      <c r="ALM56" s="1"/>
      <c r="ALN56" s="1"/>
      <c r="ALO56" s="1"/>
      <c r="ALP56" s="1"/>
      <c r="ALQ56" s="1"/>
      <c r="ALR56" s="1"/>
      <c r="ALS56" s="1"/>
      <c r="ALT56" s="1"/>
      <c r="ALU56" s="1"/>
      <c r="ALV56" s="1"/>
      <c r="ALW56" s="1"/>
      <c r="ALX56" s="1"/>
      <c r="ALY56" s="1"/>
      <c r="ALZ56" s="1"/>
      <c r="AMA56" s="1"/>
      <c r="AMB56" s="1"/>
      <c r="AMC56" s="1"/>
      <c r="AMD56" s="1"/>
      <c r="AME56" s="1"/>
      <c r="AMF56" s="1"/>
      <c r="AMG56" s="1"/>
      <c r="AMH56" s="1"/>
      <c r="AMI56" s="1"/>
      <c r="AMJ56" s="1"/>
      <c r="AMK56" s="1"/>
      <c r="AML56" s="1"/>
      <c r="AMM56" s="1"/>
      <c r="AMN56" s="1"/>
      <c r="AMO56" s="1"/>
      <c r="AMP56" s="1"/>
      <c r="AMQ56" s="1"/>
      <c r="AMR56" s="1"/>
      <c r="AMS56" s="1"/>
      <c r="AMT56" s="1"/>
      <c r="AMU56" s="1"/>
      <c r="AMV56" s="1"/>
      <c r="AMW56" s="1"/>
      <c r="AMX56" s="1"/>
      <c r="AMY56" s="1"/>
      <c r="AMZ56" s="1"/>
      <c r="ANA56" s="1"/>
      <c r="ANB56" s="1"/>
      <c r="ANC56" s="1"/>
      <c r="AND56" s="1"/>
      <c r="ANE56" s="1"/>
      <c r="ANF56" s="1"/>
      <c r="ANG56" s="1"/>
      <c r="ANH56" s="1"/>
      <c r="ANI56" s="1"/>
      <c r="ANJ56" s="1"/>
      <c r="ANK56" s="1"/>
      <c r="ANL56" s="1"/>
      <c r="ANM56" s="1"/>
      <c r="ANN56" s="1"/>
      <c r="ANO56" s="1"/>
      <c r="ANP56" s="1"/>
      <c r="ANQ56" s="1"/>
      <c r="ANR56" s="1"/>
      <c r="ANS56" s="1"/>
      <c r="ANT56" s="1"/>
      <c r="ANU56" s="1"/>
      <c r="ANV56" s="1"/>
      <c r="ANW56" s="1"/>
      <c r="ANX56" s="1"/>
      <c r="ANY56" s="1"/>
      <c r="ANZ56" s="1"/>
      <c r="AOA56" s="1"/>
      <c r="AOB56" s="1"/>
      <c r="AOC56" s="1"/>
      <c r="AOD56" s="1"/>
      <c r="AOE56" s="1"/>
      <c r="AOF56" s="1"/>
      <c r="AOG56" s="1"/>
      <c r="AOH56" s="1"/>
      <c r="AOI56" s="1"/>
      <c r="AOJ56" s="1"/>
      <c r="AOK56" s="1"/>
      <c r="AOL56" s="1"/>
      <c r="AOM56" s="1"/>
      <c r="AON56" s="1"/>
      <c r="AOO56" s="1"/>
      <c r="AOP56" s="1"/>
      <c r="AOQ56" s="1"/>
      <c r="AOR56" s="1"/>
      <c r="AOS56" s="1"/>
      <c r="AOT56" s="1"/>
      <c r="AOU56" s="1"/>
      <c r="AOV56" s="1"/>
      <c r="AOW56" s="1"/>
      <c r="AOX56" s="1"/>
      <c r="AOY56" s="1"/>
      <c r="AOZ56" s="1"/>
      <c r="APA56" s="1"/>
      <c r="APB56" s="1"/>
      <c r="APC56" s="1"/>
      <c r="APD56" s="1"/>
      <c r="APE56" s="1"/>
      <c r="APF56" s="1"/>
      <c r="APG56" s="1"/>
      <c r="APH56" s="1"/>
      <c r="API56" s="1"/>
      <c r="APJ56" s="1"/>
      <c r="APK56" s="1"/>
      <c r="APL56" s="1"/>
      <c r="APM56" s="1"/>
      <c r="APN56" s="1"/>
      <c r="APO56" s="1"/>
      <c r="APP56" s="1"/>
      <c r="APQ56" s="1"/>
      <c r="APR56" s="1"/>
      <c r="APS56" s="1"/>
      <c r="APT56" s="1"/>
      <c r="APU56" s="1"/>
      <c r="APV56" s="1"/>
      <c r="APW56" s="1"/>
      <c r="APX56" s="1"/>
      <c r="APY56" s="1"/>
      <c r="APZ56" s="1"/>
      <c r="AQA56" s="1"/>
      <c r="AQB56" s="1"/>
      <c r="AQC56" s="1"/>
      <c r="AQD56" s="1"/>
      <c r="AQE56" s="1"/>
      <c r="AQF56" s="1"/>
      <c r="AQG56" s="1"/>
      <c r="AQH56" s="1"/>
      <c r="AQI56" s="1"/>
      <c r="AQJ56" s="1"/>
      <c r="AQK56" s="1"/>
      <c r="AQL56" s="1"/>
      <c r="AQM56" s="1"/>
      <c r="AQN56" s="1"/>
      <c r="AQO56" s="1"/>
      <c r="AQP56" s="1"/>
      <c r="AQQ56" s="1"/>
      <c r="AQR56" s="1"/>
      <c r="AQS56" s="1"/>
      <c r="AQT56" s="1"/>
      <c r="AQU56" s="1"/>
      <c r="AQV56" s="1"/>
      <c r="AQW56" s="1"/>
      <c r="AQX56" s="1"/>
      <c r="AQY56" s="1"/>
      <c r="AQZ56" s="1"/>
      <c r="ARA56" s="1"/>
      <c r="ARB56" s="1"/>
      <c r="ARC56" s="1"/>
      <c r="ARD56" s="1"/>
      <c r="ARE56" s="1"/>
      <c r="ARF56" s="1"/>
      <c r="ARG56" s="1"/>
      <c r="ARH56" s="1"/>
      <c r="ARI56" s="1"/>
      <c r="ARJ56" s="1"/>
      <c r="ARK56" s="1"/>
      <c r="ARL56" s="1"/>
      <c r="ARM56" s="1"/>
      <c r="ARN56" s="1"/>
      <c r="ARO56" s="1"/>
      <c r="ARP56" s="1"/>
      <c r="ARQ56" s="1"/>
      <c r="ARR56" s="1"/>
      <c r="ARS56" s="1"/>
      <c r="ART56" s="1"/>
      <c r="ARU56" s="1"/>
      <c r="ARV56" s="1"/>
      <c r="ARW56" s="1"/>
      <c r="ARX56" s="1"/>
      <c r="ARY56" s="1"/>
      <c r="ARZ56" s="1"/>
      <c r="ASA56" s="1"/>
      <c r="ASB56" s="1"/>
      <c r="ASC56" s="1"/>
      <c r="ASD56" s="1"/>
      <c r="ASE56" s="1"/>
      <c r="ASF56" s="1"/>
      <c r="ASG56" s="1"/>
      <c r="ASH56" s="1"/>
      <c r="ASI56" s="1"/>
      <c r="ASJ56" s="1"/>
      <c r="ASK56" s="1"/>
      <c r="ASL56" s="1"/>
      <c r="ASM56" s="1"/>
      <c r="ASN56" s="1"/>
      <c r="ASO56" s="1"/>
      <c r="ASP56" s="1"/>
      <c r="ASQ56" s="1"/>
      <c r="ASR56" s="1"/>
      <c r="ASS56" s="1"/>
      <c r="AST56" s="1"/>
      <c r="ASU56" s="1"/>
      <c r="ASV56" s="1"/>
      <c r="ASW56" s="1"/>
      <c r="ASX56" s="1"/>
      <c r="ASY56" s="1"/>
      <c r="ASZ56" s="1"/>
      <c r="ATA56" s="1"/>
      <c r="ATB56" s="1"/>
      <c r="ATC56" s="1"/>
      <c r="ATD56" s="1"/>
      <c r="ATE56" s="1"/>
      <c r="ATF56" s="1"/>
      <c r="ATG56" s="1"/>
      <c r="ATH56" s="1"/>
      <c r="ATI56" s="1"/>
      <c r="ATJ56" s="1"/>
      <c r="ATK56" s="1"/>
      <c r="ATL56" s="1"/>
      <c r="ATM56" s="1"/>
      <c r="ATN56" s="1"/>
      <c r="ATO56" s="1"/>
      <c r="ATP56" s="1"/>
      <c r="ATQ56" s="1"/>
      <c r="ATR56" s="1"/>
      <c r="ATS56" s="1"/>
      <c r="ATT56" s="1"/>
      <c r="ATU56" s="1"/>
      <c r="ATV56" s="1"/>
      <c r="ATW56" s="1"/>
      <c r="ATX56" s="1"/>
      <c r="ATY56" s="1"/>
      <c r="ATZ56" s="1"/>
      <c r="AUA56" s="1"/>
      <c r="AUB56" s="1"/>
      <c r="AUC56" s="1"/>
      <c r="AUD56" s="1"/>
      <c r="AUE56" s="1"/>
      <c r="AUF56" s="1"/>
      <c r="AUG56" s="1"/>
      <c r="AUH56" s="1"/>
      <c r="AUI56" s="1"/>
      <c r="AUJ56" s="1"/>
      <c r="AUK56" s="1"/>
      <c r="AUL56" s="1"/>
      <c r="AUM56" s="1"/>
      <c r="AUN56" s="1"/>
      <c r="AUO56" s="1"/>
      <c r="AUP56" s="1"/>
      <c r="AUQ56" s="1"/>
      <c r="AUR56" s="1"/>
      <c r="AUS56" s="1"/>
      <c r="AUT56" s="1"/>
      <c r="AUU56" s="1"/>
      <c r="AUV56" s="1"/>
      <c r="AUW56" s="1"/>
      <c r="AUX56" s="1"/>
      <c r="AUY56" s="1"/>
      <c r="AUZ56" s="1"/>
      <c r="AVA56" s="1"/>
      <c r="AVB56" s="1"/>
      <c r="AVC56" s="1"/>
      <c r="AVD56" s="1"/>
      <c r="AVE56" s="1"/>
      <c r="AVF56" s="1"/>
      <c r="AVG56" s="1"/>
      <c r="AVH56" s="1"/>
      <c r="AVI56" s="1"/>
      <c r="AVJ56" s="1"/>
      <c r="AVK56" s="1"/>
      <c r="AVL56" s="1"/>
      <c r="AVM56" s="1"/>
      <c r="AVN56" s="1"/>
      <c r="AVO56" s="1"/>
      <c r="AVP56" s="1"/>
      <c r="AVQ56" s="1"/>
      <c r="AVR56" s="1"/>
      <c r="AVS56" s="1"/>
      <c r="AVT56" s="1"/>
      <c r="AVU56" s="1"/>
      <c r="AVV56" s="1"/>
      <c r="AVW56" s="1"/>
      <c r="AVX56" s="1"/>
      <c r="AVY56" s="1"/>
      <c r="AVZ56" s="1"/>
      <c r="AWA56" s="1"/>
      <c r="AWB56" s="1"/>
      <c r="AWC56" s="1"/>
      <c r="AWD56" s="1"/>
      <c r="AWE56" s="1"/>
      <c r="AWF56" s="1"/>
      <c r="AWG56" s="1"/>
      <c r="AWH56" s="1"/>
      <c r="AWI56" s="1"/>
      <c r="AWJ56" s="1"/>
      <c r="AWK56" s="1"/>
      <c r="AWL56" s="1"/>
      <c r="AWM56" s="1"/>
      <c r="AWN56" s="1"/>
      <c r="AWO56" s="1"/>
      <c r="AWP56" s="1"/>
      <c r="AWQ56" s="1"/>
      <c r="AWR56" s="1"/>
      <c r="AWS56" s="1"/>
      <c r="AWT56" s="1"/>
      <c r="AWU56" s="1"/>
      <c r="AWV56" s="1"/>
      <c r="AWW56" s="1"/>
      <c r="AWX56" s="1"/>
      <c r="AWY56" s="1"/>
      <c r="AWZ56" s="1"/>
      <c r="AXA56" s="1"/>
      <c r="AXB56" s="1"/>
      <c r="AXC56" s="1"/>
      <c r="AXD56" s="1"/>
      <c r="AXE56" s="1"/>
      <c r="AXF56" s="1"/>
      <c r="AXG56" s="1"/>
      <c r="AXH56" s="1"/>
      <c r="AXI56" s="1"/>
      <c r="AXJ56" s="1"/>
      <c r="AXK56" s="1"/>
      <c r="AXL56" s="1"/>
      <c r="AXM56" s="1"/>
      <c r="AXN56" s="1"/>
      <c r="AXO56" s="1"/>
      <c r="AXP56" s="1"/>
      <c r="AXQ56" s="1"/>
      <c r="AXR56" s="1"/>
      <c r="AXS56" s="1"/>
      <c r="AXT56" s="1"/>
      <c r="AXU56" s="1"/>
      <c r="AXV56" s="1"/>
      <c r="AXW56" s="1"/>
      <c r="AXX56" s="1"/>
      <c r="AXY56" s="1"/>
      <c r="AXZ56" s="1"/>
      <c r="AYA56" s="1"/>
      <c r="AYB56" s="1"/>
      <c r="AYC56" s="1"/>
      <c r="AYD56" s="1"/>
      <c r="AYE56" s="1"/>
      <c r="AYF56" s="1"/>
      <c r="AYG56" s="1"/>
      <c r="AYH56" s="1"/>
      <c r="AYI56" s="1"/>
      <c r="AYJ56" s="1"/>
      <c r="AYK56" s="1"/>
      <c r="AYL56" s="1"/>
      <c r="AYM56" s="1"/>
      <c r="AYN56" s="1"/>
      <c r="AYO56" s="1"/>
      <c r="AYP56" s="1"/>
      <c r="AYQ56" s="1"/>
      <c r="AYR56" s="1"/>
      <c r="AYS56" s="1"/>
      <c r="AYT56" s="1"/>
      <c r="AYU56" s="1"/>
      <c r="AYV56" s="1"/>
      <c r="AYW56" s="1"/>
      <c r="AYX56" s="1"/>
      <c r="AYY56" s="1"/>
      <c r="AYZ56" s="1"/>
      <c r="AZA56" s="1"/>
      <c r="AZB56" s="1"/>
      <c r="AZC56" s="1"/>
      <c r="AZD56" s="1"/>
      <c r="AZE56" s="1"/>
      <c r="AZF56" s="1"/>
      <c r="AZG56" s="1"/>
      <c r="AZH56" s="1"/>
      <c r="AZI56" s="1"/>
      <c r="AZJ56" s="1"/>
      <c r="AZK56" s="1"/>
      <c r="AZL56" s="1"/>
      <c r="AZM56" s="1"/>
      <c r="AZN56" s="1"/>
      <c r="AZO56" s="1"/>
      <c r="AZP56" s="1"/>
      <c r="AZQ56" s="1"/>
      <c r="AZR56" s="1"/>
      <c r="AZS56" s="1"/>
      <c r="AZT56" s="1"/>
      <c r="AZU56" s="1"/>
      <c r="AZV56" s="1"/>
      <c r="AZW56" s="1"/>
      <c r="AZX56" s="1"/>
      <c r="AZY56" s="1"/>
      <c r="AZZ56" s="1"/>
      <c r="BAA56" s="1"/>
      <c r="BAB56" s="1"/>
      <c r="BAC56" s="1"/>
      <c r="BAD56" s="1"/>
      <c r="BAE56" s="1"/>
      <c r="BAF56" s="1"/>
      <c r="BAG56" s="1"/>
      <c r="BAH56" s="1"/>
      <c r="BAI56" s="1"/>
      <c r="BAJ56" s="1"/>
      <c r="BAK56" s="1"/>
      <c r="BAL56" s="1"/>
      <c r="BAM56" s="1"/>
      <c r="BAN56" s="1"/>
      <c r="BAO56" s="1"/>
      <c r="BAP56" s="1"/>
      <c r="BAQ56" s="1"/>
      <c r="BAR56" s="1"/>
      <c r="BAS56" s="1"/>
      <c r="BAT56" s="1"/>
      <c r="BAU56" s="1"/>
      <c r="BAV56" s="1"/>
      <c r="BAW56" s="1"/>
      <c r="BAX56" s="1"/>
      <c r="BAY56" s="1"/>
      <c r="BAZ56" s="1"/>
      <c r="BBA56" s="1"/>
      <c r="BBB56" s="1"/>
      <c r="BBC56" s="1"/>
      <c r="BBD56" s="1"/>
      <c r="BBE56" s="1"/>
      <c r="BBF56" s="1"/>
      <c r="BBG56" s="1"/>
      <c r="BBH56" s="1"/>
      <c r="BBI56" s="1"/>
      <c r="BBJ56" s="1"/>
      <c r="BBK56" s="1"/>
      <c r="BBL56" s="1"/>
      <c r="BBM56" s="1"/>
      <c r="BBN56" s="1"/>
      <c r="BBO56" s="1"/>
      <c r="BBP56" s="1"/>
      <c r="BBQ56" s="1"/>
      <c r="BBR56" s="1"/>
      <c r="BBS56" s="1"/>
      <c r="BBT56" s="1"/>
      <c r="BBU56" s="1"/>
      <c r="BBV56" s="1"/>
      <c r="BBW56" s="1"/>
      <c r="BBX56" s="1"/>
      <c r="BBY56" s="1"/>
      <c r="BBZ56" s="1"/>
      <c r="BCA56" s="1"/>
      <c r="BCB56" s="1"/>
      <c r="BCC56" s="1"/>
      <c r="BCD56" s="1"/>
      <c r="BCE56" s="1"/>
      <c r="BCF56" s="1"/>
      <c r="BCG56" s="1"/>
      <c r="BCH56" s="1"/>
      <c r="BCI56" s="1"/>
      <c r="BCJ56" s="1"/>
      <c r="BCK56" s="1"/>
      <c r="BCL56" s="1"/>
      <c r="BCM56" s="1"/>
      <c r="BCN56" s="1"/>
      <c r="BCO56" s="1"/>
      <c r="BCP56" s="1"/>
      <c r="BCQ56" s="1"/>
      <c r="BCR56" s="1"/>
      <c r="BCS56" s="1"/>
      <c r="BCT56" s="1"/>
      <c r="BCU56" s="1"/>
      <c r="BCV56" s="1"/>
      <c r="BCW56" s="1"/>
      <c r="BCX56" s="1"/>
      <c r="BCY56" s="1"/>
      <c r="BCZ56" s="1"/>
      <c r="BDA56" s="1"/>
      <c r="BDB56" s="1"/>
      <c r="BDC56" s="1"/>
      <c r="BDD56" s="1"/>
      <c r="BDE56" s="1"/>
      <c r="BDF56" s="1"/>
      <c r="BDG56" s="1"/>
      <c r="BDH56" s="1"/>
      <c r="BDI56" s="1"/>
      <c r="BDJ56" s="1"/>
      <c r="BDK56" s="1"/>
      <c r="BDL56" s="1"/>
      <c r="BDM56" s="1"/>
      <c r="BDN56" s="1"/>
      <c r="BDO56" s="1"/>
      <c r="BDP56" s="1"/>
      <c r="BDQ56" s="1"/>
      <c r="BDR56" s="1"/>
      <c r="BDS56" s="1"/>
      <c r="BDT56" s="1"/>
      <c r="BDU56" s="1"/>
      <c r="BDV56" s="1"/>
      <c r="BDW56" s="1"/>
      <c r="BDX56" s="1"/>
      <c r="BDY56" s="1"/>
      <c r="BDZ56" s="1"/>
      <c r="BEA56" s="1"/>
      <c r="BEB56" s="1"/>
      <c r="BEC56" s="1"/>
      <c r="BED56" s="1"/>
      <c r="BEE56" s="1"/>
      <c r="BEF56" s="1"/>
      <c r="BEG56" s="1"/>
      <c r="BEH56" s="1"/>
      <c r="BEI56" s="1"/>
      <c r="BEJ56" s="1"/>
      <c r="BEK56" s="1"/>
      <c r="BEL56" s="1"/>
      <c r="BEM56" s="1"/>
      <c r="BEN56" s="1"/>
      <c r="BEO56" s="1"/>
      <c r="BEP56" s="1"/>
      <c r="BEQ56" s="1"/>
      <c r="BER56" s="1"/>
      <c r="BES56" s="1"/>
      <c r="BET56" s="1"/>
      <c r="BEU56" s="1"/>
      <c r="BEV56" s="1"/>
      <c r="BEW56" s="1"/>
      <c r="BEX56" s="1"/>
      <c r="BEY56" s="1"/>
      <c r="BEZ56" s="1"/>
      <c r="BFA56" s="1"/>
      <c r="BFB56" s="1"/>
      <c r="BFC56" s="1"/>
      <c r="BFD56" s="1"/>
      <c r="BFE56" s="1"/>
      <c r="BFF56" s="1"/>
      <c r="BFG56" s="1"/>
      <c r="BFH56" s="1"/>
      <c r="BFI56" s="1"/>
      <c r="BFJ56" s="1"/>
      <c r="BFK56" s="1"/>
      <c r="BFL56" s="1"/>
      <c r="BFM56" s="1"/>
      <c r="BFN56" s="1"/>
      <c r="BFO56" s="1"/>
      <c r="BFP56" s="1"/>
      <c r="BFQ56" s="1"/>
      <c r="BFR56" s="1"/>
      <c r="BFS56" s="1"/>
      <c r="BFT56" s="1"/>
      <c r="BFU56" s="1"/>
      <c r="BFV56" s="1"/>
      <c r="BFW56" s="1"/>
      <c r="BFX56" s="1"/>
      <c r="BFY56" s="1"/>
      <c r="BFZ56" s="1"/>
      <c r="BGA56" s="1"/>
      <c r="BGB56" s="1"/>
      <c r="BGC56" s="1"/>
      <c r="BGD56" s="1"/>
      <c r="BGE56" s="1"/>
      <c r="BGF56" s="1"/>
      <c r="BGG56" s="1"/>
      <c r="BGH56" s="1"/>
      <c r="BGI56" s="1"/>
      <c r="BGJ56" s="1"/>
      <c r="BGK56" s="1"/>
      <c r="BGL56" s="1"/>
      <c r="BGM56" s="1"/>
      <c r="BGN56" s="1"/>
      <c r="BGO56" s="1"/>
      <c r="BGP56" s="1"/>
      <c r="BGQ56" s="1"/>
      <c r="BGR56" s="1"/>
      <c r="BGS56" s="1"/>
      <c r="BGT56" s="1"/>
      <c r="BGU56" s="1"/>
      <c r="BGV56" s="1"/>
      <c r="BGW56" s="1"/>
      <c r="BGX56" s="1"/>
      <c r="BGY56" s="1"/>
      <c r="BGZ56" s="1"/>
      <c r="BHA56" s="1"/>
    </row>
    <row r="57" spans="1:1561" ht="12.75" customHeight="1" x14ac:dyDescent="0.2">
      <c r="A57" s="2209"/>
      <c r="B57" s="737" t="s">
        <v>1074</v>
      </c>
      <c r="C57" s="772">
        <v>185000</v>
      </c>
      <c r="D57" s="772">
        <f>185000+214600</f>
        <v>399600</v>
      </c>
      <c r="E57" s="968">
        <v>500950</v>
      </c>
      <c r="F57" s="854"/>
      <c r="G57" s="2200">
        <f t="shared" si="28"/>
        <v>270.7837837837838</v>
      </c>
      <c r="H57" s="2200">
        <f t="shared" si="29"/>
        <v>125.36286286286287</v>
      </c>
      <c r="I57" s="2201">
        <f t="shared" si="30"/>
        <v>161.41453198002256</v>
      </c>
      <c r="J57" s="29">
        <v>310350</v>
      </c>
    </row>
    <row r="58" spans="1:1561" ht="12.75" customHeight="1" x14ac:dyDescent="0.2">
      <c r="A58" s="2209"/>
      <c r="B58" s="737" t="s">
        <v>1076</v>
      </c>
      <c r="C58" s="767">
        <v>7000</v>
      </c>
      <c r="D58" s="767">
        <v>7000</v>
      </c>
      <c r="E58" s="968">
        <v>10300</v>
      </c>
      <c r="F58" s="854"/>
      <c r="G58" s="2200">
        <f t="shared" si="28"/>
        <v>147.14285714285717</v>
      </c>
      <c r="H58" s="2200">
        <f t="shared" si="29"/>
        <v>147.14285714285717</v>
      </c>
      <c r="I58" s="2201">
        <f t="shared" si="30"/>
        <v>88.034188034188034</v>
      </c>
      <c r="J58" s="29">
        <v>11700</v>
      </c>
    </row>
    <row r="59" spans="1:1561" ht="12.75" customHeight="1" x14ac:dyDescent="0.2">
      <c r="A59" s="2199">
        <v>1381</v>
      </c>
      <c r="B59" s="717" t="s">
        <v>3044</v>
      </c>
      <c r="C59" s="1690">
        <v>0</v>
      </c>
      <c r="D59" s="1690">
        <v>0</v>
      </c>
      <c r="E59" s="746">
        <v>36129.199999999997</v>
      </c>
      <c r="F59" s="1703"/>
      <c r="G59" s="1663">
        <v>0</v>
      </c>
      <c r="H59" s="1663">
        <v>0</v>
      </c>
      <c r="I59" s="1662">
        <f t="shared" si="30"/>
        <v>3.7975640583515933</v>
      </c>
      <c r="J59" s="29">
        <v>951378.29</v>
      </c>
    </row>
    <row r="60" spans="1:1561" ht="12.75" customHeight="1" x14ac:dyDescent="0.2">
      <c r="A60" s="2199">
        <v>1383</v>
      </c>
      <c r="B60" s="717" t="s">
        <v>2597</v>
      </c>
      <c r="C60" s="1690">
        <v>0</v>
      </c>
      <c r="D60" s="1690">
        <v>0</v>
      </c>
      <c r="E60" s="746">
        <v>85562.74</v>
      </c>
      <c r="F60" s="1703"/>
      <c r="G60" s="1663">
        <v>0</v>
      </c>
      <c r="H60" s="1663">
        <v>0</v>
      </c>
      <c r="I60" s="1662">
        <v>0</v>
      </c>
      <c r="J60" s="29">
        <v>0</v>
      </c>
    </row>
    <row r="61" spans="1:1561" ht="12.75" customHeight="1" x14ac:dyDescent="0.2">
      <c r="A61" s="2199">
        <v>1385</v>
      </c>
      <c r="B61" s="717" t="s">
        <v>3045</v>
      </c>
      <c r="C61" s="1690">
        <v>0</v>
      </c>
      <c r="D61" s="1690">
        <v>500461.39</v>
      </c>
      <c r="E61" s="746">
        <v>500461.39</v>
      </c>
      <c r="F61" s="1703"/>
      <c r="G61" s="1663">
        <v>0</v>
      </c>
      <c r="H61" s="1663">
        <f t="shared" si="29"/>
        <v>100</v>
      </c>
      <c r="I61" s="1662">
        <f t="shared" si="30"/>
        <v>8.1181685481439789</v>
      </c>
      <c r="J61" s="29">
        <v>6164708.0499999998</v>
      </c>
    </row>
    <row r="62" spans="1:1561" ht="12.75" customHeight="1" x14ac:dyDescent="0.2">
      <c r="A62" s="2199">
        <v>1386</v>
      </c>
      <c r="B62" s="717" t="s">
        <v>2598</v>
      </c>
      <c r="C62" s="1666">
        <v>3200000</v>
      </c>
      <c r="D62" s="1666">
        <f>3200000+1300000</f>
        <v>4500000</v>
      </c>
      <c r="E62" s="746">
        <v>4506428.72</v>
      </c>
      <c r="F62" s="1764"/>
      <c r="G62" s="1663">
        <f t="shared" si="28"/>
        <v>140.8258975</v>
      </c>
      <c r="H62" s="1663">
        <f t="shared" si="29"/>
        <v>100.14286044444445</v>
      </c>
      <c r="I62" s="1662">
        <f t="shared" si="30"/>
        <v>170.62394603071459</v>
      </c>
      <c r="J62" s="29">
        <v>2641146.7000000002</v>
      </c>
    </row>
    <row r="63" spans="1:1561" ht="12.75" customHeight="1" x14ac:dyDescent="0.2">
      <c r="A63" s="2199">
        <v>1387</v>
      </c>
      <c r="B63" s="717" t="s">
        <v>1084</v>
      </c>
      <c r="C63" s="746">
        <f>3700000+1600000</f>
        <v>5300000</v>
      </c>
      <c r="D63" s="746">
        <f>3700000+1600000+650000</f>
        <v>5950000</v>
      </c>
      <c r="E63" s="746">
        <v>6124241.3200000003</v>
      </c>
      <c r="F63" s="1706"/>
      <c r="G63" s="1663">
        <f t="shared" si="28"/>
        <v>115.55172301886793</v>
      </c>
      <c r="H63" s="1663">
        <f t="shared" si="29"/>
        <v>102.92842554621848</v>
      </c>
      <c r="I63" s="1662">
        <f t="shared" si="30"/>
        <v>145.1904424547057</v>
      </c>
      <c r="J63" s="29">
        <v>4218074.7</v>
      </c>
    </row>
    <row r="64" spans="1:1561" s="98" customFormat="1" ht="12.75" customHeight="1" x14ac:dyDescent="0.2">
      <c r="A64" s="2199">
        <v>1511</v>
      </c>
      <c r="B64" s="717" t="s">
        <v>1087</v>
      </c>
      <c r="C64" s="734">
        <v>36541566</v>
      </c>
      <c r="D64" s="734">
        <v>36541566</v>
      </c>
      <c r="E64" s="783">
        <v>36584928.799999997</v>
      </c>
      <c r="F64" s="1706"/>
      <c r="G64" s="1663">
        <f t="shared" si="28"/>
        <v>100.1186670543895</v>
      </c>
      <c r="H64" s="1663">
        <f t="shared" si="29"/>
        <v>100.1186670543895</v>
      </c>
      <c r="I64" s="1662">
        <f t="shared" si="30"/>
        <v>162.61188421682041</v>
      </c>
      <c r="J64" s="29">
        <v>22498311.84</v>
      </c>
    </row>
    <row r="65" spans="1:10" s="98" customFormat="1" ht="12.75" customHeight="1" x14ac:dyDescent="0.2">
      <c r="A65" s="2214"/>
      <c r="B65" s="757"/>
      <c r="C65" s="1694"/>
      <c r="D65" s="1694"/>
      <c r="E65" s="869"/>
      <c r="F65" s="2575"/>
      <c r="G65" s="2200"/>
      <c r="H65" s="2200"/>
      <c r="I65" s="1662"/>
      <c r="J65" s="29"/>
    </row>
    <row r="66" spans="1:10" s="98" customFormat="1" ht="18.75" customHeight="1" x14ac:dyDescent="0.25">
      <c r="A66" s="2216"/>
      <c r="B66" s="2217" t="s">
        <v>10</v>
      </c>
      <c r="C66" s="1696">
        <f>SUM(C67,C79:C83,C95:C97,C114:C114,C130:C133,C154:C155)</f>
        <v>172178289.50999999</v>
      </c>
      <c r="D66" s="1696">
        <f>SUM(D67,D79:D83,D95:D97,D114:D114,D130:D133,D154:D155)</f>
        <v>175650933.67000002</v>
      </c>
      <c r="E66" s="593">
        <v>190709346.36000001</v>
      </c>
      <c r="F66" s="2284">
        <f>SUM(E67,E79:E83,E95:E97,E114,E130:E133,E155,E154)</f>
        <v>190709346.35999998</v>
      </c>
      <c r="G66" s="1654">
        <f t="shared" si="28"/>
        <v>110.7627139883532</v>
      </c>
      <c r="H66" s="1654">
        <f t="shared" si="29"/>
        <v>108.57291924123251</v>
      </c>
      <c r="I66" s="1654">
        <f t="shared" si="30"/>
        <v>65.638894523882769</v>
      </c>
      <c r="J66" s="29">
        <v>290543202.69</v>
      </c>
    </row>
    <row r="67" spans="1:10" s="98" customFormat="1" ht="12.75" customHeight="1" x14ac:dyDescent="0.2">
      <c r="A67" s="2219">
        <v>2111</v>
      </c>
      <c r="B67" s="1698" t="s">
        <v>1088</v>
      </c>
      <c r="C67" s="1700">
        <f>SUM(C69:C78)</f>
        <v>18422000</v>
      </c>
      <c r="D67" s="1700">
        <f>SUM(D69:D78)</f>
        <v>20132434</v>
      </c>
      <c r="E67" s="844">
        <v>23686116.960000001</v>
      </c>
      <c r="F67" s="2312">
        <f>SUM(E68:E78)</f>
        <v>23686116.960000001</v>
      </c>
      <c r="G67" s="1663">
        <f t="shared" si="28"/>
        <v>128.57516534578221</v>
      </c>
      <c r="H67" s="1663">
        <f t="shared" si="29"/>
        <v>117.65153165285429</v>
      </c>
      <c r="I67" s="1662">
        <f t="shared" si="30"/>
        <v>105.41462493503883</v>
      </c>
      <c r="J67" s="29">
        <v>22469478.949999999</v>
      </c>
    </row>
    <row r="68" spans="1:10" ht="12.75" customHeight="1" x14ac:dyDescent="0.2">
      <c r="A68" s="2221"/>
      <c r="B68" s="776" t="s">
        <v>3046</v>
      </c>
      <c r="C68" s="1706">
        <v>0</v>
      </c>
      <c r="D68" s="1706">
        <v>0</v>
      </c>
      <c r="E68" s="767">
        <v>660</v>
      </c>
      <c r="F68" s="854"/>
      <c r="G68" s="2200">
        <v>0</v>
      </c>
      <c r="H68" s="2200">
        <v>0</v>
      </c>
      <c r="I68" s="2201">
        <f t="shared" si="30"/>
        <v>100</v>
      </c>
      <c r="J68" s="29">
        <v>660</v>
      </c>
    </row>
    <row r="69" spans="1:10" ht="12.75" customHeight="1" x14ac:dyDescent="0.2">
      <c r="A69" s="2221"/>
      <c r="B69" s="776" t="s">
        <v>1090</v>
      </c>
      <c r="C69" s="1706">
        <v>800000</v>
      </c>
      <c r="D69" s="1706">
        <v>800000</v>
      </c>
      <c r="E69" s="767">
        <v>907358.32</v>
      </c>
      <c r="F69" s="854"/>
      <c r="G69" s="2200">
        <f t="shared" si="28"/>
        <v>113.41978999999999</v>
      </c>
      <c r="H69" s="2200">
        <f t="shared" si="29"/>
        <v>113.41978999999999</v>
      </c>
      <c r="I69" s="2201">
        <f t="shared" si="30"/>
        <v>106.09279109514841</v>
      </c>
      <c r="J69" s="29">
        <v>855249.74</v>
      </c>
    </row>
    <row r="70" spans="1:10" s="29" customFormat="1" ht="12.75" customHeight="1" x14ac:dyDescent="0.2">
      <c r="A70" s="2222"/>
      <c r="B70" s="1710" t="s">
        <v>1091</v>
      </c>
      <c r="C70" s="1711">
        <v>1340000</v>
      </c>
      <c r="D70" s="1711">
        <v>1340000</v>
      </c>
      <c r="E70" s="767">
        <v>1826022.71</v>
      </c>
      <c r="F70" s="854"/>
      <c r="G70" s="2200">
        <f t="shared" si="28"/>
        <v>136.27035149253729</v>
      </c>
      <c r="H70" s="2200">
        <f t="shared" si="29"/>
        <v>136.27035149253729</v>
      </c>
      <c r="I70" s="2201">
        <f t="shared" si="30"/>
        <v>121.61084480857684</v>
      </c>
      <c r="J70" s="29">
        <v>1501529.5</v>
      </c>
    </row>
    <row r="71" spans="1:10" ht="12.75" customHeight="1" x14ac:dyDescent="0.2">
      <c r="A71" s="2223"/>
      <c r="B71" s="776" t="s">
        <v>1092</v>
      </c>
      <c r="C71" s="1714">
        <v>0</v>
      </c>
      <c r="D71" s="1714">
        <f>10000+10000</f>
        <v>20000</v>
      </c>
      <c r="E71" s="767">
        <v>40420</v>
      </c>
      <c r="F71" s="1682"/>
      <c r="G71" s="2200">
        <v>0</v>
      </c>
      <c r="H71" s="2200">
        <f t="shared" si="29"/>
        <v>202.1</v>
      </c>
      <c r="I71" s="2201">
        <f t="shared" si="30"/>
        <v>172</v>
      </c>
      <c r="J71" s="29">
        <v>23500</v>
      </c>
    </row>
    <row r="72" spans="1:10" ht="12.75" customHeight="1" x14ac:dyDescent="0.2">
      <c r="A72" s="2223"/>
      <c r="B72" s="776" t="s">
        <v>3047</v>
      </c>
      <c r="C72" s="1893">
        <v>7120000</v>
      </c>
      <c r="D72" s="1893">
        <v>7120000</v>
      </c>
      <c r="E72" s="738">
        <v>9557333.1099999994</v>
      </c>
      <c r="F72" s="1077"/>
      <c r="G72" s="2200">
        <f t="shared" si="28"/>
        <v>134.23220660112358</v>
      </c>
      <c r="H72" s="2200">
        <f t="shared" si="29"/>
        <v>134.23220660112358</v>
      </c>
      <c r="I72" s="2201">
        <f t="shared" si="30"/>
        <v>95.425656747137126</v>
      </c>
      <c r="J72" s="29">
        <v>10015475.33</v>
      </c>
    </row>
    <row r="73" spans="1:10" ht="12.75" customHeight="1" x14ac:dyDescent="0.2">
      <c r="A73" s="2223"/>
      <c r="B73" s="776" t="s">
        <v>1095</v>
      </c>
      <c r="C73" s="1893">
        <v>1961000</v>
      </c>
      <c r="D73" s="1893">
        <v>1961000</v>
      </c>
      <c r="E73" s="738">
        <v>2372308.8199999998</v>
      </c>
      <c r="F73" s="1077"/>
      <c r="G73" s="2200">
        <f t="shared" si="28"/>
        <v>120.97444263131054</v>
      </c>
      <c r="H73" s="2200">
        <f t="shared" si="29"/>
        <v>120.97444263131054</v>
      </c>
      <c r="I73" s="2201">
        <f t="shared" si="30"/>
        <v>102.22640949292894</v>
      </c>
      <c r="J73" s="29">
        <v>2320641.83</v>
      </c>
    </row>
    <row r="74" spans="1:10" ht="12.75" customHeight="1" x14ac:dyDescent="0.2">
      <c r="A74" s="2223"/>
      <c r="B74" s="776" t="s">
        <v>1096</v>
      </c>
      <c r="C74" s="1893">
        <v>2940000</v>
      </c>
      <c r="D74" s="1893">
        <v>2940000</v>
      </c>
      <c r="E74" s="738">
        <v>3018351</v>
      </c>
      <c r="F74" s="1077"/>
      <c r="G74" s="2200">
        <f t="shared" si="28"/>
        <v>102.66500000000001</v>
      </c>
      <c r="H74" s="2200">
        <f t="shared" si="29"/>
        <v>102.66500000000001</v>
      </c>
      <c r="I74" s="2201">
        <f t="shared" si="30"/>
        <v>152.2395564422666</v>
      </c>
      <c r="J74" s="29">
        <v>1982632.55</v>
      </c>
    </row>
    <row r="75" spans="1:10" ht="12.75" customHeight="1" x14ac:dyDescent="0.2">
      <c r="A75" s="2223"/>
      <c r="B75" s="776" t="s">
        <v>1171</v>
      </c>
      <c r="C75" s="1893">
        <v>0</v>
      </c>
      <c r="D75" s="1893">
        <f>1690434</f>
        <v>1690434</v>
      </c>
      <c r="E75" s="738">
        <v>1691434</v>
      </c>
      <c r="F75" s="1077"/>
      <c r="G75" s="2200">
        <v>0</v>
      </c>
      <c r="H75" s="2200">
        <v>0</v>
      </c>
      <c r="I75" s="2201">
        <f t="shared" si="30"/>
        <v>111.51214122213902</v>
      </c>
      <c r="J75" s="29">
        <v>1516816</v>
      </c>
    </row>
    <row r="76" spans="1:10" ht="12.75" customHeight="1" x14ac:dyDescent="0.2">
      <c r="A76" s="2223"/>
      <c r="B76" s="776" t="s">
        <v>2603</v>
      </c>
      <c r="C76" s="1893">
        <v>4200000</v>
      </c>
      <c r="D76" s="1893">
        <v>4200000</v>
      </c>
      <c r="E76" s="738">
        <v>4271764</v>
      </c>
      <c r="F76" s="1077"/>
      <c r="G76" s="2200">
        <f t="shared" si="28"/>
        <v>101.70866666666667</v>
      </c>
      <c r="H76" s="2200">
        <f t="shared" si="29"/>
        <v>101.70866666666667</v>
      </c>
      <c r="I76" s="2201">
        <f t="shared" si="30"/>
        <v>101.97435842959406</v>
      </c>
      <c r="J76" s="29">
        <v>4189057</v>
      </c>
    </row>
    <row r="77" spans="1:10" ht="12.75" customHeight="1" x14ac:dyDescent="0.2">
      <c r="A77" s="2223"/>
      <c r="B77" s="776" t="s">
        <v>1098</v>
      </c>
      <c r="C77" s="2224">
        <v>60000</v>
      </c>
      <c r="D77" s="2224">
        <v>60000</v>
      </c>
      <c r="E77" s="738">
        <v>0</v>
      </c>
      <c r="F77" s="1077"/>
      <c r="G77" s="2200">
        <f t="shared" si="28"/>
        <v>0</v>
      </c>
      <c r="H77" s="2200">
        <f t="shared" si="29"/>
        <v>0</v>
      </c>
      <c r="I77" s="2201">
        <f t="shared" si="30"/>
        <v>0</v>
      </c>
      <c r="J77" s="29">
        <v>63000</v>
      </c>
    </row>
    <row r="78" spans="1:10" ht="12.75" customHeight="1" x14ac:dyDescent="0.2">
      <c r="A78" s="2223"/>
      <c r="B78" s="776" t="s">
        <v>1099</v>
      </c>
      <c r="C78" s="2225">
        <v>1000</v>
      </c>
      <c r="D78" s="2225">
        <v>1000</v>
      </c>
      <c r="E78" s="738">
        <v>465</v>
      </c>
      <c r="F78" s="742"/>
      <c r="G78" s="2200">
        <f t="shared" si="28"/>
        <v>46.5</v>
      </c>
      <c r="H78" s="2200">
        <f t="shared" si="29"/>
        <v>46.5</v>
      </c>
      <c r="I78" s="2201">
        <f t="shared" si="30"/>
        <v>50.708833151581246</v>
      </c>
      <c r="J78" s="29">
        <v>917</v>
      </c>
    </row>
    <row r="79" spans="1:10" s="98" customFormat="1" ht="12.75" customHeight="1" x14ac:dyDescent="0.2">
      <c r="A79" s="2221">
        <v>2119</v>
      </c>
      <c r="B79" s="2226" t="s">
        <v>2131</v>
      </c>
      <c r="C79" s="2227">
        <v>1500000</v>
      </c>
      <c r="D79" s="2227">
        <f>1500000-1000000</f>
        <v>500000</v>
      </c>
      <c r="E79" s="726">
        <v>501291.39</v>
      </c>
      <c r="F79" s="1077"/>
      <c r="G79" s="1663">
        <f t="shared" si="28"/>
        <v>33.419426000000001</v>
      </c>
      <c r="H79" s="1663">
        <f t="shared" si="29"/>
        <v>100.258278</v>
      </c>
      <c r="I79" s="1662">
        <f t="shared" si="30"/>
        <v>179.85413589815309</v>
      </c>
      <c r="J79" s="29">
        <v>278721.08</v>
      </c>
    </row>
    <row r="80" spans="1:10" s="98" customFormat="1" ht="12.75" customHeight="1" x14ac:dyDescent="0.2">
      <c r="A80" s="2221">
        <v>2122</v>
      </c>
      <c r="B80" s="771" t="s">
        <v>2132</v>
      </c>
      <c r="C80" s="2228">
        <v>4810518</v>
      </c>
      <c r="D80" s="2228">
        <f>4810518+99036+145092-10990+(545328.75+160990)+54671.25+51162+13641</f>
        <v>5869449</v>
      </c>
      <c r="E80" s="2229">
        <v>5869447.6399999997</v>
      </c>
      <c r="F80" s="2576"/>
      <c r="G80" s="1663">
        <f t="shared" si="28"/>
        <v>122.01279862168688</v>
      </c>
      <c r="H80" s="1663">
        <f t="shared" si="29"/>
        <v>99.999976829170848</v>
      </c>
      <c r="I80" s="1662">
        <f t="shared" si="30"/>
        <v>91.816740704360996</v>
      </c>
      <c r="J80" s="29">
        <v>6392568.0599999996</v>
      </c>
    </row>
    <row r="81" spans="1:10" s="98" customFormat="1" ht="12.75" customHeight="1" x14ac:dyDescent="0.2">
      <c r="A81" s="771">
        <v>2123</v>
      </c>
      <c r="B81" s="787" t="s">
        <v>3048</v>
      </c>
      <c r="C81" s="1724">
        <v>0</v>
      </c>
      <c r="D81" s="1724">
        <v>52000</v>
      </c>
      <c r="E81" s="2229">
        <v>52000</v>
      </c>
      <c r="F81" s="2576"/>
      <c r="G81" s="719">
        <v>0</v>
      </c>
      <c r="H81" s="2577">
        <f t="shared" si="29"/>
        <v>100</v>
      </c>
      <c r="I81" s="2578">
        <v>0</v>
      </c>
      <c r="J81" s="29">
        <v>88500</v>
      </c>
    </row>
    <row r="82" spans="1:10" s="98" customFormat="1" x14ac:dyDescent="0.2">
      <c r="A82" s="2221">
        <v>2131</v>
      </c>
      <c r="B82" s="2226" t="s">
        <v>1102</v>
      </c>
      <c r="C82" s="2227">
        <v>1000000</v>
      </c>
      <c r="D82" s="2227">
        <v>1000000</v>
      </c>
      <c r="E82" s="726">
        <v>1557127.73</v>
      </c>
      <c r="F82" s="1077"/>
      <c r="G82" s="1663">
        <f t="shared" si="28"/>
        <v>155.712773</v>
      </c>
      <c r="H82" s="1663">
        <f t="shared" si="29"/>
        <v>155.712773</v>
      </c>
      <c r="I82" s="1662">
        <f t="shared" si="30"/>
        <v>97.118614800241588</v>
      </c>
      <c r="J82" s="29">
        <v>1603325.72</v>
      </c>
    </row>
    <row r="83" spans="1:10" s="98" customFormat="1" ht="12.75" customHeight="1" x14ac:dyDescent="0.2">
      <c r="A83" s="2221">
        <v>2132</v>
      </c>
      <c r="B83" s="771" t="s">
        <v>2133</v>
      </c>
      <c r="C83" s="755">
        <f>SUM(C84:C94)</f>
        <v>109394000</v>
      </c>
      <c r="D83" s="755">
        <f>SUM(D84:D94)</f>
        <v>109394000</v>
      </c>
      <c r="E83" s="726">
        <v>119956549.66</v>
      </c>
      <c r="F83" s="1077">
        <f>SUM(E84:E94)</f>
        <v>119956549.66000001</v>
      </c>
      <c r="G83" s="1663">
        <f t="shared" si="28"/>
        <v>109.65551096038173</v>
      </c>
      <c r="H83" s="1663">
        <f t="shared" si="29"/>
        <v>109.65551096038173</v>
      </c>
      <c r="I83" s="1662">
        <f t="shared" si="30"/>
        <v>102.10215382852033</v>
      </c>
      <c r="J83" s="29">
        <v>117486796.47</v>
      </c>
    </row>
    <row r="84" spans="1:10" x14ac:dyDescent="0.2">
      <c r="A84" s="2223"/>
      <c r="B84" s="776" t="s">
        <v>1104</v>
      </c>
      <c r="C84" s="2231">
        <v>810000</v>
      </c>
      <c r="D84" s="2231">
        <v>810000</v>
      </c>
      <c r="E84" s="750">
        <v>900775</v>
      </c>
      <c r="F84" s="1077"/>
      <c r="G84" s="2200">
        <f t="shared" si="28"/>
        <v>111.2067901234568</v>
      </c>
      <c r="H84" s="2200">
        <f t="shared" si="29"/>
        <v>111.2067901234568</v>
      </c>
      <c r="I84" s="2201">
        <f t="shared" si="30"/>
        <v>102.90290667653686</v>
      </c>
      <c r="J84" s="29">
        <v>875364</v>
      </c>
    </row>
    <row r="85" spans="1:10" x14ac:dyDescent="0.2">
      <c r="A85" s="2223"/>
      <c r="B85" s="776" t="s">
        <v>1105</v>
      </c>
      <c r="C85" s="1702">
        <v>7000</v>
      </c>
      <c r="D85" s="1702">
        <v>7000</v>
      </c>
      <c r="E85" s="750">
        <v>18261</v>
      </c>
      <c r="F85" s="1077"/>
      <c r="G85" s="2200">
        <f t="shared" si="28"/>
        <v>260.87142857142857</v>
      </c>
      <c r="H85" s="2200">
        <f t="shared" si="29"/>
        <v>260.87142857142857</v>
      </c>
      <c r="I85" s="2201">
        <f t="shared" si="30"/>
        <v>90.950293853969526</v>
      </c>
      <c r="J85" s="29">
        <v>20078</v>
      </c>
    </row>
    <row r="86" spans="1:10" x14ac:dyDescent="0.2">
      <c r="A86" s="2223"/>
      <c r="B86" s="776" t="s">
        <v>1106</v>
      </c>
      <c r="C86" s="1702">
        <v>600000</v>
      </c>
      <c r="D86" s="1702">
        <v>600000</v>
      </c>
      <c r="E86" s="750">
        <v>594539.24</v>
      </c>
      <c r="F86" s="1077"/>
      <c r="G86" s="2200">
        <f t="shared" si="28"/>
        <v>99.08987333333333</v>
      </c>
      <c r="H86" s="2200">
        <f t="shared" si="29"/>
        <v>99.08987333333333</v>
      </c>
      <c r="I86" s="2201">
        <f t="shared" si="30"/>
        <v>51.729062706016208</v>
      </c>
      <c r="J86" s="29">
        <v>1149333.1000000001</v>
      </c>
    </row>
    <row r="87" spans="1:10" ht="12.75" customHeight="1" x14ac:dyDescent="0.2">
      <c r="A87" s="2223"/>
      <c r="B87" s="776" t="s">
        <v>1107</v>
      </c>
      <c r="C87" s="1893">
        <v>350000</v>
      </c>
      <c r="D87" s="1893">
        <v>350000</v>
      </c>
      <c r="E87" s="738">
        <v>353655.02</v>
      </c>
      <c r="F87" s="1077"/>
      <c r="G87" s="2200">
        <f t="shared" si="28"/>
        <v>101.04429142857143</v>
      </c>
      <c r="H87" s="2200">
        <f t="shared" si="29"/>
        <v>101.04429142857143</v>
      </c>
      <c r="I87" s="2201">
        <f t="shared" si="30"/>
        <v>102.47627736105296</v>
      </c>
      <c r="J87" s="29">
        <v>345109.16</v>
      </c>
    </row>
    <row r="88" spans="1:10" ht="12.75" customHeight="1" x14ac:dyDescent="0.2">
      <c r="A88" s="2223"/>
      <c r="B88" s="2232" t="s">
        <v>1108</v>
      </c>
      <c r="C88" s="1893">
        <v>77480000</v>
      </c>
      <c r="D88" s="1893">
        <v>77480000</v>
      </c>
      <c r="E88" s="738">
        <v>85067752.010000005</v>
      </c>
      <c r="F88" s="1077"/>
      <c r="G88" s="2200">
        <f t="shared" si="28"/>
        <v>109.79317502581311</v>
      </c>
      <c r="H88" s="2200">
        <f t="shared" si="29"/>
        <v>109.79317502581311</v>
      </c>
      <c r="I88" s="2201">
        <f t="shared" si="30"/>
        <v>103.08577109746912</v>
      </c>
      <c r="J88" s="29">
        <v>82521332.579999998</v>
      </c>
    </row>
    <row r="89" spans="1:10" ht="12.75" customHeight="1" x14ac:dyDescent="0.2">
      <c r="A89" s="2223"/>
      <c r="B89" s="2232" t="s">
        <v>1109</v>
      </c>
      <c r="C89" s="2225">
        <v>121000</v>
      </c>
      <c r="D89" s="2225">
        <v>121000</v>
      </c>
      <c r="E89" s="738">
        <v>118583.03999999999</v>
      </c>
      <c r="F89" s="742"/>
      <c r="G89" s="2200">
        <f t="shared" si="28"/>
        <v>98.002512396694215</v>
      </c>
      <c r="H89" s="2200">
        <f t="shared" si="29"/>
        <v>98.002512396694215</v>
      </c>
      <c r="I89" s="2201">
        <f t="shared" si="30"/>
        <v>93.129975185086948</v>
      </c>
      <c r="J89" s="29">
        <v>127330.69</v>
      </c>
    </row>
    <row r="90" spans="1:10" ht="22.5" customHeight="1" x14ac:dyDescent="0.2">
      <c r="A90" s="2223"/>
      <c r="B90" s="2233" t="s">
        <v>2135</v>
      </c>
      <c r="C90" s="2234">
        <v>17481000</v>
      </c>
      <c r="D90" s="2234">
        <v>17481000</v>
      </c>
      <c r="E90" s="738">
        <v>20796162.960000001</v>
      </c>
      <c r="F90" s="2341"/>
      <c r="G90" s="2200">
        <f t="shared" si="28"/>
        <v>118.96437823923117</v>
      </c>
      <c r="H90" s="2200">
        <f t="shared" si="29"/>
        <v>118.96437823923117</v>
      </c>
      <c r="I90" s="2201">
        <f t="shared" si="30"/>
        <v>103.57746008865531</v>
      </c>
      <c r="J90" s="1866">
        <v>20077884.649999999</v>
      </c>
    </row>
    <row r="91" spans="1:10" ht="12.75" customHeight="1" x14ac:dyDescent="0.2">
      <c r="A91" s="2223"/>
      <c r="B91" s="776" t="s">
        <v>1112</v>
      </c>
      <c r="C91" s="1893">
        <v>12000000</v>
      </c>
      <c r="D91" s="1893">
        <v>12000000</v>
      </c>
      <c r="E91" s="738">
        <v>11500000</v>
      </c>
      <c r="F91" s="1946"/>
      <c r="G91" s="2200">
        <f t="shared" si="28"/>
        <v>95.833333333333343</v>
      </c>
      <c r="H91" s="2200">
        <f t="shared" si="29"/>
        <v>95.833333333333343</v>
      </c>
      <c r="I91" s="2201">
        <f t="shared" si="30"/>
        <v>97.545806874740066</v>
      </c>
      <c r="J91" s="29">
        <v>11789333</v>
      </c>
    </row>
    <row r="92" spans="1:10" ht="12.75" customHeight="1" x14ac:dyDescent="0.2">
      <c r="A92" s="2223"/>
      <c r="B92" s="776" t="s">
        <v>2136</v>
      </c>
      <c r="C92" s="2224">
        <v>500000</v>
      </c>
      <c r="D92" s="2224">
        <v>500000</v>
      </c>
      <c r="E92" s="738">
        <v>544833.39</v>
      </c>
      <c r="F92" s="1946"/>
      <c r="G92" s="2200">
        <f t="shared" si="28"/>
        <v>108.966678</v>
      </c>
      <c r="H92" s="2200">
        <f t="shared" si="29"/>
        <v>108.966678</v>
      </c>
      <c r="I92" s="2201">
        <v>0</v>
      </c>
      <c r="J92" s="29">
        <v>391845.17</v>
      </c>
    </row>
    <row r="93" spans="1:10" ht="12.75" customHeight="1" x14ac:dyDescent="0.2">
      <c r="A93" s="2223"/>
      <c r="B93" s="776" t="s">
        <v>1113</v>
      </c>
      <c r="C93" s="2224">
        <v>20000</v>
      </c>
      <c r="D93" s="2224">
        <v>20000</v>
      </c>
      <c r="E93" s="738">
        <v>27200</v>
      </c>
      <c r="F93" s="740"/>
      <c r="G93" s="2200">
        <f t="shared" si="28"/>
        <v>136</v>
      </c>
      <c r="H93" s="2200">
        <f t="shared" si="29"/>
        <v>136</v>
      </c>
      <c r="I93" s="2201">
        <f t="shared" si="30"/>
        <v>100.36900369003689</v>
      </c>
      <c r="J93" s="29">
        <v>27100</v>
      </c>
    </row>
    <row r="94" spans="1:10" ht="12.75" customHeight="1" x14ac:dyDescent="0.2">
      <c r="A94" s="2236"/>
      <c r="B94" s="790" t="s">
        <v>2137</v>
      </c>
      <c r="C94" s="1717">
        <v>25000</v>
      </c>
      <c r="D94" s="1717">
        <v>25000</v>
      </c>
      <c r="E94" s="767">
        <v>34788</v>
      </c>
      <c r="F94" s="1681"/>
      <c r="G94" s="2200">
        <f t="shared" si="28"/>
        <v>139.15200000000002</v>
      </c>
      <c r="H94" s="2200">
        <f t="shared" si="29"/>
        <v>139.15200000000002</v>
      </c>
      <c r="I94" s="2201">
        <f t="shared" si="30"/>
        <v>96.531439036572507</v>
      </c>
      <c r="J94" s="29">
        <v>36038</v>
      </c>
    </row>
    <row r="95" spans="1:10" s="98" customFormat="1" ht="12.75" customHeight="1" x14ac:dyDescent="0.2">
      <c r="A95" s="2237">
        <v>2141</v>
      </c>
      <c r="B95" s="791" t="s">
        <v>118</v>
      </c>
      <c r="C95" s="1689">
        <v>2000000</v>
      </c>
      <c r="D95" s="1689">
        <f>2000000+300000+335000+10000+1213288.24+230000</f>
        <v>4088288.24</v>
      </c>
      <c r="E95" s="746">
        <v>3858305.29</v>
      </c>
      <c r="F95" s="1681"/>
      <c r="G95" s="1663">
        <f t="shared" si="28"/>
        <v>192.91526450000001</v>
      </c>
      <c r="H95" s="1663">
        <f t="shared" si="29"/>
        <v>94.374590623287361</v>
      </c>
      <c r="I95" s="1662">
        <f t="shared" si="30"/>
        <v>138.32438282029079</v>
      </c>
      <c r="J95" s="29">
        <v>2789316.83</v>
      </c>
    </row>
    <row r="96" spans="1:10" s="98" customFormat="1" ht="12.75" customHeight="1" x14ac:dyDescent="0.2">
      <c r="A96" s="2237">
        <v>2149</v>
      </c>
      <c r="B96" s="791" t="s">
        <v>2604</v>
      </c>
      <c r="C96" s="1689">
        <v>0</v>
      </c>
      <c r="D96" s="1689">
        <f>1700000+106250</f>
        <v>1806250</v>
      </c>
      <c r="E96" s="746">
        <v>1806250</v>
      </c>
      <c r="F96" s="1681"/>
      <c r="G96" s="1663">
        <v>0</v>
      </c>
      <c r="H96" s="1663">
        <f t="shared" ref="H96:H103" si="32">E96/D96*100</f>
        <v>100</v>
      </c>
      <c r="I96" s="1662">
        <v>0</v>
      </c>
      <c r="J96" s="29">
        <v>0</v>
      </c>
    </row>
    <row r="97" spans="1:10" s="98" customFormat="1" ht="12.75" customHeight="1" x14ac:dyDescent="0.2">
      <c r="A97" s="2237">
        <v>2212</v>
      </c>
      <c r="B97" s="791" t="s">
        <v>2138</v>
      </c>
      <c r="C97" s="783">
        <f>SUM(C98:C113)</f>
        <v>18832000</v>
      </c>
      <c r="D97" s="783">
        <f>SUM(D98:D113)</f>
        <v>20879538.219999999</v>
      </c>
      <c r="E97" s="734">
        <v>17235735.620000001</v>
      </c>
      <c r="F97" s="854">
        <f>SUM(E98:E113)</f>
        <v>17235735.620000001</v>
      </c>
      <c r="G97" s="1663">
        <f t="shared" ref="G97:G99" si="33">E97/C97*100</f>
        <v>91.523659834324562</v>
      </c>
      <c r="H97" s="1663">
        <f t="shared" si="32"/>
        <v>82.548452165911939</v>
      </c>
      <c r="I97" s="1662">
        <f t="shared" ref="I97:I99" si="34">E97/J97*100</f>
        <v>79.287608093683403</v>
      </c>
      <c r="J97" s="29">
        <v>21738246.41</v>
      </c>
    </row>
    <row r="98" spans="1:10" ht="12.75" customHeight="1" x14ac:dyDescent="0.2">
      <c r="A98" s="2238"/>
      <c r="B98" s="790" t="s">
        <v>1117</v>
      </c>
      <c r="C98" s="1711">
        <v>20000</v>
      </c>
      <c r="D98" s="1711">
        <v>20000</v>
      </c>
      <c r="E98" s="767">
        <v>55600</v>
      </c>
      <c r="F98" s="1681"/>
      <c r="G98" s="2200">
        <f t="shared" si="33"/>
        <v>278</v>
      </c>
      <c r="H98" s="2200">
        <f t="shared" si="32"/>
        <v>278</v>
      </c>
      <c r="I98" s="2201">
        <f t="shared" si="34"/>
        <v>278</v>
      </c>
      <c r="J98" s="29">
        <v>20000</v>
      </c>
    </row>
    <row r="99" spans="1:10" ht="12.75" customHeight="1" x14ac:dyDescent="0.2">
      <c r="A99" s="2223"/>
      <c r="B99" s="776" t="s">
        <v>121</v>
      </c>
      <c r="C99" s="2225">
        <v>50000</v>
      </c>
      <c r="D99" s="2225">
        <v>50000</v>
      </c>
      <c r="E99" s="738">
        <v>80875</v>
      </c>
      <c r="F99" s="742"/>
      <c r="G99" s="2200">
        <f t="shared" si="33"/>
        <v>161.75</v>
      </c>
      <c r="H99" s="2200">
        <f t="shared" si="32"/>
        <v>161.75</v>
      </c>
      <c r="I99" s="2201">
        <f t="shared" si="34"/>
        <v>131.71824104234528</v>
      </c>
      <c r="J99" s="29">
        <v>61400</v>
      </c>
    </row>
    <row r="100" spans="1:10" x14ac:dyDescent="0.2">
      <c r="A100" s="2223"/>
      <c r="B100" s="776" t="s">
        <v>3049</v>
      </c>
      <c r="C100" s="2239">
        <v>0</v>
      </c>
      <c r="D100" s="2239">
        <f>10000+69477.18+234649.25+(-234649.25-41297.2-15590-12589.98)</f>
        <v>10000</v>
      </c>
      <c r="E100" s="1316">
        <v>10000</v>
      </c>
      <c r="F100" s="1256"/>
      <c r="G100" s="2200">
        <v>0</v>
      </c>
      <c r="H100" s="2200">
        <f t="shared" si="32"/>
        <v>100</v>
      </c>
      <c r="I100" s="2201">
        <v>0</v>
      </c>
      <c r="J100" s="29">
        <v>0</v>
      </c>
    </row>
    <row r="101" spans="1:10" ht="12.75" customHeight="1" x14ac:dyDescent="0.2">
      <c r="A101" s="2223"/>
      <c r="B101" s="776" t="s">
        <v>3207</v>
      </c>
      <c r="C101" s="2240">
        <v>2500000</v>
      </c>
      <c r="D101" s="2240">
        <v>2500000</v>
      </c>
      <c r="E101" s="2241">
        <v>2450351.75</v>
      </c>
      <c r="F101" s="740">
        <f>SUM(E101:E103)</f>
        <v>13483488</v>
      </c>
      <c r="G101" s="2200">
        <f t="shared" ref="G101:G164" si="35">E101/C101*100</f>
        <v>98.014070000000004</v>
      </c>
      <c r="H101" s="2200">
        <f t="shared" si="32"/>
        <v>98.014070000000004</v>
      </c>
      <c r="I101" s="2201">
        <f t="shared" ref="I101:I164" si="36">E101/J101*100</f>
        <v>98.966427494571647</v>
      </c>
      <c r="J101" s="29">
        <v>2475942.41</v>
      </c>
    </row>
    <row r="102" spans="1:10" ht="12.75" customHeight="1" x14ac:dyDescent="0.2">
      <c r="A102" s="2236"/>
      <c r="B102" s="790" t="s">
        <v>2140</v>
      </c>
      <c r="C102" s="1711">
        <v>15000000</v>
      </c>
      <c r="D102" s="1711">
        <v>15000000</v>
      </c>
      <c r="E102" s="793">
        <v>11034386.25</v>
      </c>
      <c r="F102" s="1681"/>
      <c r="G102" s="2200">
        <f t="shared" si="35"/>
        <v>73.562574999999995</v>
      </c>
      <c r="H102" s="2200">
        <f t="shared" si="32"/>
        <v>73.562574999999995</v>
      </c>
      <c r="I102" s="2201">
        <f t="shared" si="36"/>
        <v>66.478637773079413</v>
      </c>
      <c r="J102" s="29">
        <v>16598394.039999999</v>
      </c>
    </row>
    <row r="103" spans="1:10" ht="12.75" customHeight="1" x14ac:dyDescent="0.2">
      <c r="A103" s="2223"/>
      <c r="B103" s="1034" t="s">
        <v>1121</v>
      </c>
      <c r="C103" s="1893">
        <v>150000</v>
      </c>
      <c r="D103" s="1893">
        <v>150000</v>
      </c>
      <c r="E103" s="2241">
        <v>-1250</v>
      </c>
      <c r="F103" s="740"/>
      <c r="G103" s="2200">
        <f t="shared" si="35"/>
        <v>-0.83333333333333337</v>
      </c>
      <c r="H103" s="2200">
        <f t="shared" si="32"/>
        <v>-0.83333333333333337</v>
      </c>
      <c r="I103" s="2201">
        <f t="shared" si="36"/>
        <v>-3.1645569620253164</v>
      </c>
      <c r="J103" s="29">
        <v>39500</v>
      </c>
    </row>
    <row r="104" spans="1:10" ht="12.75" customHeight="1" x14ac:dyDescent="0.2">
      <c r="A104" s="2223"/>
      <c r="B104" s="776" t="s">
        <v>3050</v>
      </c>
      <c r="C104" s="1893">
        <v>0</v>
      </c>
      <c r="D104" s="1893">
        <f>465000+671703.9+(-671703.9-465000)</f>
        <v>0</v>
      </c>
      <c r="E104" s="738">
        <v>3600</v>
      </c>
      <c r="F104" s="740"/>
      <c r="G104" s="2200">
        <v>0</v>
      </c>
      <c r="H104" s="2200">
        <v>0</v>
      </c>
      <c r="I104" s="2201">
        <v>0</v>
      </c>
      <c r="J104" s="29">
        <v>0</v>
      </c>
    </row>
    <row r="105" spans="1:10" ht="12.75" customHeight="1" x14ac:dyDescent="0.2">
      <c r="A105" s="2223"/>
      <c r="B105" s="776" t="s">
        <v>3051</v>
      </c>
      <c r="C105" s="1893">
        <v>50000</v>
      </c>
      <c r="D105" s="1893">
        <f>50000+5747.5</f>
        <v>55747.5</v>
      </c>
      <c r="E105" s="738">
        <v>24332.14</v>
      </c>
      <c r="F105" s="740"/>
      <c r="G105" s="2200">
        <f t="shared" si="35"/>
        <v>48.664279999999998</v>
      </c>
      <c r="H105" s="2200">
        <f t="shared" ref="H105:H165" si="37">E105/D105*100</f>
        <v>43.647051437284183</v>
      </c>
      <c r="I105" s="2201">
        <v>0</v>
      </c>
      <c r="J105" s="29">
        <v>1000</v>
      </c>
    </row>
    <row r="106" spans="1:10" ht="12.75" customHeight="1" x14ac:dyDescent="0.2">
      <c r="A106" s="2223"/>
      <c r="B106" s="776" t="s">
        <v>1123</v>
      </c>
      <c r="C106" s="1893">
        <v>50000</v>
      </c>
      <c r="D106" s="1893">
        <v>50000</v>
      </c>
      <c r="E106" s="738">
        <v>907</v>
      </c>
      <c r="F106" s="740"/>
      <c r="G106" s="2200">
        <f t="shared" si="35"/>
        <v>1.8140000000000001</v>
      </c>
      <c r="H106" s="2200">
        <f t="shared" si="37"/>
        <v>1.8140000000000001</v>
      </c>
      <c r="I106" s="2201">
        <v>0</v>
      </c>
      <c r="J106" s="29">
        <v>0</v>
      </c>
    </row>
    <row r="107" spans="1:10" ht="12.75" customHeight="1" x14ac:dyDescent="0.2">
      <c r="A107" s="2223"/>
      <c r="B107" s="776" t="s">
        <v>3052</v>
      </c>
      <c r="C107" s="1893">
        <v>0</v>
      </c>
      <c r="D107" s="1893">
        <f t="shared" ref="D107:D108" si="38">50000-50000</f>
        <v>0</v>
      </c>
      <c r="E107" s="738">
        <v>31945.200000000001</v>
      </c>
      <c r="F107" s="740"/>
      <c r="G107" s="2200">
        <v>0</v>
      </c>
      <c r="H107" s="2200">
        <v>0</v>
      </c>
      <c r="I107" s="2201">
        <f t="shared" si="36"/>
        <v>101.88783955755854</v>
      </c>
      <c r="J107" s="29">
        <v>31353.3</v>
      </c>
    </row>
    <row r="108" spans="1:10" ht="12.75" customHeight="1" x14ac:dyDescent="0.2">
      <c r="A108" s="2223"/>
      <c r="B108" s="776" t="s">
        <v>3053</v>
      </c>
      <c r="C108" s="1893">
        <v>0</v>
      </c>
      <c r="D108" s="1893">
        <f t="shared" si="38"/>
        <v>0</v>
      </c>
      <c r="E108" s="738">
        <v>222266</v>
      </c>
      <c r="F108" s="740"/>
      <c r="G108" s="2200">
        <v>0</v>
      </c>
      <c r="H108" s="2200">
        <v>0</v>
      </c>
      <c r="I108" s="2201">
        <f t="shared" si="36"/>
        <v>410.08487084870853</v>
      </c>
      <c r="J108" s="29">
        <v>54200</v>
      </c>
    </row>
    <row r="109" spans="1:10" ht="12.75" customHeight="1" x14ac:dyDescent="0.2">
      <c r="A109" s="2223"/>
      <c r="B109" s="776" t="s">
        <v>3054</v>
      </c>
      <c r="C109" s="1893">
        <v>650000</v>
      </c>
      <c r="D109" s="1893">
        <v>650000</v>
      </c>
      <c r="E109" s="738">
        <v>694957</v>
      </c>
      <c r="F109" s="740"/>
      <c r="G109" s="2200">
        <f t="shared" si="35"/>
        <v>106.91646153846155</v>
      </c>
      <c r="H109" s="2200">
        <f t="shared" si="37"/>
        <v>106.91646153846155</v>
      </c>
      <c r="I109" s="2201">
        <f t="shared" si="36"/>
        <v>92.627652835187334</v>
      </c>
      <c r="J109" s="29">
        <v>750269.47</v>
      </c>
    </row>
    <row r="110" spans="1:10" ht="12.75" customHeight="1" x14ac:dyDescent="0.2">
      <c r="A110" s="2223"/>
      <c r="B110" s="776" t="s">
        <v>1125</v>
      </c>
      <c r="C110" s="2225">
        <v>350000</v>
      </c>
      <c r="D110" s="2225">
        <v>350000</v>
      </c>
      <c r="E110" s="738">
        <v>483815.4</v>
      </c>
      <c r="F110" s="742">
        <f>SUM(E110:E112)</f>
        <v>590227.06000000006</v>
      </c>
      <c r="G110" s="2200">
        <f t="shared" si="35"/>
        <v>138.23297142857143</v>
      </c>
      <c r="H110" s="2200">
        <f t="shared" si="37"/>
        <v>138.23297142857143</v>
      </c>
      <c r="I110" s="2201">
        <f t="shared" si="36"/>
        <v>138.45736334345517</v>
      </c>
      <c r="J110" s="29">
        <v>349432.77</v>
      </c>
    </row>
    <row r="111" spans="1:10" ht="12.75" customHeight="1" x14ac:dyDescent="0.2">
      <c r="A111" s="2242"/>
      <c r="B111" s="776" t="s">
        <v>2142</v>
      </c>
      <c r="C111" s="1448">
        <v>12000</v>
      </c>
      <c r="D111" s="1448">
        <v>12000</v>
      </c>
      <c r="E111" s="750">
        <v>22700</v>
      </c>
      <c r="F111" s="1077"/>
      <c r="G111" s="2200">
        <f t="shared" si="35"/>
        <v>189.16666666666666</v>
      </c>
      <c r="H111" s="2200">
        <f t="shared" si="37"/>
        <v>189.16666666666666</v>
      </c>
      <c r="I111" s="2201">
        <f t="shared" si="36"/>
        <v>161.56583629893237</v>
      </c>
      <c r="J111" s="29">
        <v>14050</v>
      </c>
    </row>
    <row r="112" spans="1:10" ht="12.75" customHeight="1" x14ac:dyDescent="0.2">
      <c r="A112" s="2242"/>
      <c r="B112" s="776" t="s">
        <v>2143</v>
      </c>
      <c r="C112" s="1702">
        <v>0</v>
      </c>
      <c r="D112" s="1702">
        <v>0</v>
      </c>
      <c r="E112" s="738">
        <v>83711.66</v>
      </c>
      <c r="F112" s="1809"/>
      <c r="G112" s="2200">
        <v>0</v>
      </c>
      <c r="H112" s="2200">
        <v>0</v>
      </c>
      <c r="I112" s="2201">
        <f t="shared" si="36"/>
        <v>85.594744376278115</v>
      </c>
      <c r="J112" s="29">
        <v>97800</v>
      </c>
    </row>
    <row r="113" spans="1:10" ht="12.75" customHeight="1" x14ac:dyDescent="0.2">
      <c r="A113" s="2242"/>
      <c r="B113" s="776" t="s">
        <v>3055</v>
      </c>
      <c r="C113" s="1702">
        <v>0</v>
      </c>
      <c r="D113" s="1702">
        <f>(139959.54+671703.9+382500+465000+234649.25+41297.2+15590+50000+12589.98+18500.85)</f>
        <v>2031790.72</v>
      </c>
      <c r="E113" s="738">
        <v>2037538.22</v>
      </c>
      <c r="F113" s="1809"/>
      <c r="G113" s="2200">
        <v>0</v>
      </c>
      <c r="H113" s="2200">
        <f t="shared" si="37"/>
        <v>100.28287854371143</v>
      </c>
      <c r="I113" s="2201">
        <f t="shared" si="36"/>
        <v>185.3219290313003</v>
      </c>
      <c r="J113" s="29">
        <v>1099458.78</v>
      </c>
    </row>
    <row r="114" spans="1:10" ht="12.75" customHeight="1" x14ac:dyDescent="0.2">
      <c r="A114" s="2221">
        <v>2229</v>
      </c>
      <c r="B114" s="771" t="s">
        <v>2144</v>
      </c>
      <c r="C114" s="755">
        <f>SUM(C115:C126)</f>
        <v>0</v>
      </c>
      <c r="D114" s="755">
        <f>SUM(D115:D130)</f>
        <v>6300306.21</v>
      </c>
      <c r="E114" s="726">
        <v>6374198.21</v>
      </c>
      <c r="F114" s="2341">
        <f>SUM(E115:E129)</f>
        <v>6374198.21</v>
      </c>
      <c r="G114" s="1663">
        <v>0</v>
      </c>
      <c r="H114" s="1663">
        <f t="shared" si="37"/>
        <v>101.17283188367443</v>
      </c>
      <c r="I114" s="1662">
        <f t="shared" si="36"/>
        <v>68.996333429768612</v>
      </c>
      <c r="J114" s="29">
        <v>9238459.3399999999</v>
      </c>
    </row>
    <row r="115" spans="1:10" s="2" customFormat="1" ht="12.75" customHeight="1" x14ac:dyDescent="0.2">
      <c r="A115" s="2243"/>
      <c r="B115" s="1034" t="s">
        <v>2609</v>
      </c>
      <c r="C115" s="2244">
        <v>0</v>
      </c>
      <c r="D115" s="2244">
        <v>700000</v>
      </c>
      <c r="E115" s="738">
        <v>700000</v>
      </c>
      <c r="F115" s="1809"/>
      <c r="G115" s="2200">
        <v>0</v>
      </c>
      <c r="H115" s="2200">
        <f t="shared" si="37"/>
        <v>100</v>
      </c>
      <c r="I115" s="2201">
        <f t="shared" si="36"/>
        <v>43.75</v>
      </c>
      <c r="J115" s="88">
        <v>1600000</v>
      </c>
    </row>
    <row r="116" spans="1:10" s="2" customFormat="1" ht="12.75" customHeight="1" x14ac:dyDescent="0.2">
      <c r="A116" s="2243"/>
      <c r="B116" s="1034" t="s">
        <v>2610</v>
      </c>
      <c r="C116" s="2245">
        <v>0</v>
      </c>
      <c r="D116" s="2245">
        <v>463363</v>
      </c>
      <c r="E116" s="738">
        <v>463363</v>
      </c>
      <c r="F116" s="1809"/>
      <c r="G116" s="2200">
        <v>0</v>
      </c>
      <c r="H116" s="2200">
        <f t="shared" si="37"/>
        <v>100</v>
      </c>
      <c r="I116" s="2201">
        <v>0</v>
      </c>
      <c r="J116" s="88">
        <v>0</v>
      </c>
    </row>
    <row r="117" spans="1:10" ht="12.75" customHeight="1" x14ac:dyDescent="0.2">
      <c r="A117" s="2223"/>
      <c r="B117" s="776" t="s">
        <v>2611</v>
      </c>
      <c r="C117" s="1893">
        <v>0</v>
      </c>
      <c r="D117" s="1893">
        <f>62538.16</f>
        <v>62538.16</v>
      </c>
      <c r="E117" s="738">
        <v>62538.16</v>
      </c>
      <c r="F117" s="1809"/>
      <c r="G117" s="2200">
        <v>0</v>
      </c>
      <c r="H117" s="2200">
        <f t="shared" si="37"/>
        <v>100</v>
      </c>
      <c r="I117" s="2201">
        <f t="shared" si="36"/>
        <v>20.654305644498361</v>
      </c>
      <c r="J117" s="29">
        <v>302785.09999999998</v>
      </c>
    </row>
    <row r="118" spans="1:10" ht="12.75" customHeight="1" x14ac:dyDescent="0.2">
      <c r="A118" s="2223"/>
      <c r="B118" s="776" t="s">
        <v>2612</v>
      </c>
      <c r="C118" s="1893">
        <v>0</v>
      </c>
      <c r="D118" s="1893">
        <v>129480.7</v>
      </c>
      <c r="E118" s="738">
        <v>129480.7</v>
      </c>
      <c r="F118" s="1809"/>
      <c r="G118" s="2200">
        <v>0</v>
      </c>
      <c r="H118" s="2200">
        <f t="shared" si="37"/>
        <v>100</v>
      </c>
      <c r="I118" s="2201">
        <v>0</v>
      </c>
      <c r="J118" s="29">
        <v>0</v>
      </c>
    </row>
    <row r="119" spans="1:10" ht="12.75" customHeight="1" x14ac:dyDescent="0.2">
      <c r="A119" s="2223"/>
      <c r="B119" s="776" t="s">
        <v>3056</v>
      </c>
      <c r="C119" s="1893">
        <v>0</v>
      </c>
      <c r="D119" s="1893">
        <f>(252863.08+834018.92)</f>
        <v>1086882</v>
      </c>
      <c r="E119" s="738">
        <v>1086882</v>
      </c>
      <c r="F119" s="1809"/>
      <c r="G119" s="2200">
        <v>0</v>
      </c>
      <c r="H119" s="2200">
        <f t="shared" si="37"/>
        <v>100</v>
      </c>
      <c r="I119" s="2201">
        <v>0</v>
      </c>
      <c r="J119" s="29">
        <v>0</v>
      </c>
    </row>
    <row r="120" spans="1:10" ht="12.75" customHeight="1" x14ac:dyDescent="0.2">
      <c r="A120" s="2223"/>
      <c r="B120" s="776" t="s">
        <v>3057</v>
      </c>
      <c r="C120" s="1893">
        <v>0</v>
      </c>
      <c r="D120" s="1893">
        <f>(6450.7+58056.3)</f>
        <v>64507</v>
      </c>
      <c r="E120" s="738">
        <v>64507</v>
      </c>
      <c r="F120" s="1809"/>
      <c r="G120" s="2200">
        <v>0</v>
      </c>
      <c r="H120" s="2200">
        <f t="shared" si="37"/>
        <v>100</v>
      </c>
      <c r="I120" s="2201">
        <v>0</v>
      </c>
      <c r="J120" s="29">
        <v>0</v>
      </c>
    </row>
    <row r="121" spans="1:10" ht="12.75" customHeight="1" x14ac:dyDescent="0.2">
      <c r="A121" s="2223"/>
      <c r="B121" s="776" t="s">
        <v>2613</v>
      </c>
      <c r="C121" s="2224">
        <v>0</v>
      </c>
      <c r="D121" s="2224">
        <v>169544.53</v>
      </c>
      <c r="E121" s="738">
        <v>169544.53</v>
      </c>
      <c r="F121" s="1809"/>
      <c r="G121" s="2200">
        <v>0</v>
      </c>
      <c r="H121" s="2200">
        <f t="shared" si="37"/>
        <v>100</v>
      </c>
      <c r="I121" s="2201">
        <f t="shared" si="36"/>
        <v>71.625612945766065</v>
      </c>
      <c r="J121" s="29">
        <v>236709.36</v>
      </c>
    </row>
    <row r="122" spans="1:10" ht="12.75" customHeight="1" x14ac:dyDescent="0.2">
      <c r="A122" s="2223"/>
      <c r="B122" s="776" t="s">
        <v>2614</v>
      </c>
      <c r="C122" s="2224">
        <v>0</v>
      </c>
      <c r="D122" s="2224">
        <v>70270.33</v>
      </c>
      <c r="E122" s="738">
        <v>70270.33</v>
      </c>
      <c r="F122" s="1809"/>
      <c r="G122" s="2200">
        <v>0</v>
      </c>
      <c r="H122" s="2200">
        <f t="shared" si="37"/>
        <v>100</v>
      </c>
      <c r="I122" s="2201">
        <f t="shared" si="36"/>
        <v>43.997725928701733</v>
      </c>
      <c r="J122" s="29">
        <v>159713.54999999999</v>
      </c>
    </row>
    <row r="123" spans="1:10" ht="12.75" customHeight="1" x14ac:dyDescent="0.2">
      <c r="A123" s="2223"/>
      <c r="B123" s="776" t="s">
        <v>2615</v>
      </c>
      <c r="C123" s="2224">
        <v>0</v>
      </c>
      <c r="D123" s="2224">
        <v>2743942.28</v>
      </c>
      <c r="E123" s="738">
        <v>2743942.28</v>
      </c>
      <c r="F123" s="1809"/>
      <c r="G123" s="2200">
        <v>0</v>
      </c>
      <c r="H123" s="2200">
        <f t="shared" si="37"/>
        <v>100</v>
      </c>
      <c r="I123" s="2201">
        <f t="shared" si="36"/>
        <v>64.925819602314178</v>
      </c>
      <c r="J123" s="29">
        <v>4226272.84</v>
      </c>
    </row>
    <row r="124" spans="1:10" ht="12.75" customHeight="1" x14ac:dyDescent="0.2">
      <c r="A124" s="2223"/>
      <c r="B124" s="776" t="s">
        <v>3058</v>
      </c>
      <c r="C124" s="2224">
        <v>0</v>
      </c>
      <c r="D124" s="2224">
        <f>(37912.8+6500+455819.41)+30000</f>
        <v>530232.21</v>
      </c>
      <c r="E124" s="738">
        <v>542634.21</v>
      </c>
      <c r="F124" s="1946"/>
      <c r="G124" s="2200">
        <v>0</v>
      </c>
      <c r="H124" s="2200">
        <f t="shared" si="37"/>
        <v>102.33897521993241</v>
      </c>
      <c r="I124" s="2201">
        <f t="shared" si="36"/>
        <v>42.398266203070669</v>
      </c>
      <c r="J124" s="29">
        <v>1279850</v>
      </c>
    </row>
    <row r="125" spans="1:10" ht="12.75" customHeight="1" x14ac:dyDescent="0.2">
      <c r="A125" s="2223"/>
      <c r="B125" s="776" t="s">
        <v>3059</v>
      </c>
      <c r="C125" s="2224">
        <v>0</v>
      </c>
      <c r="D125" s="2224">
        <f>23725+4745+40000+10000+10000+17245+60000</f>
        <v>165715</v>
      </c>
      <c r="E125" s="738">
        <v>190597</v>
      </c>
      <c r="F125" s="1946"/>
      <c r="G125" s="2200">
        <v>0</v>
      </c>
      <c r="H125" s="2200">
        <f t="shared" si="37"/>
        <v>115.01493528045137</v>
      </c>
      <c r="I125" s="2201">
        <f t="shared" si="36"/>
        <v>754.80971050651465</v>
      </c>
      <c r="J125" s="29">
        <v>25251</v>
      </c>
    </row>
    <row r="126" spans="1:10" s="2" customFormat="1" ht="12.75" customHeight="1" x14ac:dyDescent="0.2">
      <c r="A126" s="2243"/>
      <c r="B126" s="2246" t="s">
        <v>2618</v>
      </c>
      <c r="C126" s="2247">
        <v>0</v>
      </c>
      <c r="D126" s="2247">
        <v>0</v>
      </c>
      <c r="E126" s="1040">
        <v>36608</v>
      </c>
      <c r="F126" s="1077"/>
      <c r="G126" s="2200">
        <v>0</v>
      </c>
      <c r="H126" s="2200">
        <v>0</v>
      </c>
      <c r="I126" s="2201">
        <v>0</v>
      </c>
      <c r="J126" s="88">
        <v>0</v>
      </c>
    </row>
    <row r="127" spans="1:10" s="2" customFormat="1" ht="12.75" customHeight="1" x14ac:dyDescent="0.2">
      <c r="A127" s="2243"/>
      <c r="B127" s="1751" t="s">
        <v>3060</v>
      </c>
      <c r="C127" s="2248">
        <v>0</v>
      </c>
      <c r="D127" s="2248">
        <f>(913.14+3011.86)</f>
        <v>3925</v>
      </c>
      <c r="E127" s="2248">
        <v>3925</v>
      </c>
      <c r="F127" s="740"/>
      <c r="G127" s="2200">
        <v>0</v>
      </c>
      <c r="H127" s="2200">
        <f t="shared" si="37"/>
        <v>100</v>
      </c>
      <c r="I127" s="2201">
        <v>0</v>
      </c>
      <c r="J127" s="88">
        <v>0</v>
      </c>
    </row>
    <row r="128" spans="1:10" s="2" customFormat="1" ht="12.75" customHeight="1" x14ac:dyDescent="0.2">
      <c r="A128" s="2243"/>
      <c r="B128" s="1751" t="s">
        <v>3061</v>
      </c>
      <c r="C128" s="2248">
        <v>0</v>
      </c>
      <c r="D128" s="2248">
        <f>(24701.86+81474.14)</f>
        <v>106176</v>
      </c>
      <c r="E128" s="2248">
        <v>106176</v>
      </c>
      <c r="F128" s="740"/>
      <c r="G128" s="2200">
        <v>0</v>
      </c>
      <c r="H128" s="2200">
        <f t="shared" si="37"/>
        <v>100</v>
      </c>
      <c r="I128" s="2201">
        <v>0</v>
      </c>
      <c r="J128" s="88">
        <v>0</v>
      </c>
    </row>
    <row r="129" spans="1:10" s="2" customFormat="1" ht="12.75" customHeight="1" x14ac:dyDescent="0.2">
      <c r="A129" s="2243"/>
      <c r="B129" s="1751" t="s">
        <v>3062</v>
      </c>
      <c r="C129" s="2248">
        <v>0</v>
      </c>
      <c r="D129" s="2248">
        <v>3730</v>
      </c>
      <c r="E129" s="2248">
        <v>3730</v>
      </c>
      <c r="F129" s="1946"/>
      <c r="G129" s="2200">
        <v>0</v>
      </c>
      <c r="H129" s="2200">
        <f t="shared" si="37"/>
        <v>100</v>
      </c>
      <c r="I129" s="2201">
        <v>0</v>
      </c>
      <c r="J129" s="88">
        <v>0</v>
      </c>
    </row>
    <row r="130" spans="1:10" ht="12.75" customHeight="1" x14ac:dyDescent="0.2">
      <c r="A130" s="2221">
        <v>2310</v>
      </c>
      <c r="B130" s="1701" t="s">
        <v>2157</v>
      </c>
      <c r="C130" s="2250">
        <v>0</v>
      </c>
      <c r="D130" s="2250">
        <v>0</v>
      </c>
      <c r="E130" s="2251">
        <v>1500</v>
      </c>
      <c r="F130" s="2032"/>
      <c r="G130" s="1663">
        <v>0</v>
      </c>
      <c r="H130" s="1663">
        <v>0</v>
      </c>
      <c r="I130" s="1662">
        <f t="shared" si="36"/>
        <v>22.471910112359549</v>
      </c>
      <c r="J130" s="29">
        <v>6675</v>
      </c>
    </row>
    <row r="131" spans="1:10" ht="12.75" customHeight="1" x14ac:dyDescent="0.2">
      <c r="A131" s="2221">
        <v>2321</v>
      </c>
      <c r="B131" s="771" t="s">
        <v>2158</v>
      </c>
      <c r="C131" s="2250">
        <v>100000</v>
      </c>
      <c r="D131" s="2250">
        <f>100000+10000+150000-10000+30000</f>
        <v>280000</v>
      </c>
      <c r="E131" s="2251">
        <v>253000</v>
      </c>
      <c r="F131" s="2252"/>
      <c r="G131" s="1663">
        <f t="shared" si="35"/>
        <v>252.99999999999997</v>
      </c>
      <c r="H131" s="1663">
        <f t="shared" si="37"/>
        <v>90.357142857142861</v>
      </c>
      <c r="I131" s="1662">
        <f t="shared" si="36"/>
        <v>240.95238095238093</v>
      </c>
      <c r="J131" s="29">
        <v>105000</v>
      </c>
    </row>
    <row r="132" spans="1:10" ht="12.75" customHeight="1" x14ac:dyDescent="0.2">
      <c r="A132" s="2221">
        <v>2322</v>
      </c>
      <c r="B132" s="771" t="s">
        <v>2159</v>
      </c>
      <c r="C132" s="2228">
        <f>50000+50000</f>
        <v>100000</v>
      </c>
      <c r="D132" s="2228">
        <f>(50000+50000)+240187+155473</f>
        <v>495660</v>
      </c>
      <c r="E132" s="731">
        <v>890022</v>
      </c>
      <c r="F132" s="1234"/>
      <c r="G132" s="1663">
        <f t="shared" si="35"/>
        <v>890.02199999999993</v>
      </c>
      <c r="H132" s="1663">
        <f t="shared" si="37"/>
        <v>179.56300689989106</v>
      </c>
      <c r="I132" s="1662">
        <f t="shared" si="36"/>
        <v>80.145049949843056</v>
      </c>
      <c r="J132" s="29">
        <v>1110514</v>
      </c>
    </row>
    <row r="133" spans="1:10" s="98" customFormat="1" ht="12.75" customHeight="1" x14ac:dyDescent="0.2">
      <c r="A133" s="2221">
        <v>2324</v>
      </c>
      <c r="B133" s="771" t="s">
        <v>2160</v>
      </c>
      <c r="C133" s="755">
        <f>SUM(C134:C153)</f>
        <v>3572000</v>
      </c>
      <c r="D133" s="755">
        <f>SUM(D134:D153)</f>
        <v>3587000</v>
      </c>
      <c r="E133" s="726">
        <v>7285367.54</v>
      </c>
      <c r="F133" s="1077">
        <f>SUM(E134:E153)</f>
        <v>7285367.54</v>
      </c>
      <c r="G133" s="1663">
        <f t="shared" si="35"/>
        <v>203.95765789473685</v>
      </c>
      <c r="H133" s="1663">
        <f t="shared" si="37"/>
        <v>203.10475439085587</v>
      </c>
      <c r="I133" s="1662">
        <f t="shared" si="36"/>
        <v>91.131099608240476</v>
      </c>
      <c r="J133" s="29">
        <v>7994381.25</v>
      </c>
    </row>
    <row r="134" spans="1:10" s="98" customFormat="1" ht="12.75" customHeight="1" x14ac:dyDescent="0.2">
      <c r="A134" s="2204"/>
      <c r="B134" s="1034" t="s">
        <v>2622</v>
      </c>
      <c r="C134" s="2247">
        <v>0</v>
      </c>
      <c r="D134" s="2247">
        <v>0</v>
      </c>
      <c r="E134" s="738">
        <v>519</v>
      </c>
      <c r="F134" s="1864"/>
      <c r="G134" s="2200">
        <v>0</v>
      </c>
      <c r="H134" s="2200">
        <v>0</v>
      </c>
      <c r="I134" s="2201">
        <v>0</v>
      </c>
      <c r="J134" s="29">
        <v>0</v>
      </c>
    </row>
    <row r="135" spans="1:10" s="98" customFormat="1" ht="12.75" customHeight="1" x14ac:dyDescent="0.2">
      <c r="A135" s="2204"/>
      <c r="B135" s="1034" t="s">
        <v>1146</v>
      </c>
      <c r="C135" s="2247">
        <v>12000</v>
      </c>
      <c r="D135" s="2247">
        <v>12000</v>
      </c>
      <c r="E135" s="738">
        <v>7773.47</v>
      </c>
      <c r="F135" s="1864"/>
      <c r="G135" s="2200">
        <f t="shared" si="35"/>
        <v>64.77891666666666</v>
      </c>
      <c r="H135" s="2200">
        <f t="shared" si="37"/>
        <v>64.77891666666666</v>
      </c>
      <c r="I135" s="2201">
        <f t="shared" si="36"/>
        <v>149.81248072772124</v>
      </c>
      <c r="J135" s="29">
        <v>5188.8</v>
      </c>
    </row>
    <row r="136" spans="1:10" s="98" customFormat="1" ht="12.75" customHeight="1" x14ac:dyDescent="0.2">
      <c r="A136" s="2221"/>
      <c r="B136" s="1034" t="s">
        <v>1148</v>
      </c>
      <c r="C136" s="1702">
        <v>30000</v>
      </c>
      <c r="D136" s="1702">
        <v>30000</v>
      </c>
      <c r="E136" s="738">
        <v>38500</v>
      </c>
      <c r="F136" s="1809"/>
      <c r="G136" s="2200">
        <f t="shared" si="35"/>
        <v>128.33333333333334</v>
      </c>
      <c r="H136" s="2200">
        <f t="shared" si="37"/>
        <v>128.33333333333334</v>
      </c>
      <c r="I136" s="2201">
        <f t="shared" si="36"/>
        <v>111.59420289855073</v>
      </c>
      <c r="J136" s="29">
        <v>34500</v>
      </c>
    </row>
    <row r="137" spans="1:10" s="98" customFormat="1" ht="12.75" customHeight="1" x14ac:dyDescent="0.2">
      <c r="A137" s="2221"/>
      <c r="B137" s="1034" t="s">
        <v>2161</v>
      </c>
      <c r="C137" s="2247">
        <v>0</v>
      </c>
      <c r="D137" s="2247">
        <v>15000</v>
      </c>
      <c r="E137" s="738">
        <v>0</v>
      </c>
      <c r="F137" s="1864"/>
      <c r="G137" s="2200">
        <v>0</v>
      </c>
      <c r="H137" s="2200">
        <f t="shared" si="37"/>
        <v>0</v>
      </c>
      <c r="I137" s="2201">
        <f t="shared" si="36"/>
        <v>0</v>
      </c>
      <c r="J137" s="29">
        <v>1000</v>
      </c>
    </row>
    <row r="138" spans="1:10" s="98" customFormat="1" ht="12.75" customHeight="1" x14ac:dyDescent="0.2">
      <c r="A138" s="2221"/>
      <c r="B138" s="1034" t="s">
        <v>1149</v>
      </c>
      <c r="C138" s="2247">
        <v>100000</v>
      </c>
      <c r="D138" s="2247">
        <v>100000</v>
      </c>
      <c r="E138" s="738">
        <v>217536.52</v>
      </c>
      <c r="F138" s="1864"/>
      <c r="G138" s="2200">
        <f t="shared" si="35"/>
        <v>217.53652</v>
      </c>
      <c r="H138" s="2200">
        <f t="shared" si="37"/>
        <v>217.53652</v>
      </c>
      <c r="I138" s="2201">
        <f t="shared" si="36"/>
        <v>146.81292943586934</v>
      </c>
      <c r="J138" s="29">
        <v>148172.59</v>
      </c>
    </row>
    <row r="139" spans="1:10" s="98" customFormat="1" ht="12.75" customHeight="1" x14ac:dyDescent="0.2">
      <c r="A139" s="2221"/>
      <c r="B139" s="1034" t="s">
        <v>3063</v>
      </c>
      <c r="C139" s="1893">
        <v>0</v>
      </c>
      <c r="D139" s="1893">
        <v>0</v>
      </c>
      <c r="E139" s="738">
        <v>22500</v>
      </c>
      <c r="F139" s="1864"/>
      <c r="G139" s="2200">
        <v>0</v>
      </c>
      <c r="H139" s="2200">
        <v>0</v>
      </c>
      <c r="I139" s="2201">
        <v>0</v>
      </c>
      <c r="J139" s="29">
        <v>0</v>
      </c>
    </row>
    <row r="140" spans="1:10" s="98" customFormat="1" ht="12.75" customHeight="1" x14ac:dyDescent="0.2">
      <c r="A140" s="2221"/>
      <c r="B140" s="1034" t="s">
        <v>1150</v>
      </c>
      <c r="C140" s="1893">
        <v>300000</v>
      </c>
      <c r="D140" s="1893">
        <v>300000</v>
      </c>
      <c r="E140" s="738">
        <v>709247.76</v>
      </c>
      <c r="F140" s="1864"/>
      <c r="G140" s="2200">
        <f t="shared" si="35"/>
        <v>236.41592</v>
      </c>
      <c r="H140" s="2200">
        <f t="shared" si="37"/>
        <v>236.41592</v>
      </c>
      <c r="I140" s="2201">
        <f t="shared" si="36"/>
        <v>97.627919682795053</v>
      </c>
      <c r="J140" s="29">
        <v>726480.46</v>
      </c>
    </row>
    <row r="141" spans="1:10" s="98" customFormat="1" ht="12.75" customHeight="1" x14ac:dyDescent="0.2">
      <c r="A141" s="2221"/>
      <c r="B141" s="1034" t="s">
        <v>3064</v>
      </c>
      <c r="C141" s="2253">
        <v>15000</v>
      </c>
      <c r="D141" s="2253">
        <v>15000</v>
      </c>
      <c r="E141" s="738">
        <v>148899.29</v>
      </c>
      <c r="F141" s="1234"/>
      <c r="G141" s="2200">
        <f t="shared" si="35"/>
        <v>992.66193333333331</v>
      </c>
      <c r="H141" s="2200">
        <f t="shared" si="37"/>
        <v>992.66193333333331</v>
      </c>
      <c r="I141" s="2201">
        <f t="shared" si="36"/>
        <v>238.92455836855308</v>
      </c>
      <c r="J141" s="29">
        <v>62320.63</v>
      </c>
    </row>
    <row r="142" spans="1:10" s="98" customFormat="1" ht="14.25" customHeight="1" x14ac:dyDescent="0.2">
      <c r="A142" s="2221"/>
      <c r="B142" s="1034" t="s">
        <v>2162</v>
      </c>
      <c r="C142" s="2231">
        <v>0</v>
      </c>
      <c r="D142" s="2231">
        <v>0</v>
      </c>
      <c r="E142" s="2254">
        <v>9731.5</v>
      </c>
      <c r="F142" s="2252"/>
      <c r="G142" s="2200">
        <v>0</v>
      </c>
      <c r="H142" s="2200">
        <v>0</v>
      </c>
      <c r="I142" s="2201">
        <v>0</v>
      </c>
      <c r="J142" s="29">
        <v>0</v>
      </c>
    </row>
    <row r="143" spans="1:10" s="98" customFormat="1" ht="12.75" customHeight="1" x14ac:dyDescent="0.2">
      <c r="A143" s="2221"/>
      <c r="B143" s="1034" t="s">
        <v>2624</v>
      </c>
      <c r="C143" s="2244">
        <v>0</v>
      </c>
      <c r="D143" s="2244">
        <v>0</v>
      </c>
      <c r="E143" s="738">
        <v>61026.13</v>
      </c>
      <c r="F143" s="1864"/>
      <c r="G143" s="2200">
        <v>0</v>
      </c>
      <c r="H143" s="2200">
        <v>0</v>
      </c>
      <c r="I143" s="2201">
        <v>0</v>
      </c>
      <c r="J143" s="29">
        <v>0</v>
      </c>
    </row>
    <row r="144" spans="1:10" s="98" customFormat="1" ht="12.75" customHeight="1" x14ac:dyDescent="0.2">
      <c r="A144" s="2221"/>
      <c r="B144" s="1034" t="s">
        <v>3065</v>
      </c>
      <c r="C144" s="2244">
        <v>0</v>
      </c>
      <c r="D144" s="2244">
        <v>0</v>
      </c>
      <c r="E144" s="738">
        <v>78752</v>
      </c>
      <c r="F144" s="1864"/>
      <c r="G144" s="2200">
        <v>0</v>
      </c>
      <c r="H144" s="2200">
        <v>0</v>
      </c>
      <c r="I144" s="2201">
        <v>0</v>
      </c>
      <c r="J144" s="29">
        <v>0</v>
      </c>
    </row>
    <row r="145" spans="1:10" ht="12.75" customHeight="1" x14ac:dyDescent="0.2">
      <c r="A145" s="2256"/>
      <c r="B145" s="2257" t="s">
        <v>1154</v>
      </c>
      <c r="C145" s="2247">
        <v>2000</v>
      </c>
      <c r="D145" s="2247">
        <v>2000</v>
      </c>
      <c r="E145" s="738">
        <v>3068.02</v>
      </c>
      <c r="F145" s="1864"/>
      <c r="G145" s="2200">
        <f t="shared" si="35"/>
        <v>153.40100000000001</v>
      </c>
      <c r="H145" s="2200">
        <f t="shared" si="37"/>
        <v>153.40100000000001</v>
      </c>
      <c r="I145" s="2201">
        <f t="shared" si="36"/>
        <v>462.05120481927713</v>
      </c>
      <c r="J145" s="29">
        <v>664</v>
      </c>
    </row>
    <row r="146" spans="1:10" s="158" customFormat="1" ht="12.75" customHeight="1" x14ac:dyDescent="0.2">
      <c r="A146" s="2236"/>
      <c r="B146" s="790" t="s">
        <v>3066</v>
      </c>
      <c r="C146" s="1770">
        <v>0</v>
      </c>
      <c r="D146" s="1770">
        <v>0</v>
      </c>
      <c r="E146" s="767">
        <v>41600</v>
      </c>
      <c r="F146" s="854"/>
      <c r="G146" s="2200">
        <v>0</v>
      </c>
      <c r="H146" s="2200">
        <v>0</v>
      </c>
      <c r="I146" s="2201">
        <f t="shared" si="36"/>
        <v>100</v>
      </c>
      <c r="J146" s="1866">
        <v>41600</v>
      </c>
    </row>
    <row r="147" spans="1:10" s="158" customFormat="1" ht="12.75" customHeight="1" x14ac:dyDescent="0.2">
      <c r="A147" s="2236"/>
      <c r="B147" s="790" t="s">
        <v>2164</v>
      </c>
      <c r="C147" s="1770">
        <v>3000000</v>
      </c>
      <c r="D147" s="1770">
        <v>3000000</v>
      </c>
      <c r="E147" s="767">
        <v>5792920.0300000003</v>
      </c>
      <c r="F147" s="854"/>
      <c r="G147" s="2200">
        <f t="shared" si="35"/>
        <v>193.09733433333335</v>
      </c>
      <c r="H147" s="2200">
        <f t="shared" si="37"/>
        <v>193.09733433333335</v>
      </c>
      <c r="I147" s="2201">
        <f t="shared" si="36"/>
        <v>88.253981805202514</v>
      </c>
      <c r="J147" s="1866">
        <v>6563919.1699999999</v>
      </c>
    </row>
    <row r="148" spans="1:10" s="158" customFormat="1" ht="12.75" customHeight="1" x14ac:dyDescent="0.2">
      <c r="A148" s="2236"/>
      <c r="B148" s="790" t="s">
        <v>1157</v>
      </c>
      <c r="C148" s="1770">
        <v>0</v>
      </c>
      <c r="D148" s="1770">
        <v>0</v>
      </c>
      <c r="E148" s="767">
        <v>4029.68</v>
      </c>
      <c r="F148" s="854"/>
      <c r="G148" s="2200">
        <v>0</v>
      </c>
      <c r="H148" s="2200">
        <v>0</v>
      </c>
      <c r="I148" s="2201">
        <f t="shared" si="36"/>
        <v>24.580212272782724</v>
      </c>
      <c r="J148" s="1866">
        <v>16394</v>
      </c>
    </row>
    <row r="149" spans="1:10" s="158" customFormat="1" ht="12.75" customHeight="1" x14ac:dyDescent="0.2">
      <c r="A149" s="2236"/>
      <c r="B149" s="790" t="s">
        <v>1158</v>
      </c>
      <c r="C149" s="1770">
        <v>3000</v>
      </c>
      <c r="D149" s="1770">
        <v>3000</v>
      </c>
      <c r="E149" s="767">
        <v>0</v>
      </c>
      <c r="F149" s="854"/>
      <c r="G149" s="2200">
        <f t="shared" si="35"/>
        <v>0</v>
      </c>
      <c r="H149" s="2200">
        <f t="shared" si="37"/>
        <v>0</v>
      </c>
      <c r="I149" s="2201">
        <f t="shared" si="36"/>
        <v>0</v>
      </c>
      <c r="J149" s="1866">
        <v>3775</v>
      </c>
    </row>
    <row r="150" spans="1:10" s="158" customFormat="1" ht="12.75" customHeight="1" x14ac:dyDescent="0.2">
      <c r="A150" s="2223"/>
      <c r="B150" s="776" t="s">
        <v>1159</v>
      </c>
      <c r="C150" s="2258">
        <v>60000</v>
      </c>
      <c r="D150" s="2258">
        <v>60000</v>
      </c>
      <c r="E150" s="738">
        <v>65424.36</v>
      </c>
      <c r="F150" s="1077"/>
      <c r="G150" s="2200">
        <f t="shared" si="35"/>
        <v>109.0406</v>
      </c>
      <c r="H150" s="2200">
        <f t="shared" si="37"/>
        <v>109.0406</v>
      </c>
      <c r="I150" s="2201">
        <f t="shared" si="36"/>
        <v>110.84371315585855</v>
      </c>
      <c r="J150" s="1866">
        <v>59023.97</v>
      </c>
    </row>
    <row r="151" spans="1:10" s="158" customFormat="1" ht="12.75" customHeight="1" x14ac:dyDescent="0.2">
      <c r="A151" s="2223"/>
      <c r="B151" s="776" t="s">
        <v>1160</v>
      </c>
      <c r="C151" s="2258">
        <v>0</v>
      </c>
      <c r="D151" s="2258">
        <v>0</v>
      </c>
      <c r="E151" s="738">
        <v>10073.14</v>
      </c>
      <c r="F151" s="1077"/>
      <c r="G151" s="2200">
        <v>0</v>
      </c>
      <c r="H151" s="2200">
        <v>0</v>
      </c>
      <c r="I151" s="2201">
        <f t="shared" si="36"/>
        <v>83.192231425298573</v>
      </c>
      <c r="J151" s="1866">
        <v>12108.27</v>
      </c>
    </row>
    <row r="152" spans="1:10" s="158" customFormat="1" ht="12.75" customHeight="1" x14ac:dyDescent="0.2">
      <c r="A152" s="2204"/>
      <c r="B152" s="776" t="s">
        <v>1162</v>
      </c>
      <c r="C152" s="2259">
        <v>50000</v>
      </c>
      <c r="D152" s="2259">
        <v>50000</v>
      </c>
      <c r="E152" s="738">
        <v>73429.84</v>
      </c>
      <c r="F152" s="1077"/>
      <c r="G152" s="2200">
        <f t="shared" si="35"/>
        <v>146.85968</v>
      </c>
      <c r="H152" s="2200">
        <f t="shared" si="37"/>
        <v>146.85968</v>
      </c>
      <c r="I152" s="2201">
        <f t="shared" si="36"/>
        <v>119.73984940434879</v>
      </c>
      <c r="J152" s="1866">
        <v>61324.480000000003</v>
      </c>
    </row>
    <row r="153" spans="1:10" s="158" customFormat="1" ht="12.75" customHeight="1" x14ac:dyDescent="0.2">
      <c r="A153" s="2204"/>
      <c r="B153" s="776" t="s">
        <v>3067</v>
      </c>
      <c r="C153" s="2259">
        <v>0</v>
      </c>
      <c r="D153" s="2259">
        <v>0</v>
      </c>
      <c r="E153" s="738">
        <v>336.8</v>
      </c>
      <c r="F153" s="1077"/>
      <c r="G153" s="2200">
        <v>0</v>
      </c>
      <c r="H153" s="2200">
        <v>0</v>
      </c>
      <c r="I153" s="2201">
        <f t="shared" si="36"/>
        <v>35.461590296495956</v>
      </c>
      <c r="J153" s="1866">
        <v>949.76</v>
      </c>
    </row>
    <row r="154" spans="1:10" s="158" customFormat="1" ht="13.5" customHeight="1" x14ac:dyDescent="0.2">
      <c r="A154" s="2199">
        <v>2328</v>
      </c>
      <c r="B154" s="2226" t="s">
        <v>1167</v>
      </c>
      <c r="C154" s="1956">
        <v>0</v>
      </c>
      <c r="D154" s="1956">
        <v>0</v>
      </c>
      <c r="E154" s="726">
        <v>5199.34</v>
      </c>
      <c r="F154" s="1077"/>
      <c r="G154" s="1663">
        <v>0</v>
      </c>
      <c r="H154" s="1663">
        <v>0</v>
      </c>
      <c r="I154" s="1662">
        <f t="shared" si="36"/>
        <v>34.84852039198838</v>
      </c>
      <c r="J154" s="1866">
        <v>14919.83</v>
      </c>
    </row>
    <row r="155" spans="1:10" s="98" customFormat="1" ht="12.75" customHeight="1" x14ac:dyDescent="0.2">
      <c r="A155" s="2221">
        <v>2329</v>
      </c>
      <c r="B155" s="771" t="s">
        <v>164</v>
      </c>
      <c r="C155" s="755">
        <f>SUM(C156:C173)</f>
        <v>12447771.50999999</v>
      </c>
      <c r="D155" s="755">
        <f>SUM(D156:D173)</f>
        <v>1266007.9999999907</v>
      </c>
      <c r="E155" s="726">
        <v>1377234.98</v>
      </c>
      <c r="F155" s="1077">
        <f>SUM(E156:E173)</f>
        <v>1377234.9800000002</v>
      </c>
      <c r="G155" s="1663">
        <f t="shared" si="35"/>
        <v>11.064108775563483</v>
      </c>
      <c r="H155" s="1663">
        <f t="shared" si="37"/>
        <v>108.78564590429207</v>
      </c>
      <c r="I155" s="1662">
        <f t="shared" si="36"/>
        <v>1.3879737362674356</v>
      </c>
      <c r="J155" s="29">
        <v>99226299.75</v>
      </c>
    </row>
    <row r="156" spans="1:10" s="98" customFormat="1" ht="12.75" customHeight="1" x14ac:dyDescent="0.2">
      <c r="A156" s="2221"/>
      <c r="B156" s="1034" t="s">
        <v>3068</v>
      </c>
      <c r="C156" s="1232">
        <v>200000</v>
      </c>
      <c r="D156" s="2244">
        <f>200000-200000</f>
        <v>0</v>
      </c>
      <c r="E156" s="738">
        <v>0</v>
      </c>
      <c r="F156" s="1234"/>
      <c r="G156" s="2200">
        <f t="shared" si="35"/>
        <v>0</v>
      </c>
      <c r="H156" s="2200">
        <v>0</v>
      </c>
      <c r="I156" s="2201">
        <v>0</v>
      </c>
      <c r="J156" s="29">
        <v>0</v>
      </c>
    </row>
    <row r="157" spans="1:10" x14ac:dyDescent="0.2">
      <c r="A157" s="2223"/>
      <c r="B157" s="776" t="s">
        <v>3069</v>
      </c>
      <c r="C157" s="1441">
        <v>0</v>
      </c>
      <c r="D157" s="2231">
        <v>0</v>
      </c>
      <c r="E157" s="2254">
        <v>3390</v>
      </c>
      <c r="F157" s="2252"/>
      <c r="G157" s="2200">
        <v>0</v>
      </c>
      <c r="H157" s="2200">
        <v>0</v>
      </c>
      <c r="I157" s="2201">
        <v>0</v>
      </c>
      <c r="J157" s="29">
        <v>530</v>
      </c>
    </row>
    <row r="158" spans="1:10" x14ac:dyDescent="0.2">
      <c r="A158" s="2223"/>
      <c r="B158" s="776" t="s">
        <v>1169</v>
      </c>
      <c r="C158" s="1441">
        <v>5000</v>
      </c>
      <c r="D158" s="2231">
        <v>5000</v>
      </c>
      <c r="E158" s="2254">
        <v>5000</v>
      </c>
      <c r="F158" s="2252"/>
      <c r="G158" s="2200">
        <f t="shared" si="35"/>
        <v>100</v>
      </c>
      <c r="H158" s="2200">
        <f t="shared" si="37"/>
        <v>100</v>
      </c>
      <c r="I158" s="2201">
        <v>0</v>
      </c>
      <c r="J158" s="29">
        <v>0</v>
      </c>
    </row>
    <row r="159" spans="1:10" ht="12.75" customHeight="1" x14ac:dyDescent="0.2">
      <c r="A159" s="2223"/>
      <c r="B159" s="776" t="s">
        <v>2166</v>
      </c>
      <c r="C159" s="2244">
        <v>280000</v>
      </c>
      <c r="D159" s="2244">
        <v>280000</v>
      </c>
      <c r="E159" s="738">
        <v>274000</v>
      </c>
      <c r="F159" s="1864"/>
      <c r="G159" s="2200">
        <f t="shared" si="35"/>
        <v>97.857142857142847</v>
      </c>
      <c r="H159" s="2200">
        <f t="shared" si="37"/>
        <v>97.857142857142847</v>
      </c>
      <c r="I159" s="2201">
        <f t="shared" si="36"/>
        <v>93.039049235993204</v>
      </c>
      <c r="J159" s="29">
        <v>294500</v>
      </c>
    </row>
    <row r="160" spans="1:10" ht="12.75" customHeight="1" x14ac:dyDescent="0.2">
      <c r="A160" s="2223"/>
      <c r="B160" s="776" t="s">
        <v>1170</v>
      </c>
      <c r="C160" s="2247">
        <v>500000</v>
      </c>
      <c r="D160" s="2247">
        <v>500000</v>
      </c>
      <c r="E160" s="738">
        <v>561190.15</v>
      </c>
      <c r="F160" s="1864"/>
      <c r="G160" s="2200">
        <f t="shared" si="35"/>
        <v>112.23803000000001</v>
      </c>
      <c r="H160" s="2200">
        <f t="shared" si="37"/>
        <v>112.23803000000001</v>
      </c>
      <c r="I160" s="2201">
        <f t="shared" si="36"/>
        <v>67.341706323112021</v>
      </c>
      <c r="J160" s="29">
        <v>833347.09</v>
      </c>
    </row>
    <row r="161" spans="1:10" ht="12.75" customHeight="1" x14ac:dyDescent="0.2">
      <c r="A161" s="2223"/>
      <c r="B161" s="776" t="s">
        <v>2167</v>
      </c>
      <c r="C161" s="2245">
        <v>220000</v>
      </c>
      <c r="D161" s="2245">
        <v>220000</v>
      </c>
      <c r="E161" s="738">
        <v>38463.79</v>
      </c>
      <c r="F161" s="1864"/>
      <c r="G161" s="2200">
        <f t="shared" si="35"/>
        <v>17.483540909090909</v>
      </c>
      <c r="H161" s="2200">
        <f t="shared" si="37"/>
        <v>17.483540909090909</v>
      </c>
      <c r="I161" s="2201">
        <f t="shared" si="36"/>
        <v>4336.0978964218884</v>
      </c>
      <c r="J161" s="29">
        <v>887.06</v>
      </c>
    </row>
    <row r="162" spans="1:10" ht="12.75" customHeight="1" x14ac:dyDescent="0.2">
      <c r="A162" s="2223"/>
      <c r="B162" s="776" t="s">
        <v>2168</v>
      </c>
      <c r="C162" s="2253">
        <v>0</v>
      </c>
      <c r="D162" s="2253">
        <v>0</v>
      </c>
      <c r="E162" s="738">
        <v>141059.19</v>
      </c>
      <c r="F162" s="1234"/>
      <c r="G162" s="2200">
        <v>0</v>
      </c>
      <c r="H162" s="2200">
        <v>0</v>
      </c>
      <c r="I162" s="2201">
        <f t="shared" si="36"/>
        <v>97.631201245112948</v>
      </c>
      <c r="J162" s="29">
        <v>144481.67000000001</v>
      </c>
    </row>
    <row r="163" spans="1:10" ht="12.75" customHeight="1" x14ac:dyDescent="0.2">
      <c r="A163" s="2223"/>
      <c r="B163" s="776" t="s">
        <v>1173</v>
      </c>
      <c r="C163" s="2231">
        <v>70000</v>
      </c>
      <c r="D163" s="2231">
        <v>70000</v>
      </c>
      <c r="E163" s="738">
        <v>80601.16</v>
      </c>
      <c r="F163" s="1077"/>
      <c r="G163" s="2200">
        <f t="shared" si="35"/>
        <v>115.14451428571428</v>
      </c>
      <c r="H163" s="2200">
        <f t="shared" si="37"/>
        <v>115.14451428571428</v>
      </c>
      <c r="I163" s="2201">
        <f t="shared" si="36"/>
        <v>66.901532487862852</v>
      </c>
      <c r="J163" s="29">
        <v>120477.3</v>
      </c>
    </row>
    <row r="164" spans="1:10" x14ac:dyDescent="0.2">
      <c r="A164" s="2223"/>
      <c r="B164" s="776" t="s">
        <v>2170</v>
      </c>
      <c r="C164" s="2231">
        <v>40000</v>
      </c>
      <c r="D164" s="2231">
        <v>40000</v>
      </c>
      <c r="E164" s="2254">
        <v>41840</v>
      </c>
      <c r="F164" s="2252"/>
      <c r="G164" s="2200">
        <f t="shared" si="35"/>
        <v>104.60000000000001</v>
      </c>
      <c r="H164" s="2200">
        <f t="shared" si="37"/>
        <v>104.60000000000001</v>
      </c>
      <c r="I164" s="2201">
        <f t="shared" si="36"/>
        <v>92.239858906525569</v>
      </c>
      <c r="J164" s="29">
        <v>45360</v>
      </c>
    </row>
    <row r="165" spans="1:10" x14ac:dyDescent="0.2">
      <c r="A165" s="2223"/>
      <c r="B165" s="776" t="s">
        <v>3070</v>
      </c>
      <c r="C165" s="2231">
        <v>0</v>
      </c>
      <c r="D165" s="2231">
        <v>151008</v>
      </c>
      <c r="E165" s="2254">
        <v>151008</v>
      </c>
      <c r="F165" s="2252"/>
      <c r="G165" s="2200">
        <v>0</v>
      </c>
      <c r="H165" s="2200">
        <f t="shared" si="37"/>
        <v>100</v>
      </c>
      <c r="I165" s="2201">
        <v>0</v>
      </c>
      <c r="J165" s="29">
        <v>0</v>
      </c>
    </row>
    <row r="166" spans="1:10" ht="24.75" x14ac:dyDescent="0.2">
      <c r="A166" s="2223"/>
      <c r="B166" s="2232" t="s">
        <v>2631</v>
      </c>
      <c r="C166" s="2260">
        <v>5000000</v>
      </c>
      <c r="D166" s="2260">
        <f>5000000-5000000</f>
        <v>0</v>
      </c>
      <c r="E166" s="738">
        <v>0</v>
      </c>
      <c r="F166" s="1077"/>
      <c r="G166" s="2200">
        <f t="shared" ref="G166:G228" si="39">E166/C166*100</f>
        <v>0</v>
      </c>
      <c r="H166" s="2200">
        <v>0</v>
      </c>
      <c r="I166" s="2201">
        <v>0</v>
      </c>
      <c r="J166" s="1866">
        <v>0</v>
      </c>
    </row>
    <row r="167" spans="1:10" x14ac:dyDescent="0.2">
      <c r="A167" s="2204"/>
      <c r="B167" s="2232" t="s">
        <v>2632</v>
      </c>
      <c r="C167" s="2234">
        <v>0</v>
      </c>
      <c r="D167" s="2234">
        <v>0</v>
      </c>
      <c r="E167" s="738">
        <v>554</v>
      </c>
      <c r="F167" s="2042"/>
      <c r="G167" s="2200">
        <v>0</v>
      </c>
      <c r="H167" s="2200">
        <v>0</v>
      </c>
      <c r="I167" s="2201">
        <f t="shared" ref="I167:I228" si="40">E167/J167*100</f>
        <v>34.282178217821787</v>
      </c>
      <c r="J167" s="29">
        <v>1616</v>
      </c>
    </row>
    <row r="168" spans="1:10" ht="12.75" customHeight="1" x14ac:dyDescent="0.2">
      <c r="A168" s="2223"/>
      <c r="B168" s="776" t="s">
        <v>3071</v>
      </c>
      <c r="C168" s="1893">
        <v>0</v>
      </c>
      <c r="D168" s="1893">
        <v>0</v>
      </c>
      <c r="E168" s="1809">
        <v>2</v>
      </c>
      <c r="F168" s="740"/>
      <c r="G168" s="2200">
        <v>0</v>
      </c>
      <c r="H168" s="2200">
        <v>0</v>
      </c>
      <c r="I168" s="2201">
        <v>0</v>
      </c>
      <c r="J168" s="29">
        <v>0</v>
      </c>
    </row>
    <row r="169" spans="1:10" ht="12.75" customHeight="1" x14ac:dyDescent="0.2">
      <c r="A169" s="2223"/>
      <c r="B169" s="776" t="s">
        <v>3072</v>
      </c>
      <c r="C169" s="1893">
        <v>0</v>
      </c>
      <c r="D169" s="1893">
        <v>0</v>
      </c>
      <c r="E169" s="1809">
        <v>26550.37</v>
      </c>
      <c r="F169" s="740"/>
      <c r="G169" s="2200">
        <v>0</v>
      </c>
      <c r="H169" s="2200">
        <v>0</v>
      </c>
      <c r="I169" s="2201">
        <v>0</v>
      </c>
      <c r="J169" s="29">
        <v>0</v>
      </c>
    </row>
    <row r="170" spans="1:10" ht="12.75" customHeight="1" x14ac:dyDescent="0.2">
      <c r="A170" s="2223"/>
      <c r="B170" s="776" t="s">
        <v>3073</v>
      </c>
      <c r="C170" s="1893">
        <v>0</v>
      </c>
      <c r="D170" s="1893">
        <v>0</v>
      </c>
      <c r="E170" s="1809">
        <v>53576.32</v>
      </c>
      <c r="F170" s="740"/>
      <c r="G170" s="2200">
        <v>0</v>
      </c>
      <c r="H170" s="2200">
        <v>0</v>
      </c>
      <c r="I170" s="2201">
        <f t="shared" si="40"/>
        <v>91.883164880727179</v>
      </c>
      <c r="J170" s="29">
        <v>58309.18</v>
      </c>
    </row>
    <row r="171" spans="1:10" ht="24.75" x14ac:dyDescent="0.2">
      <c r="A171" s="2261"/>
      <c r="B171" s="2262" t="s">
        <v>3074</v>
      </c>
      <c r="C171" s="2259">
        <v>500000</v>
      </c>
      <c r="D171" s="2259">
        <f t="shared" ref="D171:D172" si="41">500000-500000</f>
        <v>0</v>
      </c>
      <c r="E171" s="738">
        <v>0</v>
      </c>
      <c r="F171" s="1809"/>
      <c r="G171" s="2200">
        <f t="shared" si="39"/>
        <v>0</v>
      </c>
      <c r="H171" s="2200">
        <v>0</v>
      </c>
      <c r="I171" s="2201">
        <v>0</v>
      </c>
      <c r="J171" s="1866">
        <v>0</v>
      </c>
    </row>
    <row r="172" spans="1:10" ht="12.75" customHeight="1" x14ac:dyDescent="0.2">
      <c r="A172" s="2263"/>
      <c r="B172" s="1529" t="s">
        <v>2174</v>
      </c>
      <c r="C172" s="1893">
        <v>500000</v>
      </c>
      <c r="D172" s="1893">
        <f t="shared" si="41"/>
        <v>0</v>
      </c>
      <c r="E172" s="1077">
        <v>0</v>
      </c>
      <c r="F172" s="1946"/>
      <c r="G172" s="2200">
        <f t="shared" si="39"/>
        <v>0</v>
      </c>
      <c r="H172" s="2200">
        <v>0</v>
      </c>
      <c r="I172" s="2201">
        <v>0</v>
      </c>
      <c r="J172" s="29">
        <v>0</v>
      </c>
    </row>
    <row r="173" spans="1:10" x14ac:dyDescent="0.2">
      <c r="A173" s="2263"/>
      <c r="B173" s="1529" t="s">
        <v>2635</v>
      </c>
      <c r="C173" s="1702">
        <f>102867431.07+200.98-97734860.54</f>
        <v>5132771.5099999905</v>
      </c>
      <c r="D173" s="1702">
        <f>102867431.07+200.98-97734860.54-5132771.51</f>
        <v>-9.3132257461547852E-9</v>
      </c>
      <c r="E173" s="1077">
        <v>0</v>
      </c>
      <c r="F173" s="1077"/>
      <c r="G173" s="2200">
        <f t="shared" si="39"/>
        <v>0</v>
      </c>
      <c r="H173" s="2200">
        <f t="shared" ref="H173:H232" si="42">E173/D173*100</f>
        <v>0</v>
      </c>
      <c r="I173" s="2201">
        <f t="shared" si="40"/>
        <v>0</v>
      </c>
      <c r="J173" s="29">
        <v>97724250.450000003</v>
      </c>
    </row>
    <row r="174" spans="1:10" ht="12.75" customHeight="1" x14ac:dyDescent="0.2">
      <c r="A174" s="2264"/>
      <c r="B174" s="2265"/>
      <c r="C174" s="2266"/>
      <c r="D174" s="2266"/>
      <c r="E174" s="1048"/>
      <c r="F174" s="945"/>
      <c r="G174" s="945"/>
      <c r="H174" s="2267"/>
      <c r="I174" s="2037"/>
    </row>
    <row r="175" spans="1:10" s="98" customFormat="1" ht="18.75" customHeight="1" x14ac:dyDescent="0.25">
      <c r="A175" s="2216"/>
      <c r="B175" s="2268" t="s">
        <v>11</v>
      </c>
      <c r="C175" s="652">
        <f>SUM(C176:C178,C184:C184:C185,C191)</f>
        <v>45747371</v>
      </c>
      <c r="D175" s="652">
        <f>SUM(D176:D178,D184:D184:D185,D191)</f>
        <v>24498887</v>
      </c>
      <c r="E175" s="2269">
        <v>25617953.84</v>
      </c>
      <c r="F175" s="2270">
        <f>SUM(E176:E178,E184,E191)</f>
        <v>25617953.84</v>
      </c>
      <c r="G175" s="1654">
        <f t="shared" si="39"/>
        <v>55.998745457963039</v>
      </c>
      <c r="H175" s="1654">
        <f t="shared" si="42"/>
        <v>104.56782726496922</v>
      </c>
      <c r="I175" s="1654">
        <f t="shared" si="40"/>
        <v>23.366223914547142</v>
      </c>
      <c r="J175" s="29">
        <v>109636687.27</v>
      </c>
    </row>
    <row r="176" spans="1:10" s="98" customFormat="1" x14ac:dyDescent="0.2">
      <c r="A176" s="2219">
        <v>3111</v>
      </c>
      <c r="B176" s="1208" t="s">
        <v>3203</v>
      </c>
      <c r="C176" s="765">
        <v>2300000</v>
      </c>
      <c r="D176" s="765">
        <f>2300000+5889660</f>
        <v>8189660</v>
      </c>
      <c r="E176" s="1880">
        <v>9486587.8399999999</v>
      </c>
      <c r="F176" s="2579"/>
      <c r="G176" s="1663">
        <f t="shared" si="39"/>
        <v>412.46034086956519</v>
      </c>
      <c r="H176" s="1663">
        <f t="shared" si="42"/>
        <v>115.83616218499913</v>
      </c>
      <c r="I176" s="1662">
        <f t="shared" si="40"/>
        <v>8.9490190723166023</v>
      </c>
      <c r="J176" s="29">
        <v>106007013.31999999</v>
      </c>
    </row>
    <row r="177" spans="1:10" s="98" customFormat="1" x14ac:dyDescent="0.2">
      <c r="A177" s="2219">
        <v>3111</v>
      </c>
      <c r="B177" s="1208" t="s">
        <v>1189</v>
      </c>
      <c r="C177" s="731">
        <v>600000</v>
      </c>
      <c r="D177" s="731">
        <f>600000+5424450</f>
        <v>6024450</v>
      </c>
      <c r="E177" s="1084">
        <v>5710389</v>
      </c>
      <c r="F177" s="2579"/>
      <c r="G177" s="1663">
        <f t="shared" si="39"/>
        <v>951.73149999999998</v>
      </c>
      <c r="H177" s="1663">
        <f t="shared" si="42"/>
        <v>94.786893409356878</v>
      </c>
      <c r="I177" s="1662">
        <f t="shared" si="40"/>
        <v>2545.1903191299698</v>
      </c>
      <c r="J177" s="29">
        <v>224360</v>
      </c>
    </row>
    <row r="178" spans="1:10" s="98" customFormat="1" x14ac:dyDescent="0.2">
      <c r="A178" s="2221">
        <v>3112</v>
      </c>
      <c r="B178" s="717" t="s">
        <v>2177</v>
      </c>
      <c r="C178" s="726">
        <f>SUM(C179:C183)</f>
        <v>33309049</v>
      </c>
      <c r="D178" s="726">
        <f>SUM(D179:D183)</f>
        <v>10234777</v>
      </c>
      <c r="E178" s="726">
        <v>10234777</v>
      </c>
      <c r="F178" s="814"/>
      <c r="G178" s="1663">
        <f t="shared" si="39"/>
        <v>30.726716334651282</v>
      </c>
      <c r="H178" s="1663">
        <f t="shared" si="42"/>
        <v>100</v>
      </c>
      <c r="I178" s="1662">
        <v>0</v>
      </c>
      <c r="J178" s="29">
        <v>1097520</v>
      </c>
    </row>
    <row r="179" spans="1:10" s="98" customFormat="1" x14ac:dyDescent="0.2">
      <c r="A179" s="2221"/>
      <c r="B179" s="1530" t="s">
        <v>2637</v>
      </c>
      <c r="C179" s="2150">
        <v>2975049</v>
      </c>
      <c r="D179" s="2150">
        <f>2975049-2975049</f>
        <v>0</v>
      </c>
      <c r="E179" s="750">
        <v>0</v>
      </c>
      <c r="F179" s="1330"/>
      <c r="G179" s="2200">
        <f t="shared" si="39"/>
        <v>0</v>
      </c>
      <c r="H179" s="2200">
        <v>0</v>
      </c>
      <c r="I179" s="2201">
        <v>0</v>
      </c>
      <c r="J179" s="29">
        <v>0</v>
      </c>
    </row>
    <row r="180" spans="1:10" s="98" customFormat="1" x14ac:dyDescent="0.2">
      <c r="A180" s="2221"/>
      <c r="B180" s="1530" t="s">
        <v>2638</v>
      </c>
      <c r="C180" s="1946">
        <v>5455000</v>
      </c>
      <c r="D180" s="1946">
        <f>5455000+748448</f>
        <v>6203448</v>
      </c>
      <c r="E180" s="738">
        <v>6203447</v>
      </c>
      <c r="F180" s="747"/>
      <c r="G180" s="2200">
        <f t="shared" si="39"/>
        <v>113.72038496791934</v>
      </c>
      <c r="H180" s="2200">
        <f t="shared" si="42"/>
        <v>99.999983879932572</v>
      </c>
      <c r="I180" s="2201">
        <v>0</v>
      </c>
      <c r="J180" s="29">
        <v>0</v>
      </c>
    </row>
    <row r="181" spans="1:10" s="98" customFormat="1" x14ac:dyDescent="0.2">
      <c r="A181" s="2221"/>
      <c r="B181" s="1530" t="s">
        <v>2639</v>
      </c>
      <c r="C181" s="740">
        <v>3969000</v>
      </c>
      <c r="D181" s="740">
        <f>3969000+62329</f>
        <v>4031329</v>
      </c>
      <c r="E181" s="738">
        <v>4031329</v>
      </c>
      <c r="F181" s="747"/>
      <c r="G181" s="2200">
        <f t="shared" si="39"/>
        <v>101.57039556563365</v>
      </c>
      <c r="H181" s="2200">
        <f t="shared" si="42"/>
        <v>100</v>
      </c>
      <c r="I181" s="2201">
        <v>0</v>
      </c>
      <c r="J181" s="29">
        <v>0</v>
      </c>
    </row>
    <row r="182" spans="1:10" s="98" customFormat="1" x14ac:dyDescent="0.2">
      <c r="A182" s="2221"/>
      <c r="B182" s="1530" t="s">
        <v>2640</v>
      </c>
      <c r="C182" s="740">
        <v>20300000</v>
      </c>
      <c r="D182" s="740">
        <f>20300000-20300000</f>
        <v>0</v>
      </c>
      <c r="E182" s="738">
        <v>0</v>
      </c>
      <c r="F182" s="1330"/>
      <c r="G182" s="2200">
        <f t="shared" si="39"/>
        <v>0</v>
      </c>
      <c r="H182" s="2200">
        <v>0</v>
      </c>
      <c r="I182" s="2201">
        <v>0</v>
      </c>
      <c r="J182" s="29">
        <v>0</v>
      </c>
    </row>
    <row r="183" spans="1:10" s="98" customFormat="1" x14ac:dyDescent="0.2">
      <c r="A183" s="2221"/>
      <c r="B183" s="1530" t="s">
        <v>2641</v>
      </c>
      <c r="C183" s="740">
        <v>610000</v>
      </c>
      <c r="D183" s="740">
        <f>610000-610000</f>
        <v>0</v>
      </c>
      <c r="E183" s="738">
        <v>0</v>
      </c>
      <c r="F183" s="1330"/>
      <c r="G183" s="2200">
        <f t="shared" si="39"/>
        <v>0</v>
      </c>
      <c r="H183" s="2200">
        <v>0</v>
      </c>
      <c r="I183" s="2201">
        <v>0</v>
      </c>
      <c r="J183" s="29">
        <v>0</v>
      </c>
    </row>
    <row r="184" spans="1:10" s="98" customFormat="1" x14ac:dyDescent="0.2">
      <c r="A184" s="2221">
        <v>3113</v>
      </c>
      <c r="B184" s="717" t="s">
        <v>2181</v>
      </c>
      <c r="C184" s="730">
        <v>50000</v>
      </c>
      <c r="D184" s="730">
        <v>50000</v>
      </c>
      <c r="E184" s="731">
        <v>181200</v>
      </c>
      <c r="F184" s="740"/>
      <c r="G184" s="1663">
        <f t="shared" si="39"/>
        <v>362.40000000000003</v>
      </c>
      <c r="H184" s="1663">
        <f t="shared" si="42"/>
        <v>362.40000000000003</v>
      </c>
      <c r="I184" s="1662">
        <f t="shared" si="40"/>
        <v>261.47186147186147</v>
      </c>
      <c r="J184" s="29">
        <v>69300</v>
      </c>
    </row>
    <row r="185" spans="1:10" s="98" customFormat="1" ht="12.75" customHeight="1" x14ac:dyDescent="0.2">
      <c r="A185" s="2221">
        <v>3129</v>
      </c>
      <c r="B185" s="717" t="s">
        <v>191</v>
      </c>
      <c r="C185" s="726">
        <f>SUM(C186:C190)</f>
        <v>9488322</v>
      </c>
      <c r="D185" s="726">
        <f>SUM(D186:D190)</f>
        <v>0</v>
      </c>
      <c r="E185" s="726">
        <v>0</v>
      </c>
      <c r="F185" s="814"/>
      <c r="G185" s="1663">
        <f t="shared" si="39"/>
        <v>0</v>
      </c>
      <c r="H185" s="1663">
        <v>0</v>
      </c>
      <c r="I185" s="1662">
        <v>0</v>
      </c>
      <c r="J185" s="29">
        <v>0</v>
      </c>
    </row>
    <row r="186" spans="1:10" s="98" customFormat="1" ht="12.75" customHeight="1" x14ac:dyDescent="0.2">
      <c r="A186" s="2273"/>
      <c r="B186" s="809" t="s">
        <v>2182</v>
      </c>
      <c r="C186" s="1900">
        <v>2499999</v>
      </c>
      <c r="D186" s="1900">
        <f>2499999-2499999</f>
        <v>0</v>
      </c>
      <c r="E186" s="1077">
        <v>0</v>
      </c>
      <c r="F186" s="733"/>
      <c r="G186" s="2200">
        <f t="shared" si="39"/>
        <v>0</v>
      </c>
      <c r="H186" s="2200">
        <v>0</v>
      </c>
      <c r="I186" s="2201">
        <v>0</v>
      </c>
      <c r="J186" s="29">
        <v>0</v>
      </c>
    </row>
    <row r="187" spans="1:10" s="98" customFormat="1" ht="12.75" customHeight="1" x14ac:dyDescent="0.2">
      <c r="A187" s="2274"/>
      <c r="B187" s="809" t="s">
        <v>2183</v>
      </c>
      <c r="C187" s="1900">
        <v>1356601</v>
      </c>
      <c r="D187" s="1900">
        <f>1356601-1356601</f>
        <v>0</v>
      </c>
      <c r="E187" s="1077">
        <v>0</v>
      </c>
      <c r="F187" s="733"/>
      <c r="G187" s="2200">
        <f t="shared" si="39"/>
        <v>0</v>
      </c>
      <c r="H187" s="2200">
        <v>0</v>
      </c>
      <c r="I187" s="2201">
        <v>0</v>
      </c>
      <c r="J187" s="29">
        <v>0</v>
      </c>
    </row>
    <row r="188" spans="1:10" s="98" customFormat="1" ht="12.75" customHeight="1" x14ac:dyDescent="0.2">
      <c r="A188" s="2275"/>
      <c r="B188" s="809" t="s">
        <v>2184</v>
      </c>
      <c r="C188" s="1900">
        <v>168585</v>
      </c>
      <c r="D188" s="1900">
        <f>168585-168585</f>
        <v>0</v>
      </c>
      <c r="E188" s="1077">
        <v>0</v>
      </c>
      <c r="F188" s="733"/>
      <c r="G188" s="2200">
        <f t="shared" si="39"/>
        <v>0</v>
      </c>
      <c r="H188" s="2200">
        <v>0</v>
      </c>
      <c r="I188" s="2201">
        <v>0</v>
      </c>
      <c r="J188" s="29">
        <v>0</v>
      </c>
    </row>
    <row r="189" spans="1:10" s="98" customFormat="1" ht="12.75" customHeight="1" x14ac:dyDescent="0.2">
      <c r="A189" s="2273"/>
      <c r="B189" s="809" t="s">
        <v>2185</v>
      </c>
      <c r="C189" s="1900">
        <v>5312129</v>
      </c>
      <c r="D189" s="1900">
        <f>5312129-5312129</f>
        <v>0</v>
      </c>
      <c r="E189" s="1077">
        <v>0</v>
      </c>
      <c r="F189" s="733"/>
      <c r="G189" s="2200">
        <f t="shared" si="39"/>
        <v>0</v>
      </c>
      <c r="H189" s="2200">
        <v>0</v>
      </c>
      <c r="I189" s="2201">
        <v>0</v>
      </c>
      <c r="J189" s="29">
        <v>0</v>
      </c>
    </row>
    <row r="190" spans="1:10" s="98" customFormat="1" ht="12.75" customHeight="1" x14ac:dyDescent="0.2">
      <c r="A190" s="2221"/>
      <c r="B190" s="2580" t="s">
        <v>2186</v>
      </c>
      <c r="C190" s="1452">
        <v>151008</v>
      </c>
      <c r="D190" s="1452">
        <f>151008-151008</f>
        <v>0</v>
      </c>
      <c r="E190" s="1441">
        <v>0</v>
      </c>
      <c r="F190" s="2581"/>
      <c r="G190" s="2582">
        <f t="shared" si="39"/>
        <v>0</v>
      </c>
      <c r="H190" s="2582">
        <v>0</v>
      </c>
      <c r="I190" s="2583">
        <v>0</v>
      </c>
      <c r="J190" s="29">
        <v>0</v>
      </c>
    </row>
    <row r="191" spans="1:10" s="98" customFormat="1" x14ac:dyDescent="0.2">
      <c r="A191" s="2584">
        <v>3202</v>
      </c>
      <c r="B191" s="2585" t="s">
        <v>3075</v>
      </c>
      <c r="C191" s="1690">
        <v>0</v>
      </c>
      <c r="D191" s="1690">
        <v>0</v>
      </c>
      <c r="E191" s="1350">
        <v>5000</v>
      </c>
      <c r="F191" s="1690"/>
      <c r="G191" s="2586">
        <v>0</v>
      </c>
      <c r="H191" s="2586">
        <v>0</v>
      </c>
      <c r="I191" s="1667">
        <v>0</v>
      </c>
      <c r="J191" s="29">
        <v>0</v>
      </c>
    </row>
    <row r="192" spans="1:10" s="98" customFormat="1" x14ac:dyDescent="0.2">
      <c r="A192" s="2278"/>
      <c r="B192" s="2279"/>
      <c r="C192" s="2280"/>
      <c r="D192" s="2280"/>
      <c r="E192" s="1508"/>
      <c r="F192" s="2281"/>
      <c r="G192" s="2281"/>
      <c r="H192" s="2281"/>
      <c r="I192" s="2280"/>
      <c r="J192" s="29"/>
    </row>
    <row r="193" spans="1:10" s="98" customFormat="1" ht="18" x14ac:dyDescent="0.25">
      <c r="A193" s="2282"/>
      <c r="B193" s="2283" t="s">
        <v>196</v>
      </c>
      <c r="C193" s="637">
        <f>SUM(C194,C196,C197,C201,C221,C230,C244:C246:C246,C248,C257)</f>
        <v>91705431.088</v>
      </c>
      <c r="D193" s="637">
        <f>SUM(D194,D196,D197,D201,D221,D230,D244:D246:D246,D248,D257)</f>
        <v>106187563.81999999</v>
      </c>
      <c r="E193" s="637">
        <v>106522563.81999999</v>
      </c>
      <c r="F193" s="2284">
        <f>SUM(E194,E196,E197,E201,E221,E230,E244:E246,E248,E257)</f>
        <v>106522563.81999999</v>
      </c>
      <c r="G193" s="1654">
        <f t="shared" si="39"/>
        <v>116.15731212013121</v>
      </c>
      <c r="H193" s="1654">
        <f t="shared" si="42"/>
        <v>100.31547950433053</v>
      </c>
      <c r="I193" s="1654">
        <f t="shared" si="40"/>
        <v>91.635139929184803</v>
      </c>
      <c r="J193" s="29">
        <v>116246413.66</v>
      </c>
    </row>
    <row r="194" spans="1:10" s="98" customFormat="1" x14ac:dyDescent="0.2">
      <c r="A194" s="2285">
        <v>4111</v>
      </c>
      <c r="B194" s="875" t="s">
        <v>197</v>
      </c>
      <c r="C194" s="876">
        <f>SUM(C195:C195)</f>
        <v>0</v>
      </c>
      <c r="D194" s="876">
        <f>SUM(D195:D195)</f>
        <v>735000</v>
      </c>
      <c r="E194" s="876">
        <v>735000</v>
      </c>
      <c r="F194" s="2587"/>
      <c r="G194" s="1663">
        <v>0</v>
      </c>
      <c r="H194" s="1663">
        <f t="shared" si="42"/>
        <v>100</v>
      </c>
      <c r="I194" s="1662">
        <f t="shared" si="40"/>
        <v>47.066729685282269</v>
      </c>
      <c r="J194" s="29">
        <v>1561612.64</v>
      </c>
    </row>
    <row r="195" spans="1:10" s="98" customFormat="1" x14ac:dyDescent="0.2">
      <c r="A195" s="2287"/>
      <c r="B195" s="878" t="s">
        <v>2644</v>
      </c>
      <c r="C195" s="853">
        <v>0</v>
      </c>
      <c r="D195" s="853">
        <f>500000+(-500000+735000)</f>
        <v>735000</v>
      </c>
      <c r="E195" s="879">
        <v>735000</v>
      </c>
      <c r="F195" s="1800"/>
      <c r="G195" s="2200">
        <v>0</v>
      </c>
      <c r="H195" s="2200">
        <f t="shared" si="42"/>
        <v>100</v>
      </c>
      <c r="I195" s="2201">
        <v>0</v>
      </c>
      <c r="J195" s="29">
        <v>0</v>
      </c>
    </row>
    <row r="196" spans="1:10" ht="25.5" x14ac:dyDescent="0.2">
      <c r="A196" s="2288">
        <v>4112</v>
      </c>
      <c r="B196" s="843" t="s">
        <v>1219</v>
      </c>
      <c r="C196" s="746">
        <f>(1016932+736317+467712+420864+713728+43008+4253687+8154340+23444493+795804+17710+1525000+1296966+241392+782383+86001+2624+348336+27880+12045)-22</f>
        <v>44387200</v>
      </c>
      <c r="D196" s="746">
        <f>((1016932+736317+467712+420864+713728+43008+4253687+8154340+23444493+795804+17710+1525000+1296966+241392+782383+86001+2624+348336+27880+12045)-22)-432200</f>
        <v>43955000</v>
      </c>
      <c r="E196" s="746">
        <v>43955000</v>
      </c>
      <c r="F196" s="1781"/>
      <c r="G196" s="1663">
        <f t="shared" si="39"/>
        <v>99.026295869079377</v>
      </c>
      <c r="H196" s="1663">
        <f t="shared" si="42"/>
        <v>100</v>
      </c>
      <c r="I196" s="1662">
        <f t="shared" si="40"/>
        <v>99.026295869079377</v>
      </c>
      <c r="J196" s="1866">
        <v>44387200</v>
      </c>
    </row>
    <row r="197" spans="1:10" x14ac:dyDescent="0.2">
      <c r="A197" s="2288">
        <v>4113</v>
      </c>
      <c r="B197" s="843" t="s">
        <v>2194</v>
      </c>
      <c r="C197" s="746">
        <f>SUM(C198:C200)</f>
        <v>55091.756999999998</v>
      </c>
      <c r="D197" s="746">
        <f>SUM(D198:D200)</f>
        <v>591255.29999999993</v>
      </c>
      <c r="E197" s="746">
        <v>591255.30000000005</v>
      </c>
      <c r="F197" s="1781">
        <f>SUM(E198:E200)</f>
        <v>591255.29999999993</v>
      </c>
      <c r="G197" s="1663">
        <f t="shared" si="39"/>
        <v>1073.2191750573504</v>
      </c>
      <c r="H197" s="1663">
        <f t="shared" si="42"/>
        <v>100.00000000000003</v>
      </c>
      <c r="I197" s="1662">
        <v>0</v>
      </c>
      <c r="J197" s="29">
        <v>0</v>
      </c>
    </row>
    <row r="198" spans="1:10" x14ac:dyDescent="0.2">
      <c r="A198" s="2288"/>
      <c r="B198" s="1423" t="s">
        <v>2645</v>
      </c>
      <c r="C198" s="1734">
        <v>55091.756999999998</v>
      </c>
      <c r="D198" s="1734">
        <v>49994.720000000001</v>
      </c>
      <c r="E198" s="767">
        <v>49994.720000000001</v>
      </c>
      <c r="F198" s="1803"/>
      <c r="G198" s="2200">
        <f t="shared" si="39"/>
        <v>90.748095037157739</v>
      </c>
      <c r="H198" s="2200">
        <f t="shared" si="42"/>
        <v>100</v>
      </c>
      <c r="I198" s="2201">
        <v>0</v>
      </c>
      <c r="J198" s="29">
        <v>0</v>
      </c>
    </row>
    <row r="199" spans="1:10" x14ac:dyDescent="0.2">
      <c r="A199" s="2288"/>
      <c r="B199" s="1423" t="s">
        <v>2646</v>
      </c>
      <c r="C199" s="2289">
        <v>0</v>
      </c>
      <c r="D199" s="2289">
        <f>440000-40000</f>
        <v>400000</v>
      </c>
      <c r="E199" s="767">
        <v>400000</v>
      </c>
      <c r="F199" s="1803"/>
      <c r="G199" s="2200">
        <v>0</v>
      </c>
      <c r="H199" s="2200">
        <f t="shared" si="42"/>
        <v>100</v>
      </c>
      <c r="I199" s="2201">
        <v>0</v>
      </c>
      <c r="J199" s="29">
        <v>0</v>
      </c>
    </row>
    <row r="200" spans="1:10" x14ac:dyDescent="0.2">
      <c r="A200" s="2288"/>
      <c r="B200" s="1423" t="s">
        <v>3076</v>
      </c>
      <c r="C200" s="2289">
        <v>0</v>
      </c>
      <c r="D200" s="2289">
        <f>(91819.4+49441.18)</f>
        <v>141260.57999999999</v>
      </c>
      <c r="E200" s="767">
        <v>141260.57999999999</v>
      </c>
      <c r="F200" s="1803"/>
      <c r="G200" s="2200">
        <v>0</v>
      </c>
      <c r="H200" s="2200">
        <f t="shared" si="42"/>
        <v>100</v>
      </c>
      <c r="I200" s="2201">
        <v>0</v>
      </c>
      <c r="J200" s="29">
        <v>0</v>
      </c>
    </row>
    <row r="201" spans="1:10" s="98" customFormat="1" x14ac:dyDescent="0.2">
      <c r="A201" s="2237">
        <v>4116</v>
      </c>
      <c r="B201" s="787" t="s">
        <v>201</v>
      </c>
      <c r="C201" s="734">
        <f>SUM(C202:C220)</f>
        <v>9290603</v>
      </c>
      <c r="D201" s="734">
        <f>SUM(D202:D220)</f>
        <v>24308664.229999997</v>
      </c>
      <c r="E201" s="734">
        <v>24308664.23</v>
      </c>
      <c r="F201" s="854">
        <f>SUM(E202:E220)</f>
        <v>24308664.229999997</v>
      </c>
      <c r="G201" s="1663">
        <f t="shared" si="39"/>
        <v>261.64786322265627</v>
      </c>
      <c r="H201" s="1663">
        <f t="shared" si="42"/>
        <v>100.00000000000003</v>
      </c>
      <c r="I201" s="1662">
        <f t="shared" si="40"/>
        <v>153.99271454325645</v>
      </c>
      <c r="J201" s="29">
        <v>15785593.689999999</v>
      </c>
    </row>
    <row r="202" spans="1:10" x14ac:dyDescent="0.2">
      <c r="A202" s="2290"/>
      <c r="B202" s="789" t="s">
        <v>2648</v>
      </c>
      <c r="C202" s="767">
        <v>1067803</v>
      </c>
      <c r="D202" s="767">
        <f>1067803-17245</f>
        <v>1050558</v>
      </c>
      <c r="E202" s="767">
        <v>1050558</v>
      </c>
      <c r="F202" s="1781"/>
      <c r="G202" s="2200">
        <f t="shared" si="39"/>
        <v>98.385001727846799</v>
      </c>
      <c r="H202" s="2200">
        <f t="shared" si="42"/>
        <v>100</v>
      </c>
      <c r="I202" s="2201">
        <v>0</v>
      </c>
      <c r="J202" s="29">
        <v>1067803</v>
      </c>
    </row>
    <row r="203" spans="1:10" x14ac:dyDescent="0.2">
      <c r="A203" s="2290"/>
      <c r="B203" s="789" t="s">
        <v>1231</v>
      </c>
      <c r="C203" s="767">
        <v>8122800</v>
      </c>
      <c r="D203" s="767">
        <f>8122800+294000</f>
        <v>8416800</v>
      </c>
      <c r="E203" s="767">
        <v>8416800</v>
      </c>
      <c r="F203" s="1781"/>
      <c r="G203" s="2200">
        <f t="shared" si="39"/>
        <v>103.61944157187177</v>
      </c>
      <c r="H203" s="2200">
        <f t="shared" si="42"/>
        <v>100</v>
      </c>
      <c r="I203" s="2201">
        <f t="shared" si="40"/>
        <v>103.61944157187177</v>
      </c>
      <c r="J203" s="29">
        <v>8122800</v>
      </c>
    </row>
    <row r="204" spans="1:10" x14ac:dyDescent="0.2">
      <c r="A204" s="2290"/>
      <c r="B204" s="789" t="s">
        <v>3077</v>
      </c>
      <c r="C204" s="767">
        <v>0</v>
      </c>
      <c r="D204" s="767">
        <v>995434.77</v>
      </c>
      <c r="E204" s="767">
        <v>995434.77</v>
      </c>
      <c r="F204" s="1781"/>
      <c r="G204" s="2200">
        <v>0</v>
      </c>
      <c r="H204" s="2200">
        <f t="shared" si="42"/>
        <v>100</v>
      </c>
      <c r="I204" s="2201">
        <f t="shared" si="40"/>
        <v>194.85173463663205</v>
      </c>
      <c r="J204" s="29">
        <v>510867.8</v>
      </c>
    </row>
    <row r="205" spans="1:10" s="2" customFormat="1" x14ac:dyDescent="0.2">
      <c r="A205" s="2299"/>
      <c r="B205" s="903" t="s">
        <v>3078</v>
      </c>
      <c r="C205" s="1800">
        <v>0</v>
      </c>
      <c r="D205" s="1800">
        <v>1563852.31</v>
      </c>
      <c r="E205" s="772">
        <v>1563852.31</v>
      </c>
      <c r="F205" s="1676"/>
      <c r="G205" s="2200">
        <v>0</v>
      </c>
      <c r="H205" s="2200">
        <f t="shared" si="42"/>
        <v>100</v>
      </c>
      <c r="I205" s="2201">
        <v>0</v>
      </c>
      <c r="J205" s="88">
        <v>0</v>
      </c>
    </row>
    <row r="206" spans="1:10" s="2" customFormat="1" x14ac:dyDescent="0.2">
      <c r="A206" s="2299"/>
      <c r="B206" s="903" t="s">
        <v>3079</v>
      </c>
      <c r="C206" s="1800">
        <v>0</v>
      </c>
      <c r="D206" s="1800">
        <f>207366+117914</f>
        <v>325280</v>
      </c>
      <c r="E206" s="772">
        <v>325280</v>
      </c>
      <c r="F206" s="1676"/>
      <c r="G206" s="2200">
        <v>0</v>
      </c>
      <c r="H206" s="2200">
        <f t="shared" si="42"/>
        <v>100</v>
      </c>
      <c r="I206" s="2201">
        <v>0</v>
      </c>
      <c r="J206" s="88">
        <v>0</v>
      </c>
    </row>
    <row r="207" spans="1:10" s="2" customFormat="1" x14ac:dyDescent="0.2">
      <c r="A207" s="2299"/>
      <c r="B207" s="903" t="s">
        <v>3080</v>
      </c>
      <c r="C207" s="1800">
        <v>0</v>
      </c>
      <c r="D207" s="1800">
        <v>115881</v>
      </c>
      <c r="E207" s="772">
        <v>115881</v>
      </c>
      <c r="F207" s="1676"/>
      <c r="G207" s="2200">
        <v>0</v>
      </c>
      <c r="H207" s="2200">
        <f t="shared" si="42"/>
        <v>100</v>
      </c>
      <c r="I207" s="2201">
        <v>0</v>
      </c>
      <c r="J207" s="88">
        <v>0</v>
      </c>
    </row>
    <row r="208" spans="1:10" s="98" customFormat="1" ht="12.75" customHeight="1" x14ac:dyDescent="0.2">
      <c r="A208" s="2290"/>
      <c r="B208" s="796" t="s">
        <v>3081</v>
      </c>
      <c r="C208" s="1703">
        <v>0</v>
      </c>
      <c r="D208" s="1703">
        <v>472672.5</v>
      </c>
      <c r="E208" s="767">
        <v>472672.5</v>
      </c>
      <c r="F208" s="1676"/>
      <c r="G208" s="2200">
        <v>0</v>
      </c>
      <c r="H208" s="2200">
        <f t="shared" si="42"/>
        <v>100</v>
      </c>
      <c r="I208" s="2201">
        <v>0</v>
      </c>
      <c r="J208" s="29">
        <v>0</v>
      </c>
    </row>
    <row r="209" spans="1:10" s="98" customFormat="1" ht="12.75" customHeight="1" x14ac:dyDescent="0.2">
      <c r="A209" s="2290"/>
      <c r="B209" s="796" t="s">
        <v>2651</v>
      </c>
      <c r="C209" s="1813">
        <v>0</v>
      </c>
      <c r="D209" s="1813">
        <v>71563.929999999993</v>
      </c>
      <c r="E209" s="767">
        <v>71563.929999999993</v>
      </c>
      <c r="F209" s="1703"/>
      <c r="G209" s="2200">
        <v>0</v>
      </c>
      <c r="H209" s="2200">
        <f t="shared" si="42"/>
        <v>100</v>
      </c>
      <c r="I209" s="2201">
        <v>0</v>
      </c>
      <c r="J209" s="29">
        <v>0</v>
      </c>
    </row>
    <row r="210" spans="1:10" s="98" customFormat="1" ht="12.75" customHeight="1" x14ac:dyDescent="0.2">
      <c r="A210" s="2290"/>
      <c r="B210" s="796" t="s">
        <v>3082</v>
      </c>
      <c r="C210" s="879">
        <v>0</v>
      </c>
      <c r="D210" s="879">
        <v>483823</v>
      </c>
      <c r="E210" s="767">
        <v>483823</v>
      </c>
      <c r="F210" s="909"/>
      <c r="G210" s="2200">
        <v>0</v>
      </c>
      <c r="H210" s="2200">
        <f t="shared" si="42"/>
        <v>100</v>
      </c>
      <c r="I210" s="2201">
        <v>0</v>
      </c>
      <c r="J210" s="29">
        <v>0</v>
      </c>
    </row>
    <row r="211" spans="1:10" s="98" customFormat="1" ht="12.75" customHeight="1" x14ac:dyDescent="0.2">
      <c r="A211" s="2290"/>
      <c r="B211" s="796" t="s">
        <v>2649</v>
      </c>
      <c r="C211" s="767">
        <v>100000</v>
      </c>
      <c r="D211" s="767">
        <f>100000-74277</f>
        <v>25723</v>
      </c>
      <c r="E211" s="767">
        <v>25723</v>
      </c>
      <c r="F211" s="1676"/>
      <c r="G211" s="2200">
        <f t="shared" si="39"/>
        <v>25.723000000000003</v>
      </c>
      <c r="H211" s="2200">
        <f t="shared" si="42"/>
        <v>100</v>
      </c>
      <c r="I211" s="2201">
        <v>0</v>
      </c>
      <c r="J211" s="29">
        <v>0</v>
      </c>
    </row>
    <row r="212" spans="1:10" s="98" customFormat="1" ht="12.75" customHeight="1" x14ac:dyDescent="0.2">
      <c r="A212" s="2290"/>
      <c r="B212" s="796" t="s">
        <v>2652</v>
      </c>
      <c r="C212" s="767">
        <v>0</v>
      </c>
      <c r="D212" s="767">
        <f>(117955.01+495553.09)</f>
        <v>613508.1</v>
      </c>
      <c r="E212" s="767">
        <v>613508.1</v>
      </c>
      <c r="F212" s="1676"/>
      <c r="G212" s="2200">
        <v>0</v>
      </c>
      <c r="H212" s="2200">
        <f t="shared" si="42"/>
        <v>100</v>
      </c>
      <c r="I212" s="2201">
        <v>0</v>
      </c>
      <c r="J212" s="29">
        <v>0</v>
      </c>
    </row>
    <row r="213" spans="1:10" s="98" customFormat="1" ht="12.75" customHeight="1" x14ac:dyDescent="0.2">
      <c r="A213" s="2290"/>
      <c r="B213" s="796" t="s">
        <v>2653</v>
      </c>
      <c r="C213" s="767">
        <v>0</v>
      </c>
      <c r="D213" s="767">
        <f>(138438.27+581607.57)</f>
        <v>720045.84</v>
      </c>
      <c r="E213" s="767">
        <v>720045.84</v>
      </c>
      <c r="F213" s="1676"/>
      <c r="G213" s="2200">
        <v>0</v>
      </c>
      <c r="H213" s="2200">
        <f t="shared" si="42"/>
        <v>100</v>
      </c>
      <c r="I213" s="2201">
        <v>0</v>
      </c>
      <c r="J213" s="29">
        <v>0</v>
      </c>
    </row>
    <row r="214" spans="1:10" s="98" customFormat="1" ht="12.75" customHeight="1" x14ac:dyDescent="0.2">
      <c r="A214" s="2290"/>
      <c r="B214" s="796" t="s">
        <v>2654</v>
      </c>
      <c r="C214" s="767">
        <v>0</v>
      </c>
      <c r="D214" s="767">
        <f>(108476.76+455733)</f>
        <v>564209.76</v>
      </c>
      <c r="E214" s="767">
        <v>564209.76</v>
      </c>
      <c r="F214" s="1676"/>
      <c r="G214" s="2200">
        <v>0</v>
      </c>
      <c r="H214" s="2200">
        <f t="shared" si="42"/>
        <v>100</v>
      </c>
      <c r="I214" s="2201">
        <v>0</v>
      </c>
      <c r="J214" s="29">
        <v>0</v>
      </c>
    </row>
    <row r="215" spans="1:10" s="98" customFormat="1" ht="12.75" customHeight="1" x14ac:dyDescent="0.2">
      <c r="A215" s="2290"/>
      <c r="B215" s="796" t="s">
        <v>3083</v>
      </c>
      <c r="C215" s="767">
        <v>0</v>
      </c>
      <c r="D215" s="767">
        <f>(348577.29+1464444.5)</f>
        <v>1813021.79</v>
      </c>
      <c r="E215" s="767">
        <v>1813021.79</v>
      </c>
      <c r="F215" s="1676"/>
      <c r="G215" s="2200">
        <v>0</v>
      </c>
      <c r="H215" s="2200">
        <f t="shared" si="42"/>
        <v>100</v>
      </c>
      <c r="I215" s="2201">
        <v>0</v>
      </c>
      <c r="J215" s="29">
        <v>0</v>
      </c>
    </row>
    <row r="216" spans="1:10" s="98" customFormat="1" ht="12.75" customHeight="1" x14ac:dyDescent="0.2">
      <c r="A216" s="2290"/>
      <c r="B216" s="796" t="s">
        <v>3084</v>
      </c>
      <c r="C216" s="767">
        <v>0</v>
      </c>
      <c r="D216" s="767">
        <f>(291991.6+1226716.4)</f>
        <v>1518708</v>
      </c>
      <c r="E216" s="767">
        <v>1518708</v>
      </c>
      <c r="F216" s="1676"/>
      <c r="G216" s="2200">
        <v>0</v>
      </c>
      <c r="H216" s="2200">
        <f t="shared" si="42"/>
        <v>100</v>
      </c>
      <c r="I216" s="2201">
        <v>0</v>
      </c>
      <c r="J216" s="29">
        <v>0</v>
      </c>
    </row>
    <row r="217" spans="1:10" s="98" customFormat="1" ht="12.75" customHeight="1" x14ac:dyDescent="0.2">
      <c r="A217" s="2290"/>
      <c r="B217" s="796" t="s">
        <v>3085</v>
      </c>
      <c r="C217" s="767">
        <v>0</v>
      </c>
      <c r="D217" s="767">
        <f>(269533.32+1132364.58)</f>
        <v>1401897.9000000001</v>
      </c>
      <c r="E217" s="767">
        <v>1401897.9</v>
      </c>
      <c r="F217" s="1676"/>
      <c r="G217" s="2200">
        <v>0</v>
      </c>
      <c r="H217" s="2200">
        <f t="shared" si="42"/>
        <v>99.999999999999986</v>
      </c>
      <c r="I217" s="2201">
        <v>0</v>
      </c>
      <c r="J217" s="29">
        <v>0</v>
      </c>
    </row>
    <row r="218" spans="1:10" s="98" customFormat="1" ht="12.75" customHeight="1" x14ac:dyDescent="0.2">
      <c r="A218" s="2290"/>
      <c r="B218" s="796" t="s">
        <v>2655</v>
      </c>
      <c r="C218" s="767">
        <v>0</v>
      </c>
      <c r="D218" s="767">
        <f>(280004.26+1176355.23)</f>
        <v>1456359.49</v>
      </c>
      <c r="E218" s="767">
        <v>1456359.49</v>
      </c>
      <c r="F218" s="1676"/>
      <c r="G218" s="2200">
        <v>0</v>
      </c>
      <c r="H218" s="2200">
        <f t="shared" si="42"/>
        <v>100</v>
      </c>
      <c r="I218" s="2201">
        <v>0</v>
      </c>
      <c r="J218" s="29">
        <v>0</v>
      </c>
    </row>
    <row r="219" spans="1:10" s="98" customFormat="1" ht="12.75" customHeight="1" x14ac:dyDescent="0.2">
      <c r="A219" s="2290"/>
      <c r="B219" s="796" t="s">
        <v>3086</v>
      </c>
      <c r="C219" s="767">
        <v>0</v>
      </c>
      <c r="D219" s="767">
        <f>(198862.55+835462.29)</f>
        <v>1034324.8400000001</v>
      </c>
      <c r="E219" s="767">
        <v>1034324.84</v>
      </c>
      <c r="F219" s="1676"/>
      <c r="G219" s="2200">
        <v>0</v>
      </c>
      <c r="H219" s="2200">
        <f t="shared" si="42"/>
        <v>99.999999999999986</v>
      </c>
      <c r="I219" s="2201">
        <v>0</v>
      </c>
      <c r="J219" s="29">
        <v>0</v>
      </c>
    </row>
    <row r="220" spans="1:10" s="98" customFormat="1" ht="12.75" customHeight="1" x14ac:dyDescent="0.2">
      <c r="A220" s="2290"/>
      <c r="B220" s="796" t="s">
        <v>3087</v>
      </c>
      <c r="C220" s="767">
        <v>0</v>
      </c>
      <c r="D220" s="767">
        <f>(1341000+324000)</f>
        <v>1665000</v>
      </c>
      <c r="E220" s="767">
        <v>1665000</v>
      </c>
      <c r="F220" s="1676"/>
      <c r="G220" s="2200">
        <v>0</v>
      </c>
      <c r="H220" s="2200">
        <f t="shared" si="42"/>
        <v>100</v>
      </c>
      <c r="I220" s="2201">
        <v>0</v>
      </c>
      <c r="J220" s="29">
        <v>920000</v>
      </c>
    </row>
    <row r="221" spans="1:10" x14ac:dyDescent="0.2">
      <c r="A221" s="2237">
        <v>4121</v>
      </c>
      <c r="B221" s="787" t="s">
        <v>213</v>
      </c>
      <c r="C221" s="734">
        <f>SUM(C222:C229)</f>
        <v>3641716.8</v>
      </c>
      <c r="D221" s="734">
        <f>SUM(D222:D229)</f>
        <v>3493461.8</v>
      </c>
      <c r="E221" s="734">
        <v>3493461.8</v>
      </c>
      <c r="F221" s="993">
        <f>SUM(E222:E229)</f>
        <v>3493461.8</v>
      </c>
      <c r="G221" s="1663">
        <f t="shared" si="39"/>
        <v>95.928980529183377</v>
      </c>
      <c r="H221" s="1663">
        <f t="shared" si="42"/>
        <v>100</v>
      </c>
      <c r="I221" s="1662">
        <f t="shared" si="40"/>
        <v>98.511748817001518</v>
      </c>
      <c r="J221" s="29">
        <v>3546238.74</v>
      </c>
    </row>
    <row r="222" spans="1:10" x14ac:dyDescent="0.2">
      <c r="A222" s="2237"/>
      <c r="B222" s="796" t="s">
        <v>1247</v>
      </c>
      <c r="C222" s="1734">
        <v>500000</v>
      </c>
      <c r="D222" s="1734">
        <f>500000-35000</f>
        <v>465000</v>
      </c>
      <c r="E222" s="767">
        <v>465000</v>
      </c>
      <c r="F222" s="1796"/>
      <c r="G222" s="2200">
        <f t="shared" si="39"/>
        <v>93</v>
      </c>
      <c r="H222" s="2200">
        <f t="shared" si="42"/>
        <v>100</v>
      </c>
      <c r="I222" s="2201">
        <f t="shared" si="40"/>
        <v>108.77192982456141</v>
      </c>
      <c r="J222" s="29">
        <v>427500</v>
      </c>
    </row>
    <row r="223" spans="1:10" x14ac:dyDescent="0.2">
      <c r="A223" s="2237"/>
      <c r="B223" s="796" t="s">
        <v>2656</v>
      </c>
      <c r="C223" s="1716">
        <v>3000</v>
      </c>
      <c r="D223" s="1716">
        <f>3000+5019</f>
        <v>8019</v>
      </c>
      <c r="E223" s="767">
        <v>8019</v>
      </c>
      <c r="F223" s="1795"/>
      <c r="G223" s="2200">
        <f t="shared" si="39"/>
        <v>267.3</v>
      </c>
      <c r="H223" s="2200">
        <f t="shared" si="42"/>
        <v>100</v>
      </c>
      <c r="I223" s="2201">
        <f t="shared" si="40"/>
        <v>429.05296950240768</v>
      </c>
      <c r="J223" s="29">
        <v>1869</v>
      </c>
    </row>
    <row r="224" spans="1:10" ht="12.75" customHeight="1" x14ac:dyDescent="0.2">
      <c r="A224" s="2221"/>
      <c r="B224" s="1035" t="s">
        <v>2657</v>
      </c>
      <c r="C224" s="2291">
        <v>1465013</v>
      </c>
      <c r="D224" s="2291">
        <f>1465013-31600</f>
        <v>1433413</v>
      </c>
      <c r="E224" s="738">
        <v>1433413</v>
      </c>
      <c r="F224" s="2035"/>
      <c r="G224" s="2200">
        <f t="shared" si="39"/>
        <v>97.843022553383491</v>
      </c>
      <c r="H224" s="2200">
        <f t="shared" si="42"/>
        <v>100</v>
      </c>
      <c r="I224" s="2201">
        <f t="shared" si="40"/>
        <v>104.19274975067819</v>
      </c>
      <c r="J224" s="29">
        <v>1375732</v>
      </c>
    </row>
    <row r="225" spans="1:10" ht="12.75" customHeight="1" x14ac:dyDescent="0.2">
      <c r="A225" s="2221"/>
      <c r="B225" s="1035" t="s">
        <v>2658</v>
      </c>
      <c r="C225" s="2291">
        <v>1086156</v>
      </c>
      <c r="D225" s="2291">
        <f>1086156-91374</f>
        <v>994782</v>
      </c>
      <c r="E225" s="738">
        <v>994782</v>
      </c>
      <c r="F225" s="2035"/>
      <c r="G225" s="2200">
        <f t="shared" si="39"/>
        <v>91.587396285616435</v>
      </c>
      <c r="H225" s="2200">
        <f t="shared" si="42"/>
        <v>100</v>
      </c>
      <c r="I225" s="2201">
        <f t="shared" si="40"/>
        <v>99.671462966692417</v>
      </c>
      <c r="J225" s="29">
        <v>998061</v>
      </c>
    </row>
    <row r="226" spans="1:10" ht="12.75" customHeight="1" x14ac:dyDescent="0.2">
      <c r="A226" s="2221"/>
      <c r="B226" s="1035" t="s">
        <v>2659</v>
      </c>
      <c r="C226" s="2291">
        <v>258394</v>
      </c>
      <c r="D226" s="2291">
        <v>258394</v>
      </c>
      <c r="E226" s="738">
        <v>258394</v>
      </c>
      <c r="F226" s="2035"/>
      <c r="G226" s="2200">
        <f t="shared" si="39"/>
        <v>100</v>
      </c>
      <c r="H226" s="2200">
        <f t="shared" si="42"/>
        <v>100</v>
      </c>
      <c r="I226" s="2201">
        <f t="shared" si="40"/>
        <v>72.802217927117198</v>
      </c>
      <c r="J226" s="29">
        <v>354926</v>
      </c>
    </row>
    <row r="227" spans="1:10" x14ac:dyDescent="0.2">
      <c r="A227" s="2221"/>
      <c r="B227" s="1035" t="s">
        <v>1252</v>
      </c>
      <c r="C227" s="738">
        <v>328853.8</v>
      </c>
      <c r="D227" s="738">
        <v>328853.8</v>
      </c>
      <c r="E227" s="750">
        <v>328853.8</v>
      </c>
      <c r="F227" s="814"/>
      <c r="G227" s="2200">
        <f t="shared" si="39"/>
        <v>100</v>
      </c>
      <c r="H227" s="2200">
        <f t="shared" si="42"/>
        <v>100</v>
      </c>
      <c r="I227" s="2201">
        <f t="shared" si="40"/>
        <v>107</v>
      </c>
      <c r="J227" s="29">
        <v>307340</v>
      </c>
    </row>
    <row r="228" spans="1:10" x14ac:dyDescent="0.2">
      <c r="A228" s="2221"/>
      <c r="B228" s="1035" t="s">
        <v>1253</v>
      </c>
      <c r="C228" s="738">
        <v>300</v>
      </c>
      <c r="D228" s="738">
        <f>300-300</f>
        <v>0</v>
      </c>
      <c r="E228" s="750">
        <v>0</v>
      </c>
      <c r="F228" s="1809"/>
      <c r="G228" s="2200">
        <f t="shared" si="39"/>
        <v>0</v>
      </c>
      <c r="H228" s="2200">
        <v>0</v>
      </c>
      <c r="I228" s="2201">
        <f t="shared" si="40"/>
        <v>0</v>
      </c>
      <c r="J228" s="29">
        <v>450</v>
      </c>
    </row>
    <row r="229" spans="1:10" x14ac:dyDescent="0.2">
      <c r="A229" s="2221"/>
      <c r="B229" s="1035" t="s">
        <v>2201</v>
      </c>
      <c r="C229" s="742">
        <v>0</v>
      </c>
      <c r="D229" s="742">
        <v>5000</v>
      </c>
      <c r="E229" s="750">
        <v>5000</v>
      </c>
      <c r="F229" s="740"/>
      <c r="G229" s="2200">
        <v>0</v>
      </c>
      <c r="H229" s="2200">
        <f t="shared" si="42"/>
        <v>100</v>
      </c>
      <c r="I229" s="1662">
        <f t="shared" ref="I229:I292" si="43">E229/J229*100</f>
        <v>55.555555555555557</v>
      </c>
      <c r="J229" s="29">
        <v>9000</v>
      </c>
    </row>
    <row r="230" spans="1:10" ht="12.75" customHeight="1" x14ac:dyDescent="0.2">
      <c r="A230" s="2221">
        <v>4122</v>
      </c>
      <c r="B230" s="725" t="s">
        <v>221</v>
      </c>
      <c r="C230" s="726">
        <f>SUM(C231:C243)</f>
        <v>80000</v>
      </c>
      <c r="D230" s="726">
        <f>SUM(D231:D243)</f>
        <v>12194031</v>
      </c>
      <c r="E230" s="726">
        <v>12194031</v>
      </c>
      <c r="F230" s="814">
        <f>SUM(E231:E243)</f>
        <v>12194031</v>
      </c>
      <c r="G230" s="1663">
        <f t="shared" ref="G230:G291" si="44">E230/C230*100</f>
        <v>15242.53875</v>
      </c>
      <c r="H230" s="1663">
        <f t="shared" si="42"/>
        <v>100</v>
      </c>
      <c r="I230" s="1662">
        <f t="shared" si="43"/>
        <v>98.318511012911102</v>
      </c>
      <c r="J230" s="29">
        <v>12402579</v>
      </c>
    </row>
    <row r="231" spans="1:10" s="98" customFormat="1" ht="12.75" customHeight="1" x14ac:dyDescent="0.2">
      <c r="A231" s="2293"/>
      <c r="B231" s="2294" t="s">
        <v>2660</v>
      </c>
      <c r="C231" s="1232">
        <v>0</v>
      </c>
      <c r="D231" s="1232">
        <v>110000</v>
      </c>
      <c r="E231" s="738">
        <v>110000</v>
      </c>
      <c r="F231" s="733"/>
      <c r="G231" s="2200">
        <v>0</v>
      </c>
      <c r="H231" s="2200">
        <f t="shared" si="42"/>
        <v>100</v>
      </c>
      <c r="I231" s="2201">
        <v>0</v>
      </c>
      <c r="J231" s="29">
        <v>0</v>
      </c>
    </row>
    <row r="232" spans="1:10" s="98" customFormat="1" ht="12.75" customHeight="1" x14ac:dyDescent="0.2">
      <c r="A232" s="2293"/>
      <c r="B232" s="2294" t="s">
        <v>1262</v>
      </c>
      <c r="C232" s="1232">
        <v>0</v>
      </c>
      <c r="D232" s="1232">
        <f>4737000</f>
        <v>4737000</v>
      </c>
      <c r="E232" s="738">
        <v>4737000</v>
      </c>
      <c r="F232" s="733"/>
      <c r="G232" s="2200">
        <v>0</v>
      </c>
      <c r="H232" s="2200">
        <f t="shared" si="42"/>
        <v>100</v>
      </c>
      <c r="I232" s="2201">
        <f t="shared" si="43"/>
        <v>99.87349778621126</v>
      </c>
      <c r="J232" s="29">
        <v>4743000</v>
      </c>
    </row>
    <row r="233" spans="1:10" s="98" customFormat="1" ht="12.75" customHeight="1" x14ac:dyDescent="0.2">
      <c r="A233" s="2293"/>
      <c r="B233" s="2294" t="s">
        <v>2203</v>
      </c>
      <c r="C233" s="1900">
        <v>80000</v>
      </c>
      <c r="D233" s="1900">
        <v>80000</v>
      </c>
      <c r="E233" s="738">
        <v>80000</v>
      </c>
      <c r="F233" s="733"/>
      <c r="G233" s="2200">
        <f t="shared" si="44"/>
        <v>100</v>
      </c>
      <c r="H233" s="2200">
        <f t="shared" ref="H233:H296" si="45">E233/D233*100</f>
        <v>100</v>
      </c>
      <c r="I233" s="2201">
        <f t="shared" si="43"/>
        <v>100</v>
      </c>
      <c r="J233" s="29">
        <v>80000</v>
      </c>
    </row>
    <row r="234" spans="1:10" s="98" customFormat="1" ht="12.75" customHeight="1" x14ac:dyDescent="0.2">
      <c r="A234" s="2293"/>
      <c r="B234" s="2294" t="s">
        <v>2661</v>
      </c>
      <c r="C234" s="1900">
        <v>0</v>
      </c>
      <c r="D234" s="1900">
        <v>140000</v>
      </c>
      <c r="E234" s="738">
        <v>140000</v>
      </c>
      <c r="F234" s="733"/>
      <c r="G234" s="2200">
        <v>0</v>
      </c>
      <c r="H234" s="2200">
        <f t="shared" si="45"/>
        <v>100</v>
      </c>
      <c r="I234" s="2201">
        <v>0</v>
      </c>
      <c r="J234" s="29">
        <v>0</v>
      </c>
    </row>
    <row r="235" spans="1:10" s="98" customFormat="1" ht="12.75" customHeight="1" x14ac:dyDescent="0.2">
      <c r="A235" s="2293"/>
      <c r="B235" s="2294" t="s">
        <v>3088</v>
      </c>
      <c r="C235" s="1900">
        <v>0</v>
      </c>
      <c r="D235" s="1900">
        <v>10000</v>
      </c>
      <c r="E235" s="738">
        <v>10000</v>
      </c>
      <c r="F235" s="733"/>
      <c r="G235" s="2200">
        <v>0</v>
      </c>
      <c r="H235" s="2200">
        <f t="shared" si="45"/>
        <v>100</v>
      </c>
      <c r="I235" s="2201">
        <v>0</v>
      </c>
      <c r="J235" s="29">
        <v>0</v>
      </c>
    </row>
    <row r="236" spans="1:10" s="98" customFormat="1" ht="12.75" customHeight="1" x14ac:dyDescent="0.2">
      <c r="A236" s="2273"/>
      <c r="B236" s="2294" t="s">
        <v>2204</v>
      </c>
      <c r="C236" s="1900">
        <v>0</v>
      </c>
      <c r="D236" s="1900">
        <v>239800</v>
      </c>
      <c r="E236" s="738">
        <v>239800</v>
      </c>
      <c r="F236" s="733"/>
      <c r="G236" s="2200">
        <v>0</v>
      </c>
      <c r="H236" s="2200">
        <f t="shared" si="45"/>
        <v>100</v>
      </c>
      <c r="I236" s="2201">
        <f t="shared" si="43"/>
        <v>114.08182683158896</v>
      </c>
      <c r="J236" s="29">
        <v>210200</v>
      </c>
    </row>
    <row r="237" spans="1:10" s="98" customFormat="1" ht="12.75" customHeight="1" x14ac:dyDescent="0.2">
      <c r="A237" s="2293"/>
      <c r="B237" s="2294" t="s">
        <v>2205</v>
      </c>
      <c r="C237" s="1900">
        <v>0</v>
      </c>
      <c r="D237" s="1900">
        <f>(12834+115506)+(-9659.6-86936.4)+(14076+126684)</f>
        <v>172504</v>
      </c>
      <c r="E237" s="738">
        <v>172504</v>
      </c>
      <c r="F237" s="733"/>
      <c r="G237" s="2200">
        <v>0</v>
      </c>
      <c r="H237" s="2200">
        <f t="shared" si="45"/>
        <v>100</v>
      </c>
      <c r="I237" s="2201">
        <f t="shared" si="43"/>
        <v>115.38883463323924</v>
      </c>
      <c r="J237" s="29">
        <v>149498</v>
      </c>
    </row>
    <row r="238" spans="1:10" s="98" customFormat="1" ht="12.75" customHeight="1" x14ac:dyDescent="0.2">
      <c r="A238" s="2290"/>
      <c r="B238" s="896" t="s">
        <v>2206</v>
      </c>
      <c r="C238" s="1800">
        <v>0</v>
      </c>
      <c r="D238" s="1800">
        <f>(9850+88650)+(-7511.7-67605.3)+(9418.5+84766.5)</f>
        <v>117568</v>
      </c>
      <c r="E238" s="767">
        <v>117568</v>
      </c>
      <c r="F238" s="1676"/>
      <c r="G238" s="2200">
        <v>0</v>
      </c>
      <c r="H238" s="2200">
        <f t="shared" si="45"/>
        <v>100</v>
      </c>
      <c r="I238" s="2201">
        <f t="shared" si="43"/>
        <v>89.522417153996102</v>
      </c>
      <c r="J238" s="29">
        <v>131328</v>
      </c>
    </row>
    <row r="239" spans="1:10" s="98" customFormat="1" ht="12.75" customHeight="1" x14ac:dyDescent="0.2">
      <c r="A239" s="2290"/>
      <c r="B239" s="896" t="s">
        <v>2207</v>
      </c>
      <c r="C239" s="1800">
        <v>0</v>
      </c>
      <c r="D239" s="1800">
        <f>(17098.2+153883.8)+(-17098.2-153883.8)+(34051.5+306463.5)</f>
        <v>340515</v>
      </c>
      <c r="E239" s="767">
        <v>340515</v>
      </c>
      <c r="F239" s="1676"/>
      <c r="G239" s="2200">
        <v>0</v>
      </c>
      <c r="H239" s="2200">
        <f t="shared" si="45"/>
        <v>100</v>
      </c>
      <c r="I239" s="2201">
        <f t="shared" si="43"/>
        <v>175.38939365844612</v>
      </c>
      <c r="J239" s="29">
        <v>194148</v>
      </c>
    </row>
    <row r="240" spans="1:10" s="98" customFormat="1" ht="12.75" customHeight="1" x14ac:dyDescent="0.2">
      <c r="A240" s="2290"/>
      <c r="B240" s="896" t="s">
        <v>2208</v>
      </c>
      <c r="C240" s="1703">
        <v>0</v>
      </c>
      <c r="D240" s="1703">
        <f>(9159.75+82437.75)+(-6672.7-60054.3)+(31360.5+282244.5)</f>
        <v>338475.5</v>
      </c>
      <c r="E240" s="767">
        <v>338475.5</v>
      </c>
      <c r="F240" s="1676"/>
      <c r="G240" s="2200">
        <v>0</v>
      </c>
      <c r="H240" s="2200">
        <f t="shared" si="45"/>
        <v>100</v>
      </c>
      <c r="I240" s="2201">
        <f t="shared" si="43"/>
        <v>301.57077625570776</v>
      </c>
      <c r="J240" s="29">
        <v>112237.5</v>
      </c>
    </row>
    <row r="241" spans="1:10" s="98" customFormat="1" ht="12.75" customHeight="1" x14ac:dyDescent="0.2">
      <c r="A241" s="2290"/>
      <c r="B241" s="896" t="s">
        <v>2209</v>
      </c>
      <c r="C241" s="1800">
        <v>0</v>
      </c>
      <c r="D241" s="1800">
        <f>(11663.45+104971.05)+(-7299.9-65699.1)+(24290.45+113643)+(-24290.45+12627)</f>
        <v>169905.5</v>
      </c>
      <c r="E241" s="854">
        <v>169905.5</v>
      </c>
      <c r="F241" s="1676"/>
      <c r="G241" s="2200">
        <v>0</v>
      </c>
      <c r="H241" s="2200">
        <f t="shared" si="45"/>
        <v>100</v>
      </c>
      <c r="I241" s="2201">
        <v>0</v>
      </c>
      <c r="J241" s="29">
        <v>116634.5</v>
      </c>
    </row>
    <row r="242" spans="1:10" ht="12.75" customHeight="1" x14ac:dyDescent="0.2">
      <c r="A242" s="2296"/>
      <c r="B242" s="809" t="s">
        <v>3089</v>
      </c>
      <c r="C242" s="1800">
        <v>0</v>
      </c>
      <c r="D242" s="1800">
        <f>169263</f>
        <v>169263</v>
      </c>
      <c r="E242" s="854">
        <v>169263</v>
      </c>
      <c r="F242" s="1783"/>
      <c r="G242" s="2200">
        <v>0</v>
      </c>
      <c r="H242" s="2200">
        <f t="shared" si="45"/>
        <v>100</v>
      </c>
      <c r="I242" s="2201">
        <f t="shared" si="43"/>
        <v>99.332746478873233</v>
      </c>
      <c r="J242" s="29">
        <v>170400</v>
      </c>
    </row>
    <row r="243" spans="1:10" ht="12.75" customHeight="1" x14ac:dyDescent="0.2">
      <c r="A243" s="2296"/>
      <c r="B243" s="809" t="s">
        <v>2210</v>
      </c>
      <c r="C243" s="1800">
        <v>0</v>
      </c>
      <c r="D243" s="1800">
        <f>4631000+938000</f>
        <v>5569000</v>
      </c>
      <c r="E243" s="854">
        <v>5569000</v>
      </c>
      <c r="F243" s="1783"/>
      <c r="G243" s="2200">
        <v>0</v>
      </c>
      <c r="H243" s="2200">
        <f t="shared" si="45"/>
        <v>100</v>
      </c>
      <c r="I243" s="2201">
        <f t="shared" si="43"/>
        <v>111.06900678101317</v>
      </c>
      <c r="J243" s="29">
        <v>5014000</v>
      </c>
    </row>
    <row r="244" spans="1:10" s="98" customFormat="1" x14ac:dyDescent="0.2">
      <c r="A244" s="2297">
        <v>4134</v>
      </c>
      <c r="B244" s="787" t="s">
        <v>3090</v>
      </c>
      <c r="C244" s="746">
        <v>7800000</v>
      </c>
      <c r="D244" s="746">
        <v>7800000</v>
      </c>
      <c r="E244" s="746">
        <v>7800000</v>
      </c>
      <c r="F244" s="1781"/>
      <c r="G244" s="1663">
        <f t="shared" si="44"/>
        <v>100</v>
      </c>
      <c r="H244" s="1663">
        <f t="shared" si="45"/>
        <v>100</v>
      </c>
      <c r="I244" s="1662">
        <f t="shared" si="43"/>
        <v>115.79704815509322</v>
      </c>
      <c r="J244" s="29">
        <v>6735923</v>
      </c>
    </row>
    <row r="245" spans="1:10" s="98" customFormat="1" x14ac:dyDescent="0.2">
      <c r="A245" s="2297">
        <v>4139</v>
      </c>
      <c r="B245" s="787" t="s">
        <v>3206</v>
      </c>
      <c r="C245" s="1688">
        <v>0</v>
      </c>
      <c r="D245" s="1688">
        <v>0</v>
      </c>
      <c r="E245" s="734">
        <v>335000</v>
      </c>
      <c r="F245" s="1665"/>
      <c r="G245" s="1663">
        <v>0</v>
      </c>
      <c r="H245" s="1663">
        <v>0</v>
      </c>
      <c r="I245" s="1662">
        <f t="shared" si="43"/>
        <v>45.521066742036872</v>
      </c>
      <c r="J245" s="1846">
        <v>735923</v>
      </c>
    </row>
    <row r="246" spans="1:10" s="98" customFormat="1" x14ac:dyDescent="0.2">
      <c r="A246" s="2237">
        <v>4213</v>
      </c>
      <c r="B246" s="787" t="s">
        <v>1279</v>
      </c>
      <c r="C246" s="734">
        <f>SUM(C247:C247)</f>
        <v>1101835.091</v>
      </c>
      <c r="D246" s="734">
        <f>SUM(D247:D247)</f>
        <v>999894.81</v>
      </c>
      <c r="E246" s="734">
        <v>999894.81</v>
      </c>
      <c r="F246" s="854"/>
      <c r="G246" s="1663">
        <f t="shared" si="44"/>
        <v>90.748136283490368</v>
      </c>
      <c r="H246" s="1663">
        <f t="shared" si="45"/>
        <v>100</v>
      </c>
      <c r="I246" s="1662">
        <v>0</v>
      </c>
      <c r="J246" s="29">
        <v>1089981.05</v>
      </c>
    </row>
    <row r="247" spans="1:10" s="2" customFormat="1" x14ac:dyDescent="0.2">
      <c r="A247" s="2299"/>
      <c r="B247" s="1423" t="s">
        <v>2213</v>
      </c>
      <c r="C247" s="1763">
        <v>1101835.091</v>
      </c>
      <c r="D247" s="1763">
        <f>1101835.09-1101835.09+999894.81</f>
        <v>999894.81</v>
      </c>
      <c r="E247" s="772">
        <v>999894.81</v>
      </c>
      <c r="F247" s="1811"/>
      <c r="G247" s="2200">
        <f t="shared" si="44"/>
        <v>90.748136283490368</v>
      </c>
      <c r="H247" s="2200">
        <f t="shared" si="45"/>
        <v>100</v>
      </c>
      <c r="I247" s="2201">
        <v>0</v>
      </c>
      <c r="J247" s="88">
        <v>0</v>
      </c>
    </row>
    <row r="248" spans="1:10" s="98" customFormat="1" ht="12.75" customHeight="1" x14ac:dyDescent="0.2">
      <c r="A248" s="2237">
        <v>4216</v>
      </c>
      <c r="B248" s="843" t="s">
        <v>234</v>
      </c>
      <c r="C248" s="904">
        <f>SUM(C249:C256)</f>
        <v>24669004.440000001</v>
      </c>
      <c r="D248" s="904">
        <f>SUM(D249:D256)</f>
        <v>11650256.68</v>
      </c>
      <c r="E248" s="904">
        <v>11650256.68</v>
      </c>
      <c r="F248" s="2588">
        <f>SUM(E249:E256)</f>
        <v>11650256.68</v>
      </c>
      <c r="G248" s="1663">
        <f t="shared" si="44"/>
        <v>47.226294471411592</v>
      </c>
      <c r="H248" s="1663">
        <f t="shared" si="45"/>
        <v>100</v>
      </c>
      <c r="I248" s="1662">
        <f t="shared" si="43"/>
        <v>40.169391162773351</v>
      </c>
      <c r="J248" s="29">
        <v>29002821.16</v>
      </c>
    </row>
    <row r="249" spans="1:10" s="98" customFormat="1" ht="12.75" customHeight="1" x14ac:dyDescent="0.2">
      <c r="A249" s="2301"/>
      <c r="B249" s="1018" t="s">
        <v>2663</v>
      </c>
      <c r="C249" s="1703">
        <v>13964800</v>
      </c>
      <c r="D249" s="1703">
        <f>13964800-13964800</f>
        <v>0</v>
      </c>
      <c r="E249" s="767">
        <v>0</v>
      </c>
      <c r="F249" s="1676"/>
      <c r="G249" s="2200">
        <f t="shared" si="44"/>
        <v>0</v>
      </c>
      <c r="H249" s="2200">
        <v>0</v>
      </c>
      <c r="I249" s="2201">
        <v>0</v>
      </c>
      <c r="J249" s="29">
        <v>0</v>
      </c>
    </row>
    <row r="250" spans="1:10" s="98" customFormat="1" ht="12.75" customHeight="1" x14ac:dyDescent="0.2">
      <c r="A250" s="2290"/>
      <c r="B250" s="1018" t="s">
        <v>2664</v>
      </c>
      <c r="C250" s="1703">
        <v>8886847</v>
      </c>
      <c r="D250" s="1703">
        <f>8886847-8886847</f>
        <v>0</v>
      </c>
      <c r="E250" s="767">
        <v>0</v>
      </c>
      <c r="F250" s="1676"/>
      <c r="G250" s="2200">
        <f t="shared" si="44"/>
        <v>0</v>
      </c>
      <c r="H250" s="2200">
        <v>0</v>
      </c>
      <c r="I250" s="2201">
        <v>0</v>
      </c>
      <c r="J250" s="29">
        <v>0</v>
      </c>
    </row>
    <row r="251" spans="1:10" s="2" customFormat="1" x14ac:dyDescent="0.2">
      <c r="A251" s="2299"/>
      <c r="B251" s="903" t="s">
        <v>2665</v>
      </c>
      <c r="C251" s="1800">
        <v>1817357.44</v>
      </c>
      <c r="D251" s="1800">
        <f>1817357.44-1817357.44</f>
        <v>0</v>
      </c>
      <c r="E251" s="772">
        <v>0</v>
      </c>
      <c r="F251" s="1676"/>
      <c r="G251" s="2200">
        <f t="shared" si="44"/>
        <v>0</v>
      </c>
      <c r="H251" s="2200">
        <v>0</v>
      </c>
      <c r="I251" s="2201">
        <v>0</v>
      </c>
      <c r="J251" s="88">
        <v>0</v>
      </c>
    </row>
    <row r="252" spans="1:10" s="2" customFormat="1" x14ac:dyDescent="0.2">
      <c r="A252" s="2299"/>
      <c r="B252" s="903" t="s">
        <v>3091</v>
      </c>
      <c r="C252" s="1800">
        <v>0</v>
      </c>
      <c r="D252" s="1800">
        <v>196649.72</v>
      </c>
      <c r="E252" s="772">
        <v>196649.72</v>
      </c>
      <c r="F252" s="1676"/>
      <c r="G252" s="2200">
        <v>0</v>
      </c>
      <c r="H252" s="2200">
        <f t="shared" si="45"/>
        <v>100</v>
      </c>
      <c r="I252" s="2201">
        <v>0</v>
      </c>
      <c r="J252" s="88">
        <v>0</v>
      </c>
    </row>
    <row r="253" spans="1:10" s="2" customFormat="1" x14ac:dyDescent="0.2">
      <c r="A253" s="2299"/>
      <c r="B253" s="903" t="s">
        <v>3092</v>
      </c>
      <c r="C253" s="1800">
        <v>0</v>
      </c>
      <c r="D253" s="1800">
        <v>8820238.6199999992</v>
      </c>
      <c r="E253" s="772">
        <v>8820238.6199999992</v>
      </c>
      <c r="F253" s="1676"/>
      <c r="G253" s="2200">
        <v>0</v>
      </c>
      <c r="H253" s="2200">
        <f t="shared" si="45"/>
        <v>100</v>
      </c>
      <c r="I253" s="2201">
        <v>0</v>
      </c>
      <c r="J253" s="88">
        <v>0</v>
      </c>
    </row>
    <row r="254" spans="1:10" s="98" customFormat="1" ht="12.75" customHeight="1" x14ac:dyDescent="0.2">
      <c r="A254" s="2290"/>
      <c r="B254" s="1018" t="s">
        <v>2666</v>
      </c>
      <c r="C254" s="1703">
        <v>0</v>
      </c>
      <c r="D254" s="1703">
        <v>1571026.45</v>
      </c>
      <c r="E254" s="767">
        <v>1571026.45</v>
      </c>
      <c r="F254" s="1676"/>
      <c r="G254" s="2200">
        <v>0</v>
      </c>
      <c r="H254" s="2200">
        <f t="shared" si="45"/>
        <v>100</v>
      </c>
      <c r="I254" s="2201">
        <v>0</v>
      </c>
      <c r="J254" s="29">
        <v>0</v>
      </c>
    </row>
    <row r="255" spans="1:10" s="98" customFormat="1" ht="12.75" customHeight="1" x14ac:dyDescent="0.2">
      <c r="A255" s="2302"/>
      <c r="B255" s="796" t="s">
        <v>2667</v>
      </c>
      <c r="C255" s="1813">
        <v>0</v>
      </c>
      <c r="D255" s="1813">
        <v>1022341.89</v>
      </c>
      <c r="E255" s="767">
        <v>1022341.89</v>
      </c>
      <c r="F255" s="1703"/>
      <c r="G255" s="2200">
        <v>0</v>
      </c>
      <c r="H255" s="2200">
        <f t="shared" si="45"/>
        <v>100</v>
      </c>
      <c r="I255" s="2201">
        <v>0</v>
      </c>
      <c r="J255" s="29">
        <v>0</v>
      </c>
    </row>
    <row r="256" spans="1:10" s="98" customFormat="1" ht="12.75" customHeight="1" x14ac:dyDescent="0.2">
      <c r="A256" s="2303"/>
      <c r="B256" s="901" t="s">
        <v>2668</v>
      </c>
      <c r="C256" s="772">
        <v>0</v>
      </c>
      <c r="D256" s="772">
        <f>40000</f>
        <v>40000</v>
      </c>
      <c r="E256" s="767">
        <v>40000</v>
      </c>
      <c r="F256" s="993"/>
      <c r="G256" s="2200">
        <v>0</v>
      </c>
      <c r="H256" s="2200">
        <f t="shared" si="45"/>
        <v>100</v>
      </c>
      <c r="I256" s="2201">
        <v>0</v>
      </c>
      <c r="J256" s="29">
        <v>0</v>
      </c>
    </row>
    <row r="257" spans="1:10" s="98" customFormat="1" ht="12.75" customHeight="1" x14ac:dyDescent="0.2">
      <c r="A257" s="2237">
        <v>4222</v>
      </c>
      <c r="B257" s="782" t="s">
        <v>245</v>
      </c>
      <c r="C257" s="904">
        <f>SUM(C258:C260)</f>
        <v>679980</v>
      </c>
      <c r="D257" s="904">
        <f>SUM(D258:D260)</f>
        <v>460000</v>
      </c>
      <c r="E257" s="904">
        <v>460000</v>
      </c>
      <c r="F257" s="2588">
        <f>SUM(E258:E260)</f>
        <v>460000</v>
      </c>
      <c r="G257" s="1663">
        <f t="shared" si="44"/>
        <v>67.649048501426506</v>
      </c>
      <c r="H257" s="1663">
        <f t="shared" si="45"/>
        <v>100</v>
      </c>
      <c r="I257" s="1662">
        <f t="shared" si="43"/>
        <v>30.648053082427939</v>
      </c>
      <c r="J257" s="29">
        <v>1500911</v>
      </c>
    </row>
    <row r="258" spans="1:10" s="98" customFormat="1" ht="12.75" customHeight="1" x14ac:dyDescent="0.2">
      <c r="A258" s="2290"/>
      <c r="B258" s="824" t="s">
        <v>2669</v>
      </c>
      <c r="C258" s="1800">
        <v>300000</v>
      </c>
      <c r="D258" s="1800">
        <f>300000-140000</f>
        <v>160000</v>
      </c>
      <c r="E258" s="767">
        <v>160000</v>
      </c>
      <c r="F258" s="1676"/>
      <c r="G258" s="2200">
        <f t="shared" si="44"/>
        <v>53.333333333333336</v>
      </c>
      <c r="H258" s="2200">
        <f t="shared" si="45"/>
        <v>100</v>
      </c>
      <c r="I258" s="2201">
        <v>0</v>
      </c>
      <c r="J258" s="29">
        <v>300000</v>
      </c>
    </row>
    <row r="259" spans="1:10" s="98" customFormat="1" ht="12.75" customHeight="1" x14ac:dyDescent="0.2">
      <c r="A259" s="2304"/>
      <c r="B259" s="907" t="s">
        <v>3204</v>
      </c>
      <c r="C259" s="1800">
        <v>79980</v>
      </c>
      <c r="D259" s="1800">
        <f>79980-79980</f>
        <v>0</v>
      </c>
      <c r="E259" s="767">
        <v>0</v>
      </c>
      <c r="F259" s="1676"/>
      <c r="G259" s="2200">
        <f t="shared" si="44"/>
        <v>0</v>
      </c>
      <c r="H259" s="2200">
        <v>0</v>
      </c>
      <c r="I259" s="2201">
        <v>0</v>
      </c>
      <c r="J259" s="29">
        <v>0</v>
      </c>
    </row>
    <row r="260" spans="1:10" s="98" customFormat="1" ht="12.75" customHeight="1" x14ac:dyDescent="0.2">
      <c r="A260" s="2276"/>
      <c r="B260" s="1077" t="s">
        <v>3205</v>
      </c>
      <c r="C260" s="1703">
        <v>300000</v>
      </c>
      <c r="D260" s="1703">
        <v>300000</v>
      </c>
      <c r="E260" s="1800">
        <v>300000</v>
      </c>
      <c r="F260" s="1703"/>
      <c r="G260" s="2200">
        <f t="shared" si="44"/>
        <v>100</v>
      </c>
      <c r="H260" s="2200">
        <f t="shared" si="45"/>
        <v>100</v>
      </c>
      <c r="I260" s="2201">
        <v>0</v>
      </c>
      <c r="J260" s="29">
        <v>1200000</v>
      </c>
    </row>
    <row r="261" spans="1:10" s="98" customFormat="1" x14ac:dyDescent="0.2">
      <c r="A261" s="2305"/>
      <c r="B261" s="913"/>
      <c r="C261" s="1802"/>
      <c r="D261" s="1802"/>
      <c r="E261" s="833"/>
      <c r="F261" s="1682"/>
      <c r="G261" s="1682"/>
      <c r="H261" s="1682"/>
      <c r="I261" s="1802"/>
      <c r="J261" s="29"/>
    </row>
    <row r="262" spans="1:10" s="98" customFormat="1" ht="20.25" x14ac:dyDescent="0.3">
      <c r="A262" s="2306"/>
      <c r="B262" s="916" t="s">
        <v>13</v>
      </c>
      <c r="C262" s="917">
        <f>SUM(C32+C66+C175+C193)</f>
        <v>880607447.43799996</v>
      </c>
      <c r="D262" s="917">
        <f>SUM(D32+D66+D175+D193)</f>
        <v>904965111.72000003</v>
      </c>
      <c r="E262" s="917">
        <v>929398428.02999997</v>
      </c>
      <c r="F262" s="2307">
        <f>SUM(E32,E66,E175,E193)</f>
        <v>929398428.02999997</v>
      </c>
      <c r="G262" s="949">
        <f t="shared" si="44"/>
        <v>105.54060503734671</v>
      </c>
      <c r="H262" s="949">
        <f t="shared" si="45"/>
        <v>102.6999180403277</v>
      </c>
      <c r="I262" s="949">
        <f t="shared" si="43"/>
        <v>86.024863356785346</v>
      </c>
      <c r="J262" s="29">
        <v>1080383498.1700001</v>
      </c>
    </row>
    <row r="263" spans="1:10" s="98" customFormat="1" ht="15.75" x14ac:dyDescent="0.25">
      <c r="A263" s="2308"/>
      <c r="B263" s="919"/>
      <c r="C263" s="1674"/>
      <c r="D263" s="1674"/>
      <c r="E263" s="920"/>
      <c r="F263" s="1682"/>
      <c r="G263" s="1682"/>
      <c r="H263" s="1682"/>
      <c r="I263" s="1674"/>
      <c r="J263" s="29"/>
    </row>
    <row r="264" spans="1:10" s="98" customFormat="1" ht="18" x14ac:dyDescent="0.25">
      <c r="A264" s="2309"/>
      <c r="B264" s="2310" t="s">
        <v>14</v>
      </c>
      <c r="C264" s="608">
        <f>SUM(C265:C267)</f>
        <v>240886192.56</v>
      </c>
      <c r="D264" s="608">
        <f>SUM(D265:D267)</f>
        <v>262407060.73000002</v>
      </c>
      <c r="E264" s="608">
        <v>146465109.90000001</v>
      </c>
      <c r="F264" s="2589">
        <f>SUM(E265:E267)</f>
        <v>146465109.90000001</v>
      </c>
      <c r="G264" s="1654">
        <f t="shared" si="44"/>
        <v>60.802617345333502</v>
      </c>
      <c r="H264" s="1654">
        <f t="shared" si="45"/>
        <v>55.815994239081533</v>
      </c>
      <c r="I264" s="1654">
        <f t="shared" si="43"/>
        <v>-79.637949444554508</v>
      </c>
      <c r="J264" s="29">
        <v>-183913713.15000001</v>
      </c>
    </row>
    <row r="265" spans="1:10" ht="25.5" x14ac:dyDescent="0.2">
      <c r="A265" s="2288">
        <v>8115</v>
      </c>
      <c r="B265" s="926" t="s">
        <v>2225</v>
      </c>
      <c r="C265" s="1815">
        <f>248167864.56-615000</f>
        <v>247552864.56</v>
      </c>
      <c r="D265" s="1815">
        <f>248167864.56-615000+21520868.17</f>
        <v>269073732.73000002</v>
      </c>
      <c r="E265" s="882">
        <v>152572467.59999999</v>
      </c>
      <c r="F265" s="2312"/>
      <c r="G265" s="1663">
        <f t="shared" si="44"/>
        <v>61.632277158732137</v>
      </c>
      <c r="H265" s="1663">
        <f t="shared" si="45"/>
        <v>56.702847227788553</v>
      </c>
      <c r="I265" s="1662">
        <f t="shared" si="43"/>
        <v>87.170567857106079</v>
      </c>
      <c r="J265" s="1866">
        <v>175027502.22999999</v>
      </c>
    </row>
    <row r="266" spans="1:10" ht="12.75" customHeight="1" x14ac:dyDescent="0.2">
      <c r="A266" s="2288">
        <v>8124</v>
      </c>
      <c r="B266" s="928" t="s">
        <v>1304</v>
      </c>
      <c r="C266" s="746">
        <f>-(555556*12)</f>
        <v>-6666672</v>
      </c>
      <c r="D266" s="746">
        <f>-(555556*12)</f>
        <v>-6666672</v>
      </c>
      <c r="E266" s="882">
        <v>-6666672</v>
      </c>
      <c r="F266" s="1781"/>
      <c r="G266" s="1663">
        <f t="shared" si="44"/>
        <v>100</v>
      </c>
      <c r="H266" s="1663">
        <f t="shared" si="45"/>
        <v>100</v>
      </c>
      <c r="I266" s="1662">
        <f t="shared" si="43"/>
        <v>100</v>
      </c>
      <c r="J266" s="29">
        <v>-6666672</v>
      </c>
    </row>
    <row r="267" spans="1:10" s="235" customFormat="1" ht="12.75" customHeight="1" x14ac:dyDescent="0.4">
      <c r="A267" s="2237">
        <v>8901</v>
      </c>
      <c r="B267" s="782" t="s">
        <v>254</v>
      </c>
      <c r="C267" s="734">
        <f t="shared" ref="C267:D267" si="46">SUM(C268:C270)</f>
        <v>0</v>
      </c>
      <c r="D267" s="734">
        <f t="shared" si="46"/>
        <v>0</v>
      </c>
      <c r="E267" s="998">
        <v>559314.30000000005</v>
      </c>
      <c r="F267" s="993">
        <f>SUM(E268:E270)</f>
        <v>559314.30000000005</v>
      </c>
      <c r="G267" s="1663">
        <v>0</v>
      </c>
      <c r="H267" s="1663">
        <v>0</v>
      </c>
      <c r="I267" s="1662">
        <f t="shared" si="43"/>
        <v>654.13824547836896</v>
      </c>
      <c r="J267" s="1866">
        <v>85503.99</v>
      </c>
    </row>
    <row r="268" spans="1:10" s="236" customFormat="1" ht="12.75" customHeight="1" x14ac:dyDescent="0.35">
      <c r="A268" s="2313"/>
      <c r="B268" s="933" t="s">
        <v>3093</v>
      </c>
      <c r="C268" s="854">
        <v>0</v>
      </c>
      <c r="D268" s="854">
        <v>0</v>
      </c>
      <c r="E268" s="993">
        <v>-87127.7</v>
      </c>
      <c r="F268" s="1805"/>
      <c r="G268" s="2200">
        <v>0</v>
      </c>
      <c r="H268" s="2200">
        <v>0</v>
      </c>
      <c r="I268" s="2201">
        <f t="shared" si="43"/>
        <v>-101.89898740397962</v>
      </c>
      <c r="J268" s="32">
        <v>85503.99</v>
      </c>
    </row>
    <row r="269" spans="1:10" s="236" customFormat="1" ht="12.75" customHeight="1" x14ac:dyDescent="0.35">
      <c r="A269" s="2313"/>
      <c r="B269" s="933" t="s">
        <v>2672</v>
      </c>
      <c r="C269" s="854">
        <v>0</v>
      </c>
      <c r="D269" s="854">
        <v>0</v>
      </c>
      <c r="E269" s="993">
        <v>-53158</v>
      </c>
      <c r="F269" s="854"/>
      <c r="G269" s="2200">
        <v>0</v>
      </c>
      <c r="H269" s="2200">
        <v>0</v>
      </c>
      <c r="I269" s="2201">
        <v>0</v>
      </c>
      <c r="J269" s="88">
        <v>0</v>
      </c>
    </row>
    <row r="270" spans="1:10" s="236" customFormat="1" ht="12.75" customHeight="1" x14ac:dyDescent="0.35">
      <c r="A270" s="2313"/>
      <c r="B270" s="933" t="s">
        <v>3094</v>
      </c>
      <c r="C270" s="854">
        <v>0</v>
      </c>
      <c r="D270" s="854">
        <v>0</v>
      </c>
      <c r="E270" s="993">
        <v>699600</v>
      </c>
      <c r="F270" s="854"/>
      <c r="G270" s="2200">
        <v>0</v>
      </c>
      <c r="H270" s="2200">
        <v>0</v>
      </c>
      <c r="I270" s="2201">
        <v>0</v>
      </c>
      <c r="J270" s="88">
        <v>0</v>
      </c>
    </row>
    <row r="271" spans="1:10" x14ac:dyDescent="0.2">
      <c r="A271" s="2314"/>
      <c r="B271" s="939"/>
      <c r="C271" s="1793"/>
      <c r="D271" s="1793"/>
      <c r="E271" s="1821"/>
      <c r="F271" s="1793"/>
      <c r="G271" s="1793"/>
      <c r="H271" s="1793"/>
      <c r="I271" s="1793"/>
    </row>
    <row r="272" spans="1:10" s="85" customFormat="1" ht="24" customHeight="1" x14ac:dyDescent="0.4">
      <c r="A272" s="2315"/>
      <c r="B272" s="947" t="s">
        <v>15</v>
      </c>
      <c r="C272" s="2316">
        <f>SUM(C262+C264)</f>
        <v>1121493639.9979999</v>
      </c>
      <c r="D272" s="2316">
        <f>SUM(D262+D264)</f>
        <v>1167372172.45</v>
      </c>
      <c r="E272" s="2316">
        <v>1075863537.9300001</v>
      </c>
      <c r="F272" s="2590">
        <f>SUM(E262,E264)</f>
        <v>1075863537.9300001</v>
      </c>
      <c r="G272" s="2318">
        <f t="shared" si="44"/>
        <v>95.931309778263099</v>
      </c>
      <c r="H272" s="2318">
        <f t="shared" si="45"/>
        <v>92.161143063060351</v>
      </c>
      <c r="I272" s="2318">
        <f t="shared" si="43"/>
        <v>120.01113209922607</v>
      </c>
      <c r="J272" s="29">
        <v>896469785.01999998</v>
      </c>
    </row>
    <row r="273" spans="1:10" s="98" customFormat="1" ht="22.5" customHeight="1" x14ac:dyDescent="0.3">
      <c r="A273" s="2319"/>
      <c r="B273" s="951" t="s">
        <v>2228</v>
      </c>
      <c r="C273" s="1674"/>
      <c r="D273" s="1674"/>
      <c r="E273" s="952"/>
      <c r="F273" s="1682"/>
      <c r="G273" s="1682"/>
      <c r="H273" s="1682"/>
      <c r="I273" s="1674"/>
      <c r="J273" s="29"/>
    </row>
    <row r="274" spans="1:10" ht="20.25" x14ac:dyDescent="0.3">
      <c r="A274" s="2320"/>
      <c r="B274" s="951" t="s">
        <v>258</v>
      </c>
      <c r="C274" s="2321">
        <f>C275+C290+C318+C327</f>
        <v>79616000</v>
      </c>
      <c r="D274" s="2321">
        <f>D275+D290+D318+D327</f>
        <v>80837664.640000001</v>
      </c>
      <c r="E274" s="2321">
        <v>71572548.989999995</v>
      </c>
      <c r="F274" s="2591">
        <f>SUM(E275,E290,E318,E327)</f>
        <v>71572548.989999995</v>
      </c>
      <c r="G274" s="949">
        <f t="shared" si="44"/>
        <v>89.89719276276125</v>
      </c>
      <c r="H274" s="949">
        <f t="shared" si="45"/>
        <v>88.538615395111933</v>
      </c>
      <c r="I274" s="949">
        <f t="shared" si="43"/>
        <v>93.893083614489612</v>
      </c>
      <c r="J274" s="29">
        <v>76227711.599999994</v>
      </c>
    </row>
    <row r="275" spans="1:10" s="19" customFormat="1" ht="15.75" x14ac:dyDescent="0.25">
      <c r="A275" s="2323"/>
      <c r="B275" s="959" t="s">
        <v>259</v>
      </c>
      <c r="C275" s="960">
        <f>SUM(C276+C281+C287)</f>
        <v>5835000</v>
      </c>
      <c r="D275" s="960">
        <f>SUM(D276+D281+D287)</f>
        <v>6935000</v>
      </c>
      <c r="E275" s="960">
        <v>5859589.7400000002</v>
      </c>
      <c r="F275" s="2592">
        <f>SUM(E276,E281,E287)</f>
        <v>5859589.7400000002</v>
      </c>
      <c r="G275" s="2325">
        <f t="shared" si="44"/>
        <v>100.42141799485861</v>
      </c>
      <c r="H275" s="2325">
        <f t="shared" si="45"/>
        <v>84.493002739726037</v>
      </c>
      <c r="I275" s="2325">
        <f t="shared" si="43"/>
        <v>232.05177832084428</v>
      </c>
      <c r="J275" s="29">
        <v>2525121.67</v>
      </c>
    </row>
    <row r="276" spans="1:10" x14ac:dyDescent="0.2">
      <c r="A276" s="2326">
        <v>2310</v>
      </c>
      <c r="B276" s="963" t="s">
        <v>1307</v>
      </c>
      <c r="C276" s="964">
        <f>SUM(C277:C280)</f>
        <v>265000</v>
      </c>
      <c r="D276" s="964">
        <f>SUM(D277:D280)</f>
        <v>107917.29999999999</v>
      </c>
      <c r="E276" s="964">
        <v>106570.3</v>
      </c>
      <c r="F276" s="2312">
        <f>SUM(E277:E280)</f>
        <v>106570.3</v>
      </c>
      <c r="G276" s="1663">
        <f t="shared" si="44"/>
        <v>40.215207547169811</v>
      </c>
      <c r="H276" s="1663">
        <f t="shared" si="45"/>
        <v>98.751821997029225</v>
      </c>
      <c r="I276" s="1662">
        <v>0</v>
      </c>
      <c r="J276" s="29">
        <v>0</v>
      </c>
    </row>
    <row r="277" spans="1:10" x14ac:dyDescent="0.2">
      <c r="A277" s="2328" t="s">
        <v>261</v>
      </c>
      <c r="B277" s="778" t="s">
        <v>262</v>
      </c>
      <c r="C277" s="1828">
        <v>15000</v>
      </c>
      <c r="D277" s="1828">
        <f>15000-15000</f>
        <v>0</v>
      </c>
      <c r="E277" s="968">
        <v>0</v>
      </c>
      <c r="F277" s="854"/>
      <c r="G277" s="2200">
        <f t="shared" si="44"/>
        <v>0</v>
      </c>
      <c r="H277" s="2200">
        <v>0</v>
      </c>
      <c r="I277" s="2201">
        <v>0</v>
      </c>
      <c r="J277" s="29">
        <v>0</v>
      </c>
    </row>
    <row r="278" spans="1:10" x14ac:dyDescent="0.2">
      <c r="A278" s="2328" t="s">
        <v>263</v>
      </c>
      <c r="B278" s="778" t="s">
        <v>2229</v>
      </c>
      <c r="C278" s="767">
        <v>50000</v>
      </c>
      <c r="D278" s="767">
        <f>50000-43000</f>
        <v>7000</v>
      </c>
      <c r="E278" s="968">
        <v>6570.3</v>
      </c>
      <c r="F278" s="854"/>
      <c r="G278" s="2200">
        <f t="shared" si="44"/>
        <v>13.140599999999999</v>
      </c>
      <c r="H278" s="2200">
        <f t="shared" si="45"/>
        <v>93.861428571428576</v>
      </c>
      <c r="I278" s="2201">
        <v>0</v>
      </c>
      <c r="J278" s="29">
        <v>0</v>
      </c>
    </row>
    <row r="279" spans="1:10" x14ac:dyDescent="0.2">
      <c r="A279" s="2328" t="s">
        <v>265</v>
      </c>
      <c r="B279" s="778" t="s">
        <v>2230</v>
      </c>
      <c r="C279" s="767">
        <v>200000</v>
      </c>
      <c r="D279" s="767">
        <f>200000-174082.7-25000</f>
        <v>917.29999999998836</v>
      </c>
      <c r="E279" s="970">
        <v>0</v>
      </c>
      <c r="F279" s="858"/>
      <c r="G279" s="2200">
        <f t="shared" si="44"/>
        <v>0</v>
      </c>
      <c r="H279" s="2200">
        <f t="shared" si="45"/>
        <v>0</v>
      </c>
      <c r="I279" s="2201">
        <v>0</v>
      </c>
      <c r="J279" s="29">
        <v>0</v>
      </c>
    </row>
    <row r="280" spans="1:10" x14ac:dyDescent="0.2">
      <c r="A280" s="2328" t="s">
        <v>3095</v>
      </c>
      <c r="B280" s="778" t="s">
        <v>3096</v>
      </c>
      <c r="C280" s="767">
        <v>0</v>
      </c>
      <c r="D280" s="767">
        <f>83000+17000</f>
        <v>100000</v>
      </c>
      <c r="E280" s="970">
        <v>100000</v>
      </c>
      <c r="F280" s="858"/>
      <c r="G280" s="2200">
        <v>0</v>
      </c>
      <c r="H280" s="2200">
        <f t="shared" si="45"/>
        <v>100</v>
      </c>
      <c r="I280" s="2201">
        <v>0</v>
      </c>
      <c r="J280" s="29">
        <v>0</v>
      </c>
    </row>
    <row r="281" spans="1:10" x14ac:dyDescent="0.2">
      <c r="A281" s="2237">
        <v>2321</v>
      </c>
      <c r="B281" s="787" t="s">
        <v>1314</v>
      </c>
      <c r="C281" s="734">
        <f t="shared" ref="C281:D281" si="47">SUM(C282:C286)</f>
        <v>5410000</v>
      </c>
      <c r="D281" s="734">
        <f t="shared" si="47"/>
        <v>6667082.7000000002</v>
      </c>
      <c r="E281" s="734">
        <v>5731983.1100000003</v>
      </c>
      <c r="F281" s="854">
        <f>SUM(E282:E286)</f>
        <v>5731983.1100000003</v>
      </c>
      <c r="G281" s="1663">
        <f t="shared" si="44"/>
        <v>105.95162865064695</v>
      </c>
      <c r="H281" s="1663">
        <f t="shared" si="45"/>
        <v>85.97438141872756</v>
      </c>
      <c r="I281" s="1662">
        <f t="shared" si="43"/>
        <v>249.21807749956349</v>
      </c>
      <c r="J281" s="29">
        <v>2299986.89</v>
      </c>
    </row>
    <row r="282" spans="1:10" x14ac:dyDescent="0.2">
      <c r="A282" s="2328" t="s">
        <v>268</v>
      </c>
      <c r="B282" s="778" t="s">
        <v>269</v>
      </c>
      <c r="C282" s="767">
        <v>300000</v>
      </c>
      <c r="D282" s="767">
        <v>300000</v>
      </c>
      <c r="E282" s="968">
        <v>298529.40999999997</v>
      </c>
      <c r="F282" s="854"/>
      <c r="G282" s="2200">
        <f t="shared" si="44"/>
        <v>99.509803333333323</v>
      </c>
      <c r="H282" s="2200">
        <f t="shared" si="45"/>
        <v>99.509803333333323</v>
      </c>
      <c r="I282" s="2201">
        <f t="shared" si="43"/>
        <v>108.98256815759115</v>
      </c>
      <c r="J282" s="29">
        <v>273924</v>
      </c>
    </row>
    <row r="283" spans="1:10" s="2" customFormat="1" x14ac:dyDescent="0.2">
      <c r="A283" s="2328" t="s">
        <v>270</v>
      </c>
      <c r="B283" s="778" t="s">
        <v>2231</v>
      </c>
      <c r="C283" s="1835">
        <v>910000</v>
      </c>
      <c r="D283" s="767">
        <f>910000+699259+195569.92+669420.4+400000+174082.7</f>
        <v>3048332.02</v>
      </c>
      <c r="E283" s="968">
        <v>2593699.34</v>
      </c>
      <c r="F283" s="854"/>
      <c r="G283" s="2200">
        <f t="shared" si="44"/>
        <v>285.02190549450546</v>
      </c>
      <c r="H283" s="2200">
        <f t="shared" si="45"/>
        <v>85.085854263342341</v>
      </c>
      <c r="I283" s="2201">
        <f t="shared" si="43"/>
        <v>451.37938491333324</v>
      </c>
      <c r="J283" s="88">
        <v>574616.26</v>
      </c>
    </row>
    <row r="284" spans="1:10" x14ac:dyDescent="0.2">
      <c r="A284" s="2332" t="s">
        <v>272</v>
      </c>
      <c r="B284" s="818" t="s">
        <v>1316</v>
      </c>
      <c r="C284" s="820">
        <v>3000000</v>
      </c>
      <c r="D284" s="820">
        <f>3000000-699259-195569.92-669420.4+200000+700000-17000</f>
        <v>2318750.6800000002</v>
      </c>
      <c r="E284" s="934">
        <v>1931339.08</v>
      </c>
      <c r="F284" s="854"/>
      <c r="G284" s="2200">
        <f t="shared" si="44"/>
        <v>64.37796933333334</v>
      </c>
      <c r="H284" s="2200">
        <f t="shared" si="45"/>
        <v>83.2922270021717</v>
      </c>
      <c r="I284" s="2201">
        <f t="shared" si="43"/>
        <v>133.06304483272666</v>
      </c>
      <c r="J284" s="29">
        <v>1451446.63</v>
      </c>
    </row>
    <row r="285" spans="1:10" x14ac:dyDescent="0.2">
      <c r="A285" s="2333" t="s">
        <v>417</v>
      </c>
      <c r="B285" s="1039" t="s">
        <v>2673</v>
      </c>
      <c r="C285" s="854">
        <v>1000000</v>
      </c>
      <c r="D285" s="854">
        <v>1000000</v>
      </c>
      <c r="E285" s="1730">
        <v>908415.28</v>
      </c>
      <c r="F285" s="779"/>
      <c r="G285" s="2200">
        <f t="shared" si="44"/>
        <v>90.841528000000011</v>
      </c>
      <c r="H285" s="2200">
        <f t="shared" si="45"/>
        <v>90.841528000000011</v>
      </c>
      <c r="I285" s="2201">
        <v>0</v>
      </c>
      <c r="J285" s="29">
        <v>0</v>
      </c>
    </row>
    <row r="286" spans="1:10" ht="12.75" customHeight="1" x14ac:dyDescent="0.2">
      <c r="A286" s="2328" t="s">
        <v>272</v>
      </c>
      <c r="B286" s="789" t="s">
        <v>1317</v>
      </c>
      <c r="C286" s="767">
        <v>200000</v>
      </c>
      <c r="D286" s="767">
        <f>200000-200000</f>
        <v>0</v>
      </c>
      <c r="E286" s="968">
        <v>0</v>
      </c>
      <c r="F286" s="854"/>
      <c r="G286" s="2200">
        <f t="shared" si="44"/>
        <v>0</v>
      </c>
      <c r="H286" s="2200">
        <v>0</v>
      </c>
      <c r="I286" s="2201">
        <v>0</v>
      </c>
      <c r="J286" s="29">
        <v>0</v>
      </c>
    </row>
    <row r="287" spans="1:10" x14ac:dyDescent="0.2">
      <c r="A287" s="2288">
        <v>2333</v>
      </c>
      <c r="B287" s="973" t="s">
        <v>1318</v>
      </c>
      <c r="C287" s="974">
        <f t="shared" ref="C287:D287" si="48">SUM(C288:C289)</f>
        <v>160000</v>
      </c>
      <c r="D287" s="974">
        <f t="shared" si="48"/>
        <v>160000</v>
      </c>
      <c r="E287" s="974">
        <v>21036.33</v>
      </c>
      <c r="F287" s="854">
        <f>SUM(E288:E289)</f>
        <v>21036.33</v>
      </c>
      <c r="G287" s="1663">
        <f t="shared" si="44"/>
        <v>13.147706250000002</v>
      </c>
      <c r="H287" s="1663">
        <f t="shared" si="45"/>
        <v>13.147706250000002</v>
      </c>
      <c r="I287" s="1662">
        <v>0</v>
      </c>
      <c r="J287" s="29">
        <v>225134.78</v>
      </c>
    </row>
    <row r="288" spans="1:10" x14ac:dyDescent="0.2">
      <c r="A288" s="2328" t="s">
        <v>276</v>
      </c>
      <c r="B288" s="778" t="s">
        <v>1319</v>
      </c>
      <c r="C288" s="767">
        <v>80000</v>
      </c>
      <c r="D288" s="767">
        <v>80000</v>
      </c>
      <c r="E288" s="968">
        <v>21036.33</v>
      </c>
      <c r="F288" s="854"/>
      <c r="G288" s="2200">
        <f t="shared" si="44"/>
        <v>26.295412500000005</v>
      </c>
      <c r="H288" s="2200">
        <f t="shared" si="45"/>
        <v>26.295412500000005</v>
      </c>
      <c r="I288" s="2201">
        <v>0</v>
      </c>
      <c r="J288" s="29">
        <v>225134.78</v>
      </c>
    </row>
    <row r="289" spans="1:11" x14ac:dyDescent="0.2">
      <c r="A289" s="2328" t="s">
        <v>278</v>
      </c>
      <c r="B289" s="778" t="s">
        <v>2233</v>
      </c>
      <c r="C289" s="779">
        <v>80000</v>
      </c>
      <c r="D289" s="779">
        <v>80000</v>
      </c>
      <c r="E289" s="935">
        <v>0</v>
      </c>
      <c r="F289" s="868"/>
      <c r="G289" s="2200">
        <f t="shared" si="44"/>
        <v>0</v>
      </c>
      <c r="H289" s="2200">
        <f t="shared" si="45"/>
        <v>0</v>
      </c>
      <c r="I289" s="2201">
        <v>0</v>
      </c>
      <c r="J289" s="29">
        <v>0</v>
      </c>
    </row>
    <row r="290" spans="1:11" s="98" customFormat="1" ht="15.75" x14ac:dyDescent="0.25">
      <c r="A290" s="2335"/>
      <c r="B290" s="925" t="s">
        <v>279</v>
      </c>
      <c r="C290" s="981">
        <f>SUM(C291+C302+C311)</f>
        <v>40696000</v>
      </c>
      <c r="D290" s="981">
        <f>SUM(D291+D302+D311)</f>
        <v>39760815</v>
      </c>
      <c r="E290" s="981">
        <v>37958210.649999999</v>
      </c>
      <c r="F290" s="2387">
        <f>SUM(E291,E302,E311)</f>
        <v>37958210.649999999</v>
      </c>
      <c r="G290" s="2325">
        <f t="shared" si="44"/>
        <v>93.272583669156674</v>
      </c>
      <c r="H290" s="2325">
        <f t="shared" si="45"/>
        <v>95.466379776169077</v>
      </c>
      <c r="I290" s="2325">
        <f t="shared" si="43"/>
        <v>77.533913172585585</v>
      </c>
      <c r="J290" s="29">
        <v>48956913.299999997</v>
      </c>
    </row>
    <row r="291" spans="1:11" s="98" customFormat="1" x14ac:dyDescent="0.2">
      <c r="A291" s="2337">
        <v>2212</v>
      </c>
      <c r="B291" s="963" t="s">
        <v>1321</v>
      </c>
      <c r="C291" s="984">
        <f>SUM(C292,C295:C301)</f>
        <v>34970000</v>
      </c>
      <c r="D291" s="984">
        <f>SUM(D292,D295:D301)</f>
        <v>35277296</v>
      </c>
      <c r="E291" s="984">
        <v>35389627.920000002</v>
      </c>
      <c r="F291" s="2312">
        <f>SUM(E292,E295:E301)</f>
        <v>35389627.920000002</v>
      </c>
      <c r="G291" s="1663">
        <f t="shared" si="44"/>
        <v>101.19996545610523</v>
      </c>
      <c r="H291" s="1663">
        <f t="shared" si="45"/>
        <v>100.318425539191</v>
      </c>
      <c r="I291" s="1662">
        <f t="shared" si="43"/>
        <v>78.3949897193216</v>
      </c>
      <c r="J291" s="29">
        <v>45142716.450000003</v>
      </c>
    </row>
    <row r="292" spans="1:11" s="2" customFormat="1" x14ac:dyDescent="0.2">
      <c r="A292" s="2299"/>
      <c r="B292" s="889" t="s">
        <v>2245</v>
      </c>
      <c r="C292" s="772">
        <f>SUM(C293:C294)</f>
        <v>0</v>
      </c>
      <c r="D292" s="772">
        <f>SUM(D293:D294)</f>
        <v>398937</v>
      </c>
      <c r="E292" s="772">
        <v>365057</v>
      </c>
      <c r="F292" s="854">
        <f>SUM(E293:E294)</f>
        <v>365057</v>
      </c>
      <c r="G292" s="2200">
        <v>0</v>
      </c>
      <c r="H292" s="2200">
        <f t="shared" si="45"/>
        <v>91.507430997876867</v>
      </c>
      <c r="I292" s="2201">
        <f t="shared" si="43"/>
        <v>223.48148148148147</v>
      </c>
      <c r="J292" s="88">
        <v>163350</v>
      </c>
    </row>
    <row r="293" spans="1:11" s="98" customFormat="1" x14ac:dyDescent="0.2">
      <c r="A293" s="2339" t="s">
        <v>1338</v>
      </c>
      <c r="B293" s="737" t="s">
        <v>2244</v>
      </c>
      <c r="C293" s="738">
        <v>0</v>
      </c>
      <c r="D293" s="738">
        <v>98736</v>
      </c>
      <c r="E293" s="2340">
        <v>64856</v>
      </c>
      <c r="F293" s="2341"/>
      <c r="G293" s="2200">
        <v>0</v>
      </c>
      <c r="H293" s="2200">
        <f t="shared" si="45"/>
        <v>65.686274509803923</v>
      </c>
      <c r="I293" s="2201">
        <f t="shared" ref="I293:I356" si="49">E293/J293*100</f>
        <v>39.703703703703702</v>
      </c>
      <c r="J293" s="29">
        <v>163350</v>
      </c>
    </row>
    <row r="294" spans="1:11" s="98" customFormat="1" x14ac:dyDescent="0.2">
      <c r="A294" s="2339" t="s">
        <v>1340</v>
      </c>
      <c r="B294" s="737" t="s">
        <v>3097</v>
      </c>
      <c r="C294" s="738">
        <v>0</v>
      </c>
      <c r="D294" s="738">
        <v>300201</v>
      </c>
      <c r="E294" s="2340">
        <v>300201</v>
      </c>
      <c r="F294" s="2341"/>
      <c r="G294" s="2200">
        <v>0</v>
      </c>
      <c r="H294" s="2200">
        <f t="shared" si="45"/>
        <v>100</v>
      </c>
      <c r="I294" s="2201">
        <v>0</v>
      </c>
      <c r="J294" s="29">
        <v>0</v>
      </c>
    </row>
    <row r="295" spans="1:11" s="98" customFormat="1" x14ac:dyDescent="0.2">
      <c r="A295" s="2339" t="s">
        <v>286</v>
      </c>
      <c r="B295" s="737" t="s">
        <v>2675</v>
      </c>
      <c r="C295" s="738">
        <v>4800000</v>
      </c>
      <c r="D295" s="738">
        <f>4800000+700000</f>
        <v>5500000</v>
      </c>
      <c r="E295" s="1709">
        <v>5500000</v>
      </c>
      <c r="F295" s="2341"/>
      <c r="G295" s="2200">
        <f t="shared" ref="G295:G356" si="50">E295/C295*100</f>
        <v>114.58333333333333</v>
      </c>
      <c r="H295" s="2200">
        <f t="shared" si="45"/>
        <v>100</v>
      </c>
      <c r="I295" s="2201">
        <f t="shared" si="49"/>
        <v>144.73684210526315</v>
      </c>
      <c r="J295" s="29">
        <v>3800000</v>
      </c>
    </row>
    <row r="296" spans="1:11" s="98" customFormat="1" x14ac:dyDescent="0.2">
      <c r="A296" s="2339" t="s">
        <v>286</v>
      </c>
      <c r="B296" s="737" t="s">
        <v>2676</v>
      </c>
      <c r="C296" s="738">
        <v>24500000</v>
      </c>
      <c r="D296" s="738">
        <f>24500000-500000</f>
        <v>24000000</v>
      </c>
      <c r="E296" s="1709">
        <v>24500000</v>
      </c>
      <c r="F296" s="2341"/>
      <c r="G296" s="2200">
        <f t="shared" si="50"/>
        <v>100</v>
      </c>
      <c r="H296" s="2200">
        <f t="shared" si="45"/>
        <v>102.08333333333333</v>
      </c>
      <c r="I296" s="2201">
        <f t="shared" si="49"/>
        <v>107.26006143155844</v>
      </c>
      <c r="J296" s="29">
        <v>22841680</v>
      </c>
      <c r="K296" s="1245"/>
    </row>
    <row r="297" spans="1:11" s="98" customFormat="1" x14ac:dyDescent="0.2">
      <c r="A297" s="2339" t="s">
        <v>2239</v>
      </c>
      <c r="B297" s="737" t="s">
        <v>2677</v>
      </c>
      <c r="C297" s="738">
        <v>20000</v>
      </c>
      <c r="D297" s="738">
        <f>20000+18732.1</f>
        <v>38732.1</v>
      </c>
      <c r="E297" s="1709">
        <v>38732.1</v>
      </c>
      <c r="F297" s="2341"/>
      <c r="G297" s="2200">
        <f t="shared" si="50"/>
        <v>193.66049999999998</v>
      </c>
      <c r="H297" s="2200">
        <f t="shared" ref="H297:H360" si="51">E297/D297*100</f>
        <v>100</v>
      </c>
      <c r="I297" s="2201">
        <f t="shared" si="49"/>
        <v>221.68097527472526</v>
      </c>
      <c r="J297" s="29">
        <v>17472</v>
      </c>
    </row>
    <row r="298" spans="1:11" s="98" customFormat="1" ht="25.5" x14ac:dyDescent="0.2">
      <c r="A298" s="2339" t="s">
        <v>291</v>
      </c>
      <c r="B298" s="2342" t="s">
        <v>3098</v>
      </c>
      <c r="C298" s="738">
        <v>3000000</v>
      </c>
      <c r="D298" s="738">
        <f>3000000-98736+107296-300201+88267.9</f>
        <v>2796626.9</v>
      </c>
      <c r="E298" s="1709">
        <v>2784599.97</v>
      </c>
      <c r="F298" s="2341"/>
      <c r="G298" s="2200">
        <f t="shared" si="50"/>
        <v>92.81999900000001</v>
      </c>
      <c r="H298" s="2200">
        <f t="shared" si="51"/>
        <v>99.569948712143201</v>
      </c>
      <c r="I298" s="2201">
        <f t="shared" si="49"/>
        <v>89.308605520870373</v>
      </c>
      <c r="J298" s="1866">
        <v>3117952.58</v>
      </c>
    </row>
    <row r="299" spans="1:11" s="98" customFormat="1" ht="15" x14ac:dyDescent="0.2">
      <c r="A299" s="2339" t="s">
        <v>293</v>
      </c>
      <c r="B299" s="737" t="s">
        <v>2680</v>
      </c>
      <c r="C299" s="2241">
        <v>500000</v>
      </c>
      <c r="D299" s="2241">
        <f>500000-18732.1-393000-88267.9</f>
        <v>0</v>
      </c>
      <c r="E299" s="2343">
        <v>0</v>
      </c>
      <c r="F299" s="2341"/>
      <c r="G299" s="2200">
        <f t="shared" si="50"/>
        <v>0</v>
      </c>
      <c r="H299" s="2200">
        <v>0</v>
      </c>
      <c r="I299" s="2201">
        <v>0</v>
      </c>
      <c r="J299" s="29">
        <v>1010945.48</v>
      </c>
      <c r="K299" s="1846"/>
    </row>
    <row r="300" spans="1:11" s="98" customFormat="1" x14ac:dyDescent="0.2">
      <c r="A300" s="2339" t="s">
        <v>1330</v>
      </c>
      <c r="B300" s="737" t="s">
        <v>2679</v>
      </c>
      <c r="C300" s="2241">
        <v>1700000</v>
      </c>
      <c r="D300" s="2241">
        <f>1700000+370000+13752.93+393000</f>
        <v>2476752.9299999997</v>
      </c>
      <c r="E300" s="1709">
        <v>2169778.85</v>
      </c>
      <c r="F300" s="2341"/>
      <c r="G300" s="2200">
        <f t="shared" si="50"/>
        <v>127.63405000000002</v>
      </c>
      <c r="H300" s="2200">
        <f t="shared" si="51"/>
        <v>87.60578512770752</v>
      </c>
      <c r="I300" s="2201">
        <f t="shared" si="49"/>
        <v>194.38263904767453</v>
      </c>
      <c r="J300" s="29">
        <v>1116241.07</v>
      </c>
      <c r="K300" s="1846"/>
    </row>
    <row r="301" spans="1:11" s="98" customFormat="1" x14ac:dyDescent="0.2">
      <c r="A301" s="2339" t="s">
        <v>1334</v>
      </c>
      <c r="B301" s="1035" t="s">
        <v>2681</v>
      </c>
      <c r="C301" s="2241">
        <v>450000</v>
      </c>
      <c r="D301" s="2241">
        <f>450000-370000-13752.93</f>
        <v>66247.070000000007</v>
      </c>
      <c r="E301" s="2340">
        <v>31460</v>
      </c>
      <c r="F301" s="2341"/>
      <c r="G301" s="2200">
        <f t="shared" si="50"/>
        <v>6.9911111111111106</v>
      </c>
      <c r="H301" s="2200">
        <f t="shared" si="51"/>
        <v>47.488892716311824</v>
      </c>
      <c r="I301" s="2201">
        <f t="shared" si="49"/>
        <v>3.2128842171913816</v>
      </c>
      <c r="J301" s="29">
        <v>979182.5</v>
      </c>
    </row>
    <row r="302" spans="1:11" s="98" customFormat="1" x14ac:dyDescent="0.2">
      <c r="A302" s="2221">
        <v>2219</v>
      </c>
      <c r="B302" s="717" t="s">
        <v>1342</v>
      </c>
      <c r="C302" s="726">
        <f>SUM(C303+C309+C310+C308)</f>
        <v>5260000</v>
      </c>
      <c r="D302" s="726">
        <f>SUM(D303+D309+D310+D308)</f>
        <v>3260000</v>
      </c>
      <c r="E302" s="726">
        <v>1796872.94</v>
      </c>
      <c r="F302" s="1077">
        <f>SUM(E303,E308:E310)</f>
        <v>1796872.9400000002</v>
      </c>
      <c r="G302" s="1663">
        <f t="shared" si="50"/>
        <v>34.161082509505704</v>
      </c>
      <c r="H302" s="1663">
        <f t="shared" si="51"/>
        <v>55.118801840490796</v>
      </c>
      <c r="I302" s="1662">
        <f t="shared" si="49"/>
        <v>47.510362658201593</v>
      </c>
      <c r="J302" s="29">
        <v>3782065.3</v>
      </c>
    </row>
    <row r="303" spans="1:11" s="98" customFormat="1" x14ac:dyDescent="0.2">
      <c r="A303" s="2299"/>
      <c r="B303" s="889" t="s">
        <v>2245</v>
      </c>
      <c r="C303" s="772">
        <f>SUM(C306:C307)</f>
        <v>150000</v>
      </c>
      <c r="D303" s="772">
        <f>SUM(D304:D307)</f>
        <v>330055.08</v>
      </c>
      <c r="E303" s="772">
        <v>170688.58</v>
      </c>
      <c r="F303" s="854">
        <f>SUM(E304:E307)</f>
        <v>170688.58000000002</v>
      </c>
      <c r="G303" s="2200">
        <f t="shared" si="50"/>
        <v>113.79238666666667</v>
      </c>
      <c r="H303" s="2200">
        <f t="shared" si="51"/>
        <v>51.715180387467441</v>
      </c>
      <c r="I303" s="2201">
        <f t="shared" si="49"/>
        <v>9.72109630024549</v>
      </c>
      <c r="J303" s="29">
        <v>1755857.31</v>
      </c>
    </row>
    <row r="304" spans="1:11" s="98" customFormat="1" x14ac:dyDescent="0.2">
      <c r="A304" s="2328" t="s">
        <v>2682</v>
      </c>
      <c r="B304" s="778" t="s">
        <v>2683</v>
      </c>
      <c r="C304" s="767">
        <v>0</v>
      </c>
      <c r="D304" s="767">
        <v>90212.58</v>
      </c>
      <c r="E304" s="990">
        <v>90212.58</v>
      </c>
      <c r="F304" s="831"/>
      <c r="G304" s="2200">
        <v>0</v>
      </c>
      <c r="H304" s="2200">
        <f t="shared" si="51"/>
        <v>100</v>
      </c>
      <c r="I304" s="2201">
        <v>0</v>
      </c>
      <c r="J304" s="29">
        <v>0</v>
      </c>
    </row>
    <row r="305" spans="1:10" s="98" customFormat="1" x14ac:dyDescent="0.2">
      <c r="A305" s="2328" t="s">
        <v>2682</v>
      </c>
      <c r="B305" s="778" t="s">
        <v>3099</v>
      </c>
      <c r="C305" s="767">
        <v>0</v>
      </c>
      <c r="D305" s="767">
        <v>59895</v>
      </c>
      <c r="E305" s="990">
        <v>49500</v>
      </c>
      <c r="F305" s="831"/>
      <c r="G305" s="2200">
        <v>0</v>
      </c>
      <c r="H305" s="2200">
        <f t="shared" si="51"/>
        <v>82.644628099173559</v>
      </c>
      <c r="I305" s="2201">
        <v>0</v>
      </c>
      <c r="J305" s="29">
        <v>0</v>
      </c>
    </row>
    <row r="306" spans="1:10" s="98" customFormat="1" x14ac:dyDescent="0.2">
      <c r="A306" s="2328" t="s">
        <v>477</v>
      </c>
      <c r="B306" s="778" t="s">
        <v>1347</v>
      </c>
      <c r="C306" s="767">
        <v>0</v>
      </c>
      <c r="D306" s="767">
        <v>29947.5</v>
      </c>
      <c r="E306" s="990">
        <v>0</v>
      </c>
      <c r="F306" s="831"/>
      <c r="G306" s="2200">
        <v>0</v>
      </c>
      <c r="H306" s="2200">
        <f t="shared" si="51"/>
        <v>0</v>
      </c>
      <c r="I306" s="2201">
        <f t="shared" si="49"/>
        <v>0</v>
      </c>
      <c r="J306" s="29">
        <v>613421.77</v>
      </c>
    </row>
    <row r="307" spans="1:10" s="98" customFormat="1" x14ac:dyDescent="0.2">
      <c r="A307" s="2328" t="s">
        <v>501</v>
      </c>
      <c r="B307" s="778" t="s">
        <v>1350</v>
      </c>
      <c r="C307" s="767">
        <v>150000</v>
      </c>
      <c r="D307" s="767">
        <v>150000</v>
      </c>
      <c r="E307" s="990">
        <v>30976</v>
      </c>
      <c r="F307" s="831"/>
      <c r="G307" s="2200">
        <f t="shared" si="50"/>
        <v>20.650666666666666</v>
      </c>
      <c r="H307" s="2200">
        <f t="shared" si="51"/>
        <v>20.650666666666666</v>
      </c>
      <c r="I307" s="2201">
        <f t="shared" si="49"/>
        <v>51.456859031861526</v>
      </c>
      <c r="J307" s="29">
        <v>60198</v>
      </c>
    </row>
    <row r="308" spans="1:10" s="98" customFormat="1" x14ac:dyDescent="0.2">
      <c r="A308" s="2328" t="s">
        <v>1351</v>
      </c>
      <c r="B308" s="778" t="s">
        <v>2684</v>
      </c>
      <c r="C308" s="767">
        <v>10000</v>
      </c>
      <c r="D308" s="767">
        <v>10000</v>
      </c>
      <c r="E308" s="990">
        <v>0</v>
      </c>
      <c r="F308" s="831"/>
      <c r="G308" s="2200">
        <f t="shared" si="50"/>
        <v>0</v>
      </c>
      <c r="H308" s="2200">
        <f t="shared" si="51"/>
        <v>0</v>
      </c>
      <c r="I308" s="2201">
        <v>0</v>
      </c>
      <c r="J308" s="29">
        <v>0</v>
      </c>
    </row>
    <row r="309" spans="1:10" x14ac:dyDescent="0.2">
      <c r="A309" s="2344" t="s">
        <v>299</v>
      </c>
      <c r="B309" s="824" t="s">
        <v>2685</v>
      </c>
      <c r="C309" s="1828">
        <v>100000</v>
      </c>
      <c r="D309" s="1828">
        <v>100000</v>
      </c>
      <c r="E309" s="990">
        <v>18150</v>
      </c>
      <c r="F309" s="831"/>
      <c r="G309" s="2200">
        <f t="shared" si="50"/>
        <v>18.149999999999999</v>
      </c>
      <c r="H309" s="2200">
        <f t="shared" si="51"/>
        <v>18.149999999999999</v>
      </c>
      <c r="I309" s="2201">
        <f t="shared" si="49"/>
        <v>605.69048715535712</v>
      </c>
      <c r="J309" s="29">
        <v>2996.58</v>
      </c>
    </row>
    <row r="310" spans="1:10" s="2" customFormat="1" ht="25.5" x14ac:dyDescent="0.2">
      <c r="A310" s="2345" t="s">
        <v>301</v>
      </c>
      <c r="B310" s="1847" t="s">
        <v>3100</v>
      </c>
      <c r="C310" s="793">
        <v>5000000</v>
      </c>
      <c r="D310" s="793">
        <f>5000000-29947.5-90212.58-2000000-59895</f>
        <v>2819944.92</v>
      </c>
      <c r="E310" s="893">
        <v>1608034.36</v>
      </c>
      <c r="F310" s="854"/>
      <c r="G310" s="2200">
        <f t="shared" si="50"/>
        <v>32.160687200000005</v>
      </c>
      <c r="H310" s="2200">
        <f t="shared" si="51"/>
        <v>57.023608815735315</v>
      </c>
      <c r="I310" s="2201">
        <f t="shared" si="49"/>
        <v>79.479304636780398</v>
      </c>
      <c r="J310" s="32">
        <v>2023211.41</v>
      </c>
    </row>
    <row r="311" spans="1:10" x14ac:dyDescent="0.2">
      <c r="A311" s="2237">
        <v>2221</v>
      </c>
      <c r="B311" s="787" t="s">
        <v>1355</v>
      </c>
      <c r="C311" s="734">
        <f t="shared" ref="C311:D311" si="52">SUM(C312:C317)</f>
        <v>466000</v>
      </c>
      <c r="D311" s="734">
        <f t="shared" si="52"/>
        <v>1223519</v>
      </c>
      <c r="E311" s="734">
        <v>771709.79</v>
      </c>
      <c r="F311" s="854">
        <f>SUM(E312:E317)</f>
        <v>771709.79</v>
      </c>
      <c r="G311" s="1663">
        <f t="shared" si="50"/>
        <v>165.60295922746781</v>
      </c>
      <c r="H311" s="1663">
        <f t="shared" si="51"/>
        <v>63.072971486343896</v>
      </c>
      <c r="I311" s="1662">
        <v>0</v>
      </c>
      <c r="J311" s="29">
        <v>32131.55</v>
      </c>
    </row>
    <row r="312" spans="1:10" x14ac:dyDescent="0.2">
      <c r="A312" s="2328" t="s">
        <v>1356</v>
      </c>
      <c r="B312" s="889" t="s">
        <v>2250</v>
      </c>
      <c r="C312" s="767">
        <v>200000</v>
      </c>
      <c r="D312" s="767">
        <v>200000</v>
      </c>
      <c r="E312" s="892">
        <v>200000</v>
      </c>
      <c r="F312" s="908"/>
      <c r="G312" s="2200">
        <f t="shared" si="50"/>
        <v>100</v>
      </c>
      <c r="H312" s="2200">
        <f t="shared" si="51"/>
        <v>100</v>
      </c>
      <c r="I312" s="2201">
        <v>0</v>
      </c>
      <c r="J312" s="29">
        <v>0</v>
      </c>
    </row>
    <row r="313" spans="1:10" x14ac:dyDescent="0.2">
      <c r="A313" s="2339" t="s">
        <v>1356</v>
      </c>
      <c r="B313" s="1112" t="s">
        <v>2687</v>
      </c>
      <c r="C313" s="1077">
        <v>0</v>
      </c>
      <c r="D313" s="1077">
        <v>19312.5</v>
      </c>
      <c r="E313" s="1077">
        <v>19312.5</v>
      </c>
      <c r="F313" s="1076"/>
      <c r="G313" s="2200">
        <v>0</v>
      </c>
      <c r="H313" s="2200">
        <f t="shared" si="51"/>
        <v>100</v>
      </c>
      <c r="I313" s="2201">
        <v>0</v>
      </c>
      <c r="J313" s="29">
        <v>0</v>
      </c>
    </row>
    <row r="314" spans="1:10" x14ac:dyDescent="0.2">
      <c r="A314" s="2339" t="s">
        <v>2688</v>
      </c>
      <c r="B314" s="1112" t="s">
        <v>2689</v>
      </c>
      <c r="C314" s="1077">
        <v>0</v>
      </c>
      <c r="D314" s="1077">
        <f>250000+500000</f>
        <v>750000</v>
      </c>
      <c r="E314" s="1077">
        <v>536415.61</v>
      </c>
      <c r="F314" s="1077"/>
      <c r="G314" s="2200">
        <v>0</v>
      </c>
      <c r="H314" s="2200">
        <f t="shared" si="51"/>
        <v>71.522081333333333</v>
      </c>
      <c r="I314" s="2201">
        <v>0</v>
      </c>
      <c r="J314" s="29">
        <v>0</v>
      </c>
    </row>
    <row r="315" spans="1:10" x14ac:dyDescent="0.2">
      <c r="A315" s="2328" t="s">
        <v>2251</v>
      </c>
      <c r="B315" s="2348" t="s">
        <v>2690</v>
      </c>
      <c r="C315" s="890">
        <v>16000</v>
      </c>
      <c r="D315" s="890">
        <v>16000</v>
      </c>
      <c r="E315" s="890">
        <v>0</v>
      </c>
      <c r="F315" s="779"/>
      <c r="G315" s="2200">
        <f t="shared" si="50"/>
        <v>0</v>
      </c>
      <c r="H315" s="2200">
        <f t="shared" si="51"/>
        <v>0</v>
      </c>
      <c r="I315" s="2201">
        <v>0</v>
      </c>
      <c r="J315" s="29">
        <v>16044.6</v>
      </c>
    </row>
    <row r="316" spans="1:10" x14ac:dyDescent="0.2">
      <c r="A316" s="2347" t="s">
        <v>308</v>
      </c>
      <c r="B316" s="889" t="s">
        <v>2691</v>
      </c>
      <c r="C316" s="767">
        <v>100000</v>
      </c>
      <c r="D316" s="767">
        <f>100000-19312.5</f>
        <v>80687.5</v>
      </c>
      <c r="E316" s="893">
        <v>0</v>
      </c>
      <c r="F316" s="854"/>
      <c r="G316" s="2200">
        <f t="shared" si="50"/>
        <v>0</v>
      </c>
      <c r="H316" s="2200">
        <f t="shared" si="51"/>
        <v>0</v>
      </c>
      <c r="I316" s="2201">
        <v>0</v>
      </c>
      <c r="J316" s="29">
        <v>43955.4</v>
      </c>
    </row>
    <row r="317" spans="1:10" x14ac:dyDescent="0.2">
      <c r="A317" s="2347" t="s">
        <v>310</v>
      </c>
      <c r="B317" s="889" t="s">
        <v>2692</v>
      </c>
      <c r="C317" s="767">
        <v>150000</v>
      </c>
      <c r="D317" s="767">
        <f>150000+7519</f>
        <v>157519</v>
      </c>
      <c r="E317" s="892">
        <v>15981.68</v>
      </c>
      <c r="F317" s="908"/>
      <c r="G317" s="2200">
        <f t="shared" si="50"/>
        <v>10.654453333333333</v>
      </c>
      <c r="H317" s="2200">
        <f t="shared" si="51"/>
        <v>10.145874465937442</v>
      </c>
      <c r="I317" s="2201">
        <f t="shared" si="49"/>
        <v>99.345618653629188</v>
      </c>
      <c r="J317" s="29">
        <v>16086.95</v>
      </c>
    </row>
    <row r="318" spans="1:10" ht="15.75" x14ac:dyDescent="0.25">
      <c r="A318" s="2335"/>
      <c r="B318" s="925" t="s">
        <v>312</v>
      </c>
      <c r="C318" s="1002">
        <f t="shared" ref="C318:D318" si="53">C319</f>
        <v>5120000</v>
      </c>
      <c r="D318" s="1002">
        <f t="shared" si="53"/>
        <v>4940773.82</v>
      </c>
      <c r="E318" s="1002">
        <v>4812835.91</v>
      </c>
      <c r="F318" s="2284"/>
      <c r="G318" s="2325">
        <f t="shared" si="50"/>
        <v>94.000701367187503</v>
      </c>
      <c r="H318" s="2325">
        <f t="shared" si="51"/>
        <v>97.410569383238837</v>
      </c>
      <c r="I318" s="2325">
        <f t="shared" si="49"/>
        <v>646.74596672346979</v>
      </c>
      <c r="J318" s="29">
        <v>744161.72</v>
      </c>
    </row>
    <row r="319" spans="1:10" x14ac:dyDescent="0.2">
      <c r="A319" s="2326">
        <v>3639</v>
      </c>
      <c r="B319" s="963" t="s">
        <v>313</v>
      </c>
      <c r="C319" s="984">
        <f>SUM(C320:C326)</f>
        <v>5120000</v>
      </c>
      <c r="D319" s="984">
        <f>SUM(D320:D326)</f>
        <v>4940773.82</v>
      </c>
      <c r="E319" s="984">
        <v>4812835.91</v>
      </c>
      <c r="F319" s="2312">
        <f>SUM(E320:E326)</f>
        <v>4812835.9099999992</v>
      </c>
      <c r="G319" s="1663">
        <f t="shared" si="50"/>
        <v>94.000701367187503</v>
      </c>
      <c r="H319" s="1663">
        <f t="shared" si="51"/>
        <v>97.410569383238837</v>
      </c>
      <c r="I319" s="1662">
        <f t="shared" si="49"/>
        <v>646.74596672346979</v>
      </c>
      <c r="J319" s="29">
        <v>744161.72</v>
      </c>
    </row>
    <row r="320" spans="1:10" x14ac:dyDescent="0.2">
      <c r="A320" s="2328" t="s">
        <v>314</v>
      </c>
      <c r="B320" s="1852" t="s">
        <v>3101</v>
      </c>
      <c r="C320" s="767">
        <v>4400000</v>
      </c>
      <c r="D320" s="767">
        <f>4400000+3375008.64-3554234.82+160000</f>
        <v>4380773.82</v>
      </c>
      <c r="E320" s="990">
        <v>4378648.13</v>
      </c>
      <c r="F320" s="831"/>
      <c r="G320" s="2200">
        <f t="shared" si="50"/>
        <v>99.514730227272736</v>
      </c>
      <c r="H320" s="2200">
        <f t="shared" si="51"/>
        <v>99.951476837487121</v>
      </c>
      <c r="I320" s="2201">
        <f t="shared" si="49"/>
        <v>1428.8994827614338</v>
      </c>
      <c r="J320" s="29">
        <v>306435</v>
      </c>
    </row>
    <row r="321" spans="1:10" x14ac:dyDescent="0.2">
      <c r="A321" s="2332" t="s">
        <v>316</v>
      </c>
      <c r="B321" s="818" t="s">
        <v>2694</v>
      </c>
      <c r="C321" s="820">
        <v>40000</v>
      </c>
      <c r="D321" s="820">
        <v>40000</v>
      </c>
      <c r="E321" s="829">
        <v>4839.5200000000004</v>
      </c>
      <c r="F321" s="831"/>
      <c r="G321" s="2200">
        <f t="shared" si="50"/>
        <v>12.098800000000001</v>
      </c>
      <c r="H321" s="2200">
        <f t="shared" si="51"/>
        <v>12.098800000000001</v>
      </c>
      <c r="I321" s="2201">
        <f t="shared" si="49"/>
        <v>133.32011019283746</v>
      </c>
      <c r="J321" s="29">
        <v>3630</v>
      </c>
    </row>
    <row r="322" spans="1:10" x14ac:dyDescent="0.2">
      <c r="A322" s="2350" t="s">
        <v>316</v>
      </c>
      <c r="B322" s="939" t="s">
        <v>2695</v>
      </c>
      <c r="C322" s="890">
        <v>30000</v>
      </c>
      <c r="D322" s="890">
        <v>30000</v>
      </c>
      <c r="E322" s="1011">
        <v>7117</v>
      </c>
      <c r="F322" s="831"/>
      <c r="G322" s="2200">
        <f t="shared" si="50"/>
        <v>23.723333333333333</v>
      </c>
      <c r="H322" s="2200">
        <f t="shared" si="51"/>
        <v>23.723333333333333</v>
      </c>
      <c r="I322" s="2201">
        <f t="shared" si="49"/>
        <v>47.54311580092147</v>
      </c>
      <c r="J322" s="29">
        <v>14969.57</v>
      </c>
    </row>
    <row r="323" spans="1:10" x14ac:dyDescent="0.2">
      <c r="A323" s="2328" t="s">
        <v>325</v>
      </c>
      <c r="B323" s="778" t="s">
        <v>2696</v>
      </c>
      <c r="C323" s="767">
        <v>200000</v>
      </c>
      <c r="D323" s="767">
        <f>200000+66512.1-75000</f>
        <v>191512.09999999998</v>
      </c>
      <c r="E323" s="893">
        <v>189996.26</v>
      </c>
      <c r="F323" s="854"/>
      <c r="G323" s="2200">
        <f t="shared" si="50"/>
        <v>94.998130000000003</v>
      </c>
      <c r="H323" s="2200">
        <f t="shared" si="51"/>
        <v>99.208488654241705</v>
      </c>
      <c r="I323" s="2201">
        <f t="shared" si="49"/>
        <v>170.44227051514949</v>
      </c>
      <c r="J323" s="29">
        <v>111472.5</v>
      </c>
    </row>
    <row r="324" spans="1:10" x14ac:dyDescent="0.2">
      <c r="A324" s="2328" t="s">
        <v>321</v>
      </c>
      <c r="B324" s="778" t="s">
        <v>2697</v>
      </c>
      <c r="C324" s="767">
        <v>150000</v>
      </c>
      <c r="D324" s="767">
        <v>150000</v>
      </c>
      <c r="E324" s="893">
        <v>106431</v>
      </c>
      <c r="F324" s="854"/>
      <c r="G324" s="2200">
        <f t="shared" si="50"/>
        <v>70.953999999999994</v>
      </c>
      <c r="H324" s="2200">
        <f t="shared" si="51"/>
        <v>70.953999999999994</v>
      </c>
      <c r="I324" s="2201">
        <f t="shared" si="49"/>
        <v>75.358050041155181</v>
      </c>
      <c r="J324" s="29">
        <v>141233.75</v>
      </c>
    </row>
    <row r="325" spans="1:10" x14ac:dyDescent="0.2">
      <c r="A325" s="2328" t="s">
        <v>323</v>
      </c>
      <c r="B325" s="778" t="s">
        <v>2698</v>
      </c>
      <c r="C325" s="767">
        <v>210000</v>
      </c>
      <c r="D325" s="767">
        <f>210000-66512.1-60000</f>
        <v>83487.899999999994</v>
      </c>
      <c r="E325" s="893">
        <v>67300</v>
      </c>
      <c r="F325" s="854"/>
      <c r="G325" s="2200">
        <f t="shared" si="50"/>
        <v>32.047619047619044</v>
      </c>
      <c r="H325" s="2200">
        <f t="shared" si="51"/>
        <v>80.610483674879845</v>
      </c>
      <c r="I325" s="2201">
        <f t="shared" si="49"/>
        <v>53.263518288856062</v>
      </c>
      <c r="J325" s="29">
        <v>126352.9</v>
      </c>
    </row>
    <row r="326" spans="1:10" x14ac:dyDescent="0.2">
      <c r="A326" s="2347" t="s">
        <v>333</v>
      </c>
      <c r="B326" s="1012" t="s">
        <v>2699</v>
      </c>
      <c r="C326" s="767">
        <v>90000</v>
      </c>
      <c r="D326" s="767">
        <f>90000-25000</f>
        <v>65000</v>
      </c>
      <c r="E326" s="893">
        <v>58504</v>
      </c>
      <c r="F326" s="854"/>
      <c r="G326" s="2200">
        <f t="shared" si="50"/>
        <v>65.004444444444445</v>
      </c>
      <c r="H326" s="2200">
        <f t="shared" si="51"/>
        <v>90.00615384615385</v>
      </c>
      <c r="I326" s="2201">
        <f t="shared" si="49"/>
        <v>146.01177997404415</v>
      </c>
      <c r="J326" s="29">
        <v>40068</v>
      </c>
    </row>
    <row r="327" spans="1:10" ht="15.75" x14ac:dyDescent="0.25">
      <c r="A327" s="2335"/>
      <c r="B327" s="925" t="s">
        <v>335</v>
      </c>
      <c r="C327" s="1013">
        <f>SUM(C328+C336+C333+C347+C351+C359+C373+C376+C379)</f>
        <v>27965000</v>
      </c>
      <c r="D327" s="1013">
        <f>SUM(D328+D336+D333+D347+D351+D359+D373+D376+D379)</f>
        <v>29201075.82</v>
      </c>
      <c r="E327" s="1013">
        <v>22941912.690000001</v>
      </c>
      <c r="F327" s="2284">
        <f>SUM(E328,E333,E336,E347,E351,E359,E373,E376,E379)</f>
        <v>22941912.690000001</v>
      </c>
      <c r="G327" s="2325">
        <f t="shared" si="50"/>
        <v>82.037949901662799</v>
      </c>
      <c r="H327" s="2325">
        <f t="shared" si="51"/>
        <v>78.565299550665671</v>
      </c>
      <c r="I327" s="2325">
        <f t="shared" si="49"/>
        <v>95.585269413313043</v>
      </c>
      <c r="J327" s="29">
        <v>24001514.91</v>
      </c>
    </row>
    <row r="328" spans="1:10" x14ac:dyDescent="0.2">
      <c r="A328" s="2326">
        <v>3341</v>
      </c>
      <c r="B328" s="963" t="s">
        <v>1363</v>
      </c>
      <c r="C328" s="844">
        <f t="shared" ref="C328:D328" si="54">SUM(C329:C332)</f>
        <v>1205000</v>
      </c>
      <c r="D328" s="844">
        <f t="shared" si="54"/>
        <v>705000</v>
      </c>
      <c r="E328" s="844">
        <v>160779.32999999999</v>
      </c>
      <c r="F328" s="2312">
        <f>SUM(E329:E332)</f>
        <v>160779.32999999999</v>
      </c>
      <c r="G328" s="1663">
        <f t="shared" si="50"/>
        <v>13.342682987551866</v>
      </c>
      <c r="H328" s="1663">
        <f t="shared" si="51"/>
        <v>22.805578723404256</v>
      </c>
      <c r="I328" s="1662">
        <f t="shared" si="49"/>
        <v>5.4440724497119737</v>
      </c>
      <c r="J328" s="29">
        <v>2953291.52</v>
      </c>
    </row>
    <row r="329" spans="1:10" x14ac:dyDescent="0.2">
      <c r="A329" s="2328" t="s">
        <v>337</v>
      </c>
      <c r="B329" s="796" t="s">
        <v>2700</v>
      </c>
      <c r="C329" s="1828">
        <v>300000</v>
      </c>
      <c r="D329" s="1828">
        <v>300000</v>
      </c>
      <c r="E329" s="990">
        <v>156904.32999999999</v>
      </c>
      <c r="F329" s="831"/>
      <c r="G329" s="2200">
        <f t="shared" si="50"/>
        <v>52.301443333333332</v>
      </c>
      <c r="H329" s="2200">
        <f t="shared" si="51"/>
        <v>52.301443333333332</v>
      </c>
      <c r="I329" s="2201">
        <f t="shared" si="49"/>
        <v>800.00616941205499</v>
      </c>
      <c r="J329" s="29">
        <v>19612.89</v>
      </c>
    </row>
    <row r="330" spans="1:10" x14ac:dyDescent="0.2">
      <c r="A330" s="2328" t="s">
        <v>339</v>
      </c>
      <c r="B330" s="796" t="s">
        <v>2701</v>
      </c>
      <c r="C330" s="1828">
        <v>5000</v>
      </c>
      <c r="D330" s="1828">
        <v>5000</v>
      </c>
      <c r="E330" s="990">
        <v>3875</v>
      </c>
      <c r="F330" s="831"/>
      <c r="G330" s="2200">
        <f t="shared" si="50"/>
        <v>77.5</v>
      </c>
      <c r="H330" s="2200">
        <f t="shared" si="51"/>
        <v>77.5</v>
      </c>
      <c r="I330" s="2201">
        <f t="shared" si="49"/>
        <v>62.199036918138042</v>
      </c>
      <c r="J330" s="29">
        <v>6230</v>
      </c>
    </row>
    <row r="331" spans="1:10" x14ac:dyDescent="0.2">
      <c r="A331" s="2328" t="s">
        <v>2256</v>
      </c>
      <c r="B331" s="901" t="s">
        <v>3102</v>
      </c>
      <c r="C331" s="1828">
        <v>300000</v>
      </c>
      <c r="D331" s="1828">
        <v>300000</v>
      </c>
      <c r="E331" s="990">
        <v>0</v>
      </c>
      <c r="F331" s="831"/>
      <c r="G331" s="2200">
        <f t="shared" si="50"/>
        <v>0</v>
      </c>
      <c r="H331" s="2200">
        <f t="shared" si="51"/>
        <v>0</v>
      </c>
      <c r="I331" s="2201">
        <v>0</v>
      </c>
      <c r="J331" s="29">
        <v>368194.4</v>
      </c>
    </row>
    <row r="332" spans="1:10" x14ac:dyDescent="0.2">
      <c r="A332" s="2328" t="s">
        <v>1365</v>
      </c>
      <c r="B332" s="1852" t="s">
        <v>2258</v>
      </c>
      <c r="C332" s="1828">
        <v>600000</v>
      </c>
      <c r="D332" s="1828">
        <f>600000-500000</f>
        <v>100000</v>
      </c>
      <c r="E332" s="794">
        <v>0</v>
      </c>
      <c r="F332" s="831"/>
      <c r="G332" s="2200">
        <f t="shared" si="50"/>
        <v>0</v>
      </c>
      <c r="H332" s="2200">
        <f t="shared" si="51"/>
        <v>0</v>
      </c>
      <c r="I332" s="2201">
        <f t="shared" si="49"/>
        <v>0</v>
      </c>
      <c r="J332" s="29">
        <v>2401693.9500000002</v>
      </c>
    </row>
    <row r="333" spans="1:10" x14ac:dyDescent="0.2">
      <c r="A333" s="2288">
        <v>3412</v>
      </c>
      <c r="B333" s="787" t="s">
        <v>2264</v>
      </c>
      <c r="C333" s="785">
        <f>SUM(C334:C335)</f>
        <v>150000</v>
      </c>
      <c r="D333" s="785">
        <f>SUM(D334:D335)</f>
        <v>0</v>
      </c>
      <c r="E333" s="734">
        <v>0</v>
      </c>
      <c r="F333" s="854">
        <f>SUM(E334:E335)</f>
        <v>0</v>
      </c>
      <c r="G333" s="1663">
        <f t="shared" si="50"/>
        <v>0</v>
      </c>
      <c r="H333" s="1663">
        <v>0</v>
      </c>
      <c r="I333" s="1662">
        <v>0</v>
      </c>
      <c r="J333" s="29">
        <v>36251.599999999999</v>
      </c>
    </row>
    <row r="334" spans="1:10" x14ac:dyDescent="0.2">
      <c r="A334" s="2328" t="s">
        <v>2265</v>
      </c>
      <c r="B334" s="1018" t="s">
        <v>2703</v>
      </c>
      <c r="C334" s="1828">
        <v>50000</v>
      </c>
      <c r="D334" s="1828">
        <f>50000-50000</f>
        <v>0</v>
      </c>
      <c r="E334" s="990">
        <v>0</v>
      </c>
      <c r="F334" s="831"/>
      <c r="G334" s="2200">
        <f t="shared" si="50"/>
        <v>0</v>
      </c>
      <c r="H334" s="2200">
        <v>0</v>
      </c>
      <c r="I334" s="2201">
        <v>0</v>
      </c>
      <c r="J334" s="29">
        <v>36251.599999999999</v>
      </c>
    </row>
    <row r="335" spans="1:10" x14ac:dyDescent="0.2">
      <c r="A335" s="2328" t="s">
        <v>2267</v>
      </c>
      <c r="B335" s="1018" t="s">
        <v>2704</v>
      </c>
      <c r="C335" s="1828">
        <v>100000</v>
      </c>
      <c r="D335" s="1828">
        <f>100000-100000</f>
        <v>0</v>
      </c>
      <c r="E335" s="990">
        <v>0</v>
      </c>
      <c r="F335" s="831"/>
      <c r="G335" s="2200">
        <f t="shared" si="50"/>
        <v>0</v>
      </c>
      <c r="H335" s="2200">
        <v>0</v>
      </c>
      <c r="I335" s="2201">
        <v>0</v>
      </c>
      <c r="J335" s="29">
        <v>0</v>
      </c>
    </row>
    <row r="336" spans="1:10" x14ac:dyDescent="0.2">
      <c r="A336" s="2288">
        <v>3421</v>
      </c>
      <c r="B336" s="787" t="s">
        <v>1368</v>
      </c>
      <c r="C336" s="785">
        <f>SUM(C337:C346)</f>
        <v>3970000</v>
      </c>
      <c r="D336" s="785">
        <f>SUM(D337:D346)</f>
        <v>4235000</v>
      </c>
      <c r="E336" s="734">
        <v>3417806.32</v>
      </c>
      <c r="F336" s="854">
        <f>SUM(E337:E346)</f>
        <v>3417806.32</v>
      </c>
      <c r="G336" s="1663">
        <f t="shared" si="50"/>
        <v>86.090839294710321</v>
      </c>
      <c r="H336" s="1663">
        <f t="shared" si="51"/>
        <v>80.703809208972842</v>
      </c>
      <c r="I336" s="1662">
        <f t="shared" si="49"/>
        <v>192.1876748705408</v>
      </c>
      <c r="J336" s="29">
        <v>1778369.15</v>
      </c>
    </row>
    <row r="337" spans="1:11" x14ac:dyDescent="0.2">
      <c r="A337" s="2328" t="s">
        <v>350</v>
      </c>
      <c r="B337" s="1017" t="s">
        <v>2705</v>
      </c>
      <c r="C337" s="1856">
        <v>550000</v>
      </c>
      <c r="D337" s="1856">
        <v>550000</v>
      </c>
      <c r="E337" s="990">
        <v>550000</v>
      </c>
      <c r="F337" s="831"/>
      <c r="G337" s="2200">
        <f t="shared" si="50"/>
        <v>100</v>
      </c>
      <c r="H337" s="2200">
        <f t="shared" si="51"/>
        <v>100</v>
      </c>
      <c r="I337" s="2201">
        <f t="shared" si="49"/>
        <v>104.77387891949557</v>
      </c>
      <c r="J337" s="29">
        <v>524940</v>
      </c>
    </row>
    <row r="338" spans="1:11" x14ac:dyDescent="0.2">
      <c r="A338" s="2328" t="s">
        <v>342</v>
      </c>
      <c r="B338" s="1018" t="s">
        <v>2706</v>
      </c>
      <c r="C338" s="1828">
        <v>300000</v>
      </c>
      <c r="D338" s="1828">
        <f>300000-99920</f>
        <v>200080</v>
      </c>
      <c r="E338" s="990">
        <v>0</v>
      </c>
      <c r="F338" s="831"/>
      <c r="G338" s="2200">
        <f t="shared" si="50"/>
        <v>0</v>
      </c>
      <c r="H338" s="2200">
        <f t="shared" si="51"/>
        <v>0</v>
      </c>
      <c r="I338" s="2201">
        <v>0</v>
      </c>
      <c r="J338" s="29">
        <v>0</v>
      </c>
    </row>
    <row r="339" spans="1:11" ht="14.25" customHeight="1" x14ac:dyDescent="0.2">
      <c r="A339" s="2328" t="s">
        <v>344</v>
      </c>
      <c r="B339" s="1018" t="s">
        <v>2707</v>
      </c>
      <c r="C339" s="1828">
        <v>20000</v>
      </c>
      <c r="D339" s="1828">
        <f>20000</f>
        <v>20000</v>
      </c>
      <c r="E339" s="990">
        <v>18681.8</v>
      </c>
      <c r="F339" s="831"/>
      <c r="G339" s="2200">
        <f t="shared" si="50"/>
        <v>93.408999999999992</v>
      </c>
      <c r="H339" s="2200">
        <f t="shared" si="51"/>
        <v>93.408999999999992</v>
      </c>
      <c r="I339" s="2201">
        <v>0</v>
      </c>
      <c r="J339" s="29">
        <v>0</v>
      </c>
    </row>
    <row r="340" spans="1:11" x14ac:dyDescent="0.2">
      <c r="A340" s="2328" t="s">
        <v>346</v>
      </c>
      <c r="B340" s="1018" t="s">
        <v>2708</v>
      </c>
      <c r="C340" s="1828">
        <v>100000</v>
      </c>
      <c r="D340" s="1828">
        <f>100000+199650</f>
        <v>299650</v>
      </c>
      <c r="E340" s="990">
        <v>189309</v>
      </c>
      <c r="F340" s="831"/>
      <c r="G340" s="2200">
        <f t="shared" si="50"/>
        <v>189.309</v>
      </c>
      <c r="H340" s="2200">
        <f t="shared" si="51"/>
        <v>63.176706157183382</v>
      </c>
      <c r="I340" s="2201">
        <v>0</v>
      </c>
      <c r="J340" s="29">
        <v>73419</v>
      </c>
      <c r="K340" s="1858"/>
    </row>
    <row r="341" spans="1:11" x14ac:dyDescent="0.2">
      <c r="A341" s="2328" t="s">
        <v>348</v>
      </c>
      <c r="B341" s="1017" t="s">
        <v>3103</v>
      </c>
      <c r="C341" s="1828">
        <v>2500000</v>
      </c>
      <c r="D341" s="1828">
        <f>2500000-96485.4-199650-460000-96600-244650+150000+115000</f>
        <v>1667614.6</v>
      </c>
      <c r="E341" s="1709">
        <v>1170898.42</v>
      </c>
      <c r="F341" s="831"/>
      <c r="G341" s="2200">
        <f t="shared" si="50"/>
        <v>46.835936799999992</v>
      </c>
      <c r="H341" s="2200">
        <f t="shared" si="51"/>
        <v>70.213970302250885</v>
      </c>
      <c r="I341" s="2201">
        <f t="shared" si="49"/>
        <v>110.95735860974874</v>
      </c>
      <c r="J341" s="29">
        <v>1055268.83</v>
      </c>
    </row>
    <row r="342" spans="1:11" x14ac:dyDescent="0.2">
      <c r="A342" s="2328" t="s">
        <v>1374</v>
      </c>
      <c r="B342" s="1859" t="s">
        <v>3104</v>
      </c>
      <c r="C342" s="1828">
        <v>500000</v>
      </c>
      <c r="D342" s="1742">
        <f>500000</f>
        <v>500000</v>
      </c>
      <c r="E342" s="2593">
        <v>491262.42</v>
      </c>
      <c r="F342" s="831">
        <f>SUM(E342:E345)</f>
        <v>1388997.7199999997</v>
      </c>
      <c r="G342" s="2200">
        <f t="shared" si="50"/>
        <v>98.252483999999995</v>
      </c>
      <c r="H342" s="2200">
        <f t="shared" si="51"/>
        <v>98.252483999999995</v>
      </c>
      <c r="I342" s="2201">
        <v>0</v>
      </c>
      <c r="J342" s="29">
        <v>0</v>
      </c>
      <c r="K342" s="1858"/>
    </row>
    <row r="343" spans="1:11" x14ac:dyDescent="0.2">
      <c r="A343" s="2328" t="s">
        <v>1374</v>
      </c>
      <c r="B343" s="1859" t="s">
        <v>3105</v>
      </c>
      <c r="C343" s="1828">
        <v>0</v>
      </c>
      <c r="D343" s="1828">
        <f>460000+96600</f>
        <v>556600</v>
      </c>
      <c r="E343" s="2593">
        <v>556600</v>
      </c>
      <c r="F343" s="831"/>
      <c r="G343" s="2200">
        <v>0</v>
      </c>
      <c r="H343" s="2200">
        <f t="shared" si="51"/>
        <v>100</v>
      </c>
      <c r="I343" s="2201">
        <v>0</v>
      </c>
      <c r="J343" s="29">
        <v>0</v>
      </c>
      <c r="K343" s="1858"/>
    </row>
    <row r="344" spans="1:11" x14ac:dyDescent="0.2">
      <c r="A344" s="2328" t="s">
        <v>1374</v>
      </c>
      <c r="B344" s="1859" t="s">
        <v>3106</v>
      </c>
      <c r="C344" s="1828">
        <v>0</v>
      </c>
      <c r="D344" s="1828">
        <v>244650</v>
      </c>
      <c r="E344" s="2593">
        <v>244649.9</v>
      </c>
      <c r="F344" s="831"/>
      <c r="G344" s="2200">
        <v>0</v>
      </c>
      <c r="H344" s="2200">
        <f t="shared" si="51"/>
        <v>99.999959125281009</v>
      </c>
      <c r="I344" s="2201">
        <v>0</v>
      </c>
      <c r="J344" s="29">
        <v>0</v>
      </c>
      <c r="K344" s="1858"/>
    </row>
    <row r="345" spans="1:11" x14ac:dyDescent="0.2">
      <c r="A345" s="2328" t="s">
        <v>1374</v>
      </c>
      <c r="B345" s="1859" t="s">
        <v>2711</v>
      </c>
      <c r="C345" s="1828">
        <v>0</v>
      </c>
      <c r="D345" s="1828">
        <v>96485.4</v>
      </c>
      <c r="E345" s="2593">
        <v>96485.4</v>
      </c>
      <c r="F345" s="831"/>
      <c r="G345" s="2200">
        <v>0</v>
      </c>
      <c r="H345" s="2200">
        <f t="shared" si="51"/>
        <v>100</v>
      </c>
      <c r="I345" s="2201">
        <v>0</v>
      </c>
      <c r="J345" s="29">
        <v>0</v>
      </c>
      <c r="K345" s="1858"/>
    </row>
    <row r="346" spans="1:11" x14ac:dyDescent="0.2">
      <c r="A346" s="2328" t="s">
        <v>3107</v>
      </c>
      <c r="B346" s="1859" t="s">
        <v>3108</v>
      </c>
      <c r="C346" s="1828">
        <v>0</v>
      </c>
      <c r="D346" s="1828">
        <v>99920</v>
      </c>
      <c r="E346" s="1709">
        <v>99919.38</v>
      </c>
      <c r="F346" s="831"/>
      <c r="G346" s="2200">
        <v>0</v>
      </c>
      <c r="H346" s="2200">
        <f t="shared" si="51"/>
        <v>99.999379503602896</v>
      </c>
      <c r="I346" s="2201">
        <v>0</v>
      </c>
      <c r="J346" s="29">
        <v>0</v>
      </c>
      <c r="K346" s="1858"/>
    </row>
    <row r="347" spans="1:11" x14ac:dyDescent="0.2">
      <c r="A347" s="2288">
        <v>3429</v>
      </c>
      <c r="B347" s="787" t="s">
        <v>2269</v>
      </c>
      <c r="C347" s="785">
        <f>SUM(C348:C350)</f>
        <v>140000</v>
      </c>
      <c r="D347" s="785">
        <f>SUM(D348:D350)</f>
        <v>25000</v>
      </c>
      <c r="E347" s="734">
        <v>24200</v>
      </c>
      <c r="F347" s="854">
        <f>SUM(E348:E350)</f>
        <v>24200</v>
      </c>
      <c r="G347" s="1663">
        <f t="shared" si="50"/>
        <v>17.285714285714285</v>
      </c>
      <c r="H347" s="1663">
        <f t="shared" si="51"/>
        <v>96.8</v>
      </c>
      <c r="I347" s="1662">
        <f t="shared" si="49"/>
        <v>7.3986386504883095</v>
      </c>
      <c r="J347" s="29">
        <v>327087.2</v>
      </c>
    </row>
    <row r="348" spans="1:11" x14ac:dyDescent="0.2">
      <c r="A348" s="2328" t="s">
        <v>2270</v>
      </c>
      <c r="B348" s="1018" t="s">
        <v>2712</v>
      </c>
      <c r="C348" s="1828">
        <v>20000</v>
      </c>
      <c r="D348" s="1828">
        <f t="shared" ref="D348:D349" si="55">20000-20000</f>
        <v>0</v>
      </c>
      <c r="E348" s="990">
        <v>0</v>
      </c>
      <c r="F348" s="831"/>
      <c r="G348" s="2200">
        <f t="shared" si="50"/>
        <v>0</v>
      </c>
      <c r="H348" s="2200">
        <v>0</v>
      </c>
      <c r="I348" s="2201">
        <v>0</v>
      </c>
      <c r="J348" s="29">
        <v>0</v>
      </c>
    </row>
    <row r="349" spans="1:11" x14ac:dyDescent="0.2">
      <c r="A349" s="2328" t="s">
        <v>2272</v>
      </c>
      <c r="B349" s="1018" t="s">
        <v>2713</v>
      </c>
      <c r="C349" s="1828">
        <v>20000</v>
      </c>
      <c r="D349" s="1828">
        <f t="shared" si="55"/>
        <v>0</v>
      </c>
      <c r="E349" s="990">
        <v>0</v>
      </c>
      <c r="F349" s="831"/>
      <c r="G349" s="2200">
        <f t="shared" si="50"/>
        <v>0</v>
      </c>
      <c r="H349" s="2200">
        <v>0</v>
      </c>
      <c r="I349" s="2201">
        <v>0</v>
      </c>
      <c r="J349" s="29">
        <v>0</v>
      </c>
    </row>
    <row r="350" spans="1:11" x14ac:dyDescent="0.2">
      <c r="A350" s="2328" t="s">
        <v>2274</v>
      </c>
      <c r="B350" s="1018" t="s">
        <v>2714</v>
      </c>
      <c r="C350" s="1828">
        <v>100000</v>
      </c>
      <c r="D350" s="1828">
        <f>100000-75000</f>
        <v>25000</v>
      </c>
      <c r="E350" s="990">
        <v>24200</v>
      </c>
      <c r="F350" s="831"/>
      <c r="G350" s="2200">
        <f t="shared" si="50"/>
        <v>24.2</v>
      </c>
      <c r="H350" s="2200">
        <f t="shared" si="51"/>
        <v>96.8</v>
      </c>
      <c r="I350" s="2201">
        <v>0</v>
      </c>
      <c r="J350" s="29">
        <v>0</v>
      </c>
    </row>
    <row r="351" spans="1:11" x14ac:dyDescent="0.2">
      <c r="A351" s="2237">
        <v>3613</v>
      </c>
      <c r="B351" s="787" t="s">
        <v>1379</v>
      </c>
      <c r="C351" s="785">
        <f>SUM(C352:C358)</f>
        <v>2380000</v>
      </c>
      <c r="D351" s="785">
        <f>SUM(D352:D358)</f>
        <v>4984775.66</v>
      </c>
      <c r="E351" s="734">
        <v>4612857.41</v>
      </c>
      <c r="F351" s="854">
        <f>SUM(E352:E358)</f>
        <v>4612857.41</v>
      </c>
      <c r="G351" s="1663">
        <f t="shared" si="50"/>
        <v>193.81753823529414</v>
      </c>
      <c r="H351" s="1663">
        <f t="shared" si="51"/>
        <v>92.538916987088641</v>
      </c>
      <c r="I351" s="1662">
        <f t="shared" si="49"/>
        <v>204.67102240298075</v>
      </c>
      <c r="J351" s="29">
        <v>2253791.16</v>
      </c>
    </row>
    <row r="352" spans="1:11" ht="14.25" customHeight="1" x14ac:dyDescent="0.2">
      <c r="A352" s="2347" t="s">
        <v>353</v>
      </c>
      <c r="B352" s="889" t="s">
        <v>2715</v>
      </c>
      <c r="C352" s="1828">
        <v>5000</v>
      </c>
      <c r="D352" s="1828">
        <v>5000</v>
      </c>
      <c r="E352" s="990">
        <v>0</v>
      </c>
      <c r="F352" s="831"/>
      <c r="G352" s="2200">
        <f t="shared" si="50"/>
        <v>0</v>
      </c>
      <c r="H352" s="2200">
        <f t="shared" si="51"/>
        <v>0</v>
      </c>
      <c r="I352" s="2201">
        <v>0</v>
      </c>
      <c r="J352" s="29">
        <v>0</v>
      </c>
    </row>
    <row r="353" spans="1:10" x14ac:dyDescent="0.2">
      <c r="A353" s="2347" t="s">
        <v>355</v>
      </c>
      <c r="B353" s="889" t="s">
        <v>2677</v>
      </c>
      <c r="C353" s="1828">
        <v>15000</v>
      </c>
      <c r="D353" s="1828">
        <v>15000</v>
      </c>
      <c r="E353" s="990">
        <v>1343.1</v>
      </c>
      <c r="F353" s="831"/>
      <c r="G353" s="2200">
        <f t="shared" si="50"/>
        <v>8.9539999999999988</v>
      </c>
      <c r="H353" s="2200">
        <f t="shared" si="51"/>
        <v>8.9539999999999988</v>
      </c>
      <c r="I353" s="2201">
        <v>0</v>
      </c>
      <c r="J353" s="29">
        <v>0</v>
      </c>
    </row>
    <row r="354" spans="1:10" x14ac:dyDescent="0.2">
      <c r="A354" s="2347" t="s">
        <v>357</v>
      </c>
      <c r="B354" s="796" t="s">
        <v>3109</v>
      </c>
      <c r="C354" s="1828">
        <v>200000</v>
      </c>
      <c r="D354" s="1828">
        <v>200000</v>
      </c>
      <c r="E354" s="1023">
        <v>63321</v>
      </c>
      <c r="F354" s="2594"/>
      <c r="G354" s="2200">
        <f t="shared" si="50"/>
        <v>31.660500000000003</v>
      </c>
      <c r="H354" s="2200">
        <f t="shared" si="51"/>
        <v>31.660500000000003</v>
      </c>
      <c r="I354" s="2201">
        <f t="shared" si="49"/>
        <v>57.910958277697503</v>
      </c>
      <c r="J354" s="29">
        <v>109342</v>
      </c>
    </row>
    <row r="355" spans="1:10" x14ac:dyDescent="0.2">
      <c r="A355" s="2347" t="s">
        <v>359</v>
      </c>
      <c r="B355" s="796" t="s">
        <v>3110</v>
      </c>
      <c r="C355" s="767">
        <v>560000</v>
      </c>
      <c r="D355" s="767">
        <v>560000</v>
      </c>
      <c r="E355" s="894">
        <v>491997.7</v>
      </c>
      <c r="F355" s="1781"/>
      <c r="G355" s="2200">
        <f t="shared" si="50"/>
        <v>87.85673214285714</v>
      </c>
      <c r="H355" s="2200">
        <f t="shared" si="51"/>
        <v>87.85673214285714</v>
      </c>
      <c r="I355" s="2201">
        <f t="shared" si="49"/>
        <v>73.833800179230892</v>
      </c>
      <c r="J355" s="29">
        <v>666358.36</v>
      </c>
    </row>
    <row r="356" spans="1:10" x14ac:dyDescent="0.2">
      <c r="A356" s="2347" t="s">
        <v>361</v>
      </c>
      <c r="B356" s="796" t="s">
        <v>2718</v>
      </c>
      <c r="C356" s="767">
        <v>100000</v>
      </c>
      <c r="D356" s="767">
        <v>100000</v>
      </c>
      <c r="E356" s="894">
        <v>8893.5</v>
      </c>
      <c r="F356" s="1781"/>
      <c r="G356" s="2200">
        <f t="shared" si="50"/>
        <v>8.8934999999999995</v>
      </c>
      <c r="H356" s="2200">
        <f t="shared" si="51"/>
        <v>8.8934999999999995</v>
      </c>
      <c r="I356" s="2201">
        <f t="shared" si="49"/>
        <v>48.015873015873019</v>
      </c>
      <c r="J356" s="29">
        <v>18522</v>
      </c>
    </row>
    <row r="357" spans="1:10" ht="25.5" x14ac:dyDescent="0.2">
      <c r="A357" s="2347" t="s">
        <v>364</v>
      </c>
      <c r="B357" s="1860" t="s">
        <v>3111</v>
      </c>
      <c r="C357" s="767">
        <v>1500000</v>
      </c>
      <c r="D357" s="767">
        <f>1500000+226282-75741.16-1100000-143052.25</f>
        <v>407488.59000000008</v>
      </c>
      <c r="E357" s="894">
        <v>350015.04</v>
      </c>
      <c r="F357" s="1781"/>
      <c r="G357" s="2200">
        <f t="shared" ref="G357:G420" si="56">E357/C357*100</f>
        <v>23.334336</v>
      </c>
      <c r="H357" s="2200">
        <f t="shared" si="51"/>
        <v>85.895666428353223</v>
      </c>
      <c r="I357" s="2201">
        <f t="shared" ref="I357:I420" si="57">E357/J357*100</f>
        <v>23.980715400329192</v>
      </c>
      <c r="J357" s="1866">
        <v>1459568.8</v>
      </c>
    </row>
    <row r="358" spans="1:10" x14ac:dyDescent="0.2">
      <c r="A358" s="2347" t="s">
        <v>3112</v>
      </c>
      <c r="B358" s="1860" t="s">
        <v>3113</v>
      </c>
      <c r="C358" s="767">
        <v>0</v>
      </c>
      <c r="D358" s="767">
        <f>3554234.82+143052.25</f>
        <v>3697287.07</v>
      </c>
      <c r="E358" s="894">
        <v>3697287.07</v>
      </c>
      <c r="F358" s="1781"/>
      <c r="G358" s="2200">
        <v>0</v>
      </c>
      <c r="H358" s="2200">
        <f t="shared" si="51"/>
        <v>100</v>
      </c>
      <c r="I358" s="2201">
        <v>0</v>
      </c>
      <c r="J358" s="1866">
        <v>0</v>
      </c>
    </row>
    <row r="359" spans="1:10" x14ac:dyDescent="0.2">
      <c r="A359" s="2237">
        <v>3631</v>
      </c>
      <c r="B359" s="787" t="s">
        <v>1390</v>
      </c>
      <c r="C359" s="734">
        <f>SUM(C360:C364)</f>
        <v>15650000</v>
      </c>
      <c r="D359" s="734">
        <f>SUM(D360:D364)</f>
        <v>15651042</v>
      </c>
      <c r="E359" s="734">
        <v>10693009.65</v>
      </c>
      <c r="F359" s="854">
        <f>SUM(E360:E364)</f>
        <v>10693009.649999999</v>
      </c>
      <c r="G359" s="1663">
        <f t="shared" si="56"/>
        <v>68.32594025559105</v>
      </c>
      <c r="H359" s="1663">
        <f t="shared" si="51"/>
        <v>68.321391316948748</v>
      </c>
      <c r="I359" s="1662">
        <f t="shared" si="57"/>
        <v>81.40888811038522</v>
      </c>
      <c r="J359" s="29">
        <v>13134941.279999999</v>
      </c>
    </row>
    <row r="360" spans="1:10" x14ac:dyDescent="0.2">
      <c r="A360" s="2328" t="s">
        <v>371</v>
      </c>
      <c r="B360" s="778" t="s">
        <v>2720</v>
      </c>
      <c r="C360" s="767">
        <v>5450000</v>
      </c>
      <c r="D360" s="767">
        <f>5450000+230000</f>
        <v>5680000</v>
      </c>
      <c r="E360" s="1023">
        <v>5680000</v>
      </c>
      <c r="F360" s="2594"/>
      <c r="G360" s="2200">
        <f t="shared" si="56"/>
        <v>104.22018348623854</v>
      </c>
      <c r="H360" s="2200">
        <f t="shared" si="51"/>
        <v>100</v>
      </c>
      <c r="I360" s="2201">
        <f t="shared" si="57"/>
        <v>108.7052629040611</v>
      </c>
      <c r="J360" s="29">
        <v>5225138</v>
      </c>
    </row>
    <row r="361" spans="1:10" x14ac:dyDescent="0.2">
      <c r="A361" s="2347" t="s">
        <v>367</v>
      </c>
      <c r="B361" s="778" t="s">
        <v>2718</v>
      </c>
      <c r="C361" s="767">
        <v>50000</v>
      </c>
      <c r="D361" s="767">
        <v>50000</v>
      </c>
      <c r="E361" s="893">
        <v>16734.3</v>
      </c>
      <c r="F361" s="854"/>
      <c r="G361" s="2200">
        <f t="shared" si="56"/>
        <v>33.468599999999995</v>
      </c>
      <c r="H361" s="2200">
        <f t="shared" ref="H361:H424" si="58">E361/D361*100</f>
        <v>33.468599999999995</v>
      </c>
      <c r="I361" s="2201">
        <v>0</v>
      </c>
      <c r="J361" s="29">
        <v>0</v>
      </c>
    </row>
    <row r="362" spans="1:10" x14ac:dyDescent="0.2">
      <c r="A362" s="2347" t="s">
        <v>3114</v>
      </c>
      <c r="B362" s="778" t="s">
        <v>3115</v>
      </c>
      <c r="C362" s="767">
        <v>1500000</v>
      </c>
      <c r="D362" s="767">
        <f>1500000+1042+360000</f>
        <v>1861042</v>
      </c>
      <c r="E362" s="893">
        <v>1484767.38</v>
      </c>
      <c r="F362" s="854"/>
      <c r="G362" s="2200">
        <f t="shared" si="56"/>
        <v>98.984491999999989</v>
      </c>
      <c r="H362" s="2200">
        <f t="shared" si="58"/>
        <v>79.781508423775492</v>
      </c>
      <c r="I362" s="2201">
        <f t="shared" si="57"/>
        <v>2966.0324688607693</v>
      </c>
      <c r="J362" s="29">
        <v>50059.040000000001</v>
      </c>
    </row>
    <row r="363" spans="1:10" x14ac:dyDescent="0.2">
      <c r="A363" s="2328" t="s">
        <v>373</v>
      </c>
      <c r="B363" s="778" t="s">
        <v>2722</v>
      </c>
      <c r="C363" s="767">
        <v>6300000</v>
      </c>
      <c r="D363" s="767">
        <v>6300000</v>
      </c>
      <c r="E363" s="1026">
        <v>2693825.43</v>
      </c>
      <c r="F363" s="1781"/>
      <c r="G363" s="2200">
        <f t="shared" si="56"/>
        <v>42.759133809523817</v>
      </c>
      <c r="H363" s="2200">
        <f t="shared" si="58"/>
        <v>42.759133809523817</v>
      </c>
      <c r="I363" s="2201">
        <f t="shared" si="57"/>
        <v>42.309955539234295</v>
      </c>
      <c r="J363" s="29">
        <v>6366883.1500000004</v>
      </c>
    </row>
    <row r="364" spans="1:10" x14ac:dyDescent="0.2">
      <c r="A364" s="2328"/>
      <c r="B364" s="889" t="s">
        <v>880</v>
      </c>
      <c r="C364" s="772">
        <f>SUM(C365:C372)</f>
        <v>2350000</v>
      </c>
      <c r="D364" s="772">
        <f>SUM(D365:D372)</f>
        <v>1760000</v>
      </c>
      <c r="E364" s="772">
        <v>817682.54</v>
      </c>
      <c r="F364" s="854"/>
      <c r="G364" s="2200">
        <f t="shared" si="56"/>
        <v>34.795001702127657</v>
      </c>
      <c r="H364" s="2200">
        <f t="shared" si="58"/>
        <v>46.459235227272728</v>
      </c>
      <c r="I364" s="2201">
        <f t="shared" si="57"/>
        <v>78.407618027056699</v>
      </c>
      <c r="J364" s="29">
        <v>1042861.09</v>
      </c>
    </row>
    <row r="365" spans="1:10" x14ac:dyDescent="0.2">
      <c r="A365" s="2328" t="s">
        <v>577</v>
      </c>
      <c r="B365" s="1018" t="s">
        <v>3116</v>
      </c>
      <c r="C365" s="767">
        <v>0</v>
      </c>
      <c r="D365" s="767">
        <v>121839.1</v>
      </c>
      <c r="E365" s="990">
        <v>121839.1</v>
      </c>
      <c r="F365" s="831"/>
      <c r="G365" s="2200">
        <v>0</v>
      </c>
      <c r="H365" s="2200">
        <f t="shared" si="58"/>
        <v>100</v>
      </c>
      <c r="I365" s="2201">
        <v>0</v>
      </c>
      <c r="J365" s="29">
        <v>26257</v>
      </c>
    </row>
    <row r="366" spans="1:10" x14ac:dyDescent="0.2">
      <c r="A366" s="2328" t="s">
        <v>579</v>
      </c>
      <c r="B366" s="1018" t="s">
        <v>3117</v>
      </c>
      <c r="C366" s="767">
        <v>0</v>
      </c>
      <c r="D366" s="767">
        <f>51619+340000</f>
        <v>391619</v>
      </c>
      <c r="E366" s="990">
        <v>51618.6</v>
      </c>
      <c r="F366" s="831"/>
      <c r="G366" s="2200">
        <v>0</v>
      </c>
      <c r="H366" s="2200">
        <f t="shared" si="58"/>
        <v>13.18082115525549</v>
      </c>
      <c r="I366" s="2201">
        <v>0</v>
      </c>
      <c r="J366" s="29">
        <v>0</v>
      </c>
    </row>
    <row r="367" spans="1:10" x14ac:dyDescent="0.2">
      <c r="A367" s="2328" t="s">
        <v>585</v>
      </c>
      <c r="B367" s="1018" t="s">
        <v>2723</v>
      </c>
      <c r="C367" s="767">
        <v>650000</v>
      </c>
      <c r="D367" s="767">
        <v>650000</v>
      </c>
      <c r="E367" s="990">
        <v>644224.84</v>
      </c>
      <c r="F367" s="831"/>
      <c r="G367" s="2200">
        <f t="shared" si="56"/>
        <v>99.111513846153841</v>
      </c>
      <c r="H367" s="2200">
        <f t="shared" si="58"/>
        <v>99.111513846153841</v>
      </c>
      <c r="I367" s="2201">
        <v>0</v>
      </c>
      <c r="J367" s="29">
        <v>0</v>
      </c>
    </row>
    <row r="368" spans="1:10" x14ac:dyDescent="0.2">
      <c r="A368" s="2328" t="s">
        <v>1405</v>
      </c>
      <c r="B368" s="1018" t="s">
        <v>3118</v>
      </c>
      <c r="C368" s="767">
        <v>0</v>
      </c>
      <c r="D368" s="767">
        <v>10890</v>
      </c>
      <c r="E368" s="990">
        <v>0</v>
      </c>
      <c r="F368" s="831"/>
      <c r="G368" s="2200">
        <v>0</v>
      </c>
      <c r="H368" s="2200">
        <f t="shared" si="58"/>
        <v>0</v>
      </c>
      <c r="I368" s="2201">
        <v>0</v>
      </c>
      <c r="J368" s="29">
        <v>78784</v>
      </c>
    </row>
    <row r="369" spans="1:10" x14ac:dyDescent="0.2">
      <c r="A369" s="2328" t="s">
        <v>2284</v>
      </c>
      <c r="B369" s="1018" t="s">
        <v>3119</v>
      </c>
      <c r="C369" s="767">
        <v>0</v>
      </c>
      <c r="D369" s="767">
        <v>10890</v>
      </c>
      <c r="E369" s="990">
        <v>0</v>
      </c>
      <c r="F369" s="831"/>
      <c r="G369" s="2200">
        <v>0</v>
      </c>
      <c r="H369" s="2200">
        <f t="shared" si="58"/>
        <v>0</v>
      </c>
      <c r="I369" s="2201">
        <v>0</v>
      </c>
      <c r="J369" s="29">
        <v>0</v>
      </c>
    </row>
    <row r="370" spans="1:10" x14ac:dyDescent="0.2">
      <c r="A370" s="2328" t="s">
        <v>2724</v>
      </c>
      <c r="B370" s="1018" t="s">
        <v>2725</v>
      </c>
      <c r="C370" s="767">
        <v>0</v>
      </c>
      <c r="D370" s="767">
        <v>40838</v>
      </c>
      <c r="E370" s="990">
        <v>0</v>
      </c>
      <c r="F370" s="831"/>
      <c r="G370" s="2200">
        <v>0</v>
      </c>
      <c r="H370" s="2200">
        <f t="shared" si="58"/>
        <v>0</v>
      </c>
      <c r="I370" s="2201">
        <v>0</v>
      </c>
      <c r="J370" s="29">
        <v>0</v>
      </c>
    </row>
    <row r="371" spans="1:10" x14ac:dyDescent="0.2">
      <c r="A371" s="2352" t="s">
        <v>1759</v>
      </c>
      <c r="B371" s="809" t="s">
        <v>2726</v>
      </c>
      <c r="C371" s="1077">
        <v>700000</v>
      </c>
      <c r="D371" s="1077">
        <f>700000-700000</f>
        <v>0</v>
      </c>
      <c r="E371" s="1077">
        <v>0</v>
      </c>
      <c r="F371" s="1077"/>
      <c r="G371" s="2200">
        <f t="shared" si="56"/>
        <v>0</v>
      </c>
      <c r="H371" s="2200">
        <v>0</v>
      </c>
      <c r="I371" s="2201">
        <v>0</v>
      </c>
      <c r="J371" s="29">
        <v>0</v>
      </c>
    </row>
    <row r="372" spans="1:10" s="98" customFormat="1" x14ac:dyDescent="0.2">
      <c r="A372" s="2339" t="s">
        <v>591</v>
      </c>
      <c r="B372" s="1029" t="s">
        <v>2727</v>
      </c>
      <c r="C372" s="738">
        <v>1000000</v>
      </c>
      <c r="D372" s="738">
        <f>1000000-40838-121839.1-51619-10890-10890-230000</f>
        <v>533923.9</v>
      </c>
      <c r="E372" s="1031">
        <v>0</v>
      </c>
      <c r="F372" s="2507"/>
      <c r="G372" s="2200">
        <f t="shared" si="56"/>
        <v>0</v>
      </c>
      <c r="H372" s="2200">
        <f t="shared" si="58"/>
        <v>0</v>
      </c>
      <c r="I372" s="2201">
        <v>0</v>
      </c>
      <c r="J372" s="29">
        <v>0</v>
      </c>
    </row>
    <row r="373" spans="1:10" s="98" customFormat="1" x14ac:dyDescent="0.2">
      <c r="A373" s="2221">
        <v>3632</v>
      </c>
      <c r="B373" s="717" t="s">
        <v>2293</v>
      </c>
      <c r="C373" s="726">
        <f>SUM(C374,C375)</f>
        <v>4015000</v>
      </c>
      <c r="D373" s="726">
        <f>SUM(D374:D375)</f>
        <v>3069517</v>
      </c>
      <c r="E373" s="726">
        <v>3607518.82</v>
      </c>
      <c r="F373" s="1077">
        <f>SUM(E374:E375)</f>
        <v>3607518.82</v>
      </c>
      <c r="G373" s="1663">
        <f t="shared" si="56"/>
        <v>89.851029140722289</v>
      </c>
      <c r="H373" s="1663">
        <f t="shared" si="58"/>
        <v>117.52724679485405</v>
      </c>
      <c r="I373" s="1662">
        <f t="shared" si="57"/>
        <v>139.21500589079966</v>
      </c>
      <c r="J373" s="29">
        <v>2591329</v>
      </c>
    </row>
    <row r="374" spans="1:10" s="98" customFormat="1" x14ac:dyDescent="0.2">
      <c r="A374" s="2339" t="s">
        <v>383</v>
      </c>
      <c r="B374" s="737" t="s">
        <v>2728</v>
      </c>
      <c r="C374" s="1710">
        <f>50000+400000+245000+120000+3100000</f>
        <v>3915000</v>
      </c>
      <c r="D374" s="1710">
        <f>((50000+400000+245000+120000+3100000)+104517)+67000-500000-550000</f>
        <v>3036517</v>
      </c>
      <c r="E374" s="1710">
        <v>3586517</v>
      </c>
      <c r="F374" s="1077"/>
      <c r="G374" s="2200">
        <f t="shared" si="56"/>
        <v>91.609629629629623</v>
      </c>
      <c r="H374" s="2200">
        <f t="shared" si="58"/>
        <v>118.11285759309102</v>
      </c>
      <c r="I374" s="2201">
        <f t="shared" si="57"/>
        <v>149.43820833333334</v>
      </c>
      <c r="J374" s="29">
        <v>2400000</v>
      </c>
    </row>
    <row r="375" spans="1:10" s="98" customFormat="1" x14ac:dyDescent="0.2">
      <c r="A375" s="2339" t="s">
        <v>2729</v>
      </c>
      <c r="B375" s="737" t="s">
        <v>2730</v>
      </c>
      <c r="C375" s="738">
        <v>100000</v>
      </c>
      <c r="D375" s="738">
        <f>100000-67000</f>
        <v>33000</v>
      </c>
      <c r="E375" s="1030">
        <v>21001.82</v>
      </c>
      <c r="F375" s="1077"/>
      <c r="G375" s="2200">
        <f t="shared" si="56"/>
        <v>21.001819999999999</v>
      </c>
      <c r="H375" s="2200">
        <f t="shared" si="58"/>
        <v>63.641878787878795</v>
      </c>
      <c r="I375" s="2201">
        <v>0</v>
      </c>
      <c r="J375" s="29">
        <v>0</v>
      </c>
    </row>
    <row r="376" spans="1:10" s="98" customFormat="1" x14ac:dyDescent="0.2">
      <c r="A376" s="2221">
        <v>3639</v>
      </c>
      <c r="B376" s="717" t="s">
        <v>1418</v>
      </c>
      <c r="C376" s="726">
        <f>SUM(C377:C378)</f>
        <v>5000</v>
      </c>
      <c r="D376" s="726">
        <f>SUM(D377:D378)</f>
        <v>80741.16</v>
      </c>
      <c r="E376" s="726">
        <v>75741.16</v>
      </c>
      <c r="F376" s="1441"/>
      <c r="G376" s="2595">
        <f t="shared" si="56"/>
        <v>1514.8232</v>
      </c>
      <c r="H376" s="2595">
        <f t="shared" si="58"/>
        <v>93.807371605758448</v>
      </c>
      <c r="I376" s="2596">
        <v>0</v>
      </c>
      <c r="J376" s="29">
        <v>0</v>
      </c>
    </row>
    <row r="377" spans="1:10" s="98" customFormat="1" x14ac:dyDescent="0.2">
      <c r="A377" s="2339" t="s">
        <v>392</v>
      </c>
      <c r="B377" s="737" t="s">
        <v>2731</v>
      </c>
      <c r="C377" s="750">
        <v>5000</v>
      </c>
      <c r="D377" s="750">
        <v>5000</v>
      </c>
      <c r="E377" s="1030">
        <v>0</v>
      </c>
      <c r="F377" s="1045"/>
      <c r="G377" s="2597">
        <f t="shared" si="56"/>
        <v>0</v>
      </c>
      <c r="H377" s="2597">
        <f t="shared" si="58"/>
        <v>0</v>
      </c>
      <c r="I377" s="1863">
        <v>0</v>
      </c>
      <c r="J377" s="29">
        <v>0</v>
      </c>
    </row>
    <row r="378" spans="1:10" s="98" customFormat="1" x14ac:dyDescent="0.2">
      <c r="A378" s="2353" t="s">
        <v>390</v>
      </c>
      <c r="B378" s="737" t="s">
        <v>3120</v>
      </c>
      <c r="C378" s="738">
        <v>0</v>
      </c>
      <c r="D378" s="738">
        <v>75741.16</v>
      </c>
      <c r="E378" s="1030">
        <v>75741.16</v>
      </c>
      <c r="F378" s="1077"/>
      <c r="G378" s="2200">
        <v>0</v>
      </c>
      <c r="H378" s="2200">
        <f t="shared" si="58"/>
        <v>100</v>
      </c>
      <c r="I378" s="2201">
        <v>0</v>
      </c>
      <c r="J378" s="29">
        <v>0</v>
      </c>
    </row>
    <row r="379" spans="1:10" s="98" customFormat="1" x14ac:dyDescent="0.2">
      <c r="A379" s="2221">
        <v>3699</v>
      </c>
      <c r="B379" s="717" t="s">
        <v>1421</v>
      </c>
      <c r="C379" s="726">
        <f t="shared" ref="C379:D379" si="59">SUM(C380:C381)</f>
        <v>450000</v>
      </c>
      <c r="D379" s="726">
        <f t="shared" si="59"/>
        <v>450000</v>
      </c>
      <c r="E379" s="726">
        <v>350000</v>
      </c>
      <c r="F379" s="1077">
        <f>SUM(E380:E381)</f>
        <v>350000</v>
      </c>
      <c r="G379" s="1663">
        <f t="shared" si="56"/>
        <v>77.777777777777786</v>
      </c>
      <c r="H379" s="1663">
        <f t="shared" si="58"/>
        <v>77.777777777777786</v>
      </c>
      <c r="I379" s="1662">
        <f t="shared" si="57"/>
        <v>1291.3223140495868</v>
      </c>
      <c r="J379" s="29">
        <v>27104</v>
      </c>
    </row>
    <row r="380" spans="1:10" s="98" customFormat="1" x14ac:dyDescent="0.2">
      <c r="A380" s="2354" t="s">
        <v>1422</v>
      </c>
      <c r="B380" s="1039" t="s">
        <v>3121</v>
      </c>
      <c r="C380" s="1271">
        <v>100000</v>
      </c>
      <c r="D380" s="1271">
        <v>100000</v>
      </c>
      <c r="E380" s="1041">
        <v>0</v>
      </c>
      <c r="F380" s="1076"/>
      <c r="G380" s="2200">
        <f t="shared" si="56"/>
        <v>0</v>
      </c>
      <c r="H380" s="2200">
        <f t="shared" si="58"/>
        <v>0</v>
      </c>
      <c r="I380" s="2201">
        <v>0</v>
      </c>
      <c r="J380" s="29">
        <v>0</v>
      </c>
    </row>
    <row r="381" spans="1:10" x14ac:dyDescent="0.2">
      <c r="A381" s="2355" t="s">
        <v>395</v>
      </c>
      <c r="B381" s="1044" t="s">
        <v>2733</v>
      </c>
      <c r="C381" s="1045">
        <v>350000</v>
      </c>
      <c r="D381" s="1045">
        <v>350000</v>
      </c>
      <c r="E381" s="1045">
        <v>350000</v>
      </c>
      <c r="F381" s="1077"/>
      <c r="G381" s="2200">
        <f t="shared" si="56"/>
        <v>100</v>
      </c>
      <c r="H381" s="2200">
        <f t="shared" si="58"/>
        <v>100</v>
      </c>
      <c r="I381" s="2201">
        <f t="shared" si="57"/>
        <v>1291.3223140495868</v>
      </c>
      <c r="J381" s="29">
        <v>27104</v>
      </c>
    </row>
    <row r="382" spans="1:10" ht="12" customHeight="1" x14ac:dyDescent="0.2">
      <c r="A382" s="2333"/>
      <c r="B382" s="1039"/>
      <c r="C382" s="1040"/>
      <c r="D382" s="1040"/>
      <c r="E382" s="1048"/>
      <c r="F382" s="1040"/>
      <c r="G382" s="2356"/>
      <c r="H382" s="2356"/>
      <c r="I382" s="2357"/>
    </row>
    <row r="383" spans="1:10" ht="20.25" x14ac:dyDescent="0.3">
      <c r="A383" s="2358"/>
      <c r="B383" s="1051" t="s">
        <v>1031</v>
      </c>
      <c r="C383" s="1052">
        <f>C384+C397+C453+C477+C489+C499+C504+C516+C555+C572</f>
        <v>323192700</v>
      </c>
      <c r="D383" s="1052">
        <f>D384+D397+D453+D477+D489+D499+D504+D516+D555+D572</f>
        <v>282860099</v>
      </c>
      <c r="E383" s="1052">
        <v>271734218.97000003</v>
      </c>
      <c r="F383" s="2359">
        <f>SUM(E384,E397,E453,E477,E489,E499,E504,E516,E555,E572)</f>
        <v>271734218.97000003</v>
      </c>
      <c r="G383" s="949">
        <f t="shared" si="56"/>
        <v>84.078080652811778</v>
      </c>
      <c r="H383" s="949">
        <f t="shared" si="58"/>
        <v>96.066649177691204</v>
      </c>
      <c r="I383" s="949">
        <f t="shared" si="57"/>
        <v>171.69301636308438</v>
      </c>
      <c r="J383" s="29">
        <v>158267485.03</v>
      </c>
    </row>
    <row r="384" spans="1:10" s="98" customFormat="1" ht="15.75" x14ac:dyDescent="0.25">
      <c r="A384" s="2360"/>
      <c r="B384" s="1054" t="s">
        <v>398</v>
      </c>
      <c r="C384" s="1055">
        <f t="shared" ref="C384:D384" si="60">SUM(C385+C389)</f>
        <v>9902000</v>
      </c>
      <c r="D384" s="1055">
        <f t="shared" si="60"/>
        <v>6705000</v>
      </c>
      <c r="E384" s="1055">
        <v>5356951.92</v>
      </c>
      <c r="F384" s="2361">
        <f>SUM(E385,E389)</f>
        <v>5356951.92</v>
      </c>
      <c r="G384" s="2325">
        <f t="shared" si="56"/>
        <v>54.099696222985251</v>
      </c>
      <c r="H384" s="2325">
        <f t="shared" si="58"/>
        <v>79.894883221476505</v>
      </c>
      <c r="I384" s="2325">
        <v>0</v>
      </c>
      <c r="J384" s="29">
        <v>374934.98</v>
      </c>
    </row>
    <row r="385" spans="1:10" s="98" customFormat="1" ht="13.5" customHeight="1" x14ac:dyDescent="0.2">
      <c r="A385" s="2362">
        <v>2310</v>
      </c>
      <c r="B385" s="2363" t="s">
        <v>1425</v>
      </c>
      <c r="C385" s="1138">
        <f t="shared" ref="C385:D385" si="61">SUM(C386:C388)</f>
        <v>4560000</v>
      </c>
      <c r="D385" s="1138">
        <f t="shared" si="61"/>
        <v>560000</v>
      </c>
      <c r="E385" s="1138">
        <v>189116.95</v>
      </c>
      <c r="F385" s="2364">
        <f>SUM(E386:E388)</f>
        <v>189116.95</v>
      </c>
      <c r="G385" s="1663">
        <f t="shared" si="56"/>
        <v>4.1473015350877196</v>
      </c>
      <c r="H385" s="1663">
        <f t="shared" si="58"/>
        <v>33.770883928571429</v>
      </c>
      <c r="I385" s="1662">
        <v>0</v>
      </c>
      <c r="J385" s="29">
        <v>107690</v>
      </c>
    </row>
    <row r="386" spans="1:10" x14ac:dyDescent="0.2">
      <c r="A386" s="2352" t="s">
        <v>404</v>
      </c>
      <c r="B386" s="2365" t="s">
        <v>2734</v>
      </c>
      <c r="C386" s="1077">
        <v>5000</v>
      </c>
      <c r="D386" s="1077">
        <v>5000</v>
      </c>
      <c r="E386" s="2046">
        <v>3986.95</v>
      </c>
      <c r="F386" s="1077"/>
      <c r="G386" s="2200">
        <f t="shared" si="56"/>
        <v>79.73899999999999</v>
      </c>
      <c r="H386" s="2200">
        <f t="shared" si="58"/>
        <v>79.73899999999999</v>
      </c>
      <c r="I386" s="2201">
        <v>0</v>
      </c>
      <c r="J386" s="29">
        <v>0</v>
      </c>
    </row>
    <row r="387" spans="1:10" x14ac:dyDescent="0.2">
      <c r="A387" s="2352" t="s">
        <v>1427</v>
      </c>
      <c r="B387" s="2365" t="s">
        <v>2049</v>
      </c>
      <c r="C387" s="1077">
        <v>5000</v>
      </c>
      <c r="D387" s="1077">
        <v>5000</v>
      </c>
      <c r="E387" s="2046">
        <v>0</v>
      </c>
      <c r="F387" s="1077"/>
      <c r="G387" s="2200">
        <f t="shared" si="56"/>
        <v>0</v>
      </c>
      <c r="H387" s="2200">
        <f t="shared" si="58"/>
        <v>0</v>
      </c>
      <c r="I387" s="2201">
        <v>0</v>
      </c>
      <c r="J387" s="29">
        <v>0</v>
      </c>
    </row>
    <row r="388" spans="1:10" x14ac:dyDescent="0.2">
      <c r="A388" s="2352" t="s">
        <v>2307</v>
      </c>
      <c r="B388" s="2365" t="s">
        <v>2735</v>
      </c>
      <c r="C388" s="1077">
        <v>4550000</v>
      </c>
      <c r="D388" s="1077">
        <f>4550000-4000000</f>
        <v>550000</v>
      </c>
      <c r="E388" s="2046">
        <v>185130</v>
      </c>
      <c r="F388" s="1077"/>
      <c r="G388" s="2200">
        <f t="shared" si="56"/>
        <v>4.0687912087912084</v>
      </c>
      <c r="H388" s="2200">
        <f t="shared" si="58"/>
        <v>33.660000000000004</v>
      </c>
      <c r="I388" s="2201">
        <f t="shared" si="57"/>
        <v>171.91011235955057</v>
      </c>
      <c r="J388" s="29">
        <v>107690</v>
      </c>
    </row>
    <row r="389" spans="1:10" x14ac:dyDescent="0.2">
      <c r="A389" s="2296">
        <v>2321</v>
      </c>
      <c r="B389" s="2366" t="s">
        <v>1429</v>
      </c>
      <c r="C389" s="727">
        <f t="shared" ref="C389:D389" si="62">SUM(C390:C396)</f>
        <v>5342000</v>
      </c>
      <c r="D389" s="727">
        <f t="shared" si="62"/>
        <v>6145000</v>
      </c>
      <c r="E389" s="727">
        <v>5167834.97</v>
      </c>
      <c r="F389" s="2341">
        <f>SUM(E390:E396)</f>
        <v>5167834.9700000007</v>
      </c>
      <c r="G389" s="1663">
        <f t="shared" si="56"/>
        <v>96.739703669037809</v>
      </c>
      <c r="H389" s="1663">
        <f t="shared" si="58"/>
        <v>84.098209438567935</v>
      </c>
      <c r="I389" s="1662">
        <f t="shared" si="57"/>
        <v>1933.7444505038036</v>
      </c>
      <c r="J389" s="29">
        <v>267244.98</v>
      </c>
    </row>
    <row r="390" spans="1:10" x14ac:dyDescent="0.2">
      <c r="A390" s="2352" t="s">
        <v>1430</v>
      </c>
      <c r="B390" s="2365" t="s">
        <v>2736</v>
      </c>
      <c r="C390" s="1077">
        <v>5000</v>
      </c>
      <c r="D390" s="1077">
        <v>5000</v>
      </c>
      <c r="E390" s="2046">
        <v>0</v>
      </c>
      <c r="F390" s="1077"/>
      <c r="G390" s="2200">
        <f t="shared" si="56"/>
        <v>0</v>
      </c>
      <c r="H390" s="2200">
        <f t="shared" si="58"/>
        <v>0</v>
      </c>
      <c r="I390" s="2201">
        <v>0</v>
      </c>
      <c r="J390" s="29">
        <v>0</v>
      </c>
    </row>
    <row r="391" spans="1:10" x14ac:dyDescent="0.2">
      <c r="A391" s="2352" t="s">
        <v>1432</v>
      </c>
      <c r="B391" s="2365" t="s">
        <v>2051</v>
      </c>
      <c r="C391" s="2341">
        <v>750000</v>
      </c>
      <c r="D391" s="2341">
        <f>750000-300000-80000-20000</f>
        <v>350000</v>
      </c>
      <c r="E391" s="2367">
        <v>0</v>
      </c>
      <c r="F391" s="2341"/>
      <c r="G391" s="2200">
        <f t="shared" si="56"/>
        <v>0</v>
      </c>
      <c r="H391" s="2200">
        <f t="shared" si="58"/>
        <v>0</v>
      </c>
      <c r="I391" s="2201">
        <v>0</v>
      </c>
      <c r="J391" s="29">
        <v>0</v>
      </c>
    </row>
    <row r="392" spans="1:10" x14ac:dyDescent="0.2">
      <c r="A392" s="2352" t="s">
        <v>1434</v>
      </c>
      <c r="B392" s="2365" t="s">
        <v>2052</v>
      </c>
      <c r="C392" s="1077">
        <v>5000</v>
      </c>
      <c r="D392" s="1077">
        <v>5000</v>
      </c>
      <c r="E392" s="2046">
        <v>0</v>
      </c>
      <c r="F392" s="1077"/>
      <c r="G392" s="2200">
        <f t="shared" si="56"/>
        <v>0</v>
      </c>
      <c r="H392" s="2200">
        <f t="shared" si="58"/>
        <v>0</v>
      </c>
      <c r="I392" s="2201">
        <v>0</v>
      </c>
      <c r="J392" s="29">
        <v>0</v>
      </c>
    </row>
    <row r="393" spans="1:10" x14ac:dyDescent="0.2">
      <c r="A393" s="2352" t="s">
        <v>1436</v>
      </c>
      <c r="B393" s="2365" t="s">
        <v>2737</v>
      </c>
      <c r="C393" s="1077">
        <v>67000</v>
      </c>
      <c r="D393" s="1077">
        <f>67000+450000-205000</f>
        <v>312000</v>
      </c>
      <c r="E393" s="2046">
        <v>0</v>
      </c>
      <c r="F393" s="1077"/>
      <c r="G393" s="2200">
        <f t="shared" si="56"/>
        <v>0</v>
      </c>
      <c r="H393" s="2200">
        <f t="shared" si="58"/>
        <v>0</v>
      </c>
      <c r="I393" s="2201">
        <v>0</v>
      </c>
      <c r="J393" s="29">
        <v>0</v>
      </c>
    </row>
    <row r="394" spans="1:10" x14ac:dyDescent="0.2">
      <c r="A394" s="2352" t="s">
        <v>413</v>
      </c>
      <c r="B394" s="2365" t="s">
        <v>2738</v>
      </c>
      <c r="C394" s="1077">
        <v>4200000</v>
      </c>
      <c r="D394" s="1077">
        <f>4200000-450000+205000</f>
        <v>3955000</v>
      </c>
      <c r="E394" s="2046">
        <v>3938784.81</v>
      </c>
      <c r="F394" s="1077"/>
      <c r="G394" s="2200">
        <f t="shared" si="56"/>
        <v>93.780590714285722</v>
      </c>
      <c r="H394" s="2200">
        <f t="shared" si="58"/>
        <v>99.590007838179517</v>
      </c>
      <c r="I394" s="2201">
        <v>0</v>
      </c>
      <c r="J394" s="29">
        <v>0</v>
      </c>
    </row>
    <row r="395" spans="1:10" x14ac:dyDescent="0.2">
      <c r="A395" s="2352" t="s">
        <v>417</v>
      </c>
      <c r="B395" s="2365" t="s">
        <v>2739</v>
      </c>
      <c r="C395" s="1077">
        <v>0</v>
      </c>
      <c r="D395" s="1077">
        <f>300000-29900</f>
        <v>270100</v>
      </c>
      <c r="E395" s="2046">
        <v>270094.21999999997</v>
      </c>
      <c r="F395" s="1077"/>
      <c r="G395" s="2200">
        <v>0</v>
      </c>
      <c r="H395" s="2200">
        <f t="shared" si="58"/>
        <v>99.997860051832646</v>
      </c>
      <c r="I395" s="2201">
        <v>0</v>
      </c>
      <c r="J395" s="29">
        <v>0</v>
      </c>
    </row>
    <row r="396" spans="1:10" x14ac:dyDescent="0.2">
      <c r="A396" s="2368" t="s">
        <v>415</v>
      </c>
      <c r="B396" s="2369" t="s">
        <v>2740</v>
      </c>
      <c r="C396" s="1048">
        <v>315000</v>
      </c>
      <c r="D396" s="1048">
        <f>315000+80000+20000+29900+803000</f>
        <v>1247900</v>
      </c>
      <c r="E396" s="2370">
        <v>958955.94</v>
      </c>
      <c r="F396" s="1048"/>
      <c r="G396" s="2200">
        <f t="shared" si="56"/>
        <v>304.43045714285716</v>
      </c>
      <c r="H396" s="2200">
        <f t="shared" si="58"/>
        <v>76.845575767289048</v>
      </c>
      <c r="I396" s="2201">
        <v>0</v>
      </c>
      <c r="J396" s="29">
        <v>0</v>
      </c>
    </row>
    <row r="397" spans="1:10" ht="15.75" x14ac:dyDescent="0.25">
      <c r="A397" s="2371"/>
      <c r="B397" s="1062" t="s">
        <v>424</v>
      </c>
      <c r="C397" s="1055">
        <f>SUM(C398+C419+C450)</f>
        <v>53463000</v>
      </c>
      <c r="D397" s="1055">
        <f>SUM(D398+D419+D450)</f>
        <v>61515500</v>
      </c>
      <c r="E397" s="1055">
        <v>59434739.079999998</v>
      </c>
      <c r="F397" s="2361">
        <f>SUM(E398,E419,E450)</f>
        <v>59434739.079999998</v>
      </c>
      <c r="G397" s="2325">
        <f t="shared" si="56"/>
        <v>111.16985406729887</v>
      </c>
      <c r="H397" s="2325">
        <f t="shared" si="58"/>
        <v>96.617501410213677</v>
      </c>
      <c r="I397" s="2325">
        <f t="shared" si="57"/>
        <v>159.472089776644</v>
      </c>
      <c r="J397" s="29">
        <v>37269680.960000001</v>
      </c>
    </row>
    <row r="398" spans="1:10" x14ac:dyDescent="0.2">
      <c r="A398" s="2362">
        <v>2212</v>
      </c>
      <c r="B398" s="1137" t="s">
        <v>1440</v>
      </c>
      <c r="C398" s="1138">
        <f>SUM(C399:C418)</f>
        <v>35411000</v>
      </c>
      <c r="D398" s="1138">
        <f>SUM(D399:D418)</f>
        <v>40601000</v>
      </c>
      <c r="E398" s="1138">
        <v>39551294.979999997</v>
      </c>
      <c r="F398" s="2364">
        <f>SUM(E399:E418)</f>
        <v>39551294.980000004</v>
      </c>
      <c r="G398" s="1663">
        <f t="shared" si="56"/>
        <v>111.69211538787383</v>
      </c>
      <c r="H398" s="1663">
        <f t="shared" si="58"/>
        <v>97.414583335385814</v>
      </c>
      <c r="I398" s="1662">
        <f t="shared" si="57"/>
        <v>301.21641814409492</v>
      </c>
      <c r="J398" s="29">
        <v>13130524.300000001</v>
      </c>
    </row>
    <row r="399" spans="1:10" x14ac:dyDescent="0.2">
      <c r="A399" s="2352" t="s">
        <v>293</v>
      </c>
      <c r="B399" s="809" t="s">
        <v>2741</v>
      </c>
      <c r="C399" s="1077">
        <v>300000</v>
      </c>
      <c r="D399" s="1077">
        <f>300000+400000</f>
        <v>700000</v>
      </c>
      <c r="E399" s="1077">
        <v>478270.3</v>
      </c>
      <c r="F399" s="1077"/>
      <c r="G399" s="2200">
        <f t="shared" si="56"/>
        <v>159.42343333333332</v>
      </c>
      <c r="H399" s="2200">
        <f t="shared" si="58"/>
        <v>68.324328571428566</v>
      </c>
      <c r="I399" s="2201">
        <f t="shared" si="57"/>
        <v>547.51570642269053</v>
      </c>
      <c r="J399" s="29">
        <v>87352.8</v>
      </c>
    </row>
    <row r="400" spans="1:10" x14ac:dyDescent="0.2">
      <c r="A400" s="2352" t="s">
        <v>291</v>
      </c>
      <c r="B400" s="809" t="s">
        <v>2742</v>
      </c>
      <c r="C400" s="1077">
        <v>4000000</v>
      </c>
      <c r="D400" s="1077">
        <f>4000000-210000+3000000+9000000+350000-5000000-3700000</f>
        <v>7440000</v>
      </c>
      <c r="E400" s="1077">
        <v>7434202.2400000002</v>
      </c>
      <c r="F400" s="1077"/>
      <c r="G400" s="2200">
        <f t="shared" si="56"/>
        <v>185.85505600000002</v>
      </c>
      <c r="H400" s="2200">
        <f t="shared" si="58"/>
        <v>99.92207311827957</v>
      </c>
      <c r="I400" s="2201">
        <f t="shared" si="57"/>
        <v>264.82371002417358</v>
      </c>
      <c r="J400" s="29">
        <v>2807226.83</v>
      </c>
    </row>
    <row r="401" spans="1:10" x14ac:dyDescent="0.2">
      <c r="A401" s="2352" t="s">
        <v>1442</v>
      </c>
      <c r="B401" s="809" t="s">
        <v>2054</v>
      </c>
      <c r="C401" s="2341">
        <v>750000</v>
      </c>
      <c r="D401" s="2341">
        <f>750000-750000</f>
        <v>0</v>
      </c>
      <c r="E401" s="2341">
        <v>0</v>
      </c>
      <c r="F401" s="2341"/>
      <c r="G401" s="2200">
        <f t="shared" si="56"/>
        <v>0</v>
      </c>
      <c r="H401" s="2200">
        <v>0</v>
      </c>
      <c r="I401" s="2201">
        <f t="shared" si="57"/>
        <v>0</v>
      </c>
      <c r="J401" s="29">
        <v>156543.29999999999</v>
      </c>
    </row>
    <row r="402" spans="1:10" s="98" customFormat="1" ht="13.5" customHeight="1" x14ac:dyDescent="0.2">
      <c r="A402" s="2352" t="s">
        <v>442</v>
      </c>
      <c r="B402" s="1112" t="s">
        <v>2743</v>
      </c>
      <c r="C402" s="1077">
        <v>10000</v>
      </c>
      <c r="D402" s="1077">
        <v>10000</v>
      </c>
      <c r="E402" s="1077">
        <v>0</v>
      </c>
      <c r="F402" s="1077"/>
      <c r="G402" s="2200">
        <f t="shared" si="56"/>
        <v>0</v>
      </c>
      <c r="H402" s="2200">
        <f t="shared" si="58"/>
        <v>0</v>
      </c>
      <c r="I402" s="2201">
        <v>0</v>
      </c>
      <c r="J402" s="29">
        <v>4800</v>
      </c>
    </row>
    <row r="403" spans="1:10" s="98" customFormat="1" x14ac:dyDescent="0.2">
      <c r="A403" s="2352" t="s">
        <v>1450</v>
      </c>
      <c r="B403" s="809" t="s">
        <v>2744</v>
      </c>
      <c r="C403" s="1077">
        <v>10000</v>
      </c>
      <c r="D403" s="1077">
        <v>10000</v>
      </c>
      <c r="E403" s="1077">
        <v>0</v>
      </c>
      <c r="F403" s="1077"/>
      <c r="G403" s="2200">
        <f t="shared" si="56"/>
        <v>0</v>
      </c>
      <c r="H403" s="2200">
        <f t="shared" si="58"/>
        <v>0</v>
      </c>
      <c r="I403" s="2201">
        <f t="shared" si="57"/>
        <v>0</v>
      </c>
      <c r="J403" s="29">
        <v>187247</v>
      </c>
    </row>
    <row r="404" spans="1:10" s="98" customFormat="1" x14ac:dyDescent="0.2">
      <c r="A404" s="2352" t="s">
        <v>2316</v>
      </c>
      <c r="B404" s="809" t="s">
        <v>2055</v>
      </c>
      <c r="C404" s="2341">
        <v>500000</v>
      </c>
      <c r="D404" s="2341">
        <f>500000-250000</f>
        <v>250000</v>
      </c>
      <c r="E404" s="2341">
        <v>0</v>
      </c>
      <c r="F404" s="2341"/>
      <c r="G404" s="2200">
        <f t="shared" si="56"/>
        <v>0</v>
      </c>
      <c r="H404" s="2200">
        <f t="shared" si="58"/>
        <v>0</v>
      </c>
      <c r="I404" s="2201">
        <v>0</v>
      </c>
      <c r="J404" s="29">
        <v>0</v>
      </c>
    </row>
    <row r="405" spans="1:10" x14ac:dyDescent="0.2">
      <c r="A405" s="2352" t="s">
        <v>1466</v>
      </c>
      <c r="B405" s="2372" t="s">
        <v>2745</v>
      </c>
      <c r="C405" s="2341">
        <v>300000</v>
      </c>
      <c r="D405" s="2341">
        <f>300000-300000</f>
        <v>0</v>
      </c>
      <c r="E405" s="2341">
        <v>0</v>
      </c>
      <c r="F405" s="2341"/>
      <c r="G405" s="2200">
        <f t="shared" si="56"/>
        <v>0</v>
      </c>
      <c r="H405" s="2200">
        <v>0</v>
      </c>
      <c r="I405" s="2201">
        <v>0</v>
      </c>
      <c r="J405" s="1866">
        <v>0</v>
      </c>
    </row>
    <row r="406" spans="1:10" x14ac:dyDescent="0.2">
      <c r="A406" s="2352" t="s">
        <v>2326</v>
      </c>
      <c r="B406" s="809" t="s">
        <v>2086</v>
      </c>
      <c r="C406" s="2341">
        <v>200000</v>
      </c>
      <c r="D406" s="2341">
        <f>200000-19000</f>
        <v>181000</v>
      </c>
      <c r="E406" s="2341">
        <v>157300</v>
      </c>
      <c r="F406" s="2341"/>
      <c r="G406" s="2200">
        <f t="shared" si="56"/>
        <v>78.649999999999991</v>
      </c>
      <c r="H406" s="2200">
        <f t="shared" si="58"/>
        <v>86.906077348066304</v>
      </c>
      <c r="I406" s="2201">
        <v>0</v>
      </c>
      <c r="J406" s="29">
        <v>0</v>
      </c>
    </row>
    <row r="407" spans="1:10" x14ac:dyDescent="0.2">
      <c r="A407" s="2352" t="s">
        <v>2332</v>
      </c>
      <c r="B407" s="809" t="s">
        <v>2087</v>
      </c>
      <c r="C407" s="2341">
        <v>200000</v>
      </c>
      <c r="D407" s="2341">
        <v>200000</v>
      </c>
      <c r="E407" s="2341">
        <v>166980</v>
      </c>
      <c r="F407" s="2341"/>
      <c r="G407" s="2200">
        <f t="shared" si="56"/>
        <v>83.49</v>
      </c>
      <c r="H407" s="2200">
        <f t="shared" si="58"/>
        <v>83.49</v>
      </c>
      <c r="I407" s="2201">
        <v>0</v>
      </c>
      <c r="J407" s="29">
        <v>0</v>
      </c>
    </row>
    <row r="408" spans="1:10" x14ac:dyDescent="0.2">
      <c r="A408" s="2352" t="s">
        <v>2334</v>
      </c>
      <c r="B408" s="809" t="s">
        <v>2088</v>
      </c>
      <c r="C408" s="2341">
        <v>200000</v>
      </c>
      <c r="D408" s="2341">
        <v>200000</v>
      </c>
      <c r="E408" s="2341">
        <v>48400</v>
      </c>
      <c r="F408" s="2341"/>
      <c r="G408" s="2200">
        <f t="shared" si="56"/>
        <v>24.2</v>
      </c>
      <c r="H408" s="2200">
        <f t="shared" si="58"/>
        <v>24.2</v>
      </c>
      <c r="I408" s="2201">
        <v>0</v>
      </c>
      <c r="J408" s="29">
        <v>0</v>
      </c>
    </row>
    <row r="409" spans="1:10" x14ac:dyDescent="0.2">
      <c r="A409" s="2352" t="s">
        <v>1458</v>
      </c>
      <c r="B409" s="809" t="s">
        <v>2746</v>
      </c>
      <c r="C409" s="1077">
        <v>91000</v>
      </c>
      <c r="D409" s="1077">
        <v>91000</v>
      </c>
      <c r="E409" s="1077">
        <v>90750</v>
      </c>
      <c r="F409" s="1077"/>
      <c r="G409" s="2200">
        <f t="shared" si="56"/>
        <v>99.72527472527473</v>
      </c>
      <c r="H409" s="2200">
        <f t="shared" si="58"/>
        <v>99.72527472527473</v>
      </c>
      <c r="I409" s="2201">
        <f t="shared" si="57"/>
        <v>45.454545454545453</v>
      </c>
      <c r="J409" s="29">
        <v>199650</v>
      </c>
    </row>
    <row r="410" spans="1:10" x14ac:dyDescent="0.2">
      <c r="A410" s="2352" t="s">
        <v>440</v>
      </c>
      <c r="B410" s="809" t="s">
        <v>2747</v>
      </c>
      <c r="C410" s="1077">
        <v>10000</v>
      </c>
      <c r="D410" s="1077">
        <v>10000</v>
      </c>
      <c r="E410" s="1077">
        <v>0</v>
      </c>
      <c r="F410" s="1077"/>
      <c r="G410" s="2200">
        <f t="shared" si="56"/>
        <v>0</v>
      </c>
      <c r="H410" s="2200">
        <f t="shared" si="58"/>
        <v>0</v>
      </c>
      <c r="I410" s="2201">
        <v>0</v>
      </c>
      <c r="J410" s="29">
        <v>0</v>
      </c>
    </row>
    <row r="411" spans="1:10" s="98" customFormat="1" x14ac:dyDescent="0.2">
      <c r="A411" s="2352" t="s">
        <v>1447</v>
      </c>
      <c r="B411" s="809" t="s">
        <v>2748</v>
      </c>
      <c r="C411" s="1077">
        <v>2400000</v>
      </c>
      <c r="D411" s="1077">
        <f>2400000+250000</f>
        <v>2650000</v>
      </c>
      <c r="E411" s="1077">
        <v>2640498.17</v>
      </c>
      <c r="F411" s="1077"/>
      <c r="G411" s="2200">
        <f t="shared" si="56"/>
        <v>110.02075708333332</v>
      </c>
      <c r="H411" s="2200">
        <f t="shared" si="58"/>
        <v>99.641440377358492</v>
      </c>
      <c r="I411" s="2201">
        <f t="shared" si="57"/>
        <v>242.46998806244261</v>
      </c>
      <c r="J411" s="29">
        <v>1089000</v>
      </c>
    </row>
    <row r="412" spans="1:10" s="98" customFormat="1" x14ac:dyDescent="0.2">
      <c r="A412" s="2352" t="s">
        <v>1452</v>
      </c>
      <c r="B412" s="809" t="s">
        <v>2749</v>
      </c>
      <c r="C412" s="1077">
        <v>6080000</v>
      </c>
      <c r="D412" s="1077">
        <f>6080000-80000-35000-900000</f>
        <v>5065000</v>
      </c>
      <c r="E412" s="1077">
        <v>5017079.55</v>
      </c>
      <c r="F412" s="1077"/>
      <c r="G412" s="2200">
        <f t="shared" si="56"/>
        <v>82.51775575657895</v>
      </c>
      <c r="H412" s="2200">
        <f t="shared" si="58"/>
        <v>99.053890424481736</v>
      </c>
      <c r="I412" s="2201">
        <f t="shared" si="57"/>
        <v>1547.1443043049217</v>
      </c>
      <c r="J412" s="29">
        <v>324280</v>
      </c>
    </row>
    <row r="413" spans="1:10" s="98" customFormat="1" x14ac:dyDescent="0.2">
      <c r="A413" s="2352" t="s">
        <v>453</v>
      </c>
      <c r="B413" s="809" t="s">
        <v>2750</v>
      </c>
      <c r="C413" s="1077">
        <v>200000</v>
      </c>
      <c r="D413" s="1077">
        <v>200000</v>
      </c>
      <c r="E413" s="1077">
        <v>0</v>
      </c>
      <c r="F413" s="1077"/>
      <c r="G413" s="2200">
        <f t="shared" si="56"/>
        <v>0</v>
      </c>
      <c r="H413" s="2200">
        <f t="shared" si="58"/>
        <v>0</v>
      </c>
      <c r="I413" s="2201">
        <v>0</v>
      </c>
      <c r="J413" s="29">
        <v>0</v>
      </c>
    </row>
    <row r="414" spans="1:10" s="98" customFormat="1" x14ac:dyDescent="0.2">
      <c r="A414" s="2352" t="s">
        <v>1336</v>
      </c>
      <c r="B414" s="809" t="s">
        <v>2751</v>
      </c>
      <c r="C414" s="1077">
        <v>250000</v>
      </c>
      <c r="D414" s="1077">
        <f>250000+35000</f>
        <v>285000</v>
      </c>
      <c r="E414" s="1077">
        <v>284350</v>
      </c>
      <c r="F414" s="1077"/>
      <c r="G414" s="2200">
        <f t="shared" si="56"/>
        <v>113.74</v>
      </c>
      <c r="H414" s="2200">
        <f t="shared" si="58"/>
        <v>99.771929824561397</v>
      </c>
      <c r="I414" s="2201">
        <v>0</v>
      </c>
      <c r="J414" s="29">
        <v>0</v>
      </c>
    </row>
    <row r="415" spans="1:10" s="98" customFormat="1" x14ac:dyDescent="0.2">
      <c r="A415" s="2352" t="s">
        <v>449</v>
      </c>
      <c r="B415" s="809" t="s">
        <v>2752</v>
      </c>
      <c r="C415" s="1077">
        <v>18000000</v>
      </c>
      <c r="D415" s="1077">
        <f>18000000+3000000+19000+300000</f>
        <v>21319000</v>
      </c>
      <c r="E415" s="1077">
        <v>21318487.66</v>
      </c>
      <c r="F415" s="1077"/>
      <c r="G415" s="2200">
        <f t="shared" si="56"/>
        <v>118.43604255555556</v>
      </c>
      <c r="H415" s="2200">
        <f t="shared" si="58"/>
        <v>99.997596791594361</v>
      </c>
      <c r="I415" s="2201">
        <f t="shared" si="57"/>
        <v>1499.8407122300462</v>
      </c>
      <c r="J415" s="29">
        <v>1421383.45</v>
      </c>
    </row>
    <row r="416" spans="1:10" ht="14.25" customHeight="1" x14ac:dyDescent="0.2">
      <c r="A416" s="2352" t="s">
        <v>1462</v>
      </c>
      <c r="B416" s="809" t="s">
        <v>2753</v>
      </c>
      <c r="C416" s="1077">
        <v>10000</v>
      </c>
      <c r="D416" s="1077">
        <v>10000</v>
      </c>
      <c r="E416" s="1077">
        <v>0</v>
      </c>
      <c r="F416" s="1077"/>
      <c r="G416" s="2200">
        <f t="shared" si="56"/>
        <v>0</v>
      </c>
      <c r="H416" s="2200">
        <f t="shared" si="58"/>
        <v>0</v>
      </c>
      <c r="I416" s="2201">
        <f t="shared" si="57"/>
        <v>0</v>
      </c>
      <c r="J416" s="29">
        <v>340010</v>
      </c>
    </row>
    <row r="417" spans="1:10" x14ac:dyDescent="0.2">
      <c r="A417" s="2352" t="s">
        <v>2754</v>
      </c>
      <c r="B417" s="809" t="s">
        <v>2755</v>
      </c>
      <c r="C417" s="1077">
        <v>1800000</v>
      </c>
      <c r="D417" s="1077">
        <v>1800000</v>
      </c>
      <c r="E417" s="1077">
        <v>1735897.06</v>
      </c>
      <c r="F417" s="1077"/>
      <c r="G417" s="2200">
        <f t="shared" si="56"/>
        <v>96.438725555555564</v>
      </c>
      <c r="H417" s="2200">
        <f t="shared" si="58"/>
        <v>96.438725555555564</v>
      </c>
      <c r="I417" s="2201">
        <v>0</v>
      </c>
      <c r="J417" s="29">
        <v>0</v>
      </c>
    </row>
    <row r="418" spans="1:10" x14ac:dyDescent="0.2">
      <c r="A418" s="2352" t="s">
        <v>436</v>
      </c>
      <c r="B418" s="809" t="s">
        <v>2756</v>
      </c>
      <c r="C418" s="2341">
        <v>100000</v>
      </c>
      <c r="D418" s="2341">
        <f>100000+80000</f>
        <v>180000</v>
      </c>
      <c r="E418" s="2341">
        <v>179080</v>
      </c>
      <c r="F418" s="2341"/>
      <c r="G418" s="2200">
        <f t="shared" si="56"/>
        <v>179.07999999999998</v>
      </c>
      <c r="H418" s="2200">
        <f t="shared" si="58"/>
        <v>99.488888888888894</v>
      </c>
      <c r="I418" s="2201">
        <v>0</v>
      </c>
      <c r="J418" s="29">
        <v>0</v>
      </c>
    </row>
    <row r="419" spans="1:10" x14ac:dyDescent="0.2">
      <c r="A419" s="2296">
        <v>2219</v>
      </c>
      <c r="B419" s="1240" t="s">
        <v>1470</v>
      </c>
      <c r="C419" s="727">
        <f>SUM(C420:C448)</f>
        <v>17652000</v>
      </c>
      <c r="D419" s="727">
        <f>SUM(D420:D449)</f>
        <v>20554500</v>
      </c>
      <c r="E419" s="727">
        <v>19675227.300000001</v>
      </c>
      <c r="F419" s="2341">
        <f>SUM(E420:E448)</f>
        <v>19675227.300000001</v>
      </c>
      <c r="G419" s="1663">
        <f t="shared" si="56"/>
        <v>111.46174541128484</v>
      </c>
      <c r="H419" s="1663">
        <f t="shared" si="58"/>
        <v>95.722237466248274</v>
      </c>
      <c r="I419" s="1662">
        <f t="shared" si="57"/>
        <v>87.37103764737661</v>
      </c>
      <c r="J419" s="29">
        <v>22519164.050000001</v>
      </c>
    </row>
    <row r="420" spans="1:10" x14ac:dyDescent="0.2">
      <c r="A420" s="2352" t="s">
        <v>299</v>
      </c>
      <c r="B420" s="809" t="s">
        <v>2757</v>
      </c>
      <c r="C420" s="1077">
        <v>200000</v>
      </c>
      <c r="D420" s="1077">
        <f>200000-90000+70000</f>
        <v>180000</v>
      </c>
      <c r="E420" s="1077">
        <v>148709</v>
      </c>
      <c r="F420" s="1077"/>
      <c r="G420" s="2200">
        <f t="shared" si="56"/>
        <v>74.354500000000002</v>
      </c>
      <c r="H420" s="2200">
        <f t="shared" si="58"/>
        <v>82.61611111111111</v>
      </c>
      <c r="I420" s="2201">
        <f t="shared" si="57"/>
        <v>48.084963283677645</v>
      </c>
      <c r="J420" s="29">
        <v>309263</v>
      </c>
    </row>
    <row r="421" spans="1:10" x14ac:dyDescent="0.2">
      <c r="A421" s="2352" t="s">
        <v>301</v>
      </c>
      <c r="B421" s="809" t="s">
        <v>2758</v>
      </c>
      <c r="C421" s="1077">
        <v>1500000</v>
      </c>
      <c r="D421" s="1077">
        <f>1500000-32000-104000-17000+2000000-301000-70000-1700000</f>
        <v>1276000</v>
      </c>
      <c r="E421" s="1077">
        <v>1229907.81</v>
      </c>
      <c r="F421" s="1077"/>
      <c r="G421" s="2200">
        <f t="shared" ref="G421:G484" si="63">E421/C421*100</f>
        <v>81.993853999999999</v>
      </c>
      <c r="H421" s="2200">
        <f t="shared" si="58"/>
        <v>96.387759404388717</v>
      </c>
      <c r="I421" s="2201">
        <f t="shared" ref="I421:I484" si="64">E421/J421*100</f>
        <v>86.410757740108949</v>
      </c>
      <c r="J421" s="29">
        <v>1423327.19</v>
      </c>
    </row>
    <row r="422" spans="1:10" x14ac:dyDescent="0.2">
      <c r="A422" s="2352" t="s">
        <v>467</v>
      </c>
      <c r="B422" s="809" t="s">
        <v>2759</v>
      </c>
      <c r="C422" s="1077">
        <v>130000</v>
      </c>
      <c r="D422" s="1077">
        <f>130000+104000</f>
        <v>234000</v>
      </c>
      <c r="E422" s="1077">
        <v>233530</v>
      </c>
      <c r="F422" s="1077"/>
      <c r="G422" s="2200">
        <f t="shared" si="63"/>
        <v>179.63846153846154</v>
      </c>
      <c r="H422" s="2200">
        <f t="shared" si="58"/>
        <v>99.799145299145295</v>
      </c>
      <c r="I422" s="2201">
        <f t="shared" si="64"/>
        <v>9.9313914912041099</v>
      </c>
      <c r="J422" s="29">
        <v>2351432.83</v>
      </c>
    </row>
    <row r="423" spans="1:10" ht="25.5" x14ac:dyDescent="0.2">
      <c r="A423" s="2352" t="s">
        <v>471</v>
      </c>
      <c r="B423" s="2372" t="s">
        <v>2760</v>
      </c>
      <c r="C423" s="1077">
        <v>0</v>
      </c>
      <c r="D423" s="1077">
        <f>90000</f>
        <v>90000</v>
      </c>
      <c r="E423" s="1077">
        <v>88330</v>
      </c>
      <c r="F423" s="1077"/>
      <c r="G423" s="2200">
        <v>0</v>
      </c>
      <c r="H423" s="2200">
        <f t="shared" si="58"/>
        <v>98.144444444444446</v>
      </c>
      <c r="I423" s="2201">
        <f t="shared" si="64"/>
        <v>20.165745856353592</v>
      </c>
      <c r="J423" s="1866">
        <v>438020</v>
      </c>
    </row>
    <row r="424" spans="1:10" x14ac:dyDescent="0.2">
      <c r="A424" s="2352" t="s">
        <v>1473</v>
      </c>
      <c r="B424" s="1112" t="s">
        <v>2761</v>
      </c>
      <c r="C424" s="1077">
        <v>102000</v>
      </c>
      <c r="D424" s="1077">
        <v>102000</v>
      </c>
      <c r="E424" s="1077">
        <v>0</v>
      </c>
      <c r="F424" s="1077"/>
      <c r="G424" s="2200">
        <f t="shared" si="63"/>
        <v>0</v>
      </c>
      <c r="H424" s="2200">
        <f t="shared" si="58"/>
        <v>0</v>
      </c>
      <c r="I424" s="2201">
        <f t="shared" si="64"/>
        <v>0</v>
      </c>
      <c r="J424" s="29">
        <v>1479762.09</v>
      </c>
    </row>
    <row r="425" spans="1:10" x14ac:dyDescent="0.2">
      <c r="A425" s="2352" t="s">
        <v>2762</v>
      </c>
      <c r="B425" s="1112" t="s">
        <v>2763</v>
      </c>
      <c r="C425" s="1077">
        <v>150000</v>
      </c>
      <c r="D425" s="1077">
        <v>150000</v>
      </c>
      <c r="E425" s="1077">
        <v>148830</v>
      </c>
      <c r="F425" s="1077"/>
      <c r="G425" s="2200">
        <f t="shared" si="63"/>
        <v>99.22</v>
      </c>
      <c r="H425" s="2200">
        <f t="shared" ref="H425:H488" si="65">E425/D425*100</f>
        <v>99.22</v>
      </c>
      <c r="I425" s="2201">
        <v>0</v>
      </c>
      <c r="J425" s="29">
        <v>0</v>
      </c>
    </row>
    <row r="426" spans="1:10" x14ac:dyDescent="0.2">
      <c r="A426" s="2352" t="s">
        <v>473</v>
      </c>
      <c r="B426" s="1112" t="s">
        <v>2764</v>
      </c>
      <c r="C426" s="1077">
        <v>10000</v>
      </c>
      <c r="D426" s="1077">
        <f>10000+17000</f>
        <v>27000</v>
      </c>
      <c r="E426" s="1077">
        <v>26150</v>
      </c>
      <c r="F426" s="1077"/>
      <c r="G426" s="2200">
        <f t="shared" si="63"/>
        <v>261.5</v>
      </c>
      <c r="H426" s="2200">
        <f t="shared" si="65"/>
        <v>96.851851851851862</v>
      </c>
      <c r="I426" s="2201">
        <v>0</v>
      </c>
      <c r="J426" s="29">
        <v>0</v>
      </c>
    </row>
    <row r="427" spans="1:10" x14ac:dyDescent="0.2">
      <c r="A427" s="2352" t="s">
        <v>1505</v>
      </c>
      <c r="B427" s="1112" t="s">
        <v>3122</v>
      </c>
      <c r="C427" s="1077">
        <v>64000</v>
      </c>
      <c r="D427" s="1077">
        <v>64000</v>
      </c>
      <c r="E427" s="1077">
        <v>8000</v>
      </c>
      <c r="F427" s="1077"/>
      <c r="G427" s="2200">
        <f t="shared" si="63"/>
        <v>12.5</v>
      </c>
      <c r="H427" s="2200">
        <f t="shared" si="65"/>
        <v>12.5</v>
      </c>
      <c r="I427" s="2201">
        <f t="shared" si="64"/>
        <v>3.7209302325581395</v>
      </c>
      <c r="J427" s="29">
        <v>215000</v>
      </c>
    </row>
    <row r="428" spans="1:10" x14ac:dyDescent="0.2">
      <c r="A428" s="2352" t="s">
        <v>1507</v>
      </c>
      <c r="B428" s="1112" t="s">
        <v>3123</v>
      </c>
      <c r="C428" s="1077">
        <v>57000</v>
      </c>
      <c r="D428" s="1077">
        <v>57000</v>
      </c>
      <c r="E428" s="1077">
        <v>0</v>
      </c>
      <c r="F428" s="1077"/>
      <c r="G428" s="2200">
        <f t="shared" si="63"/>
        <v>0</v>
      </c>
      <c r="H428" s="2200">
        <f t="shared" si="65"/>
        <v>0</v>
      </c>
      <c r="I428" s="2201">
        <f t="shared" si="64"/>
        <v>0</v>
      </c>
      <c r="J428" s="29">
        <v>123000</v>
      </c>
    </row>
    <row r="429" spans="1:10" x14ac:dyDescent="0.2">
      <c r="A429" s="2352" t="s">
        <v>1491</v>
      </c>
      <c r="B429" s="1112" t="s">
        <v>2772</v>
      </c>
      <c r="C429" s="1077">
        <v>0</v>
      </c>
      <c r="D429" s="1077">
        <f>472200+32000</f>
        <v>504200</v>
      </c>
      <c r="E429" s="1077">
        <v>504068.29</v>
      </c>
      <c r="F429" s="1077"/>
      <c r="G429" s="2200">
        <v>0</v>
      </c>
      <c r="H429" s="2200">
        <f t="shared" si="65"/>
        <v>99.973877429591425</v>
      </c>
      <c r="I429" s="2201">
        <f t="shared" si="64"/>
        <v>37.87391014461538</v>
      </c>
      <c r="J429" s="29">
        <v>1330911.67</v>
      </c>
    </row>
    <row r="430" spans="1:10" x14ac:dyDescent="0.2">
      <c r="A430" s="2352" t="s">
        <v>1497</v>
      </c>
      <c r="B430" s="1112" t="s">
        <v>2767</v>
      </c>
      <c r="C430" s="1077">
        <v>5000</v>
      </c>
      <c r="D430" s="1077">
        <v>5000</v>
      </c>
      <c r="E430" s="1077">
        <v>0</v>
      </c>
      <c r="F430" s="1077"/>
      <c r="G430" s="2200">
        <f t="shared" si="63"/>
        <v>0</v>
      </c>
      <c r="H430" s="2200">
        <f t="shared" si="65"/>
        <v>0</v>
      </c>
      <c r="I430" s="2201">
        <f t="shared" si="64"/>
        <v>0</v>
      </c>
      <c r="J430" s="29">
        <v>71390</v>
      </c>
    </row>
    <row r="431" spans="1:10" x14ac:dyDescent="0.2">
      <c r="A431" s="2352" t="s">
        <v>1501</v>
      </c>
      <c r="B431" s="1112" t="s">
        <v>3124</v>
      </c>
      <c r="C431" s="1077">
        <v>370000</v>
      </c>
      <c r="D431" s="1077">
        <f>370000-32000-21000-22000</f>
        <v>295000</v>
      </c>
      <c r="E431" s="1077">
        <v>0</v>
      </c>
      <c r="F431" s="1077"/>
      <c r="G431" s="2200">
        <f t="shared" si="63"/>
        <v>0</v>
      </c>
      <c r="H431" s="2200">
        <f t="shared" si="65"/>
        <v>0</v>
      </c>
      <c r="I431" s="2201">
        <v>0</v>
      </c>
      <c r="J431" s="29">
        <v>133100</v>
      </c>
    </row>
    <row r="432" spans="1:10" x14ac:dyDescent="0.2">
      <c r="A432" s="2352" t="s">
        <v>1503</v>
      </c>
      <c r="B432" s="1112" t="s">
        <v>2769</v>
      </c>
      <c r="C432" s="1077">
        <v>5000</v>
      </c>
      <c r="D432" s="1077">
        <v>5000</v>
      </c>
      <c r="E432" s="1077">
        <v>0</v>
      </c>
      <c r="F432" s="1077"/>
      <c r="G432" s="2200">
        <f t="shared" si="63"/>
        <v>0</v>
      </c>
      <c r="H432" s="2200">
        <f t="shared" si="65"/>
        <v>0</v>
      </c>
      <c r="I432" s="2201">
        <f t="shared" si="64"/>
        <v>0</v>
      </c>
      <c r="J432" s="29">
        <v>206910</v>
      </c>
    </row>
    <row r="433" spans="1:10" x14ac:dyDescent="0.2">
      <c r="A433" s="2352" t="s">
        <v>1480</v>
      </c>
      <c r="B433" s="1112" t="s">
        <v>2770</v>
      </c>
      <c r="C433" s="1077">
        <v>10000</v>
      </c>
      <c r="D433" s="1077">
        <f>10000+32000+21000</f>
        <v>63000</v>
      </c>
      <c r="E433" s="1077">
        <v>20812</v>
      </c>
      <c r="F433" s="1077"/>
      <c r="G433" s="2200">
        <f t="shared" si="63"/>
        <v>208.12</v>
      </c>
      <c r="H433" s="2200">
        <f t="shared" si="65"/>
        <v>33.034920634920631</v>
      </c>
      <c r="I433" s="2201">
        <f t="shared" si="64"/>
        <v>16.619684567778002</v>
      </c>
      <c r="J433" s="29">
        <v>125225</v>
      </c>
    </row>
    <row r="434" spans="1:10" x14ac:dyDescent="0.2">
      <c r="A434" s="2352" t="s">
        <v>1478</v>
      </c>
      <c r="B434" s="1112" t="s">
        <v>2771</v>
      </c>
      <c r="C434" s="1077">
        <v>0</v>
      </c>
      <c r="D434" s="1077">
        <f>685000</f>
        <v>685000</v>
      </c>
      <c r="E434" s="1077">
        <v>684885.57</v>
      </c>
      <c r="F434" s="1077"/>
      <c r="G434" s="2200">
        <v>0</v>
      </c>
      <c r="H434" s="2200">
        <f t="shared" si="65"/>
        <v>99.983294890510948</v>
      </c>
      <c r="I434" s="2201">
        <f t="shared" si="64"/>
        <v>19.050393028402816</v>
      </c>
      <c r="J434" s="29">
        <v>3595125.67</v>
      </c>
    </row>
    <row r="435" spans="1:10" x14ac:dyDescent="0.2">
      <c r="A435" s="2352" t="s">
        <v>1495</v>
      </c>
      <c r="B435" s="1112" t="s">
        <v>2773</v>
      </c>
      <c r="C435" s="1077">
        <v>20000</v>
      </c>
      <c r="D435" s="1077">
        <v>20000</v>
      </c>
      <c r="E435" s="1077">
        <v>0</v>
      </c>
      <c r="F435" s="1077"/>
      <c r="G435" s="2200">
        <f t="shared" si="63"/>
        <v>0</v>
      </c>
      <c r="H435" s="2200">
        <f t="shared" si="65"/>
        <v>0</v>
      </c>
      <c r="I435" s="2201">
        <v>0</v>
      </c>
      <c r="J435" s="29">
        <v>20000</v>
      </c>
    </row>
    <row r="436" spans="1:10" x14ac:dyDescent="0.2">
      <c r="A436" s="2352" t="s">
        <v>1527</v>
      </c>
      <c r="B436" s="1112" t="s">
        <v>2774</v>
      </c>
      <c r="C436" s="1077">
        <v>0</v>
      </c>
      <c r="D436" s="1077">
        <f>2021300</f>
        <v>2021300</v>
      </c>
      <c r="E436" s="1077">
        <v>2021299.43</v>
      </c>
      <c r="F436" s="1077"/>
      <c r="G436" s="2200">
        <v>0</v>
      </c>
      <c r="H436" s="2200">
        <f t="shared" si="65"/>
        <v>99.99997180032652</v>
      </c>
      <c r="I436" s="2201">
        <f t="shared" si="64"/>
        <v>34.519041539851962</v>
      </c>
      <c r="J436" s="29">
        <v>5855607.0499999998</v>
      </c>
    </row>
    <row r="437" spans="1:10" x14ac:dyDescent="0.2">
      <c r="A437" s="2352" t="s">
        <v>503</v>
      </c>
      <c r="B437" s="1112" t="s">
        <v>2775</v>
      </c>
      <c r="C437" s="1077">
        <v>5000</v>
      </c>
      <c r="D437" s="1077">
        <v>5000</v>
      </c>
      <c r="E437" s="1077">
        <v>0</v>
      </c>
      <c r="F437" s="1077"/>
      <c r="G437" s="2200">
        <f t="shared" si="63"/>
        <v>0</v>
      </c>
      <c r="H437" s="2200">
        <f t="shared" si="65"/>
        <v>0</v>
      </c>
      <c r="I437" s="2201">
        <v>0</v>
      </c>
      <c r="J437" s="29">
        <v>3800</v>
      </c>
    </row>
    <row r="438" spans="1:10" x14ac:dyDescent="0.2">
      <c r="A438" s="2352" t="s">
        <v>1513</v>
      </c>
      <c r="B438" s="1112" t="s">
        <v>2776</v>
      </c>
      <c r="C438" s="1077">
        <v>9300000</v>
      </c>
      <c r="D438" s="1077">
        <f>9300000-1000000+300000-256000</f>
        <v>8344000</v>
      </c>
      <c r="E438" s="1077">
        <v>8307198.29</v>
      </c>
      <c r="F438" s="1077"/>
      <c r="G438" s="2200">
        <f t="shared" si="63"/>
        <v>89.324712795698929</v>
      </c>
      <c r="H438" s="2200">
        <f t="shared" si="65"/>
        <v>99.558944031639513</v>
      </c>
      <c r="I438" s="2201">
        <v>0</v>
      </c>
      <c r="J438" s="29">
        <v>0</v>
      </c>
    </row>
    <row r="439" spans="1:10" x14ac:dyDescent="0.2">
      <c r="A439" s="2352" t="s">
        <v>1515</v>
      </c>
      <c r="B439" s="1112" t="s">
        <v>2777</v>
      </c>
      <c r="C439" s="1077">
        <v>350000</v>
      </c>
      <c r="D439" s="1077">
        <f>350000+437000+22000+301000</f>
        <v>1110000</v>
      </c>
      <c r="E439" s="1077">
        <v>1109879</v>
      </c>
      <c r="F439" s="1077"/>
      <c r="G439" s="2200">
        <f t="shared" si="63"/>
        <v>317.10828571428573</v>
      </c>
      <c r="H439" s="2200">
        <f t="shared" si="65"/>
        <v>99.989099099099093</v>
      </c>
      <c r="I439" s="2201">
        <f t="shared" si="64"/>
        <v>223.76592741935485</v>
      </c>
      <c r="J439" s="29">
        <v>496000</v>
      </c>
    </row>
    <row r="440" spans="1:10" x14ac:dyDescent="0.2">
      <c r="A440" s="2352" t="s">
        <v>1517</v>
      </c>
      <c r="B440" s="1112" t="s">
        <v>2778</v>
      </c>
      <c r="C440" s="1077">
        <v>10000</v>
      </c>
      <c r="D440" s="1077">
        <v>10000</v>
      </c>
      <c r="E440" s="1077">
        <v>0</v>
      </c>
      <c r="F440" s="1077"/>
      <c r="G440" s="2200">
        <f t="shared" si="63"/>
        <v>0</v>
      </c>
      <c r="H440" s="2200">
        <f t="shared" si="65"/>
        <v>0</v>
      </c>
      <c r="I440" s="2201">
        <v>0</v>
      </c>
      <c r="J440" s="29">
        <v>629200</v>
      </c>
    </row>
    <row r="441" spans="1:10" x14ac:dyDescent="0.2">
      <c r="A441" s="2352" t="s">
        <v>1519</v>
      </c>
      <c r="B441" s="1112" t="s">
        <v>2779</v>
      </c>
      <c r="C441" s="1077">
        <v>79000</v>
      </c>
      <c r="D441" s="1077">
        <v>79000</v>
      </c>
      <c r="E441" s="1077">
        <v>0</v>
      </c>
      <c r="F441" s="1077"/>
      <c r="G441" s="2200">
        <f t="shared" si="63"/>
        <v>0</v>
      </c>
      <c r="H441" s="2200">
        <f t="shared" si="65"/>
        <v>0</v>
      </c>
      <c r="I441" s="2201">
        <v>0</v>
      </c>
      <c r="J441" s="29">
        <v>447700</v>
      </c>
    </row>
    <row r="442" spans="1:10" x14ac:dyDescent="0.2">
      <c r="A442" s="2352" t="s">
        <v>1521</v>
      </c>
      <c r="B442" s="1112" t="s">
        <v>2780</v>
      </c>
      <c r="C442" s="1077">
        <v>1000</v>
      </c>
      <c r="D442" s="1077">
        <v>1000</v>
      </c>
      <c r="E442" s="1077">
        <v>0</v>
      </c>
      <c r="F442" s="1077"/>
      <c r="G442" s="2200">
        <f t="shared" si="63"/>
        <v>0</v>
      </c>
      <c r="H442" s="2200">
        <f t="shared" si="65"/>
        <v>0</v>
      </c>
      <c r="I442" s="2201">
        <v>0</v>
      </c>
      <c r="J442" s="29">
        <v>0</v>
      </c>
    </row>
    <row r="443" spans="1:10" x14ac:dyDescent="0.2">
      <c r="A443" s="2352" t="s">
        <v>1531</v>
      </c>
      <c r="B443" s="1112" t="s">
        <v>2781</v>
      </c>
      <c r="C443" s="1077">
        <v>50000</v>
      </c>
      <c r="D443" s="1077">
        <v>50000</v>
      </c>
      <c r="E443" s="1077">
        <v>0</v>
      </c>
      <c r="F443" s="1077"/>
      <c r="G443" s="2200">
        <f t="shared" si="63"/>
        <v>0</v>
      </c>
      <c r="H443" s="2200">
        <f t="shared" si="65"/>
        <v>0</v>
      </c>
      <c r="I443" s="2201">
        <f t="shared" si="64"/>
        <v>0</v>
      </c>
      <c r="J443" s="29">
        <v>14520</v>
      </c>
    </row>
    <row r="444" spans="1:10" x14ac:dyDescent="0.2">
      <c r="A444" s="2352" t="s">
        <v>1523</v>
      </c>
      <c r="B444" s="1112" t="s">
        <v>2782</v>
      </c>
      <c r="C444" s="1077">
        <v>3600000</v>
      </c>
      <c r="D444" s="1077">
        <f>3600000+400000+150000+256000</f>
        <v>4406000</v>
      </c>
      <c r="E444" s="1077">
        <v>4405527.91</v>
      </c>
      <c r="F444" s="1077"/>
      <c r="G444" s="2200">
        <f t="shared" si="63"/>
        <v>122.37577527777779</v>
      </c>
      <c r="H444" s="2200">
        <f t="shared" si="65"/>
        <v>99.989285292782569</v>
      </c>
      <c r="I444" s="2201">
        <f t="shared" si="64"/>
        <v>1123.7444929088867</v>
      </c>
      <c r="J444" s="29">
        <v>392040</v>
      </c>
    </row>
    <row r="445" spans="1:10" x14ac:dyDescent="0.2">
      <c r="A445" s="2352" t="s">
        <v>2356</v>
      </c>
      <c r="B445" s="809" t="s">
        <v>2783</v>
      </c>
      <c r="C445" s="2341">
        <v>740000</v>
      </c>
      <c r="D445" s="2341">
        <v>740000</v>
      </c>
      <c r="E445" s="2341">
        <v>738100</v>
      </c>
      <c r="F445" s="2341"/>
      <c r="G445" s="2200">
        <f t="shared" si="63"/>
        <v>99.743243243243242</v>
      </c>
      <c r="H445" s="2200">
        <f t="shared" si="65"/>
        <v>99.743243243243242</v>
      </c>
      <c r="I445" s="2201">
        <v>0</v>
      </c>
      <c r="J445" s="29">
        <v>0</v>
      </c>
    </row>
    <row r="446" spans="1:10" x14ac:dyDescent="0.2">
      <c r="A446" s="2352" t="s">
        <v>2784</v>
      </c>
      <c r="B446" s="1112" t="s">
        <v>2785</v>
      </c>
      <c r="C446" s="1077">
        <v>441000</v>
      </c>
      <c r="D446" s="1077">
        <f>441000-437000</f>
        <v>4000</v>
      </c>
      <c r="E446" s="1077">
        <v>0</v>
      </c>
      <c r="F446" s="1077"/>
      <c r="G446" s="2200">
        <f t="shared" si="63"/>
        <v>0</v>
      </c>
      <c r="H446" s="2200">
        <f t="shared" si="65"/>
        <v>0</v>
      </c>
      <c r="I446" s="2201">
        <v>0</v>
      </c>
      <c r="J446" s="29">
        <v>0</v>
      </c>
    </row>
    <row r="447" spans="1:10" x14ac:dyDescent="0.2">
      <c r="A447" s="2352" t="s">
        <v>2786</v>
      </c>
      <c r="B447" s="1112" t="s">
        <v>2787</v>
      </c>
      <c r="C447" s="1077">
        <v>303000</v>
      </c>
      <c r="D447" s="1077">
        <f>303000-303000</f>
        <v>0</v>
      </c>
      <c r="E447" s="1077">
        <v>0</v>
      </c>
      <c r="F447" s="1077"/>
      <c r="G447" s="2200">
        <f t="shared" si="63"/>
        <v>0</v>
      </c>
      <c r="H447" s="2200">
        <v>0</v>
      </c>
      <c r="I447" s="2201">
        <v>0</v>
      </c>
      <c r="J447" s="29">
        <v>0</v>
      </c>
    </row>
    <row r="448" spans="1:10" x14ac:dyDescent="0.2">
      <c r="A448" s="2352" t="s">
        <v>2788</v>
      </c>
      <c r="B448" s="809" t="s">
        <v>2089</v>
      </c>
      <c r="C448" s="2341">
        <v>150000</v>
      </c>
      <c r="D448" s="2341">
        <f>150000-150000</f>
        <v>0</v>
      </c>
      <c r="E448" s="2341">
        <v>0</v>
      </c>
      <c r="F448" s="2341"/>
      <c r="G448" s="2200">
        <f t="shared" si="63"/>
        <v>0</v>
      </c>
      <c r="H448" s="2200">
        <v>0</v>
      </c>
      <c r="I448" s="2201">
        <v>0</v>
      </c>
      <c r="J448" s="29">
        <v>0</v>
      </c>
    </row>
    <row r="449" spans="1:10" x14ac:dyDescent="0.2">
      <c r="A449" s="2352" t="s">
        <v>1499</v>
      </c>
      <c r="B449" s="1112" t="s">
        <v>2789</v>
      </c>
      <c r="C449" s="1077">
        <v>327000</v>
      </c>
      <c r="D449" s="1077">
        <f>327000-300000</f>
        <v>27000</v>
      </c>
      <c r="E449" s="1077">
        <v>0</v>
      </c>
      <c r="F449" s="1077"/>
      <c r="G449" s="2200">
        <f t="shared" si="63"/>
        <v>0</v>
      </c>
      <c r="H449" s="2200">
        <f t="shared" si="65"/>
        <v>0</v>
      </c>
      <c r="I449" s="2201">
        <v>0</v>
      </c>
      <c r="J449" s="29">
        <v>0</v>
      </c>
    </row>
    <row r="450" spans="1:10" x14ac:dyDescent="0.2">
      <c r="A450" s="2296">
        <v>2221</v>
      </c>
      <c r="B450" s="1240" t="s">
        <v>1534</v>
      </c>
      <c r="C450" s="727">
        <f>SUM(C451:C452)</f>
        <v>400000</v>
      </c>
      <c r="D450" s="727">
        <f>SUM(D451:D452)</f>
        <v>360000</v>
      </c>
      <c r="E450" s="727">
        <v>208216.8</v>
      </c>
      <c r="F450" s="2341">
        <f>SUM(E451:E452)</f>
        <v>208216.8</v>
      </c>
      <c r="G450" s="1663">
        <f t="shared" si="63"/>
        <v>52.054199999999994</v>
      </c>
      <c r="H450" s="1663">
        <f t="shared" si="65"/>
        <v>57.838000000000001</v>
      </c>
      <c r="I450" s="1662">
        <f t="shared" si="64"/>
        <v>12.852945933753865</v>
      </c>
      <c r="J450" s="29">
        <v>1619992.81</v>
      </c>
    </row>
    <row r="451" spans="1:10" x14ac:dyDescent="0.2">
      <c r="A451" s="2352" t="s">
        <v>1538</v>
      </c>
      <c r="B451" s="1112" t="s">
        <v>2790</v>
      </c>
      <c r="C451" s="1077">
        <v>150000</v>
      </c>
      <c r="D451" s="1077">
        <f>150000+210000</f>
        <v>360000</v>
      </c>
      <c r="E451" s="1077">
        <v>208216.8</v>
      </c>
      <c r="F451" s="1077"/>
      <c r="G451" s="2200">
        <f t="shared" si="63"/>
        <v>138.81120000000001</v>
      </c>
      <c r="H451" s="2200">
        <f t="shared" si="65"/>
        <v>57.838000000000001</v>
      </c>
      <c r="I451" s="2201">
        <v>0</v>
      </c>
      <c r="J451" s="29">
        <v>0</v>
      </c>
    </row>
    <row r="452" spans="1:10" x14ac:dyDescent="0.2">
      <c r="A452" s="2346" t="s">
        <v>2688</v>
      </c>
      <c r="B452" s="1078" t="s">
        <v>2791</v>
      </c>
      <c r="C452" s="1048">
        <v>250000</v>
      </c>
      <c r="D452" s="1048">
        <f>250000-250000</f>
        <v>0</v>
      </c>
      <c r="E452" s="1048">
        <v>0</v>
      </c>
      <c r="F452" s="1048"/>
      <c r="G452" s="2200">
        <f t="shared" si="63"/>
        <v>0</v>
      </c>
      <c r="H452" s="2200">
        <v>0</v>
      </c>
      <c r="I452" s="2201">
        <v>0</v>
      </c>
      <c r="J452" s="29">
        <v>0</v>
      </c>
    </row>
    <row r="453" spans="1:10" ht="15.75" x14ac:dyDescent="0.25">
      <c r="A453" s="2373"/>
      <c r="B453" s="1195" t="s">
        <v>1540</v>
      </c>
      <c r="C453" s="1916">
        <f>SUM(C454,C464,C475)</f>
        <v>48595000</v>
      </c>
      <c r="D453" s="1916">
        <f>SUM(D454,D464,D475)</f>
        <v>59998000</v>
      </c>
      <c r="E453" s="1916">
        <v>58916176.130000003</v>
      </c>
      <c r="F453" s="2374">
        <f>SUM(E454,E464,E475)</f>
        <v>58916176.130000003</v>
      </c>
      <c r="G453" s="2325">
        <f t="shared" si="63"/>
        <v>121.23917302191585</v>
      </c>
      <c r="H453" s="2325">
        <f t="shared" si="65"/>
        <v>98.196900113337122</v>
      </c>
      <c r="I453" s="2325">
        <f t="shared" si="64"/>
        <v>97.643599332842186</v>
      </c>
      <c r="J453" s="29">
        <v>60337980.710000001</v>
      </c>
    </row>
    <row r="454" spans="1:10" x14ac:dyDescent="0.2">
      <c r="A454" s="2375">
        <v>3111</v>
      </c>
      <c r="B454" s="1953" t="s">
        <v>1541</v>
      </c>
      <c r="C454" s="1138">
        <f>SUM(C455:C463)</f>
        <v>3730000</v>
      </c>
      <c r="D454" s="1138">
        <f>SUM(D455:D463)</f>
        <v>3740000</v>
      </c>
      <c r="E454" s="1138">
        <v>3254492.89</v>
      </c>
      <c r="F454" s="2364">
        <f>SUM(E455:E463)</f>
        <v>3254492.89</v>
      </c>
      <c r="G454" s="1663">
        <f t="shared" si="63"/>
        <v>87.251820107238615</v>
      </c>
      <c r="H454" s="1663">
        <f t="shared" si="65"/>
        <v>87.018526470588242</v>
      </c>
      <c r="I454" s="1662">
        <f t="shared" si="64"/>
        <v>59.828794452231882</v>
      </c>
      <c r="J454" s="29">
        <v>5439676.5300000003</v>
      </c>
    </row>
    <row r="455" spans="1:10" x14ac:dyDescent="0.2">
      <c r="A455" s="2352" t="s">
        <v>1550</v>
      </c>
      <c r="B455" s="2376" t="s">
        <v>2792</v>
      </c>
      <c r="C455" s="1077">
        <v>5000</v>
      </c>
      <c r="D455" s="1077">
        <v>5000</v>
      </c>
      <c r="E455" s="854">
        <v>0</v>
      </c>
      <c r="F455" s="854"/>
      <c r="G455" s="2200">
        <f t="shared" si="63"/>
        <v>0</v>
      </c>
      <c r="H455" s="2200">
        <f t="shared" si="65"/>
        <v>0</v>
      </c>
      <c r="I455" s="2201">
        <v>0</v>
      </c>
      <c r="J455" s="29">
        <v>72000</v>
      </c>
    </row>
    <row r="456" spans="1:10" x14ac:dyDescent="0.2">
      <c r="A456" s="2352" t="s">
        <v>3125</v>
      </c>
      <c r="B456" s="2376" t="s">
        <v>2793</v>
      </c>
      <c r="C456" s="1077">
        <v>3000000</v>
      </c>
      <c r="D456" s="1077">
        <f>3000000-500000+470000+(-23000+63000)-9000</f>
        <v>3001000</v>
      </c>
      <c r="E456" s="854">
        <v>2999595.39</v>
      </c>
      <c r="F456" s="854"/>
      <c r="G456" s="2200">
        <f t="shared" si="63"/>
        <v>99.986513000000002</v>
      </c>
      <c r="H456" s="2200">
        <f t="shared" si="65"/>
        <v>99.953195268243917</v>
      </c>
      <c r="I456" s="2201">
        <f t="shared" si="64"/>
        <v>2416.1836788942055</v>
      </c>
      <c r="J456" s="29">
        <v>124146</v>
      </c>
    </row>
    <row r="457" spans="1:10" x14ac:dyDescent="0.2">
      <c r="A457" s="2352" t="s">
        <v>2794</v>
      </c>
      <c r="B457" s="2376" t="s">
        <v>2795</v>
      </c>
      <c r="C457" s="1077">
        <v>300000</v>
      </c>
      <c r="D457" s="1077">
        <f>300000-25000-9000</f>
        <v>266000</v>
      </c>
      <c r="E457" s="854">
        <v>23897.5</v>
      </c>
      <c r="F457" s="854"/>
      <c r="G457" s="2200">
        <f t="shared" si="63"/>
        <v>7.9658333333333333</v>
      </c>
      <c r="H457" s="2200">
        <f t="shared" si="65"/>
        <v>8.9840225563909772</v>
      </c>
      <c r="I457" s="2201">
        <v>0</v>
      </c>
      <c r="J457" s="29">
        <v>0</v>
      </c>
    </row>
    <row r="458" spans="1:10" x14ac:dyDescent="0.2">
      <c r="A458" s="2352" t="s">
        <v>1546</v>
      </c>
      <c r="B458" s="809" t="s">
        <v>2796</v>
      </c>
      <c r="C458" s="1077">
        <v>10000</v>
      </c>
      <c r="D458" s="1077">
        <f>10000-10000</f>
        <v>0</v>
      </c>
      <c r="E458" s="1077">
        <v>0</v>
      </c>
      <c r="F458" s="1077"/>
      <c r="G458" s="2200">
        <f t="shared" si="63"/>
        <v>0</v>
      </c>
      <c r="H458" s="2200">
        <v>0</v>
      </c>
      <c r="I458" s="2201">
        <f t="shared" si="64"/>
        <v>0</v>
      </c>
      <c r="J458" s="29">
        <v>9680</v>
      </c>
    </row>
    <row r="459" spans="1:10" x14ac:dyDescent="0.2">
      <c r="A459" s="2352" t="s">
        <v>2797</v>
      </c>
      <c r="B459" s="2376" t="s">
        <v>2798</v>
      </c>
      <c r="C459" s="854">
        <v>100000</v>
      </c>
      <c r="D459" s="854">
        <f>100000-18000+22000</f>
        <v>104000</v>
      </c>
      <c r="E459" s="854">
        <v>104000</v>
      </c>
      <c r="F459" s="854"/>
      <c r="G459" s="2200">
        <f t="shared" si="63"/>
        <v>104</v>
      </c>
      <c r="H459" s="2200">
        <f t="shared" si="65"/>
        <v>100</v>
      </c>
      <c r="I459" s="2201">
        <v>0</v>
      </c>
      <c r="J459" s="29">
        <v>0</v>
      </c>
    </row>
    <row r="460" spans="1:10" x14ac:dyDescent="0.2">
      <c r="A460" s="2352" t="s">
        <v>1548</v>
      </c>
      <c r="B460" s="809" t="s">
        <v>2799</v>
      </c>
      <c r="C460" s="1077">
        <v>5000</v>
      </c>
      <c r="D460" s="1077">
        <f>5000-3000</f>
        <v>2000</v>
      </c>
      <c r="E460" s="1077">
        <v>0</v>
      </c>
      <c r="F460" s="1077"/>
      <c r="G460" s="2200">
        <f t="shared" si="63"/>
        <v>0</v>
      </c>
      <c r="H460" s="2200">
        <f t="shared" si="65"/>
        <v>0</v>
      </c>
      <c r="I460" s="2201">
        <v>0</v>
      </c>
      <c r="J460" s="29">
        <v>0</v>
      </c>
    </row>
    <row r="461" spans="1:10" x14ac:dyDescent="0.2">
      <c r="A461" s="2352" t="s">
        <v>1558</v>
      </c>
      <c r="B461" s="2376" t="s">
        <v>2800</v>
      </c>
      <c r="C461" s="854">
        <v>200000</v>
      </c>
      <c r="D461" s="854">
        <f>200000+25000</f>
        <v>225000</v>
      </c>
      <c r="E461" s="854">
        <v>0</v>
      </c>
      <c r="F461" s="854"/>
      <c r="G461" s="2200">
        <f t="shared" si="63"/>
        <v>0</v>
      </c>
      <c r="H461" s="2200">
        <f t="shared" si="65"/>
        <v>0</v>
      </c>
      <c r="I461" s="2201">
        <v>0</v>
      </c>
      <c r="J461" s="29">
        <v>0</v>
      </c>
    </row>
    <row r="462" spans="1:10" x14ac:dyDescent="0.2">
      <c r="A462" s="2352" t="s">
        <v>1556</v>
      </c>
      <c r="B462" s="2376" t="s">
        <v>2801</v>
      </c>
      <c r="C462" s="1077">
        <v>100000</v>
      </c>
      <c r="D462" s="1077">
        <f>100000+27000</f>
        <v>127000</v>
      </c>
      <c r="E462" s="854">
        <v>127000</v>
      </c>
      <c r="F462" s="854"/>
      <c r="G462" s="2200">
        <f t="shared" si="63"/>
        <v>127</v>
      </c>
      <c r="H462" s="2200">
        <f t="shared" si="65"/>
        <v>100</v>
      </c>
      <c r="I462" s="2201">
        <v>0</v>
      </c>
      <c r="J462" s="29">
        <v>0</v>
      </c>
    </row>
    <row r="463" spans="1:10" x14ac:dyDescent="0.2">
      <c r="A463" s="2352" t="s">
        <v>1554</v>
      </c>
      <c r="B463" s="2376" t="s">
        <v>3126</v>
      </c>
      <c r="C463" s="1077">
        <v>10000</v>
      </c>
      <c r="D463" s="1077">
        <v>10000</v>
      </c>
      <c r="E463" s="854">
        <v>0</v>
      </c>
      <c r="F463" s="854"/>
      <c r="G463" s="2200">
        <f t="shared" si="63"/>
        <v>0</v>
      </c>
      <c r="H463" s="2200">
        <f t="shared" si="65"/>
        <v>0</v>
      </c>
      <c r="I463" s="2201">
        <v>0</v>
      </c>
      <c r="J463" s="29">
        <v>0</v>
      </c>
    </row>
    <row r="464" spans="1:10" x14ac:dyDescent="0.2">
      <c r="A464" s="2276">
        <v>3113</v>
      </c>
      <c r="B464" s="903" t="s">
        <v>3127</v>
      </c>
      <c r="C464" s="1671">
        <f>SUM(C465:C474)</f>
        <v>44850000</v>
      </c>
      <c r="D464" s="1671">
        <f>SUM(D465:D474)</f>
        <v>56239850</v>
      </c>
      <c r="E464" s="1671">
        <v>55643533.240000002</v>
      </c>
      <c r="F464" s="854">
        <f>SUM(E465:E474)</f>
        <v>55643533.239999995</v>
      </c>
      <c r="G464" s="1663">
        <f t="shared" si="63"/>
        <v>124.06584891861763</v>
      </c>
      <c r="H464" s="1663">
        <f t="shared" si="65"/>
        <v>98.939689988504597</v>
      </c>
      <c r="I464" s="1662">
        <f t="shared" si="64"/>
        <v>170.49061799699254</v>
      </c>
      <c r="J464" s="29">
        <v>32637299.280000001</v>
      </c>
    </row>
    <row r="465" spans="1:10" x14ac:dyDescent="0.2">
      <c r="A465" s="2377" t="s">
        <v>1561</v>
      </c>
      <c r="B465" s="2376" t="s">
        <v>2803</v>
      </c>
      <c r="C465" s="854">
        <v>34700000</v>
      </c>
      <c r="D465" s="854">
        <f>34700000+14800000+420000+33000+70000</f>
        <v>50023000</v>
      </c>
      <c r="E465" s="854">
        <v>50021991.359999999</v>
      </c>
      <c r="F465" s="854"/>
      <c r="G465" s="2200">
        <f t="shared" si="63"/>
        <v>144.15559469740634</v>
      </c>
      <c r="H465" s="2200">
        <f t="shared" si="65"/>
        <v>99.997983647522133</v>
      </c>
      <c r="I465" s="2201">
        <f t="shared" si="64"/>
        <v>82680.977454545457</v>
      </c>
      <c r="J465" s="29">
        <v>60500</v>
      </c>
    </row>
    <row r="466" spans="1:10" x14ac:dyDescent="0.2">
      <c r="A466" s="2352" t="s">
        <v>1571</v>
      </c>
      <c r="B466" s="809" t="s">
        <v>2804</v>
      </c>
      <c r="C466" s="1077">
        <v>220000</v>
      </c>
      <c r="D466" s="1077">
        <f>220000+10000</f>
        <v>230000</v>
      </c>
      <c r="E466" s="854">
        <v>53000</v>
      </c>
      <c r="F466" s="1077"/>
      <c r="G466" s="2200">
        <f t="shared" si="63"/>
        <v>24.09090909090909</v>
      </c>
      <c r="H466" s="2200">
        <f t="shared" si="65"/>
        <v>23.043478260869566</v>
      </c>
      <c r="I466" s="2201">
        <v>0</v>
      </c>
      <c r="J466" s="29">
        <v>0</v>
      </c>
    </row>
    <row r="467" spans="1:10" x14ac:dyDescent="0.2">
      <c r="A467" s="2378" t="s">
        <v>2805</v>
      </c>
      <c r="B467" s="809" t="s">
        <v>2806</v>
      </c>
      <c r="C467" s="1077">
        <v>2100000</v>
      </c>
      <c r="D467" s="1077">
        <f>2100000+(-55000+75000)+2000000</f>
        <v>4120000</v>
      </c>
      <c r="E467" s="854">
        <v>4109293.98</v>
      </c>
      <c r="F467" s="1077"/>
      <c r="G467" s="2200">
        <f t="shared" si="63"/>
        <v>195.68066571428571</v>
      </c>
      <c r="H467" s="2200">
        <f t="shared" si="65"/>
        <v>99.740145145631061</v>
      </c>
      <c r="I467" s="2201">
        <v>0</v>
      </c>
      <c r="J467" s="29">
        <v>0</v>
      </c>
    </row>
    <row r="468" spans="1:10" x14ac:dyDescent="0.2">
      <c r="A468" s="2377" t="s">
        <v>1563</v>
      </c>
      <c r="B468" s="2376" t="s">
        <v>2807</v>
      </c>
      <c r="C468" s="1077">
        <v>5000</v>
      </c>
      <c r="D468" s="1077">
        <v>5000</v>
      </c>
      <c r="E468" s="854">
        <v>0</v>
      </c>
      <c r="F468" s="854"/>
      <c r="G468" s="2200">
        <f t="shared" si="63"/>
        <v>0</v>
      </c>
      <c r="H468" s="2200">
        <f t="shared" si="65"/>
        <v>0</v>
      </c>
      <c r="I468" s="2201">
        <v>0</v>
      </c>
      <c r="J468" s="29">
        <v>0</v>
      </c>
    </row>
    <row r="469" spans="1:10" x14ac:dyDescent="0.2">
      <c r="A469" s="2352" t="s">
        <v>2808</v>
      </c>
      <c r="B469" s="2376" t="s">
        <v>2809</v>
      </c>
      <c r="C469" s="2341">
        <v>3000000</v>
      </c>
      <c r="D469" s="2341">
        <f>3000000-10000+(-1443000-254000)</f>
        <v>1293000</v>
      </c>
      <c r="E469" s="831">
        <v>1291464.46</v>
      </c>
      <c r="F469" s="831"/>
      <c r="G469" s="2200">
        <f t="shared" si="63"/>
        <v>43.048815333333337</v>
      </c>
      <c r="H469" s="2200">
        <f t="shared" si="65"/>
        <v>99.881242072699152</v>
      </c>
      <c r="I469" s="2201">
        <v>0</v>
      </c>
      <c r="J469" s="29">
        <v>0</v>
      </c>
    </row>
    <row r="470" spans="1:10" x14ac:dyDescent="0.2">
      <c r="A470" s="2352" t="s">
        <v>2810</v>
      </c>
      <c r="B470" s="2376" t="s">
        <v>2811</v>
      </c>
      <c r="C470" s="2341">
        <v>355000</v>
      </c>
      <c r="D470" s="2341">
        <v>355000</v>
      </c>
      <c r="E470" s="831">
        <v>0</v>
      </c>
      <c r="F470" s="831"/>
      <c r="G470" s="2200">
        <f t="shared" si="63"/>
        <v>0</v>
      </c>
      <c r="H470" s="2200">
        <f t="shared" si="65"/>
        <v>0</v>
      </c>
      <c r="I470" s="2201">
        <v>0</v>
      </c>
      <c r="J470" s="29">
        <v>0</v>
      </c>
    </row>
    <row r="471" spans="1:10" x14ac:dyDescent="0.2">
      <c r="A471" s="2352" t="s">
        <v>1573</v>
      </c>
      <c r="B471" s="2376" t="s">
        <v>2812</v>
      </c>
      <c r="C471" s="1077">
        <v>10000</v>
      </c>
      <c r="D471" s="1077">
        <f>10000-3150</f>
        <v>6850</v>
      </c>
      <c r="E471" s="854">
        <v>0</v>
      </c>
      <c r="F471" s="854"/>
      <c r="G471" s="2200">
        <f t="shared" si="63"/>
        <v>0</v>
      </c>
      <c r="H471" s="2200">
        <f t="shared" si="65"/>
        <v>0</v>
      </c>
      <c r="I471" s="2201">
        <v>0</v>
      </c>
      <c r="J471" s="29">
        <v>148600</v>
      </c>
    </row>
    <row r="472" spans="1:10" x14ac:dyDescent="0.2">
      <c r="A472" s="2352" t="s">
        <v>1575</v>
      </c>
      <c r="B472" s="2376" t="s">
        <v>2813</v>
      </c>
      <c r="C472" s="1077">
        <v>10000</v>
      </c>
      <c r="D472" s="1077">
        <v>10000</v>
      </c>
      <c r="E472" s="854">
        <v>0</v>
      </c>
      <c r="F472" s="854"/>
      <c r="G472" s="2200">
        <f t="shared" si="63"/>
        <v>0</v>
      </c>
      <c r="H472" s="2200">
        <f t="shared" si="65"/>
        <v>0</v>
      </c>
      <c r="I472" s="2201">
        <v>0</v>
      </c>
      <c r="J472" s="29">
        <v>106480</v>
      </c>
    </row>
    <row r="473" spans="1:10" x14ac:dyDescent="0.2">
      <c r="A473" s="2352" t="s">
        <v>1579</v>
      </c>
      <c r="B473" s="2376" t="s">
        <v>2814</v>
      </c>
      <c r="C473" s="854">
        <v>150000</v>
      </c>
      <c r="D473" s="854">
        <f>150000-20000+12000+12000+14000</f>
        <v>168000</v>
      </c>
      <c r="E473" s="854">
        <v>167783.44</v>
      </c>
      <c r="F473" s="854"/>
      <c r="G473" s="2200">
        <f t="shared" si="63"/>
        <v>111.85562666666667</v>
      </c>
      <c r="H473" s="2200">
        <f t="shared" si="65"/>
        <v>99.871095238095236</v>
      </c>
      <c r="I473" s="2201">
        <v>0</v>
      </c>
      <c r="J473" s="29">
        <v>0</v>
      </c>
    </row>
    <row r="474" spans="1:10" x14ac:dyDescent="0.2">
      <c r="A474" s="2352" t="s">
        <v>2815</v>
      </c>
      <c r="B474" s="2376" t="s">
        <v>2816</v>
      </c>
      <c r="C474" s="831">
        <v>4300000</v>
      </c>
      <c r="D474" s="831">
        <f>4300000-420000-470000-40000-33000-12000-70000-12000-14000-2000000-1200000</f>
        <v>29000</v>
      </c>
      <c r="E474" s="831">
        <v>0</v>
      </c>
      <c r="F474" s="831"/>
      <c r="G474" s="2200">
        <f t="shared" si="63"/>
        <v>0</v>
      </c>
      <c r="H474" s="2200">
        <f t="shared" si="65"/>
        <v>0</v>
      </c>
      <c r="I474" s="2201">
        <v>0</v>
      </c>
      <c r="J474" s="29">
        <v>0</v>
      </c>
    </row>
    <row r="475" spans="1:10" x14ac:dyDescent="0.2">
      <c r="A475" s="2276">
        <v>3412</v>
      </c>
      <c r="B475" s="910" t="s">
        <v>1581</v>
      </c>
      <c r="C475" s="1671">
        <f>SUM(C476:C476)</f>
        <v>15000</v>
      </c>
      <c r="D475" s="1671">
        <f>SUM(D476:D476)</f>
        <v>18150</v>
      </c>
      <c r="E475" s="1671">
        <v>18150</v>
      </c>
      <c r="F475" s="854"/>
      <c r="G475" s="1663">
        <f t="shared" si="63"/>
        <v>121</v>
      </c>
      <c r="H475" s="1663">
        <f t="shared" si="65"/>
        <v>100</v>
      </c>
      <c r="I475" s="1662">
        <f t="shared" si="64"/>
        <v>8.1532707447542055E-2</v>
      </c>
      <c r="J475" s="29">
        <v>22261004.899999999</v>
      </c>
    </row>
    <row r="476" spans="1:10" x14ac:dyDescent="0.2">
      <c r="A476" s="2377" t="s">
        <v>1582</v>
      </c>
      <c r="B476" s="2376" t="s">
        <v>2381</v>
      </c>
      <c r="C476" s="1077">
        <v>15000</v>
      </c>
      <c r="D476" s="1077">
        <f>15000+3150</f>
        <v>18150</v>
      </c>
      <c r="E476" s="854">
        <v>18150</v>
      </c>
      <c r="F476" s="854"/>
      <c r="G476" s="2200">
        <f t="shared" si="63"/>
        <v>121</v>
      </c>
      <c r="H476" s="2200">
        <f t="shared" si="65"/>
        <v>100</v>
      </c>
      <c r="I476" s="2201">
        <f t="shared" si="64"/>
        <v>39.084370558594259</v>
      </c>
      <c r="J476" s="29">
        <v>46438</v>
      </c>
    </row>
    <row r="477" spans="1:10" ht="15.75" x14ac:dyDescent="0.25">
      <c r="A477" s="2379"/>
      <c r="B477" s="1107" t="s">
        <v>527</v>
      </c>
      <c r="C477" s="1952">
        <f t="shared" ref="C477:D477" si="66">SUM(C478+C480+C483)</f>
        <v>6871000</v>
      </c>
      <c r="D477" s="1952">
        <f t="shared" si="66"/>
        <v>4071000</v>
      </c>
      <c r="E477" s="1952">
        <v>3636465.86</v>
      </c>
      <c r="F477" s="2380">
        <f>SUM(E478,E480,E483)</f>
        <v>3636465.86</v>
      </c>
      <c r="G477" s="2325">
        <f t="shared" si="63"/>
        <v>52.924841507786347</v>
      </c>
      <c r="H477" s="2325">
        <f t="shared" si="65"/>
        <v>89.326108081552434</v>
      </c>
      <c r="I477" s="2325">
        <f t="shared" si="64"/>
        <v>104.66998871864818</v>
      </c>
      <c r="J477" s="29">
        <v>3474220.17</v>
      </c>
    </row>
    <row r="478" spans="1:10" x14ac:dyDescent="0.2">
      <c r="A478" s="2381">
        <v>2219</v>
      </c>
      <c r="B478" s="1953" t="s">
        <v>1470</v>
      </c>
      <c r="C478" s="1138">
        <f t="shared" ref="C478:D478" si="67">SUM(C479)</f>
        <v>2300000</v>
      </c>
      <c r="D478" s="1138">
        <f t="shared" si="67"/>
        <v>1000000</v>
      </c>
      <c r="E478" s="2382">
        <v>684597.69</v>
      </c>
      <c r="F478" s="2364">
        <f>SUM(E479)</f>
        <v>684597.69</v>
      </c>
      <c r="G478" s="1663">
        <f t="shared" si="63"/>
        <v>29.765116956521737</v>
      </c>
      <c r="H478" s="1663">
        <f t="shared" si="65"/>
        <v>68.459768999999994</v>
      </c>
      <c r="I478" s="1662">
        <f t="shared" si="64"/>
        <v>57.011925925818588</v>
      </c>
      <c r="J478" s="29">
        <v>1200797.3400000001</v>
      </c>
    </row>
    <row r="479" spans="1:10" x14ac:dyDescent="0.2">
      <c r="A479" s="2352" t="s">
        <v>2383</v>
      </c>
      <c r="B479" s="1112" t="s">
        <v>2817</v>
      </c>
      <c r="C479" s="1077">
        <v>2300000</v>
      </c>
      <c r="D479" s="1077">
        <f>2300000-1300000</f>
        <v>1000000</v>
      </c>
      <c r="E479" s="1077">
        <v>684597.69</v>
      </c>
      <c r="F479" s="1077"/>
      <c r="G479" s="2200">
        <f t="shared" si="63"/>
        <v>29.765116956521737</v>
      </c>
      <c r="H479" s="2200">
        <f t="shared" si="65"/>
        <v>68.459768999999994</v>
      </c>
      <c r="I479" s="2201">
        <f t="shared" si="64"/>
        <v>57.011925925818588</v>
      </c>
      <c r="J479" s="29">
        <v>1200797.3400000001</v>
      </c>
    </row>
    <row r="480" spans="1:10" x14ac:dyDescent="0.2">
      <c r="A480" s="2276">
        <v>3613</v>
      </c>
      <c r="B480" s="910" t="s">
        <v>1589</v>
      </c>
      <c r="C480" s="727">
        <f t="shared" ref="C480:D480" si="68">SUM(C481:C482)</f>
        <v>550000</v>
      </c>
      <c r="D480" s="727">
        <f t="shared" si="68"/>
        <v>50000</v>
      </c>
      <c r="E480" s="727">
        <v>0</v>
      </c>
      <c r="F480" s="2341">
        <f>SUM(E481:E482)</f>
        <v>0</v>
      </c>
      <c r="G480" s="1663">
        <f t="shared" si="63"/>
        <v>0</v>
      </c>
      <c r="H480" s="1663">
        <f t="shared" si="65"/>
        <v>0</v>
      </c>
      <c r="I480" s="1662">
        <f t="shared" si="64"/>
        <v>0</v>
      </c>
      <c r="J480" s="29">
        <v>325646.5</v>
      </c>
    </row>
    <row r="481" spans="1:10" x14ac:dyDescent="0.2">
      <c r="A481" s="2352" t="s">
        <v>1590</v>
      </c>
      <c r="B481" s="1958" t="s">
        <v>2818</v>
      </c>
      <c r="C481" s="1077">
        <v>150000</v>
      </c>
      <c r="D481" s="1077">
        <f>150000-100000-7500</f>
        <v>42500</v>
      </c>
      <c r="E481" s="1077">
        <v>0</v>
      </c>
      <c r="F481" s="1077"/>
      <c r="G481" s="2200">
        <f t="shared" si="63"/>
        <v>0</v>
      </c>
      <c r="H481" s="2200">
        <f t="shared" si="65"/>
        <v>0</v>
      </c>
      <c r="I481" s="2201">
        <f t="shared" si="64"/>
        <v>0</v>
      </c>
      <c r="J481" s="29">
        <v>198137.5</v>
      </c>
    </row>
    <row r="482" spans="1:10" x14ac:dyDescent="0.2">
      <c r="A482" s="2352" t="s">
        <v>529</v>
      </c>
      <c r="B482" s="1958" t="s">
        <v>2819</v>
      </c>
      <c r="C482" s="1077">
        <v>400000</v>
      </c>
      <c r="D482" s="1077">
        <f>400000-400000+7500</f>
        <v>7500</v>
      </c>
      <c r="E482" s="1077">
        <v>0</v>
      </c>
      <c r="F482" s="1077"/>
      <c r="G482" s="2200">
        <f t="shared" si="63"/>
        <v>0</v>
      </c>
      <c r="H482" s="2200">
        <f t="shared" si="65"/>
        <v>0</v>
      </c>
      <c r="I482" s="2201">
        <f t="shared" si="64"/>
        <v>0</v>
      </c>
      <c r="J482" s="29">
        <v>127509</v>
      </c>
    </row>
    <row r="483" spans="1:10" x14ac:dyDescent="0.2">
      <c r="A483" s="2296">
        <v>3639</v>
      </c>
      <c r="B483" s="1240" t="s">
        <v>1593</v>
      </c>
      <c r="C483" s="727">
        <f t="shared" ref="C483:D483" si="69">SUM(C484:C488)</f>
        <v>4021000</v>
      </c>
      <c r="D483" s="727">
        <f t="shared" si="69"/>
        <v>3021000</v>
      </c>
      <c r="E483" s="727">
        <v>2951868.17</v>
      </c>
      <c r="F483" s="2341">
        <f>SUM(E484:E488)</f>
        <v>2951868.17</v>
      </c>
      <c r="G483" s="1663">
        <f t="shared" si="63"/>
        <v>73.411294951504601</v>
      </c>
      <c r="H483" s="1663">
        <f t="shared" si="65"/>
        <v>97.711624296590529</v>
      </c>
      <c r="I483" s="1662">
        <f t="shared" si="64"/>
        <v>151.55067471222426</v>
      </c>
      <c r="J483" s="29">
        <v>1947776.33</v>
      </c>
    </row>
    <row r="484" spans="1:10" x14ac:dyDescent="0.2">
      <c r="A484" s="2352" t="s">
        <v>534</v>
      </c>
      <c r="B484" s="1112" t="s">
        <v>2820</v>
      </c>
      <c r="C484" s="1077">
        <v>45000</v>
      </c>
      <c r="D484" s="1077">
        <v>45000</v>
      </c>
      <c r="E484" s="1077">
        <v>15759.62</v>
      </c>
      <c r="F484" s="1077"/>
      <c r="G484" s="2200">
        <f t="shared" si="63"/>
        <v>35.021377777777779</v>
      </c>
      <c r="H484" s="2200">
        <f t="shared" si="65"/>
        <v>35.021377777777779</v>
      </c>
      <c r="I484" s="2201">
        <f t="shared" si="64"/>
        <v>76.009281458641709</v>
      </c>
      <c r="J484" s="29">
        <v>20733.810000000001</v>
      </c>
    </row>
    <row r="485" spans="1:10" x14ac:dyDescent="0.2">
      <c r="A485" s="2352" t="s">
        <v>538</v>
      </c>
      <c r="B485" s="1112" t="s">
        <v>2821</v>
      </c>
      <c r="C485" s="1077">
        <v>412500</v>
      </c>
      <c r="D485" s="1077">
        <f>412500+86625+79860</f>
        <v>578985</v>
      </c>
      <c r="E485" s="1077">
        <v>574493.15</v>
      </c>
      <c r="F485" s="1077"/>
      <c r="G485" s="2200">
        <f t="shared" ref="G485:G548" si="70">E485/C485*100</f>
        <v>139.27106666666666</v>
      </c>
      <c r="H485" s="2200">
        <f t="shared" si="65"/>
        <v>99.224185427947191</v>
      </c>
      <c r="I485" s="2201">
        <f t="shared" ref="I485:I548" si="71">E485/J485*100</f>
        <v>115.1000089757039</v>
      </c>
      <c r="J485" s="29">
        <v>499125.2</v>
      </c>
    </row>
    <row r="486" spans="1:10" ht="12" customHeight="1" x14ac:dyDescent="0.2">
      <c r="A486" s="2352" t="s">
        <v>540</v>
      </c>
      <c r="B486" s="1958" t="s">
        <v>2822</v>
      </c>
      <c r="C486" s="1077">
        <v>3538500</v>
      </c>
      <c r="D486" s="1077">
        <f>3538500-50000-86625-79860-1000000</f>
        <v>2322015</v>
      </c>
      <c r="E486" s="1077">
        <v>2293640.5</v>
      </c>
      <c r="F486" s="1077"/>
      <c r="G486" s="2200">
        <f t="shared" si="70"/>
        <v>64.819570439451752</v>
      </c>
      <c r="H486" s="2200">
        <f t="shared" si="65"/>
        <v>98.778022536460782</v>
      </c>
      <c r="I486" s="2201">
        <f t="shared" si="71"/>
        <v>169.57208497676706</v>
      </c>
      <c r="J486" s="29">
        <v>1352605</v>
      </c>
    </row>
    <row r="487" spans="1:10" x14ac:dyDescent="0.2">
      <c r="A487" s="2352" t="s">
        <v>542</v>
      </c>
      <c r="B487" s="1112" t="s">
        <v>2823</v>
      </c>
      <c r="C487" s="1077">
        <v>25000</v>
      </c>
      <c r="D487" s="1077">
        <v>25000</v>
      </c>
      <c r="E487" s="1077">
        <v>19574.900000000001</v>
      </c>
      <c r="F487" s="1077"/>
      <c r="G487" s="2200">
        <f t="shared" si="70"/>
        <v>78.299599999999998</v>
      </c>
      <c r="H487" s="2200">
        <f t="shared" si="65"/>
        <v>78.299599999999998</v>
      </c>
      <c r="I487" s="2201">
        <f t="shared" si="71"/>
        <v>122.17269409174203</v>
      </c>
      <c r="J487" s="29">
        <v>16022.32</v>
      </c>
    </row>
    <row r="488" spans="1:10" x14ac:dyDescent="0.2">
      <c r="A488" s="2368" t="s">
        <v>2388</v>
      </c>
      <c r="B488" s="1078" t="s">
        <v>2824</v>
      </c>
      <c r="C488" s="1048">
        <v>0</v>
      </c>
      <c r="D488" s="1048">
        <f>50000</f>
        <v>50000</v>
      </c>
      <c r="E488" s="1048">
        <v>48400</v>
      </c>
      <c r="F488" s="1048"/>
      <c r="G488" s="2200">
        <v>0</v>
      </c>
      <c r="H488" s="2200">
        <f t="shared" si="65"/>
        <v>96.8</v>
      </c>
      <c r="I488" s="2201">
        <f t="shared" si="71"/>
        <v>81.632653061224488</v>
      </c>
      <c r="J488" s="29">
        <v>59290</v>
      </c>
    </row>
    <row r="489" spans="1:10" ht="15.75" x14ac:dyDescent="0.25">
      <c r="A489" s="2383"/>
      <c r="B489" s="1115" t="s">
        <v>1603</v>
      </c>
      <c r="C489" s="1055">
        <f>SUM(C490,C495)</f>
        <v>21805000</v>
      </c>
      <c r="D489" s="1055">
        <f>SUM(D490,D495)</f>
        <v>18005000</v>
      </c>
      <c r="E489" s="1055">
        <v>17580766.739999998</v>
      </c>
      <c r="F489" s="2384">
        <f>SUM(E490,E495)</f>
        <v>17580766.740000002</v>
      </c>
      <c r="G489" s="2325">
        <f t="shared" si="70"/>
        <v>80.627226507681712</v>
      </c>
      <c r="H489" s="2325">
        <f t="shared" ref="H489:H552" si="72">E489/D489*100</f>
        <v>97.643803054707007</v>
      </c>
      <c r="I489" s="2325">
        <f t="shared" si="71"/>
        <v>618.9466167566784</v>
      </c>
      <c r="J489" s="29">
        <v>2840433.45</v>
      </c>
    </row>
    <row r="490" spans="1:10" x14ac:dyDescent="0.2">
      <c r="A490" s="2362">
        <v>3311</v>
      </c>
      <c r="B490" s="1137" t="s">
        <v>1604</v>
      </c>
      <c r="C490" s="1138">
        <f>SUM(C491:C494)</f>
        <v>20410000</v>
      </c>
      <c r="D490" s="1138">
        <f>SUM(D491:D494)</f>
        <v>16610000</v>
      </c>
      <c r="E490" s="1138">
        <v>16307266.74</v>
      </c>
      <c r="F490" s="2364">
        <f>SUM(E491:E494)</f>
        <v>16307266.74</v>
      </c>
      <c r="G490" s="1663">
        <f t="shared" si="70"/>
        <v>79.898416168544827</v>
      </c>
      <c r="H490" s="1663">
        <f t="shared" si="72"/>
        <v>98.177403612281751</v>
      </c>
      <c r="I490" s="1662">
        <f t="shared" si="71"/>
        <v>4502.916407335103</v>
      </c>
      <c r="J490" s="29">
        <v>362149</v>
      </c>
    </row>
    <row r="491" spans="1:10" x14ac:dyDescent="0.2">
      <c r="A491" s="2377" t="s">
        <v>2390</v>
      </c>
      <c r="B491" s="2376" t="s">
        <v>2825</v>
      </c>
      <c r="C491" s="1077">
        <v>14900000</v>
      </c>
      <c r="D491" s="1077">
        <f>14900000-2800000-367000+12000</f>
        <v>11745000</v>
      </c>
      <c r="E491" s="854">
        <v>11658234.92</v>
      </c>
      <c r="F491" s="854"/>
      <c r="G491" s="2200">
        <f t="shared" si="70"/>
        <v>78.243187382550332</v>
      </c>
      <c r="H491" s="2200">
        <f t="shared" si="72"/>
        <v>99.261259429544495</v>
      </c>
      <c r="I491" s="2201">
        <f t="shared" si="71"/>
        <v>33309.242628571432</v>
      </c>
      <c r="J491" s="29">
        <v>35000</v>
      </c>
    </row>
    <row r="492" spans="1:10" x14ac:dyDescent="0.2">
      <c r="A492" s="2377" t="s">
        <v>2392</v>
      </c>
      <c r="B492" s="2376" t="s">
        <v>2826</v>
      </c>
      <c r="C492" s="1077">
        <v>5100000</v>
      </c>
      <c r="D492" s="1077">
        <f>5100000-1000000+393000</f>
        <v>4493000</v>
      </c>
      <c r="E492" s="854">
        <v>4449531.82</v>
      </c>
      <c r="F492" s="854"/>
      <c r="G492" s="2200">
        <f t="shared" si="70"/>
        <v>87.245721960784323</v>
      </c>
      <c r="H492" s="2200">
        <f t="shared" si="72"/>
        <v>99.032535499666153</v>
      </c>
      <c r="I492" s="2201">
        <v>0</v>
      </c>
      <c r="J492" s="29">
        <v>0</v>
      </c>
    </row>
    <row r="493" spans="1:10" x14ac:dyDescent="0.2">
      <c r="A493" s="2352" t="s">
        <v>3128</v>
      </c>
      <c r="B493" s="2376" t="s">
        <v>2827</v>
      </c>
      <c r="C493" s="1077">
        <v>210000</v>
      </c>
      <c r="D493" s="1077">
        <f>210000-26000-12000</f>
        <v>172000</v>
      </c>
      <c r="E493" s="854">
        <v>0</v>
      </c>
      <c r="F493" s="854"/>
      <c r="G493" s="2200">
        <f t="shared" si="70"/>
        <v>0</v>
      </c>
      <c r="H493" s="2200">
        <f t="shared" si="72"/>
        <v>0</v>
      </c>
      <c r="I493" s="2201">
        <v>0</v>
      </c>
      <c r="J493" s="29">
        <v>327149</v>
      </c>
    </row>
    <row r="494" spans="1:10" x14ac:dyDescent="0.2">
      <c r="A494" s="2352" t="s">
        <v>2828</v>
      </c>
      <c r="B494" s="809" t="s">
        <v>2829</v>
      </c>
      <c r="C494" s="1077">
        <v>200000</v>
      </c>
      <c r="D494" s="1077">
        <v>200000</v>
      </c>
      <c r="E494" s="1077">
        <v>199500</v>
      </c>
      <c r="F494" s="1077"/>
      <c r="G494" s="2200">
        <f t="shared" si="70"/>
        <v>99.75</v>
      </c>
      <c r="H494" s="2200">
        <f t="shared" si="72"/>
        <v>99.75</v>
      </c>
      <c r="I494" s="2201">
        <v>0</v>
      </c>
      <c r="J494" s="29">
        <v>0</v>
      </c>
    </row>
    <row r="495" spans="1:10" x14ac:dyDescent="0.2">
      <c r="A495" s="2276">
        <v>3392</v>
      </c>
      <c r="B495" s="910" t="s">
        <v>1611</v>
      </c>
      <c r="C495" s="1671">
        <f>SUM(C496:C498)</f>
        <v>1395000</v>
      </c>
      <c r="D495" s="1671">
        <f>SUM(D496:D498)</f>
        <v>1395000</v>
      </c>
      <c r="E495" s="1671">
        <v>1273500</v>
      </c>
      <c r="F495" s="831">
        <f>SUM(E496:E498)</f>
        <v>1273500</v>
      </c>
      <c r="G495" s="1663">
        <f t="shared" si="70"/>
        <v>91.290322580645167</v>
      </c>
      <c r="H495" s="1663">
        <f t="shared" si="72"/>
        <v>91.290322580645167</v>
      </c>
      <c r="I495" s="1662">
        <f t="shared" si="71"/>
        <v>122.79492235523264</v>
      </c>
      <c r="J495" s="29">
        <v>1037095</v>
      </c>
    </row>
    <row r="496" spans="1:10" x14ac:dyDescent="0.2">
      <c r="A496" s="2377" t="s">
        <v>1612</v>
      </c>
      <c r="B496" s="809" t="s">
        <v>2830</v>
      </c>
      <c r="C496" s="2341">
        <v>50000</v>
      </c>
      <c r="D496" s="2341">
        <v>50000</v>
      </c>
      <c r="E496" s="2341">
        <v>0</v>
      </c>
      <c r="F496" s="2341"/>
      <c r="G496" s="2200">
        <f t="shared" si="70"/>
        <v>0</v>
      </c>
      <c r="H496" s="2200">
        <f t="shared" si="72"/>
        <v>0</v>
      </c>
      <c r="I496" s="2201">
        <f t="shared" si="71"/>
        <v>0</v>
      </c>
      <c r="J496" s="29">
        <v>698170</v>
      </c>
    </row>
    <row r="497" spans="1:10" x14ac:dyDescent="0.2">
      <c r="A497" s="2377" t="s">
        <v>1618</v>
      </c>
      <c r="B497" s="2376" t="s">
        <v>2831</v>
      </c>
      <c r="C497" s="1077">
        <v>1340000</v>
      </c>
      <c r="D497" s="1077">
        <v>1340000</v>
      </c>
      <c r="E497" s="854">
        <v>1273500</v>
      </c>
      <c r="F497" s="854"/>
      <c r="G497" s="2200">
        <f t="shared" si="70"/>
        <v>95.03731343283583</v>
      </c>
      <c r="H497" s="2200">
        <f t="shared" si="72"/>
        <v>95.03731343283583</v>
      </c>
      <c r="I497" s="2201">
        <f t="shared" si="71"/>
        <v>696.1869618696187</v>
      </c>
      <c r="J497" s="29">
        <v>182925</v>
      </c>
    </row>
    <row r="498" spans="1:10" x14ac:dyDescent="0.2">
      <c r="A498" s="2368" t="s">
        <v>1620</v>
      </c>
      <c r="B498" s="2385" t="s">
        <v>2832</v>
      </c>
      <c r="C498" s="1048">
        <v>5000</v>
      </c>
      <c r="D498" s="1048">
        <v>5000</v>
      </c>
      <c r="E498" s="1508">
        <v>0</v>
      </c>
      <c r="F498" s="1508"/>
      <c r="G498" s="2200">
        <f t="shared" si="70"/>
        <v>0</v>
      </c>
      <c r="H498" s="2200">
        <f t="shared" si="72"/>
        <v>0</v>
      </c>
      <c r="I498" s="2201">
        <f t="shared" si="71"/>
        <v>0</v>
      </c>
      <c r="J498" s="29">
        <v>156000</v>
      </c>
    </row>
    <row r="499" spans="1:10" ht="15.75" x14ac:dyDescent="0.25">
      <c r="A499" s="2386"/>
      <c r="B499" s="1123" t="s">
        <v>1624</v>
      </c>
      <c r="C499" s="1109">
        <f t="shared" ref="C499:D499" si="73">SUM(C500)</f>
        <v>4105000</v>
      </c>
      <c r="D499" s="1109">
        <f t="shared" si="73"/>
        <v>15016000</v>
      </c>
      <c r="E499" s="1109">
        <v>13434241.83</v>
      </c>
      <c r="F499" s="2387"/>
      <c r="G499" s="2325">
        <f t="shared" si="70"/>
        <v>327.26533081607795</v>
      </c>
      <c r="H499" s="2325">
        <f t="shared" si="72"/>
        <v>89.466181606286625</v>
      </c>
      <c r="I499" s="2325">
        <f t="shared" si="71"/>
        <v>715.30489633840443</v>
      </c>
      <c r="J499" s="29">
        <v>1878114.06</v>
      </c>
    </row>
    <row r="500" spans="1:10" x14ac:dyDescent="0.2">
      <c r="A500" s="2388">
        <v>6171</v>
      </c>
      <c r="B500" s="2389" t="s">
        <v>1625</v>
      </c>
      <c r="C500" s="1815">
        <f>SUM(C501:C503)</f>
        <v>4105000</v>
      </c>
      <c r="D500" s="1815">
        <f>SUM(D501:D503)</f>
        <v>15016000</v>
      </c>
      <c r="E500" s="1815">
        <v>13434241.83</v>
      </c>
      <c r="F500" s="2390">
        <f>SUM(E501:E503)</f>
        <v>13434241.830000002</v>
      </c>
      <c r="G500" s="1663">
        <f t="shared" si="70"/>
        <v>327.26533081607795</v>
      </c>
      <c r="H500" s="1663">
        <f t="shared" si="72"/>
        <v>89.466181606286625</v>
      </c>
      <c r="I500" s="1662">
        <f t="shared" si="71"/>
        <v>715.30489633840443</v>
      </c>
      <c r="J500" s="29">
        <v>1878114.06</v>
      </c>
    </row>
    <row r="501" spans="1:10" x14ac:dyDescent="0.2">
      <c r="A501" s="2352" t="s">
        <v>2833</v>
      </c>
      <c r="B501" s="809" t="s">
        <v>2834</v>
      </c>
      <c r="C501" s="1077">
        <v>4100000</v>
      </c>
      <c r="D501" s="1077">
        <f>4100000+6020000+500000</f>
        <v>10620000</v>
      </c>
      <c r="E501" s="1077">
        <v>10404649.880000001</v>
      </c>
      <c r="F501" s="1077"/>
      <c r="G501" s="2200">
        <f t="shared" si="70"/>
        <v>253.77194829268294</v>
      </c>
      <c r="H501" s="2200">
        <f t="shared" si="72"/>
        <v>97.972221092278716</v>
      </c>
      <c r="I501" s="2201">
        <f t="shared" si="71"/>
        <v>759.07893552847236</v>
      </c>
      <c r="J501" s="29">
        <v>1370694.06</v>
      </c>
    </row>
    <row r="502" spans="1:10" x14ac:dyDescent="0.2">
      <c r="A502" s="2352" t="s">
        <v>1634</v>
      </c>
      <c r="B502" s="809" t="s">
        <v>2835</v>
      </c>
      <c r="C502" s="1077">
        <v>5000</v>
      </c>
      <c r="D502" s="1077">
        <v>5000</v>
      </c>
      <c r="E502" s="1077">
        <v>0</v>
      </c>
      <c r="F502" s="1077"/>
      <c r="G502" s="2200">
        <f t="shared" si="70"/>
        <v>0</v>
      </c>
      <c r="H502" s="2200">
        <f t="shared" si="72"/>
        <v>0</v>
      </c>
      <c r="I502" s="2201">
        <f t="shared" si="71"/>
        <v>0</v>
      </c>
      <c r="J502" s="29">
        <v>356950</v>
      </c>
    </row>
    <row r="503" spans="1:10" x14ac:dyDescent="0.2">
      <c r="A503" s="2368" t="s">
        <v>3129</v>
      </c>
      <c r="B503" s="1047" t="s">
        <v>2837</v>
      </c>
      <c r="C503" s="1048">
        <v>0</v>
      </c>
      <c r="D503" s="1048">
        <f>3050000+1341000</f>
        <v>4391000</v>
      </c>
      <c r="E503" s="1048">
        <v>3029591.95</v>
      </c>
      <c r="F503" s="1048"/>
      <c r="G503" s="2200">
        <v>0</v>
      </c>
      <c r="H503" s="2200">
        <f t="shared" si="72"/>
        <v>68.995489637895702</v>
      </c>
      <c r="I503" s="2201">
        <v>0</v>
      </c>
      <c r="J503" s="29">
        <v>0</v>
      </c>
    </row>
    <row r="504" spans="1:10" ht="15.75" x14ac:dyDescent="0.25">
      <c r="A504" s="2383"/>
      <c r="B504" s="1134" t="s">
        <v>1636</v>
      </c>
      <c r="C504" s="1055">
        <f>SUM(C514,C505,C507,C509,C512)</f>
        <v>5921000</v>
      </c>
      <c r="D504" s="1055">
        <f>SUM(D514,D505,D507,D509,D512)</f>
        <v>8003000</v>
      </c>
      <c r="E504" s="1055">
        <v>7793559.8700000001</v>
      </c>
      <c r="F504" s="2384">
        <f>SUM(E504,E514,E505,E507,E509,E512)</f>
        <v>15587119.74</v>
      </c>
      <c r="G504" s="2325">
        <f t="shared" si="70"/>
        <v>131.62573669988177</v>
      </c>
      <c r="H504" s="2325">
        <f t="shared" si="72"/>
        <v>97.382979757590903</v>
      </c>
      <c r="I504" s="2325">
        <f t="shared" si="71"/>
        <v>152.53391608676904</v>
      </c>
      <c r="J504" s="29">
        <v>5109394.7300000004</v>
      </c>
    </row>
    <row r="505" spans="1:10" x14ac:dyDescent="0.2">
      <c r="A505" s="2296">
        <v>2321</v>
      </c>
      <c r="B505" s="1240" t="s">
        <v>1429</v>
      </c>
      <c r="C505" s="727">
        <f t="shared" ref="C505:D507" si="74">SUM(C506:C506)</f>
        <v>250000</v>
      </c>
      <c r="D505" s="727">
        <f t="shared" si="74"/>
        <v>262000</v>
      </c>
      <c r="E505" s="727">
        <v>213064.98</v>
      </c>
      <c r="F505" s="2341"/>
      <c r="G505" s="1663">
        <f t="shared" si="70"/>
        <v>85.225992000000005</v>
      </c>
      <c r="H505" s="1663">
        <f t="shared" si="72"/>
        <v>81.322511450381683</v>
      </c>
      <c r="I505" s="1662">
        <v>0</v>
      </c>
      <c r="J505" s="29">
        <v>0</v>
      </c>
    </row>
    <row r="506" spans="1:10" x14ac:dyDescent="0.2">
      <c r="A506" s="2352" t="s">
        <v>1642</v>
      </c>
      <c r="B506" s="809" t="s">
        <v>2839</v>
      </c>
      <c r="C506" s="1077">
        <v>250000</v>
      </c>
      <c r="D506" s="1077">
        <f>250000+12000</f>
        <v>262000</v>
      </c>
      <c r="E506" s="1077">
        <v>213064.98</v>
      </c>
      <c r="F506" s="1077"/>
      <c r="G506" s="2200">
        <f t="shared" si="70"/>
        <v>85.225992000000005</v>
      </c>
      <c r="H506" s="2200">
        <f t="shared" si="72"/>
        <v>81.322511450381683</v>
      </c>
      <c r="I506" s="2201">
        <v>0</v>
      </c>
      <c r="J506" s="29">
        <v>0</v>
      </c>
    </row>
    <row r="507" spans="1:10" x14ac:dyDescent="0.2">
      <c r="A507" s="2296">
        <v>3612</v>
      </c>
      <c r="B507" s="1240" t="s">
        <v>1644</v>
      </c>
      <c r="C507" s="727">
        <f t="shared" si="74"/>
        <v>5000</v>
      </c>
      <c r="D507" s="727">
        <f t="shared" si="74"/>
        <v>5000</v>
      </c>
      <c r="E507" s="727">
        <v>0</v>
      </c>
      <c r="F507" s="2341"/>
      <c r="G507" s="1663">
        <f t="shared" si="70"/>
        <v>0</v>
      </c>
      <c r="H507" s="1663">
        <f t="shared" si="72"/>
        <v>0</v>
      </c>
      <c r="I507" s="1662">
        <f t="shared" si="71"/>
        <v>0</v>
      </c>
      <c r="J507" s="29">
        <v>12000</v>
      </c>
    </row>
    <row r="508" spans="1:10" x14ac:dyDescent="0.2">
      <c r="A508" s="2352" t="s">
        <v>2401</v>
      </c>
      <c r="B508" s="809" t="s">
        <v>2840</v>
      </c>
      <c r="C508" s="1077">
        <v>5000</v>
      </c>
      <c r="D508" s="1077">
        <v>5000</v>
      </c>
      <c r="E508" s="1077">
        <v>0</v>
      </c>
      <c r="F508" s="1077"/>
      <c r="G508" s="2200">
        <f t="shared" si="70"/>
        <v>0</v>
      </c>
      <c r="H508" s="2200">
        <f t="shared" si="72"/>
        <v>0</v>
      </c>
      <c r="I508" s="2201">
        <f t="shared" si="71"/>
        <v>0</v>
      </c>
      <c r="J508" s="29">
        <v>12000</v>
      </c>
    </row>
    <row r="509" spans="1:10" x14ac:dyDescent="0.2">
      <c r="A509" s="2391">
        <v>3613</v>
      </c>
      <c r="B509" s="1240" t="s">
        <v>1646</v>
      </c>
      <c r="C509" s="727">
        <f t="shared" ref="C509:D509" si="75">SUM(C510:C511)</f>
        <v>11000</v>
      </c>
      <c r="D509" s="727">
        <f t="shared" si="75"/>
        <v>31000</v>
      </c>
      <c r="E509" s="727">
        <v>30000</v>
      </c>
      <c r="F509" s="2341">
        <f>SUM(E510:E511)</f>
        <v>30000</v>
      </c>
      <c r="G509" s="1663">
        <f t="shared" si="70"/>
        <v>272.72727272727269</v>
      </c>
      <c r="H509" s="1663">
        <f t="shared" si="72"/>
        <v>96.774193548387103</v>
      </c>
      <c r="I509" s="1662">
        <f t="shared" si="71"/>
        <v>17.647058823529413</v>
      </c>
      <c r="J509" s="29">
        <v>170000</v>
      </c>
    </row>
    <row r="510" spans="1:10" x14ac:dyDescent="0.2">
      <c r="A510" s="2352" t="s">
        <v>1647</v>
      </c>
      <c r="B510" s="809" t="s">
        <v>2841</v>
      </c>
      <c r="C510" s="1077">
        <v>10000</v>
      </c>
      <c r="D510" s="1077">
        <f>10000+20000</f>
        <v>30000</v>
      </c>
      <c r="E510" s="1077">
        <v>30000</v>
      </c>
      <c r="F510" s="1077"/>
      <c r="G510" s="2200">
        <f t="shared" si="70"/>
        <v>300</v>
      </c>
      <c r="H510" s="2200">
        <f t="shared" si="72"/>
        <v>100</v>
      </c>
      <c r="I510" s="2201">
        <f t="shared" si="71"/>
        <v>17.647058823529413</v>
      </c>
      <c r="J510" s="29">
        <v>170000</v>
      </c>
    </row>
    <row r="511" spans="1:10" x14ac:dyDescent="0.2">
      <c r="A511" s="2352" t="s">
        <v>1649</v>
      </c>
      <c r="B511" s="809" t="s">
        <v>2842</v>
      </c>
      <c r="C511" s="1077">
        <v>1000</v>
      </c>
      <c r="D511" s="1077">
        <v>1000</v>
      </c>
      <c r="E511" s="1077">
        <v>0</v>
      </c>
      <c r="F511" s="1077"/>
      <c r="G511" s="2200">
        <f t="shared" si="70"/>
        <v>0</v>
      </c>
      <c r="H511" s="2200">
        <f t="shared" si="72"/>
        <v>0</v>
      </c>
      <c r="I511" s="2201">
        <v>0</v>
      </c>
      <c r="J511" s="29">
        <v>0</v>
      </c>
    </row>
    <row r="512" spans="1:10" x14ac:dyDescent="0.2">
      <c r="A512" s="2391">
        <v>3722</v>
      </c>
      <c r="B512" s="1240" t="s">
        <v>1651</v>
      </c>
      <c r="C512" s="727">
        <f t="shared" ref="C512:D514" si="76">SUM(C513:C513)</f>
        <v>5650000</v>
      </c>
      <c r="D512" s="727">
        <f t="shared" si="76"/>
        <v>7700000</v>
      </c>
      <c r="E512" s="727">
        <v>7550494.8899999997</v>
      </c>
      <c r="F512" s="2341"/>
      <c r="G512" s="1663">
        <f t="shared" si="70"/>
        <v>133.63707769911503</v>
      </c>
      <c r="H512" s="1663">
        <f t="shared" si="72"/>
        <v>98.058375194805194</v>
      </c>
      <c r="I512" s="1662">
        <f t="shared" si="71"/>
        <v>153.23503197398597</v>
      </c>
      <c r="J512" s="29">
        <v>4927394.7300000004</v>
      </c>
    </row>
    <row r="513" spans="1:10" s="2" customFormat="1" x14ac:dyDescent="0.2">
      <c r="A513" s="2598" t="s">
        <v>2843</v>
      </c>
      <c r="B513" s="2599" t="s">
        <v>2844</v>
      </c>
      <c r="C513" s="1441">
        <v>5650000</v>
      </c>
      <c r="D513" s="1441">
        <f>5650000+(1750000+300000)</f>
        <v>7700000</v>
      </c>
      <c r="E513" s="1441">
        <v>7550494.8899999997</v>
      </c>
      <c r="F513" s="1077"/>
      <c r="G513" s="2200">
        <f t="shared" si="70"/>
        <v>133.63707769911503</v>
      </c>
      <c r="H513" s="2200">
        <f t="shared" si="72"/>
        <v>98.058375194805194</v>
      </c>
      <c r="I513" s="2201">
        <f t="shared" si="71"/>
        <v>153.23503197398597</v>
      </c>
      <c r="J513" s="88">
        <v>4927394.7300000004</v>
      </c>
    </row>
    <row r="514" spans="1:10" x14ac:dyDescent="0.2">
      <c r="A514" s="2221">
        <v>3745</v>
      </c>
      <c r="B514" s="771" t="s">
        <v>1637</v>
      </c>
      <c r="C514" s="726">
        <f t="shared" si="76"/>
        <v>5000</v>
      </c>
      <c r="D514" s="726">
        <f t="shared" si="76"/>
        <v>5000</v>
      </c>
      <c r="E514" s="726">
        <v>0</v>
      </c>
      <c r="F514" s="2341"/>
      <c r="G514" s="1663">
        <f t="shared" si="70"/>
        <v>0</v>
      </c>
      <c r="H514" s="1663">
        <f t="shared" si="72"/>
        <v>0</v>
      </c>
      <c r="I514" s="1662">
        <v>0</v>
      </c>
      <c r="J514" s="29">
        <v>0</v>
      </c>
    </row>
    <row r="515" spans="1:10" x14ac:dyDescent="0.2">
      <c r="A515" s="2600" t="s">
        <v>1638</v>
      </c>
      <c r="B515" s="2265" t="s">
        <v>2838</v>
      </c>
      <c r="C515" s="1517">
        <v>5000</v>
      </c>
      <c r="D515" s="1517">
        <v>5000</v>
      </c>
      <c r="E515" s="1517">
        <v>0</v>
      </c>
      <c r="F515" s="1077"/>
      <c r="G515" s="2200">
        <f t="shared" si="70"/>
        <v>0</v>
      </c>
      <c r="H515" s="2200">
        <f t="shared" si="72"/>
        <v>0</v>
      </c>
      <c r="I515" s="2201">
        <v>0</v>
      </c>
      <c r="J515" s="29">
        <v>0</v>
      </c>
    </row>
    <row r="516" spans="1:10" ht="15.75" x14ac:dyDescent="0.25">
      <c r="A516" s="2371"/>
      <c r="B516" s="1062" t="s">
        <v>1654</v>
      </c>
      <c r="C516" s="1080">
        <f>SUM(C522,C517,C536,C546,C551,C553)</f>
        <v>157228000</v>
      </c>
      <c r="D516" s="1080">
        <f>SUM(D522,D517,D536,D546,D551,D553)</f>
        <v>97626399</v>
      </c>
      <c r="E516" s="1080">
        <v>93718336.5</v>
      </c>
      <c r="F516" s="2392">
        <f>SUM(E517,E522,E536,E546,E551,E553)</f>
        <v>93718336.5</v>
      </c>
      <c r="G516" s="2325">
        <f t="shared" si="70"/>
        <v>59.606645444831706</v>
      </c>
      <c r="H516" s="2325">
        <f t="shared" si="72"/>
        <v>95.996920361673901</v>
      </c>
      <c r="I516" s="2325">
        <f t="shared" si="71"/>
        <v>270.23213496884244</v>
      </c>
      <c r="J516" s="29">
        <v>34680677.969999999</v>
      </c>
    </row>
    <row r="517" spans="1:10" x14ac:dyDescent="0.2">
      <c r="A517" s="2393">
        <v>3412</v>
      </c>
      <c r="B517" s="987" t="s">
        <v>1655</v>
      </c>
      <c r="C517" s="715">
        <f t="shared" ref="C517:D517" si="77">SUM(C518:C521)</f>
        <v>102310000</v>
      </c>
      <c r="D517" s="715">
        <f t="shared" si="77"/>
        <v>52680000</v>
      </c>
      <c r="E517" s="715">
        <v>52238134.710000001</v>
      </c>
      <c r="F517" s="2394">
        <f>SUM(E518:E521)</f>
        <v>52238134.710000001</v>
      </c>
      <c r="G517" s="1663">
        <f t="shared" si="70"/>
        <v>51.058679220017602</v>
      </c>
      <c r="H517" s="1663">
        <f t="shared" si="72"/>
        <v>99.16122761958998</v>
      </c>
      <c r="I517" s="1662">
        <f t="shared" si="71"/>
        <v>8350.48591044967</v>
      </c>
      <c r="J517" s="29">
        <v>625570</v>
      </c>
    </row>
    <row r="518" spans="1:10" x14ac:dyDescent="0.2">
      <c r="A518" s="2352" t="s">
        <v>1656</v>
      </c>
      <c r="B518" s="815" t="s">
        <v>2063</v>
      </c>
      <c r="C518" s="1864">
        <v>102000000</v>
      </c>
      <c r="D518" s="1864">
        <f>102000000-500000-500000-450000-25000000-630000-25000000+2000000</f>
        <v>51920000</v>
      </c>
      <c r="E518" s="1864">
        <v>51784384.710000001</v>
      </c>
      <c r="F518" s="1864"/>
      <c r="G518" s="2200">
        <f t="shared" si="70"/>
        <v>50.769004617647063</v>
      </c>
      <c r="H518" s="2200">
        <f t="shared" si="72"/>
        <v>99.738799518489984</v>
      </c>
      <c r="I518" s="2201">
        <f t="shared" si="71"/>
        <v>12661.837916279525</v>
      </c>
      <c r="J518" s="29">
        <v>408980</v>
      </c>
    </row>
    <row r="519" spans="1:10" x14ac:dyDescent="0.2">
      <c r="A519" s="2352" t="s">
        <v>1658</v>
      </c>
      <c r="B519" s="815" t="s">
        <v>2845</v>
      </c>
      <c r="C519" s="1864">
        <v>5000</v>
      </c>
      <c r="D519" s="1864">
        <f>5000+450000</f>
        <v>455000</v>
      </c>
      <c r="E519" s="1864">
        <v>453750</v>
      </c>
      <c r="F519" s="1864"/>
      <c r="G519" s="2200">
        <f t="shared" si="70"/>
        <v>9075</v>
      </c>
      <c r="H519" s="2200">
        <f t="shared" si="72"/>
        <v>99.72527472527473</v>
      </c>
      <c r="I519" s="2201">
        <v>0</v>
      </c>
      <c r="J519" s="29">
        <v>0</v>
      </c>
    </row>
    <row r="520" spans="1:10" x14ac:dyDescent="0.2">
      <c r="A520" s="2352" t="s">
        <v>1660</v>
      </c>
      <c r="B520" s="815" t="s">
        <v>2846</v>
      </c>
      <c r="C520" s="1864">
        <v>5000</v>
      </c>
      <c r="D520" s="1864">
        <v>5000</v>
      </c>
      <c r="E520" s="1864">
        <v>0</v>
      </c>
      <c r="F520" s="1864"/>
      <c r="G520" s="2200">
        <f t="shared" si="70"/>
        <v>0</v>
      </c>
      <c r="H520" s="2200">
        <f t="shared" si="72"/>
        <v>0</v>
      </c>
      <c r="I520" s="2201">
        <v>0</v>
      </c>
      <c r="J520" s="29">
        <v>216590</v>
      </c>
    </row>
    <row r="521" spans="1:10" x14ac:dyDescent="0.2">
      <c r="A521" s="2352" t="s">
        <v>1662</v>
      </c>
      <c r="B521" s="815" t="s">
        <v>2847</v>
      </c>
      <c r="C521" s="1864">
        <v>300000</v>
      </c>
      <c r="D521" s="1864">
        <v>300000</v>
      </c>
      <c r="E521" s="1864">
        <v>0</v>
      </c>
      <c r="F521" s="1864"/>
      <c r="G521" s="2200">
        <f t="shared" si="70"/>
        <v>0</v>
      </c>
      <c r="H521" s="2200">
        <f t="shared" si="72"/>
        <v>0</v>
      </c>
      <c r="I521" s="2201">
        <v>0</v>
      </c>
      <c r="J521" s="29">
        <v>0</v>
      </c>
    </row>
    <row r="522" spans="1:10" x14ac:dyDescent="0.2">
      <c r="A522" s="2296">
        <v>3612</v>
      </c>
      <c r="B522" s="1240" t="s">
        <v>1644</v>
      </c>
      <c r="C522" s="722">
        <f>SUM(C523:C535)</f>
        <v>32440000</v>
      </c>
      <c r="D522" s="722">
        <f>SUM(D523:D535)</f>
        <v>13255000</v>
      </c>
      <c r="E522" s="722">
        <v>11757129.4</v>
      </c>
      <c r="F522" s="1864">
        <f>SUM(E523:E535)</f>
        <v>11757129.4</v>
      </c>
      <c r="G522" s="1663">
        <f t="shared" si="70"/>
        <v>36.242692355117143</v>
      </c>
      <c r="H522" s="1663">
        <f t="shared" si="72"/>
        <v>88.69958053564693</v>
      </c>
      <c r="I522" s="1662">
        <f t="shared" si="71"/>
        <v>84.355412535159715</v>
      </c>
      <c r="J522" s="29">
        <v>13937611.17</v>
      </c>
    </row>
    <row r="523" spans="1:10" x14ac:dyDescent="0.2">
      <c r="A523" s="2352" t="s">
        <v>1666</v>
      </c>
      <c r="B523" s="1112" t="s">
        <v>2848</v>
      </c>
      <c r="C523" s="1077">
        <v>10100000</v>
      </c>
      <c r="D523" s="1077">
        <f>10100000+10000-503000-500000+550000+71000-1000000</f>
        <v>8728000</v>
      </c>
      <c r="E523" s="1077">
        <v>8679542.4299999997</v>
      </c>
      <c r="F523" s="1077"/>
      <c r="G523" s="2200">
        <f t="shared" si="70"/>
        <v>85.93606366336634</v>
      </c>
      <c r="H523" s="2200">
        <f t="shared" si="72"/>
        <v>99.444803276810262</v>
      </c>
      <c r="I523" s="2201">
        <v>0</v>
      </c>
      <c r="J523" s="29">
        <v>0</v>
      </c>
    </row>
    <row r="524" spans="1:10" ht="12.75" customHeight="1" x14ac:dyDescent="0.2">
      <c r="A524" s="2352" t="s">
        <v>2849</v>
      </c>
      <c r="B524" s="2372" t="s">
        <v>2850</v>
      </c>
      <c r="C524" s="1077">
        <v>5000000</v>
      </c>
      <c r="D524" s="1077">
        <f>5000000-20000-550000-2050000-2160000</f>
        <v>220000</v>
      </c>
      <c r="E524" s="1077">
        <v>14520</v>
      </c>
      <c r="F524" s="1077"/>
      <c r="G524" s="2200">
        <f t="shared" si="70"/>
        <v>0.29039999999999999</v>
      </c>
      <c r="H524" s="2200">
        <f t="shared" si="72"/>
        <v>6.6000000000000005</v>
      </c>
      <c r="I524" s="2201">
        <f t="shared" si="71"/>
        <v>4.3278688524590168</v>
      </c>
      <c r="J524" s="29">
        <v>335500</v>
      </c>
    </row>
    <row r="525" spans="1:10" ht="12" customHeight="1" x14ac:dyDescent="0.2">
      <c r="A525" s="2352" t="s">
        <v>1678</v>
      </c>
      <c r="B525" s="1958" t="s">
        <v>2851</v>
      </c>
      <c r="C525" s="1077">
        <v>550000</v>
      </c>
      <c r="D525" s="1077">
        <v>550000</v>
      </c>
      <c r="E525" s="1077">
        <v>181500</v>
      </c>
      <c r="F525" s="1077"/>
      <c r="G525" s="2200">
        <f t="shared" si="70"/>
        <v>33</v>
      </c>
      <c r="H525" s="2200">
        <f t="shared" si="72"/>
        <v>33</v>
      </c>
      <c r="I525" s="2201">
        <v>0</v>
      </c>
      <c r="J525" s="29">
        <v>0</v>
      </c>
    </row>
    <row r="526" spans="1:10" x14ac:dyDescent="0.2">
      <c r="A526" s="2352" t="s">
        <v>1680</v>
      </c>
      <c r="B526" s="2395" t="s">
        <v>2852</v>
      </c>
      <c r="C526" s="1077">
        <v>2750000</v>
      </c>
      <c r="D526" s="1077">
        <f>2750000-2400000</f>
        <v>350000</v>
      </c>
      <c r="E526" s="1077">
        <v>147015</v>
      </c>
      <c r="F526" s="1077"/>
      <c r="G526" s="2200">
        <f t="shared" si="70"/>
        <v>5.3460000000000001</v>
      </c>
      <c r="H526" s="2200">
        <f t="shared" si="72"/>
        <v>42.004285714285714</v>
      </c>
      <c r="I526" s="2201">
        <v>0</v>
      </c>
      <c r="J526" s="29">
        <v>0</v>
      </c>
    </row>
    <row r="527" spans="1:10" x14ac:dyDescent="0.2">
      <c r="A527" s="2352" t="s">
        <v>1682</v>
      </c>
      <c r="B527" s="1112" t="s">
        <v>2853</v>
      </c>
      <c r="C527" s="1077">
        <v>250000</v>
      </c>
      <c r="D527" s="1077">
        <f>250000+460000-700000</f>
        <v>10000</v>
      </c>
      <c r="E527" s="1077">
        <v>0</v>
      </c>
      <c r="F527" s="1077"/>
      <c r="G527" s="2200">
        <f t="shared" si="70"/>
        <v>0</v>
      </c>
      <c r="H527" s="2200">
        <f t="shared" si="72"/>
        <v>0</v>
      </c>
      <c r="I527" s="2201">
        <v>0</v>
      </c>
      <c r="J527" s="29">
        <v>0</v>
      </c>
    </row>
    <row r="528" spans="1:10" x14ac:dyDescent="0.2">
      <c r="A528" s="2352" t="s">
        <v>2854</v>
      </c>
      <c r="B528" s="1958" t="s">
        <v>3130</v>
      </c>
      <c r="C528" s="1077">
        <v>5750000</v>
      </c>
      <c r="D528" s="1077">
        <f>5750000-290000-5450000-10000</f>
        <v>0</v>
      </c>
      <c r="E528" s="1077">
        <v>0</v>
      </c>
      <c r="F528" s="1077"/>
      <c r="G528" s="2200">
        <f t="shared" si="70"/>
        <v>0</v>
      </c>
      <c r="H528" s="2200">
        <v>0</v>
      </c>
      <c r="I528" s="2201">
        <v>0</v>
      </c>
      <c r="J528" s="29">
        <v>99220</v>
      </c>
    </row>
    <row r="529" spans="1:10" x14ac:dyDescent="0.2">
      <c r="A529" s="2352" t="s">
        <v>1686</v>
      </c>
      <c r="B529" s="1958" t="s">
        <v>2856</v>
      </c>
      <c r="C529" s="1077">
        <v>400000</v>
      </c>
      <c r="D529" s="1077">
        <f>400000-400000</f>
        <v>0</v>
      </c>
      <c r="E529" s="1077">
        <v>0</v>
      </c>
      <c r="F529" s="1077"/>
      <c r="G529" s="2200">
        <f t="shared" si="70"/>
        <v>0</v>
      </c>
      <c r="H529" s="2200">
        <v>0</v>
      </c>
      <c r="I529" s="2201">
        <v>0</v>
      </c>
      <c r="J529" s="29">
        <v>235000</v>
      </c>
    </row>
    <row r="530" spans="1:10" x14ac:dyDescent="0.2">
      <c r="A530" s="2352" t="s">
        <v>1688</v>
      </c>
      <c r="B530" s="1958" t="s">
        <v>2857</v>
      </c>
      <c r="C530" s="1077">
        <v>300000</v>
      </c>
      <c r="D530" s="1077">
        <f>300000-12000-245000</f>
        <v>43000</v>
      </c>
      <c r="E530" s="1077">
        <v>0</v>
      </c>
      <c r="F530" s="1077"/>
      <c r="G530" s="2200">
        <f t="shared" si="70"/>
        <v>0</v>
      </c>
      <c r="H530" s="2200">
        <f t="shared" si="72"/>
        <v>0</v>
      </c>
      <c r="I530" s="2201">
        <v>0</v>
      </c>
      <c r="J530" s="29">
        <v>54450</v>
      </c>
    </row>
    <row r="531" spans="1:10" s="2" customFormat="1" x14ac:dyDescent="0.2">
      <c r="A531" s="2352" t="s">
        <v>2416</v>
      </c>
      <c r="B531" s="1958" t="s">
        <v>3131</v>
      </c>
      <c r="C531" s="1077">
        <v>300000</v>
      </c>
      <c r="D531" s="1077">
        <f>300000+245000</f>
        <v>545000</v>
      </c>
      <c r="E531" s="1077">
        <v>0</v>
      </c>
      <c r="F531" s="1077"/>
      <c r="G531" s="2200">
        <f t="shared" si="70"/>
        <v>0</v>
      </c>
      <c r="H531" s="2200">
        <f t="shared" si="72"/>
        <v>0</v>
      </c>
      <c r="I531" s="2201">
        <v>0</v>
      </c>
      <c r="J531" s="88">
        <v>299475</v>
      </c>
    </row>
    <row r="532" spans="1:10" x14ac:dyDescent="0.2">
      <c r="A532" s="2352" t="s">
        <v>2859</v>
      </c>
      <c r="B532" s="1958" t="s">
        <v>2101</v>
      </c>
      <c r="C532" s="1077">
        <v>3500000</v>
      </c>
      <c r="D532" s="1077">
        <f>3500000-550000-71000-2600000</f>
        <v>279000</v>
      </c>
      <c r="E532" s="1077">
        <v>237795.97</v>
      </c>
      <c r="F532" s="1077"/>
      <c r="G532" s="2200">
        <f t="shared" si="70"/>
        <v>6.7941705714285723</v>
      </c>
      <c r="H532" s="2200">
        <f t="shared" si="72"/>
        <v>85.231530465949817</v>
      </c>
      <c r="I532" s="2201">
        <v>0</v>
      </c>
      <c r="J532" s="29">
        <v>0</v>
      </c>
    </row>
    <row r="533" spans="1:10" x14ac:dyDescent="0.2">
      <c r="A533" s="2352" t="s">
        <v>1690</v>
      </c>
      <c r="B533" s="2372" t="s">
        <v>2860</v>
      </c>
      <c r="C533" s="1077">
        <v>2240000</v>
      </c>
      <c r="D533" s="1077">
        <f>2240000+290000</f>
        <v>2530000</v>
      </c>
      <c r="E533" s="1077">
        <v>2496756</v>
      </c>
      <c r="F533" s="1077"/>
      <c r="G533" s="2200">
        <f t="shared" si="70"/>
        <v>111.46232142857141</v>
      </c>
      <c r="H533" s="2200">
        <f t="shared" si="72"/>
        <v>98.686007905138339</v>
      </c>
      <c r="I533" s="2201">
        <v>0</v>
      </c>
      <c r="J533" s="29">
        <v>1212395</v>
      </c>
    </row>
    <row r="534" spans="1:10" ht="25.5" x14ac:dyDescent="0.2">
      <c r="A534" s="2352" t="s">
        <v>2861</v>
      </c>
      <c r="B534" s="2372" t="s">
        <v>3132</v>
      </c>
      <c r="C534" s="2341">
        <v>500000</v>
      </c>
      <c r="D534" s="2341">
        <f>500000-500000</f>
        <v>0</v>
      </c>
      <c r="E534" s="2341">
        <v>0</v>
      </c>
      <c r="F534" s="2341"/>
      <c r="G534" s="2200">
        <f t="shared" si="70"/>
        <v>0</v>
      </c>
      <c r="H534" s="2200">
        <v>0</v>
      </c>
      <c r="I534" s="2201">
        <v>0</v>
      </c>
      <c r="J534" s="1866">
        <v>0</v>
      </c>
    </row>
    <row r="535" spans="1:10" ht="25.5" x14ac:dyDescent="0.2">
      <c r="A535" s="2352" t="s">
        <v>2863</v>
      </c>
      <c r="B535" s="2372" t="s">
        <v>3133</v>
      </c>
      <c r="C535" s="2341">
        <v>800000</v>
      </c>
      <c r="D535" s="2341">
        <f>800000-800000</f>
        <v>0</v>
      </c>
      <c r="E535" s="2341">
        <v>0</v>
      </c>
      <c r="F535" s="2341"/>
      <c r="G535" s="2200">
        <f t="shared" si="70"/>
        <v>0</v>
      </c>
      <c r="H535" s="2200">
        <v>0</v>
      </c>
      <c r="I535" s="2201">
        <v>0</v>
      </c>
      <c r="J535" s="1866">
        <v>0</v>
      </c>
    </row>
    <row r="536" spans="1:10" ht="12" customHeight="1" x14ac:dyDescent="0.2">
      <c r="A536" s="2391">
        <v>3613</v>
      </c>
      <c r="B536" s="1240" t="s">
        <v>1646</v>
      </c>
      <c r="C536" s="727">
        <f>SUM(C537:C545)</f>
        <v>11470000</v>
      </c>
      <c r="D536" s="727">
        <f>SUM(D537:D545)</f>
        <v>23383399</v>
      </c>
      <c r="E536" s="727">
        <v>22315536.670000002</v>
      </c>
      <c r="F536" s="2341">
        <f>SUM(E537:E545)</f>
        <v>22315536.669999998</v>
      </c>
      <c r="G536" s="1663">
        <f t="shared" si="70"/>
        <v>194.55568151700089</v>
      </c>
      <c r="H536" s="1663">
        <f t="shared" si="72"/>
        <v>95.433245910913129</v>
      </c>
      <c r="I536" s="1662">
        <f t="shared" si="71"/>
        <v>196.98194957849441</v>
      </c>
      <c r="J536" s="29">
        <v>11328721.6</v>
      </c>
    </row>
    <row r="537" spans="1:10" ht="12" customHeight="1" x14ac:dyDescent="0.2">
      <c r="A537" s="2352" t="s">
        <v>1694</v>
      </c>
      <c r="B537" s="1112" t="s">
        <v>2865</v>
      </c>
      <c r="C537" s="1077">
        <v>1000000</v>
      </c>
      <c r="D537" s="1077">
        <f>1000000-1000000</f>
        <v>0</v>
      </c>
      <c r="E537" s="1077">
        <v>0</v>
      </c>
      <c r="F537" s="1077"/>
      <c r="G537" s="2200">
        <f t="shared" si="70"/>
        <v>0</v>
      </c>
      <c r="H537" s="2200">
        <v>0</v>
      </c>
      <c r="I537" s="2201">
        <v>0</v>
      </c>
      <c r="J537" s="29">
        <v>46500</v>
      </c>
    </row>
    <row r="538" spans="1:10" ht="12" customHeight="1" x14ac:dyDescent="0.2">
      <c r="A538" s="2352" t="s">
        <v>1698</v>
      </c>
      <c r="B538" s="1112" t="s">
        <v>2866</v>
      </c>
      <c r="C538" s="1077">
        <v>5000000</v>
      </c>
      <c r="D538" s="1077">
        <f>5000000+6000000-356601</f>
        <v>10643399</v>
      </c>
      <c r="E538" s="1077">
        <v>10547334.689999999</v>
      </c>
      <c r="F538" s="1077"/>
      <c r="G538" s="2200">
        <f t="shared" si="70"/>
        <v>210.94669379999996</v>
      </c>
      <c r="H538" s="2200">
        <f t="shared" si="72"/>
        <v>99.097428274557771</v>
      </c>
      <c r="I538" s="2201">
        <f t="shared" si="71"/>
        <v>3554.8220252439291</v>
      </c>
      <c r="J538" s="29">
        <v>296705</v>
      </c>
    </row>
    <row r="539" spans="1:10" x14ac:dyDescent="0.2">
      <c r="A539" s="2352" t="s">
        <v>2867</v>
      </c>
      <c r="B539" s="1958" t="s">
        <v>3130</v>
      </c>
      <c r="C539" s="1077">
        <v>0</v>
      </c>
      <c r="D539" s="1077">
        <f>5450000</f>
        <v>5450000</v>
      </c>
      <c r="E539" s="1077">
        <v>5072177.1500000004</v>
      </c>
      <c r="F539" s="1077"/>
      <c r="G539" s="2200">
        <v>0</v>
      </c>
      <c r="H539" s="2200">
        <f t="shared" si="72"/>
        <v>93.06747064220184</v>
      </c>
      <c r="I539" s="2201">
        <v>0</v>
      </c>
      <c r="J539" s="29">
        <v>0</v>
      </c>
    </row>
    <row r="540" spans="1:10" x14ac:dyDescent="0.2">
      <c r="A540" s="2396" t="s">
        <v>2868</v>
      </c>
      <c r="B540" s="1112" t="s">
        <v>2869</v>
      </c>
      <c r="C540" s="1077">
        <v>3200000</v>
      </c>
      <c r="D540" s="1077">
        <f>3200000+2000000+550000</f>
        <v>5750000</v>
      </c>
      <c r="E540" s="1077">
        <v>5519836.4500000002</v>
      </c>
      <c r="F540" s="1077"/>
      <c r="G540" s="2200">
        <f t="shared" si="70"/>
        <v>172.49488906250002</v>
      </c>
      <c r="H540" s="2200">
        <f t="shared" si="72"/>
        <v>95.997155652173916</v>
      </c>
      <c r="I540" s="2201">
        <v>0</v>
      </c>
      <c r="J540" s="29">
        <v>0</v>
      </c>
    </row>
    <row r="541" spans="1:10" x14ac:dyDescent="0.2">
      <c r="A541" s="2352" t="s">
        <v>1712</v>
      </c>
      <c r="B541" s="1112" t="s">
        <v>2870</v>
      </c>
      <c r="C541" s="1864">
        <v>10000</v>
      </c>
      <c r="D541" s="1864">
        <f>10000+170000</f>
        <v>180000</v>
      </c>
      <c r="E541" s="1077">
        <v>175000</v>
      </c>
      <c r="F541" s="1077"/>
      <c r="G541" s="2200">
        <f t="shared" si="70"/>
        <v>1750</v>
      </c>
      <c r="H541" s="2200">
        <f t="shared" si="72"/>
        <v>97.222222222222214</v>
      </c>
      <c r="I541" s="2201">
        <v>0</v>
      </c>
      <c r="J541" s="29">
        <v>0</v>
      </c>
    </row>
    <row r="542" spans="1:10" x14ac:dyDescent="0.2">
      <c r="A542" s="2352" t="s">
        <v>2871</v>
      </c>
      <c r="B542" s="1112" t="s">
        <v>2872</v>
      </c>
      <c r="C542" s="1077">
        <v>750000</v>
      </c>
      <c r="D542" s="1077">
        <f>750000-500000</f>
        <v>250000</v>
      </c>
      <c r="E542" s="1077">
        <v>0</v>
      </c>
      <c r="F542" s="1077"/>
      <c r="G542" s="2200">
        <f t="shared" si="70"/>
        <v>0</v>
      </c>
      <c r="H542" s="2200">
        <f t="shared" si="72"/>
        <v>0</v>
      </c>
      <c r="I542" s="2201">
        <v>0</v>
      </c>
      <c r="J542" s="29">
        <v>0</v>
      </c>
    </row>
    <row r="543" spans="1:10" x14ac:dyDescent="0.2">
      <c r="A543" s="2352" t="s">
        <v>2873</v>
      </c>
      <c r="B543" s="1112" t="s">
        <v>2106</v>
      </c>
      <c r="C543" s="1077">
        <v>400000</v>
      </c>
      <c r="D543" s="1077">
        <f>400000+(-250000-150000)+36300</f>
        <v>36300</v>
      </c>
      <c r="E543" s="1077">
        <v>0</v>
      </c>
      <c r="F543" s="1077"/>
      <c r="G543" s="2200">
        <f t="shared" si="70"/>
        <v>0</v>
      </c>
      <c r="H543" s="2200">
        <f t="shared" si="72"/>
        <v>0</v>
      </c>
      <c r="I543" s="2201">
        <v>0</v>
      </c>
      <c r="J543" s="29">
        <v>0</v>
      </c>
    </row>
    <row r="544" spans="1:10" x14ac:dyDescent="0.2">
      <c r="A544" s="2352" t="s">
        <v>2874</v>
      </c>
      <c r="B544" s="1112" t="s">
        <v>2875</v>
      </c>
      <c r="C544" s="1077">
        <v>10000</v>
      </c>
      <c r="D544" s="1077">
        <v>10000</v>
      </c>
      <c r="E544" s="1077">
        <v>0</v>
      </c>
      <c r="F544" s="1077"/>
      <c r="G544" s="2200">
        <f t="shared" si="70"/>
        <v>0</v>
      </c>
      <c r="H544" s="2200">
        <f t="shared" si="72"/>
        <v>0</v>
      </c>
      <c r="I544" s="2201">
        <v>0</v>
      </c>
      <c r="J544" s="29">
        <v>0</v>
      </c>
    </row>
    <row r="545" spans="1:10" x14ac:dyDescent="0.2">
      <c r="A545" s="2352" t="s">
        <v>2876</v>
      </c>
      <c r="B545" s="809" t="s">
        <v>2877</v>
      </c>
      <c r="C545" s="1077">
        <v>1100000</v>
      </c>
      <c r="D545" s="1077">
        <f>1100000-36300</f>
        <v>1063700</v>
      </c>
      <c r="E545" s="1077">
        <v>1001188.38</v>
      </c>
      <c r="F545" s="1077"/>
      <c r="G545" s="2200">
        <f t="shared" si="70"/>
        <v>91.01712545454545</v>
      </c>
      <c r="H545" s="2200">
        <f t="shared" si="72"/>
        <v>94.123190749271416</v>
      </c>
      <c r="I545" s="2201">
        <v>0</v>
      </c>
      <c r="J545" s="29">
        <v>0</v>
      </c>
    </row>
    <row r="546" spans="1:10" x14ac:dyDescent="0.2">
      <c r="A546" s="2296">
        <v>3634</v>
      </c>
      <c r="B546" s="1240" t="s">
        <v>1716</v>
      </c>
      <c r="C546" s="727">
        <f>SUM(C547:C550)</f>
        <v>7105000</v>
      </c>
      <c r="D546" s="727">
        <f>SUM(D547:D550)</f>
        <v>6905000</v>
      </c>
      <c r="E546" s="727">
        <v>6595529.8099999996</v>
      </c>
      <c r="F546" s="2341">
        <f>SUM(E547:E550)</f>
        <v>6595529.8099999996</v>
      </c>
      <c r="G546" s="1663">
        <f t="shared" si="70"/>
        <v>92.829413230119627</v>
      </c>
      <c r="H546" s="1663">
        <f t="shared" si="72"/>
        <v>95.51817248370746</v>
      </c>
      <c r="I546" s="1662">
        <f t="shared" si="71"/>
        <v>78.915266672331668</v>
      </c>
      <c r="J546" s="29">
        <v>8357736.2000000002</v>
      </c>
    </row>
    <row r="547" spans="1:10" x14ac:dyDescent="0.2">
      <c r="A547" s="2352" t="s">
        <v>1721</v>
      </c>
      <c r="B547" s="809" t="s">
        <v>2108</v>
      </c>
      <c r="C547" s="2341">
        <v>800000</v>
      </c>
      <c r="D547" s="2341">
        <f>800000-60000-700000</f>
        <v>40000</v>
      </c>
      <c r="E547" s="2341">
        <v>0</v>
      </c>
      <c r="F547" s="2341"/>
      <c r="G547" s="2200">
        <f t="shared" si="70"/>
        <v>0</v>
      </c>
      <c r="H547" s="2200">
        <f t="shared" si="72"/>
        <v>0</v>
      </c>
      <c r="I547" s="2201">
        <v>0</v>
      </c>
      <c r="J547" s="29">
        <v>0</v>
      </c>
    </row>
    <row r="548" spans="1:10" x14ac:dyDescent="0.2">
      <c r="A548" s="2352" t="s">
        <v>1723</v>
      </c>
      <c r="B548" s="809" t="s">
        <v>2878</v>
      </c>
      <c r="C548" s="1077">
        <v>2000000</v>
      </c>
      <c r="D548" s="1077">
        <v>2000000</v>
      </c>
      <c r="E548" s="1077">
        <v>1849485</v>
      </c>
      <c r="F548" s="1077"/>
      <c r="G548" s="2200">
        <f t="shared" si="70"/>
        <v>92.474249999999998</v>
      </c>
      <c r="H548" s="2200">
        <f t="shared" si="72"/>
        <v>92.474249999999998</v>
      </c>
      <c r="I548" s="2201">
        <f t="shared" si="71"/>
        <v>1528.5</v>
      </c>
      <c r="J548" s="29">
        <v>121000</v>
      </c>
    </row>
    <row r="549" spans="1:10" x14ac:dyDescent="0.2">
      <c r="A549" s="2352" t="s">
        <v>1725</v>
      </c>
      <c r="B549" s="809" t="s">
        <v>2879</v>
      </c>
      <c r="C549" s="1077">
        <v>5000</v>
      </c>
      <c r="D549" s="1077">
        <v>5000</v>
      </c>
      <c r="E549" s="1077">
        <v>0</v>
      </c>
      <c r="F549" s="1077"/>
      <c r="G549" s="2200">
        <f t="shared" ref="G549:G612" si="78">E549/C549*100</f>
        <v>0</v>
      </c>
      <c r="H549" s="2200">
        <f t="shared" si="72"/>
        <v>0</v>
      </c>
      <c r="I549" s="2201">
        <v>0</v>
      </c>
      <c r="J549" s="29">
        <v>0</v>
      </c>
    </row>
    <row r="550" spans="1:10" s="2" customFormat="1" x14ac:dyDescent="0.2">
      <c r="A550" s="2352" t="s">
        <v>2880</v>
      </c>
      <c r="B550" s="809" t="s">
        <v>2881</v>
      </c>
      <c r="C550" s="1077">
        <v>4300000</v>
      </c>
      <c r="D550" s="1077">
        <f>4300000+500000+60000</f>
        <v>4860000</v>
      </c>
      <c r="E550" s="1077">
        <v>4746044.8099999996</v>
      </c>
      <c r="F550" s="1077"/>
      <c r="G550" s="2200">
        <f t="shared" si="78"/>
        <v>110.37313511627906</v>
      </c>
      <c r="H550" s="2200">
        <f t="shared" si="72"/>
        <v>97.655243004115221</v>
      </c>
      <c r="I550" s="2201">
        <v>0</v>
      </c>
      <c r="J550" s="88">
        <v>0</v>
      </c>
    </row>
    <row r="551" spans="1:10" x14ac:dyDescent="0.2">
      <c r="A551" s="2296">
        <v>4351</v>
      </c>
      <c r="B551" s="1240" t="s">
        <v>2434</v>
      </c>
      <c r="C551" s="727">
        <f t="shared" ref="C551:D553" si="79">SUM(C552)</f>
        <v>3850000</v>
      </c>
      <c r="D551" s="727">
        <f t="shared" si="79"/>
        <v>1350000</v>
      </c>
      <c r="E551" s="727">
        <v>812005.91</v>
      </c>
      <c r="F551" s="2341"/>
      <c r="G551" s="1663">
        <f t="shared" si="78"/>
        <v>21.091062597402598</v>
      </c>
      <c r="H551" s="1663">
        <f t="shared" si="72"/>
        <v>60.148585925925921</v>
      </c>
      <c r="I551" s="1662">
        <f t="shared" ref="I551:I612" si="80">E551/J551*100</f>
        <v>1204.1491087581931</v>
      </c>
      <c r="J551" s="29">
        <v>67434</v>
      </c>
    </row>
    <row r="552" spans="1:10" x14ac:dyDescent="0.2">
      <c r="A552" s="2352" t="s">
        <v>2882</v>
      </c>
      <c r="B552" s="1112" t="s">
        <v>2107</v>
      </c>
      <c r="C552" s="1077">
        <v>3850000</v>
      </c>
      <c r="D552" s="1077">
        <f>3850000-2500000</f>
        <v>1350000</v>
      </c>
      <c r="E552" s="1077">
        <v>812005.91</v>
      </c>
      <c r="F552" s="1077"/>
      <c r="G552" s="2200">
        <f t="shared" si="78"/>
        <v>21.091062597402598</v>
      </c>
      <c r="H552" s="2200">
        <f t="shared" si="72"/>
        <v>60.148585925925921</v>
      </c>
      <c r="I552" s="2201">
        <f t="shared" si="80"/>
        <v>1204.1491087581931</v>
      </c>
      <c r="J552" s="29">
        <v>67434</v>
      </c>
    </row>
    <row r="553" spans="1:10" x14ac:dyDescent="0.2">
      <c r="A553" s="2296">
        <v>4374</v>
      </c>
      <c r="B553" s="1240" t="s">
        <v>2437</v>
      </c>
      <c r="C553" s="727">
        <f t="shared" si="79"/>
        <v>53000</v>
      </c>
      <c r="D553" s="727">
        <f t="shared" si="79"/>
        <v>53000</v>
      </c>
      <c r="E553" s="727">
        <v>0</v>
      </c>
      <c r="F553" s="2341"/>
      <c r="G553" s="1663">
        <f t="shared" si="78"/>
        <v>0</v>
      </c>
      <c r="H553" s="1663">
        <f t="shared" ref="H553:H616" si="81">E553/D553*100</f>
        <v>0</v>
      </c>
      <c r="I553" s="1662">
        <v>0</v>
      </c>
      <c r="J553" s="29">
        <v>363605</v>
      </c>
    </row>
    <row r="554" spans="1:10" x14ac:dyDescent="0.2">
      <c r="A554" s="2397" t="s">
        <v>2438</v>
      </c>
      <c r="B554" s="2398" t="s">
        <v>2883</v>
      </c>
      <c r="C554" s="1189">
        <v>53000</v>
      </c>
      <c r="D554" s="1189">
        <v>53000</v>
      </c>
      <c r="E554" s="1189">
        <v>0</v>
      </c>
      <c r="F554" s="1189"/>
      <c r="G554" s="2200">
        <f t="shared" si="78"/>
        <v>0</v>
      </c>
      <c r="H554" s="2200">
        <f t="shared" si="81"/>
        <v>0</v>
      </c>
      <c r="I554" s="2201">
        <v>0</v>
      </c>
      <c r="J554" s="29">
        <v>363605</v>
      </c>
    </row>
    <row r="555" spans="1:10" ht="15.75" x14ac:dyDescent="0.25">
      <c r="A555" s="2373"/>
      <c r="B555" s="1998" t="s">
        <v>2439</v>
      </c>
      <c r="C555" s="2001">
        <f>C556+C562+C564+C566+C570</f>
        <v>15102700</v>
      </c>
      <c r="D555" s="2001">
        <f>D556+D562+D564+D566+D570</f>
        <v>11852700</v>
      </c>
      <c r="E555" s="1197">
        <v>11795481.039999999</v>
      </c>
      <c r="F555" s="2601">
        <f>SUM(E556,E562,E564,E566,E570)</f>
        <v>11795481.039999999</v>
      </c>
      <c r="G555" s="2325">
        <f t="shared" si="78"/>
        <v>78.101803253722835</v>
      </c>
      <c r="H555" s="2325">
        <f t="shared" si="81"/>
        <v>99.517249571827506</v>
      </c>
      <c r="I555" s="2325">
        <f t="shared" si="80"/>
        <v>96.390028406727595</v>
      </c>
      <c r="J555" s="29">
        <v>12237242</v>
      </c>
    </row>
    <row r="556" spans="1:10" x14ac:dyDescent="0.2">
      <c r="A556" s="2375">
        <v>3412</v>
      </c>
      <c r="B556" s="1137" t="s">
        <v>1739</v>
      </c>
      <c r="C556" s="1138">
        <f t="shared" ref="C556:D556" si="82">SUM(C557:C561)</f>
        <v>14527700</v>
      </c>
      <c r="D556" s="1138">
        <f t="shared" si="82"/>
        <v>11827700</v>
      </c>
      <c r="E556" s="2029">
        <v>11790981.039999999</v>
      </c>
      <c r="F556" s="2042">
        <f>SUM(E557:E561)</f>
        <v>11790981.039999999</v>
      </c>
      <c r="G556" s="1663">
        <f t="shared" si="78"/>
        <v>81.1620630932632</v>
      </c>
      <c r="H556" s="1663">
        <f t="shared" si="81"/>
        <v>99.68955113842928</v>
      </c>
      <c r="I556" s="1662">
        <f t="shared" si="80"/>
        <v>320.82861694644998</v>
      </c>
      <c r="J556" s="29">
        <v>3675165</v>
      </c>
    </row>
    <row r="557" spans="1:10" x14ac:dyDescent="0.2">
      <c r="A557" s="2352" t="s">
        <v>1744</v>
      </c>
      <c r="B557" s="809" t="s">
        <v>2884</v>
      </c>
      <c r="C557" s="1077">
        <v>622000</v>
      </c>
      <c r="D557" s="1077">
        <f>622000+363000</f>
        <v>985000</v>
      </c>
      <c r="E557" s="1077">
        <v>984940</v>
      </c>
      <c r="F557" s="1077"/>
      <c r="G557" s="2200">
        <f t="shared" si="78"/>
        <v>158.35048231511254</v>
      </c>
      <c r="H557" s="2200">
        <f t="shared" si="81"/>
        <v>99.99390862944162</v>
      </c>
      <c r="I557" s="2201">
        <f t="shared" si="80"/>
        <v>3126.7936507936506</v>
      </c>
      <c r="J557" s="29">
        <v>31500</v>
      </c>
    </row>
    <row r="558" spans="1:10" x14ac:dyDescent="0.2">
      <c r="A558" s="2352" t="s">
        <v>1746</v>
      </c>
      <c r="B558" s="809" t="s">
        <v>2885</v>
      </c>
      <c r="C558" s="1077">
        <v>205700</v>
      </c>
      <c r="D558" s="1077">
        <f>205700+121000</f>
        <v>326700</v>
      </c>
      <c r="E558" s="1077">
        <v>326700</v>
      </c>
      <c r="F558" s="1077"/>
      <c r="G558" s="2200">
        <f t="shared" si="78"/>
        <v>158.8235294117647</v>
      </c>
      <c r="H558" s="2200">
        <f t="shared" si="81"/>
        <v>100</v>
      </c>
      <c r="I558" s="2201">
        <f t="shared" si="80"/>
        <v>1620.5357142857142</v>
      </c>
      <c r="J558" s="29">
        <v>20160</v>
      </c>
    </row>
    <row r="559" spans="1:10" x14ac:dyDescent="0.2">
      <c r="A559" s="2352" t="s">
        <v>1748</v>
      </c>
      <c r="B559" s="1112" t="s">
        <v>2886</v>
      </c>
      <c r="C559" s="1077">
        <v>6200000</v>
      </c>
      <c r="D559" s="1077">
        <f>6200000+1300000+79000+300000-700000</f>
        <v>7179000</v>
      </c>
      <c r="E559" s="1077">
        <v>7154866.04</v>
      </c>
      <c r="F559" s="1077"/>
      <c r="G559" s="2200">
        <f t="shared" si="78"/>
        <v>115.40106516129032</v>
      </c>
      <c r="H559" s="2200">
        <f t="shared" si="81"/>
        <v>99.663825602451595</v>
      </c>
      <c r="I559" s="2201">
        <f t="shared" si="80"/>
        <v>7391.3905371900828</v>
      </c>
      <c r="J559" s="29">
        <v>96800</v>
      </c>
    </row>
    <row r="560" spans="1:10" x14ac:dyDescent="0.2">
      <c r="A560" s="2352" t="s">
        <v>1750</v>
      </c>
      <c r="B560" s="1112" t="s">
        <v>2071</v>
      </c>
      <c r="C560" s="1077">
        <v>4000000</v>
      </c>
      <c r="D560" s="1077">
        <f>4000000-3000000+3000000-321000-3600000-79000</f>
        <v>0</v>
      </c>
      <c r="E560" s="1077">
        <v>0</v>
      </c>
      <c r="F560" s="1077"/>
      <c r="G560" s="2200">
        <f t="shared" si="78"/>
        <v>0</v>
      </c>
      <c r="H560" s="2200">
        <v>0</v>
      </c>
      <c r="I560" s="2201">
        <v>0</v>
      </c>
      <c r="J560" s="29">
        <v>0</v>
      </c>
    </row>
    <row r="561" spans="1:241" x14ac:dyDescent="0.2">
      <c r="A561" s="2352" t="s">
        <v>2887</v>
      </c>
      <c r="B561" s="1112" t="s">
        <v>2073</v>
      </c>
      <c r="C561" s="1077">
        <v>3500000</v>
      </c>
      <c r="D561" s="1077">
        <f>3500000-163000</f>
        <v>3337000</v>
      </c>
      <c r="E561" s="1077">
        <v>3324475</v>
      </c>
      <c r="F561" s="1077"/>
      <c r="G561" s="2200">
        <f t="shared" si="78"/>
        <v>94.984999999999999</v>
      </c>
      <c r="H561" s="2200">
        <f t="shared" si="81"/>
        <v>99.624662870842073</v>
      </c>
      <c r="I561" s="2201">
        <f t="shared" si="80"/>
        <v>94.265752309875651</v>
      </c>
      <c r="J561" s="29">
        <v>3526705</v>
      </c>
    </row>
    <row r="562" spans="1:241" x14ac:dyDescent="0.2">
      <c r="A562" s="2296">
        <v>3613</v>
      </c>
      <c r="B562" s="1240" t="s">
        <v>1646</v>
      </c>
      <c r="C562" s="727">
        <f t="shared" ref="C562:D564" si="83">SUM(C563:C563)</f>
        <v>300000</v>
      </c>
      <c r="D562" s="727">
        <f t="shared" si="83"/>
        <v>0</v>
      </c>
      <c r="E562" s="727">
        <v>0</v>
      </c>
      <c r="F562" s="2341"/>
      <c r="G562" s="1663">
        <f t="shared" si="78"/>
        <v>0</v>
      </c>
      <c r="H562" s="1663">
        <v>0</v>
      </c>
      <c r="I562" s="1662">
        <v>0</v>
      </c>
      <c r="J562" s="29">
        <v>65230</v>
      </c>
    </row>
    <row r="563" spans="1:241" s="2" customFormat="1" x14ac:dyDescent="0.2">
      <c r="A563" s="2352" t="s">
        <v>558</v>
      </c>
      <c r="B563" s="809" t="s">
        <v>2888</v>
      </c>
      <c r="C563" s="1077">
        <v>300000</v>
      </c>
      <c r="D563" s="1077">
        <f>300000-300000</f>
        <v>0</v>
      </c>
      <c r="E563" s="1077">
        <v>0</v>
      </c>
      <c r="F563" s="1077"/>
      <c r="G563" s="2200">
        <f t="shared" si="78"/>
        <v>0</v>
      </c>
      <c r="H563" s="2200">
        <v>0</v>
      </c>
      <c r="I563" s="2201">
        <v>0</v>
      </c>
      <c r="J563" s="88">
        <v>65230</v>
      </c>
    </row>
    <row r="564" spans="1:241" x14ac:dyDescent="0.2">
      <c r="A564" s="2296">
        <v>3631</v>
      </c>
      <c r="B564" s="1240" t="s">
        <v>1755</v>
      </c>
      <c r="C564" s="727">
        <f t="shared" si="83"/>
        <v>5000</v>
      </c>
      <c r="D564" s="727">
        <f>SUM(D565:D565)</f>
        <v>5000</v>
      </c>
      <c r="E564" s="727">
        <v>0</v>
      </c>
      <c r="F564" s="2341"/>
      <c r="G564" s="1663">
        <f t="shared" si="78"/>
        <v>0</v>
      </c>
      <c r="H564" s="1663">
        <f t="shared" si="81"/>
        <v>0</v>
      </c>
      <c r="I564" s="1662">
        <f t="shared" si="80"/>
        <v>0</v>
      </c>
      <c r="J564" s="29">
        <v>7569914.4000000004</v>
      </c>
    </row>
    <row r="565" spans="1:241" s="2" customFormat="1" ht="12.75" customHeight="1" x14ac:dyDescent="0.2">
      <c r="A565" s="2352"/>
      <c r="B565" s="809" t="s">
        <v>2889</v>
      </c>
      <c r="C565" s="1077">
        <v>5000</v>
      </c>
      <c r="D565" s="1077">
        <v>5000</v>
      </c>
      <c r="E565" s="1077">
        <v>0</v>
      </c>
      <c r="F565" s="1077"/>
      <c r="G565" s="2200">
        <f t="shared" si="78"/>
        <v>0</v>
      </c>
      <c r="H565" s="2200">
        <f t="shared" si="81"/>
        <v>0</v>
      </c>
      <c r="I565" s="2201">
        <v>0</v>
      </c>
      <c r="J565" s="88">
        <v>0</v>
      </c>
    </row>
    <row r="566" spans="1:241" x14ac:dyDescent="0.2">
      <c r="A566" s="2296">
        <v>3632</v>
      </c>
      <c r="B566" s="1240" t="s">
        <v>1410</v>
      </c>
      <c r="C566" s="727">
        <f>SUM(C567:C569)</f>
        <v>20000</v>
      </c>
      <c r="D566" s="727">
        <f>SUM(D567:D569)</f>
        <v>20000</v>
      </c>
      <c r="E566" s="727">
        <v>4500</v>
      </c>
      <c r="F566" s="2341"/>
      <c r="G566" s="1663">
        <f t="shared" si="78"/>
        <v>22.5</v>
      </c>
      <c r="H566" s="1663">
        <f t="shared" si="81"/>
        <v>22.5</v>
      </c>
      <c r="I566" s="1662">
        <f t="shared" si="80"/>
        <v>0.52982964446311542</v>
      </c>
      <c r="J566" s="29">
        <v>849329.6</v>
      </c>
    </row>
    <row r="567" spans="1:241" x14ac:dyDescent="0.2">
      <c r="A567" s="2352" t="s">
        <v>1762</v>
      </c>
      <c r="B567" s="809" t="s">
        <v>2890</v>
      </c>
      <c r="C567" s="1077">
        <v>10000</v>
      </c>
      <c r="D567" s="1077">
        <v>10000</v>
      </c>
      <c r="E567" s="1077">
        <v>4500</v>
      </c>
      <c r="F567" s="1077"/>
      <c r="G567" s="2200">
        <f t="shared" si="78"/>
        <v>45</v>
      </c>
      <c r="H567" s="2200">
        <f t="shared" si="81"/>
        <v>45</v>
      </c>
      <c r="I567" s="2201">
        <v>0</v>
      </c>
      <c r="J567" s="29">
        <v>0</v>
      </c>
    </row>
    <row r="568" spans="1:241" x14ac:dyDescent="0.2">
      <c r="A568" s="2352" t="s">
        <v>1762</v>
      </c>
      <c r="B568" s="1112" t="s">
        <v>2891</v>
      </c>
      <c r="C568" s="1077">
        <v>5000</v>
      </c>
      <c r="D568" s="1077">
        <v>5000</v>
      </c>
      <c r="E568" s="1077">
        <v>0</v>
      </c>
      <c r="F568" s="1077"/>
      <c r="G568" s="2200">
        <f t="shared" si="78"/>
        <v>0</v>
      </c>
      <c r="H568" s="2200">
        <f t="shared" si="81"/>
        <v>0</v>
      </c>
      <c r="I568" s="2201">
        <v>0</v>
      </c>
      <c r="J568" s="29">
        <v>0</v>
      </c>
    </row>
    <row r="569" spans="1:241" x14ac:dyDescent="0.2">
      <c r="A569" s="2352" t="s">
        <v>1766</v>
      </c>
      <c r="B569" s="1112" t="s">
        <v>2892</v>
      </c>
      <c r="C569" s="1077">
        <v>5000</v>
      </c>
      <c r="D569" s="1077">
        <v>5000</v>
      </c>
      <c r="E569" s="1077">
        <v>0</v>
      </c>
      <c r="F569" s="1077"/>
      <c r="G569" s="2200">
        <f t="shared" si="78"/>
        <v>0</v>
      </c>
      <c r="H569" s="2200">
        <f t="shared" si="81"/>
        <v>0</v>
      </c>
      <c r="I569" s="2201">
        <v>0</v>
      </c>
      <c r="J569" s="29">
        <v>0</v>
      </c>
    </row>
    <row r="570" spans="1:241" s="2" customFormat="1" x14ac:dyDescent="0.2">
      <c r="A570" s="2296">
        <v>3633</v>
      </c>
      <c r="B570" s="1240" t="s">
        <v>1416</v>
      </c>
      <c r="C570" s="727">
        <f t="shared" ref="C570:D575" si="84">SUM(C571:C571)</f>
        <v>250000</v>
      </c>
      <c r="D570" s="727">
        <f t="shared" si="84"/>
        <v>0</v>
      </c>
      <c r="E570" s="727">
        <v>0</v>
      </c>
      <c r="F570" s="2341"/>
      <c r="G570" s="1663">
        <f t="shared" si="78"/>
        <v>0</v>
      </c>
      <c r="H570" s="1663">
        <v>0</v>
      </c>
      <c r="I570" s="1662">
        <v>0</v>
      </c>
      <c r="J570" s="88">
        <v>0</v>
      </c>
    </row>
    <row r="571" spans="1:241" s="2" customFormat="1" x14ac:dyDescent="0.2">
      <c r="A571" s="2400" t="s">
        <v>1768</v>
      </c>
      <c r="B571" s="1075" t="s">
        <v>2893</v>
      </c>
      <c r="C571" s="1048">
        <v>250000</v>
      </c>
      <c r="D571" s="1048">
        <f>250000-250000</f>
        <v>0</v>
      </c>
      <c r="E571" s="1048">
        <v>0</v>
      </c>
      <c r="F571" s="1048"/>
      <c r="G571" s="2200">
        <f t="shared" si="78"/>
        <v>0</v>
      </c>
      <c r="H571" s="2200">
        <v>0</v>
      </c>
      <c r="I571" s="2201">
        <v>0</v>
      </c>
      <c r="J571" s="88">
        <v>0</v>
      </c>
    </row>
    <row r="572" spans="1:241" s="2" customFormat="1" ht="15.75" x14ac:dyDescent="0.25">
      <c r="A572" s="2373"/>
      <c r="B572" s="1998" t="s">
        <v>1770</v>
      </c>
      <c r="C572" s="1055">
        <f t="shared" si="84"/>
        <v>200000</v>
      </c>
      <c r="D572" s="1055">
        <f t="shared" si="84"/>
        <v>67500</v>
      </c>
      <c r="E572" s="2401">
        <v>67500</v>
      </c>
      <c r="F572" s="2601"/>
      <c r="G572" s="2325">
        <f t="shared" si="78"/>
        <v>33.75</v>
      </c>
      <c r="H572" s="2325">
        <f t="shared" si="81"/>
        <v>100</v>
      </c>
      <c r="I572" s="2325">
        <f t="shared" si="80"/>
        <v>104.15702249791686</v>
      </c>
      <c r="J572" s="88">
        <v>64806</v>
      </c>
    </row>
    <row r="573" spans="1:241" x14ac:dyDescent="0.2">
      <c r="A573" s="2403" t="s">
        <v>609</v>
      </c>
      <c r="B573" s="1200" t="s">
        <v>2894</v>
      </c>
      <c r="C573" s="1809">
        <v>200000</v>
      </c>
      <c r="D573" s="1809">
        <f>200000-132500</f>
        <v>67500</v>
      </c>
      <c r="E573" s="1201">
        <v>67500</v>
      </c>
      <c r="F573" s="2424"/>
      <c r="G573" s="2200">
        <f t="shared" si="78"/>
        <v>33.75</v>
      </c>
      <c r="H573" s="2200">
        <f t="shared" si="81"/>
        <v>100</v>
      </c>
      <c r="I573" s="2201">
        <f t="shared" si="80"/>
        <v>104.15702249791686</v>
      </c>
      <c r="J573" s="29">
        <v>64806</v>
      </c>
    </row>
    <row r="574" spans="1:241" s="1973" customFormat="1" ht="12.75" customHeight="1" x14ac:dyDescent="0.2">
      <c r="A574" s="2404"/>
      <c r="B574" s="1988"/>
      <c r="C574" s="1190"/>
      <c r="D574" s="1190"/>
      <c r="E574" s="1190"/>
      <c r="F574" s="1048"/>
      <c r="G574" s="1048"/>
      <c r="H574" s="1048"/>
      <c r="I574" s="1190"/>
      <c r="J574" s="88"/>
      <c r="K574" s="2"/>
      <c r="L574" s="2"/>
      <c r="M574" s="2"/>
      <c r="N574" s="2"/>
      <c r="O574" s="2"/>
      <c r="P574" s="2"/>
      <c r="Q574" s="2"/>
      <c r="R574" s="2"/>
      <c r="S574" s="2"/>
      <c r="T574" s="2"/>
      <c r="U574" s="2"/>
      <c r="V574" s="2"/>
      <c r="W574" s="2"/>
      <c r="X574" s="2"/>
      <c r="Y574" s="2"/>
      <c r="Z574" s="2"/>
      <c r="AA574" s="2"/>
      <c r="AB574" s="2"/>
      <c r="AC574" s="2"/>
      <c r="AD574" s="2"/>
      <c r="AE574" s="2"/>
      <c r="AF574" s="2"/>
      <c r="AG574" s="2"/>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c r="FL574" s="2"/>
      <c r="FM574" s="2"/>
      <c r="FN574" s="2"/>
      <c r="FO574" s="2"/>
      <c r="FP574" s="2"/>
      <c r="FQ574" s="2"/>
      <c r="FR574" s="2"/>
      <c r="FS574" s="2"/>
      <c r="FT574" s="2"/>
      <c r="FU574" s="2"/>
      <c r="FV574" s="2"/>
      <c r="FW574" s="2"/>
      <c r="FX574" s="2"/>
      <c r="FY574" s="2"/>
      <c r="FZ574" s="2"/>
      <c r="GA574" s="2"/>
      <c r="GB574" s="2"/>
      <c r="GC574" s="2"/>
      <c r="GD574" s="2"/>
      <c r="GE574" s="2"/>
      <c r="GF574" s="2"/>
      <c r="GG574" s="2"/>
      <c r="GH574" s="2"/>
      <c r="GI574" s="2"/>
      <c r="GJ574" s="2"/>
      <c r="GK574" s="2"/>
      <c r="GL574" s="2"/>
      <c r="GM574" s="2"/>
      <c r="GN574" s="2"/>
      <c r="GO574" s="2"/>
      <c r="GP574" s="2"/>
      <c r="GQ574" s="2"/>
      <c r="GR574" s="2"/>
      <c r="GS574" s="2"/>
      <c r="GT574" s="2"/>
      <c r="GU574" s="2"/>
      <c r="GV574" s="2"/>
      <c r="GW574" s="2"/>
      <c r="GX574" s="2"/>
      <c r="GY574" s="2"/>
      <c r="GZ574" s="2"/>
      <c r="HA574" s="2"/>
      <c r="HB574" s="2"/>
      <c r="HC574" s="2"/>
      <c r="HD574" s="2"/>
      <c r="HE574" s="2"/>
      <c r="HF574" s="2"/>
      <c r="HG574" s="2"/>
      <c r="HH574" s="2"/>
      <c r="HI574" s="2"/>
      <c r="HJ574" s="2"/>
      <c r="HK574" s="2"/>
      <c r="HL574" s="2"/>
      <c r="HM574" s="2"/>
      <c r="HN574" s="2"/>
      <c r="HO574" s="2"/>
      <c r="HP574" s="2"/>
      <c r="HQ574" s="2"/>
      <c r="HR574" s="2"/>
      <c r="HS574" s="2"/>
      <c r="HT574" s="2"/>
      <c r="HU574" s="2"/>
      <c r="HV574" s="2"/>
      <c r="HW574" s="2"/>
      <c r="HX574" s="2"/>
      <c r="HY574" s="2"/>
      <c r="HZ574" s="2"/>
      <c r="IA574" s="2"/>
      <c r="IB574" s="2"/>
      <c r="IC574" s="2"/>
      <c r="ID574" s="2"/>
      <c r="IE574" s="2"/>
      <c r="IF574" s="2"/>
      <c r="IG574" s="2"/>
    </row>
    <row r="575" spans="1:241" ht="20.25" x14ac:dyDescent="0.3">
      <c r="A575" s="2405"/>
      <c r="B575" s="1204" t="s">
        <v>31</v>
      </c>
      <c r="C575" s="1403">
        <f t="shared" si="84"/>
        <v>15000</v>
      </c>
      <c r="D575" s="1403">
        <f t="shared" si="84"/>
        <v>15000</v>
      </c>
      <c r="E575" s="1403">
        <v>15000</v>
      </c>
      <c r="F575" s="2384">
        <f>SUM(E576)</f>
        <v>15000</v>
      </c>
      <c r="G575" s="949">
        <f t="shared" si="78"/>
        <v>100</v>
      </c>
      <c r="H575" s="949">
        <f t="shared" si="81"/>
        <v>100</v>
      </c>
      <c r="I575" s="949">
        <f t="shared" si="80"/>
        <v>100</v>
      </c>
      <c r="J575" s="29">
        <v>15000</v>
      </c>
    </row>
    <row r="576" spans="1:241" x14ac:dyDescent="0.2">
      <c r="A576" s="2406">
        <v>2141</v>
      </c>
      <c r="B576" s="1208" t="s">
        <v>1773</v>
      </c>
      <c r="C576" s="731">
        <v>15000</v>
      </c>
      <c r="D576" s="731">
        <v>15000</v>
      </c>
      <c r="E576" s="731">
        <v>15000</v>
      </c>
      <c r="F576" s="2424"/>
      <c r="G576" s="1663">
        <f t="shared" si="78"/>
        <v>100</v>
      </c>
      <c r="H576" s="1663">
        <f t="shared" si="81"/>
        <v>100</v>
      </c>
      <c r="I576" s="1662">
        <f t="shared" si="80"/>
        <v>100</v>
      </c>
      <c r="J576" s="29">
        <v>15000</v>
      </c>
    </row>
    <row r="577" spans="1:10" s="244" customFormat="1" ht="12.75" customHeight="1" x14ac:dyDescent="0.25">
      <c r="A577" s="2408"/>
      <c r="B577" s="1213"/>
      <c r="C577" s="2026"/>
      <c r="D577" s="2026"/>
      <c r="E577" s="1042"/>
      <c r="F577" s="945"/>
      <c r="G577" s="2409"/>
      <c r="H577" s="2409"/>
      <c r="I577" s="2026"/>
      <c r="J577" s="29"/>
    </row>
    <row r="578" spans="1:10" s="98" customFormat="1" ht="20.25" x14ac:dyDescent="0.3">
      <c r="A578" s="2373"/>
      <c r="B578" s="701" t="s">
        <v>614</v>
      </c>
      <c r="C578" s="2410">
        <f>SUM(C579:C583)</f>
        <v>17594633</v>
      </c>
      <c r="D578" s="2410">
        <f>SUM(D579:D583)</f>
        <v>18152198</v>
      </c>
      <c r="E578" s="2410">
        <v>17536891.300000001</v>
      </c>
      <c r="F578" s="2384">
        <f>SUM(E579:E583)</f>
        <v>17536891.300000001</v>
      </c>
      <c r="G578" s="949">
        <f t="shared" si="78"/>
        <v>99.671822083472847</v>
      </c>
      <c r="H578" s="949">
        <f t="shared" si="81"/>
        <v>96.610290941075021</v>
      </c>
      <c r="I578" s="949">
        <f t="shared" si="80"/>
        <v>112.74827539347081</v>
      </c>
      <c r="J578" s="29">
        <v>15554021.77</v>
      </c>
    </row>
    <row r="579" spans="1:10" s="98" customFormat="1" ht="26.25" customHeight="1" x14ac:dyDescent="0.2">
      <c r="A579" s="2219">
        <v>2141</v>
      </c>
      <c r="B579" s="1977" t="s">
        <v>2445</v>
      </c>
      <c r="C579" s="2028">
        <f>(15+50+129+1264.741+6.5+100)*1000</f>
        <v>1565241</v>
      </c>
      <c r="D579" s="2028">
        <f>((15+50+129+1264.741+6.5+100)*1000)+87635.98+54040</f>
        <v>1706916.98</v>
      </c>
      <c r="E579" s="731">
        <v>1684482.26</v>
      </c>
      <c r="F579" s="2364"/>
      <c r="G579" s="1663">
        <f t="shared" si="78"/>
        <v>107.6180767051208</v>
      </c>
      <c r="H579" s="1663">
        <f t="shared" si="81"/>
        <v>98.685658396813182</v>
      </c>
      <c r="I579" s="1662">
        <f t="shared" si="80"/>
        <v>184.60042742709271</v>
      </c>
      <c r="J579" s="1866">
        <v>912501.82</v>
      </c>
    </row>
    <row r="580" spans="1:10" s="98" customFormat="1" ht="72" customHeight="1" x14ac:dyDescent="0.2">
      <c r="A580" s="2221">
        <v>2143</v>
      </c>
      <c r="B580" s="725" t="s">
        <v>3134</v>
      </c>
      <c r="C580" s="727">
        <f>(4610+230+600+1143.28+57.04+414.9+20.7+10+1300+1130+400+1+7.5+10+50+900+130+2050+235.972+130+15+200+5+50+5+200+490)*1000</f>
        <v>14395391.999999998</v>
      </c>
      <c r="D580" s="727">
        <f>((4610+230+600+1143.28+57.04+414.9+20.7+10+1300+1130+400+1+7.5+10+50+900+130+2050+235.972+130+15+200+5+50+5+200+490)*1000)+300000+80000-87635.98+177565+(-211971.44-8002.1)-54040-3003</f>
        <v>14588304.479999999</v>
      </c>
      <c r="E580" s="731">
        <v>14215251.85</v>
      </c>
      <c r="F580" s="2341"/>
      <c r="G580" s="1663">
        <f t="shared" si="78"/>
        <v>98.748626296526012</v>
      </c>
      <c r="H580" s="1663">
        <f t="shared" si="81"/>
        <v>97.442796518872782</v>
      </c>
      <c r="I580" s="1662">
        <f t="shared" si="80"/>
        <v>112.03768373337375</v>
      </c>
      <c r="J580" s="1866">
        <v>12687920.15</v>
      </c>
    </row>
    <row r="581" spans="1:10" s="98" customFormat="1" ht="25.5" customHeight="1" x14ac:dyDescent="0.2">
      <c r="A581" s="2221">
        <v>3399</v>
      </c>
      <c r="B581" s="725" t="s">
        <v>3135</v>
      </c>
      <c r="C581" s="727">
        <v>130000</v>
      </c>
      <c r="D581" s="727">
        <f>130000+8002.1</f>
        <v>138002.1</v>
      </c>
      <c r="E581" s="731">
        <v>138002.1</v>
      </c>
      <c r="F581" s="2042"/>
      <c r="G581" s="1663">
        <f t="shared" si="78"/>
        <v>106.15546153846154</v>
      </c>
      <c r="H581" s="1663">
        <f t="shared" si="81"/>
        <v>100</v>
      </c>
      <c r="I581" s="1662">
        <f t="shared" si="80"/>
        <v>89.371506388216915</v>
      </c>
      <c r="J581" s="1866">
        <v>154413.98000000001</v>
      </c>
    </row>
    <row r="582" spans="1:10" s="98" customFormat="1" ht="26.25" customHeight="1" x14ac:dyDescent="0.2">
      <c r="A582" s="2221">
        <v>6223</v>
      </c>
      <c r="B582" s="725" t="s">
        <v>2448</v>
      </c>
      <c r="C582" s="727">
        <f>(150+50+15+40+900+77+250+5.5+5.5+5.5+5.5)*1000</f>
        <v>1504000</v>
      </c>
      <c r="D582" s="727">
        <f>((150+50+15+40+900+77+250+5.5+5.5+5.5+5.5)*1000)+211971.44</f>
        <v>1715971.44</v>
      </c>
      <c r="E582" s="731">
        <v>1499155.09</v>
      </c>
      <c r="F582" s="2042"/>
      <c r="G582" s="1663">
        <f t="shared" si="78"/>
        <v>99.677865026595754</v>
      </c>
      <c r="H582" s="1663">
        <f t="shared" si="81"/>
        <v>87.364804276695892</v>
      </c>
      <c r="I582" s="1662">
        <f t="shared" si="80"/>
        <v>83.324083223377116</v>
      </c>
      <c r="J582" s="1866">
        <v>1799185.82</v>
      </c>
    </row>
    <row r="583" spans="1:10" s="98" customFormat="1" ht="26.25" customHeight="1" x14ac:dyDescent="0.2">
      <c r="A583" s="2221">
        <v>6310</v>
      </c>
      <c r="B583" s="725" t="s">
        <v>3136</v>
      </c>
      <c r="C583" s="727">
        <v>0</v>
      </c>
      <c r="D583" s="727">
        <v>3003</v>
      </c>
      <c r="E583" s="731">
        <v>0</v>
      </c>
      <c r="F583" s="2042"/>
      <c r="G583" s="1663">
        <v>0</v>
      </c>
      <c r="H583" s="1663">
        <f t="shared" si="81"/>
        <v>0</v>
      </c>
      <c r="I583" s="1662">
        <f t="shared" si="80"/>
        <v>0</v>
      </c>
      <c r="J583" s="1866">
        <v>868626.17</v>
      </c>
    </row>
    <row r="584" spans="1:10" s="98" customFormat="1" ht="12" customHeight="1" x14ac:dyDescent="0.2">
      <c r="A584" s="2412"/>
      <c r="B584" s="1221"/>
      <c r="C584" s="899"/>
      <c r="D584" s="899"/>
      <c r="E584" s="1042"/>
      <c r="F584" s="979"/>
      <c r="G584" s="979"/>
      <c r="H584" s="979"/>
      <c r="I584" s="899"/>
      <c r="J584" s="29"/>
    </row>
    <row r="585" spans="1:10" s="98" customFormat="1" ht="20.25" x14ac:dyDescent="0.3">
      <c r="A585" s="2413"/>
      <c r="B585" s="1226" t="s">
        <v>33</v>
      </c>
      <c r="C585" s="1403">
        <f t="shared" ref="C585:D585" si="85">SUM(C586,C587)</f>
        <v>11914064</v>
      </c>
      <c r="D585" s="1403">
        <f t="shared" si="85"/>
        <v>11914064</v>
      </c>
      <c r="E585" s="2414">
        <v>11744906.27</v>
      </c>
      <c r="F585" s="2384">
        <f>SUM(E586:E587)</f>
        <v>11744906.27</v>
      </c>
      <c r="G585" s="949">
        <f t="shared" si="78"/>
        <v>98.580184477773486</v>
      </c>
      <c r="H585" s="949">
        <f t="shared" si="81"/>
        <v>98.580184477773486</v>
      </c>
      <c r="I585" s="949">
        <f t="shared" si="80"/>
        <v>107.36188338799401</v>
      </c>
      <c r="J585" s="29">
        <v>10939549.4</v>
      </c>
    </row>
    <row r="586" spans="1:10" s="98" customFormat="1" ht="24.75" x14ac:dyDescent="0.2">
      <c r="A586" s="2221">
        <v>2223</v>
      </c>
      <c r="B586" s="725" t="s">
        <v>1778</v>
      </c>
      <c r="C586" s="1138">
        <v>110000</v>
      </c>
      <c r="D586" s="1138">
        <v>110000</v>
      </c>
      <c r="E586" s="765">
        <v>93574.1</v>
      </c>
      <c r="F586" s="2364"/>
      <c r="G586" s="1663">
        <f t="shared" si="78"/>
        <v>85.067363636363652</v>
      </c>
      <c r="H586" s="1663">
        <f t="shared" si="81"/>
        <v>85.067363636363652</v>
      </c>
      <c r="I586" s="1662">
        <f t="shared" si="80"/>
        <v>103.60710082233217</v>
      </c>
      <c r="J586" s="1866">
        <v>90316.3</v>
      </c>
    </row>
    <row r="587" spans="1:10" s="98" customFormat="1" x14ac:dyDescent="0.2">
      <c r="A587" s="2221">
        <v>2292</v>
      </c>
      <c r="B587" s="717" t="s">
        <v>2449</v>
      </c>
      <c r="C587" s="731">
        <f t="shared" ref="C587:D587" si="86">SUM(C588:C592)</f>
        <v>11804064</v>
      </c>
      <c r="D587" s="731">
        <f t="shared" si="86"/>
        <v>11804064</v>
      </c>
      <c r="E587" s="731">
        <v>11651332.17</v>
      </c>
      <c r="F587" s="1809">
        <f>SUM(E588:E592)</f>
        <v>11651332.17</v>
      </c>
      <c r="G587" s="1663">
        <f t="shared" si="78"/>
        <v>98.706108082775557</v>
      </c>
      <c r="H587" s="1663">
        <f t="shared" si="81"/>
        <v>98.706108082775557</v>
      </c>
      <c r="I587" s="1662">
        <f t="shared" si="80"/>
        <v>107.39314071885875</v>
      </c>
      <c r="J587" s="29">
        <v>10849233.1</v>
      </c>
    </row>
    <row r="588" spans="1:10" s="98" customFormat="1" x14ac:dyDescent="0.2">
      <c r="A588" s="2221"/>
      <c r="B588" s="737" t="s">
        <v>623</v>
      </c>
      <c r="C588" s="1232">
        <v>2234064</v>
      </c>
      <c r="D588" s="1232">
        <v>2234064</v>
      </c>
      <c r="E588" s="738">
        <v>2234064</v>
      </c>
      <c r="F588" s="1864"/>
      <c r="G588" s="2200">
        <f t="shared" si="78"/>
        <v>100</v>
      </c>
      <c r="H588" s="2200">
        <f t="shared" si="81"/>
        <v>100</v>
      </c>
      <c r="I588" s="2201">
        <f t="shared" si="80"/>
        <v>116.52257364599849</v>
      </c>
      <c r="J588" s="29">
        <v>1917280</v>
      </c>
    </row>
    <row r="589" spans="1:10" s="98" customFormat="1" x14ac:dyDescent="0.2">
      <c r="A589" s="2221"/>
      <c r="B589" s="737" t="s">
        <v>2450</v>
      </c>
      <c r="C589" s="1900">
        <v>8800000</v>
      </c>
      <c r="D589" s="1900">
        <v>8800000</v>
      </c>
      <c r="E589" s="738">
        <v>8800906</v>
      </c>
      <c r="F589" s="1864"/>
      <c r="G589" s="2200">
        <f t="shared" si="78"/>
        <v>100.01029545454546</v>
      </c>
      <c r="H589" s="2200">
        <f t="shared" si="81"/>
        <v>100.01029545454546</v>
      </c>
      <c r="I589" s="2201">
        <f t="shared" si="80"/>
        <v>106.04086345969452</v>
      </c>
      <c r="J589" s="29">
        <v>8299542</v>
      </c>
    </row>
    <row r="590" spans="1:10" s="98" customFormat="1" x14ac:dyDescent="0.2">
      <c r="A590" s="2221"/>
      <c r="B590" s="749" t="s">
        <v>2451</v>
      </c>
      <c r="C590" s="1900">
        <v>350000</v>
      </c>
      <c r="D590" s="1900">
        <v>350000</v>
      </c>
      <c r="E590" s="738">
        <v>329769</v>
      </c>
      <c r="F590" s="1864"/>
      <c r="G590" s="2200">
        <f t="shared" si="78"/>
        <v>94.219714285714289</v>
      </c>
      <c r="H590" s="2200">
        <f t="shared" si="81"/>
        <v>94.219714285714289</v>
      </c>
      <c r="I590" s="2201">
        <f t="shared" si="80"/>
        <v>94.219714285714289</v>
      </c>
      <c r="J590" s="88">
        <v>350000</v>
      </c>
    </row>
    <row r="591" spans="1:10" s="98" customFormat="1" x14ac:dyDescent="0.2">
      <c r="A591" s="2415"/>
      <c r="B591" s="1229" t="s">
        <v>2452</v>
      </c>
      <c r="C591" s="1900">
        <v>400000</v>
      </c>
      <c r="D591" s="1900">
        <v>400000</v>
      </c>
      <c r="E591" s="750">
        <v>270508</v>
      </c>
      <c r="F591" s="1864"/>
      <c r="G591" s="2200">
        <f t="shared" si="78"/>
        <v>67.62700000000001</v>
      </c>
      <c r="H591" s="2200">
        <f t="shared" si="81"/>
        <v>67.62700000000001</v>
      </c>
      <c r="I591" s="2201">
        <f t="shared" si="80"/>
        <v>102.60623508839805</v>
      </c>
      <c r="J591" s="29">
        <v>263637</v>
      </c>
    </row>
    <row r="592" spans="1:10" s="98" customFormat="1" x14ac:dyDescent="0.2">
      <c r="A592" s="2416"/>
      <c r="B592" s="1231" t="s">
        <v>2453</v>
      </c>
      <c r="C592" s="1900">
        <v>20000</v>
      </c>
      <c r="D592" s="1900">
        <v>20000</v>
      </c>
      <c r="E592" s="1045">
        <v>16085.17</v>
      </c>
      <c r="F592" s="1864"/>
      <c r="G592" s="2200">
        <f t="shared" si="78"/>
        <v>80.425849999999997</v>
      </c>
      <c r="H592" s="2200">
        <f t="shared" si="81"/>
        <v>80.425849999999997</v>
      </c>
      <c r="I592" s="2201">
        <f t="shared" si="80"/>
        <v>85.677449251894899</v>
      </c>
      <c r="J592" s="29">
        <v>18774.099999999999</v>
      </c>
    </row>
    <row r="593" spans="1:11" s="98" customFormat="1" ht="12" customHeight="1" x14ac:dyDescent="0.2">
      <c r="A593" s="2417"/>
      <c r="B593" s="1231"/>
      <c r="C593" s="899"/>
      <c r="D593" s="899"/>
      <c r="E593" s="1158"/>
      <c r="F593" s="838"/>
      <c r="G593" s="979"/>
      <c r="H593" s="979"/>
      <c r="I593" s="899"/>
      <c r="J593" s="29"/>
    </row>
    <row r="594" spans="1:11" s="98" customFormat="1" ht="20.25" x14ac:dyDescent="0.3">
      <c r="A594" s="2373"/>
      <c r="B594" s="701" t="s">
        <v>34</v>
      </c>
      <c r="C594" s="652">
        <f t="shared" ref="C594:D594" si="87">SUM(C595:C596)</f>
        <v>162000</v>
      </c>
      <c r="D594" s="652">
        <f t="shared" si="87"/>
        <v>162000</v>
      </c>
      <c r="E594" s="652">
        <v>32803</v>
      </c>
      <c r="F594" s="2270">
        <f>SUM(E595:E596)</f>
        <v>32803</v>
      </c>
      <c r="G594" s="949">
        <f t="shared" si="78"/>
        <v>20.248765432098764</v>
      </c>
      <c r="H594" s="949">
        <f t="shared" si="81"/>
        <v>20.248765432098764</v>
      </c>
      <c r="I594" s="949">
        <f t="shared" si="80"/>
        <v>37.257575317023885</v>
      </c>
      <c r="J594" s="29">
        <v>88043.839999999997</v>
      </c>
    </row>
    <row r="595" spans="1:11" s="98" customFormat="1" ht="12.75" customHeight="1" x14ac:dyDescent="0.2">
      <c r="A595" s="2221">
        <v>2223</v>
      </c>
      <c r="B595" s="717" t="s">
        <v>1784</v>
      </c>
      <c r="C595" s="715">
        <v>150000</v>
      </c>
      <c r="D595" s="715">
        <v>150000</v>
      </c>
      <c r="E595" s="731">
        <v>30274</v>
      </c>
      <c r="F595" s="2418"/>
      <c r="G595" s="1663">
        <f t="shared" si="78"/>
        <v>20.182666666666666</v>
      </c>
      <c r="H595" s="1663">
        <f t="shared" si="81"/>
        <v>20.182666666666666</v>
      </c>
      <c r="I595" s="1662">
        <f t="shared" si="80"/>
        <v>35.088963747817523</v>
      </c>
      <c r="J595" s="29">
        <v>86277.84</v>
      </c>
    </row>
    <row r="596" spans="1:11" s="98" customFormat="1" x14ac:dyDescent="0.2">
      <c r="A596" s="2221">
        <v>6171</v>
      </c>
      <c r="B596" s="717" t="s">
        <v>3137</v>
      </c>
      <c r="C596" s="722">
        <v>12000</v>
      </c>
      <c r="D596" s="722">
        <v>12000</v>
      </c>
      <c r="E596" s="731">
        <v>2529</v>
      </c>
      <c r="F596" s="740"/>
      <c r="G596" s="1663">
        <f t="shared" si="78"/>
        <v>21.074999999999999</v>
      </c>
      <c r="H596" s="1663">
        <f t="shared" si="81"/>
        <v>21.074999999999999</v>
      </c>
      <c r="I596" s="1662">
        <f t="shared" si="80"/>
        <v>143.20498301245752</v>
      </c>
      <c r="J596" s="29">
        <v>1766</v>
      </c>
    </row>
    <row r="597" spans="1:11" s="98" customFormat="1" ht="12" customHeight="1" x14ac:dyDescent="0.2">
      <c r="A597" s="2419"/>
      <c r="B597" s="1236"/>
      <c r="C597" s="899"/>
      <c r="D597" s="899"/>
      <c r="E597" s="1517"/>
      <c r="F597" s="838"/>
      <c r="G597" s="2420"/>
      <c r="H597" s="2420"/>
      <c r="I597" s="899"/>
      <c r="J597" s="29"/>
    </row>
    <row r="598" spans="1:11" s="98" customFormat="1" ht="20.25" x14ac:dyDescent="0.3">
      <c r="A598" s="2413"/>
      <c r="B598" s="1238" t="s">
        <v>630</v>
      </c>
      <c r="C598" s="1239">
        <f>SUM(C599:C599)</f>
        <v>500000</v>
      </c>
      <c r="D598" s="1239">
        <f>SUM(D599:D599)</f>
        <v>735000</v>
      </c>
      <c r="E598" s="1239">
        <v>656091.16</v>
      </c>
      <c r="F598" s="2270">
        <f>SUM(E599)</f>
        <v>656091.16</v>
      </c>
      <c r="G598" s="949">
        <f t="shared" si="78"/>
        <v>131.218232</v>
      </c>
      <c r="H598" s="949">
        <f t="shared" si="81"/>
        <v>89.264103401360558</v>
      </c>
      <c r="I598" s="949">
        <f t="shared" si="80"/>
        <v>46.273500568859284</v>
      </c>
      <c r="J598" s="1866">
        <v>1417855.04</v>
      </c>
    </row>
    <row r="599" spans="1:11" s="98" customFormat="1" x14ac:dyDescent="0.2">
      <c r="A599" s="2422">
        <v>6114</v>
      </c>
      <c r="B599" s="842" t="s">
        <v>2896</v>
      </c>
      <c r="C599" s="998">
        <v>500000</v>
      </c>
      <c r="D599" s="984">
        <f>500000+235000</f>
        <v>735000</v>
      </c>
      <c r="E599" s="984">
        <v>656091.16</v>
      </c>
      <c r="F599" s="854"/>
      <c r="G599" s="1663">
        <f t="shared" si="78"/>
        <v>131.218232</v>
      </c>
      <c r="H599" s="1663">
        <f t="shared" si="81"/>
        <v>89.264103401360558</v>
      </c>
      <c r="I599" s="1662">
        <v>0</v>
      </c>
      <c r="J599" s="1994">
        <v>0</v>
      </c>
    </row>
    <row r="600" spans="1:11" s="98" customFormat="1" ht="12" customHeight="1" x14ac:dyDescent="0.2">
      <c r="A600" s="2337"/>
      <c r="B600" s="2034"/>
      <c r="C600" s="1006"/>
      <c r="D600" s="869"/>
      <c r="E600" s="869"/>
      <c r="F600" s="779"/>
      <c r="G600" s="1102"/>
      <c r="H600" s="1102"/>
      <c r="I600" s="1359"/>
      <c r="J600" s="1994"/>
    </row>
    <row r="601" spans="1:11" customFormat="1" ht="20.25" x14ac:dyDescent="0.3">
      <c r="A601" s="2405"/>
      <c r="B601" s="1246" t="s">
        <v>36</v>
      </c>
      <c r="C601" s="1247">
        <f>C602+C647+C673+C676</f>
        <v>125656247</v>
      </c>
      <c r="D601" s="1247">
        <f>D602+D647+D673+D676</f>
        <v>143459095.66999999</v>
      </c>
      <c r="E601" s="1247">
        <v>142981075.81999999</v>
      </c>
      <c r="F601" s="2270">
        <f>SUM(E602,E647,E673,E676)</f>
        <v>142981075.81999999</v>
      </c>
      <c r="G601" s="2325">
        <f t="shared" si="78"/>
        <v>113.78747912151155</v>
      </c>
      <c r="H601" s="2325">
        <f t="shared" si="81"/>
        <v>99.666790141282092</v>
      </c>
      <c r="I601" s="2325">
        <f t="shared" si="80"/>
        <v>109.07416285911231</v>
      </c>
      <c r="J601" s="88">
        <v>131086108.81999999</v>
      </c>
      <c r="K601" s="2"/>
    </row>
    <row r="602" spans="1:11" customFormat="1" ht="15.75" x14ac:dyDescent="0.25">
      <c r="A602" s="2371"/>
      <c r="B602" s="1249" t="s">
        <v>633</v>
      </c>
      <c r="C602" s="1080">
        <f>SUM(C603,C619,C645,C640)</f>
        <v>47677600</v>
      </c>
      <c r="D602" s="1080">
        <f>SUM(D603,D619,D645,D640)</f>
        <v>58872488.629999995</v>
      </c>
      <c r="E602" s="1080">
        <v>58705122.899999999</v>
      </c>
      <c r="F602" s="2270">
        <f>SUM(E603,E619,E640,E645)</f>
        <v>58705122.900000006</v>
      </c>
      <c r="G602" s="2325">
        <f t="shared" si="78"/>
        <v>123.12935823111901</v>
      </c>
      <c r="H602" s="2325">
        <f t="shared" si="81"/>
        <v>99.715714871420076</v>
      </c>
      <c r="I602" s="2325">
        <f t="shared" si="80"/>
        <v>101.04092998403939</v>
      </c>
      <c r="J602" s="88">
        <v>58100339.049999997</v>
      </c>
      <c r="K602" s="2"/>
    </row>
    <row r="603" spans="1:11" customFormat="1" x14ac:dyDescent="0.2">
      <c r="A603" s="2423">
        <v>3111</v>
      </c>
      <c r="B603" s="1251" t="s">
        <v>2455</v>
      </c>
      <c r="C603" s="1138">
        <f t="shared" ref="C603:D603" si="88">SUM(C604:C606)</f>
        <v>11790900</v>
      </c>
      <c r="D603" s="1138">
        <f t="shared" si="88"/>
        <v>13989134.969999999</v>
      </c>
      <c r="E603" s="1138">
        <v>13989134.970000001</v>
      </c>
      <c r="F603" s="2424">
        <f>SUM(E607,E611,E615)</f>
        <v>13989134.969999999</v>
      </c>
      <c r="G603" s="1663">
        <f t="shared" si="78"/>
        <v>118.64348752003664</v>
      </c>
      <c r="H603" s="1663">
        <f t="shared" si="81"/>
        <v>100.00000000000003</v>
      </c>
      <c r="I603" s="1662">
        <f t="shared" si="80"/>
        <v>126.79241871021878</v>
      </c>
      <c r="J603" s="88">
        <v>11033100.49</v>
      </c>
      <c r="K603" s="2"/>
    </row>
    <row r="604" spans="1:11" customFormat="1" x14ac:dyDescent="0.2">
      <c r="A604" s="2425"/>
      <c r="B604" s="1255" t="s">
        <v>635</v>
      </c>
      <c r="C604" s="1256">
        <f t="shared" ref="C604:D606" si="89">+C608+C612+C616</f>
        <v>10198900</v>
      </c>
      <c r="D604" s="1256">
        <f>+D608+D612+D616</f>
        <v>12266077.699999999</v>
      </c>
      <c r="E604" s="1256">
        <v>12266077.699999999</v>
      </c>
      <c r="F604" s="1256">
        <f>SUM(E604:E606)</f>
        <v>13989134.969999999</v>
      </c>
      <c r="G604" s="2200">
        <f t="shared" si="78"/>
        <v>120.26863387228033</v>
      </c>
      <c r="H604" s="2200">
        <f t="shared" si="81"/>
        <v>100</v>
      </c>
      <c r="I604" s="2201">
        <f t="shared" si="80"/>
        <v>137.12625299032638</v>
      </c>
      <c r="J604" s="88">
        <v>8945097.9900000002</v>
      </c>
      <c r="K604" s="2"/>
    </row>
    <row r="605" spans="1:11" customFormat="1" x14ac:dyDescent="0.2">
      <c r="A605" s="2425"/>
      <c r="B605" s="1255" t="s">
        <v>1788</v>
      </c>
      <c r="C605" s="1256">
        <f t="shared" si="89"/>
        <v>1462000</v>
      </c>
      <c r="D605" s="1256">
        <f t="shared" si="89"/>
        <v>1593057.27</v>
      </c>
      <c r="E605" s="1256">
        <v>1593057.27</v>
      </c>
      <c r="F605" s="1256"/>
      <c r="G605" s="2200">
        <f t="shared" si="78"/>
        <v>108.96424555403557</v>
      </c>
      <c r="H605" s="2200">
        <f t="shared" si="81"/>
        <v>100</v>
      </c>
      <c r="I605" s="2201">
        <f t="shared" si="80"/>
        <v>103.47198513902127</v>
      </c>
      <c r="J605" s="88">
        <v>1539602.5</v>
      </c>
      <c r="K605" s="2"/>
    </row>
    <row r="606" spans="1:11" customFormat="1" x14ac:dyDescent="0.2">
      <c r="A606" s="2425"/>
      <c r="B606" s="1255" t="s">
        <v>1789</v>
      </c>
      <c r="C606" s="1256">
        <f t="shared" si="89"/>
        <v>130000</v>
      </c>
      <c r="D606" s="1256">
        <f t="shared" si="89"/>
        <v>130000</v>
      </c>
      <c r="E606" s="1256">
        <v>130000</v>
      </c>
      <c r="F606" s="1256"/>
      <c r="G606" s="2200">
        <f t="shared" si="78"/>
        <v>100</v>
      </c>
      <c r="H606" s="2200">
        <f t="shared" si="81"/>
        <v>100</v>
      </c>
      <c r="I606" s="2201">
        <v>0</v>
      </c>
      <c r="J606" s="88">
        <v>548400</v>
      </c>
      <c r="K606" s="2"/>
    </row>
    <row r="607" spans="1:11" customFormat="1" x14ac:dyDescent="0.2">
      <c r="A607" s="2425"/>
      <c r="B607" s="1258" t="s">
        <v>2897</v>
      </c>
      <c r="C607" s="727">
        <f t="shared" ref="C607:D607" si="90">C608+C609+C610</f>
        <v>3361300</v>
      </c>
      <c r="D607" s="727">
        <f t="shared" si="90"/>
        <v>3963818.1</v>
      </c>
      <c r="E607" s="727">
        <v>3963818.1</v>
      </c>
      <c r="F607" s="1077">
        <f>SUM(E608:E610)</f>
        <v>3963818.1</v>
      </c>
      <c r="G607" s="1663">
        <f t="shared" si="78"/>
        <v>117.92515098325053</v>
      </c>
      <c r="H607" s="1663">
        <f t="shared" si="81"/>
        <v>100</v>
      </c>
      <c r="I607" s="1662">
        <f t="shared" si="80"/>
        <v>124.41987356552747</v>
      </c>
      <c r="J607" s="88">
        <v>3185840</v>
      </c>
      <c r="K607" s="2"/>
    </row>
    <row r="608" spans="1:11" customFormat="1" x14ac:dyDescent="0.2">
      <c r="A608" s="2425"/>
      <c r="B608" s="1258" t="s">
        <v>2898</v>
      </c>
      <c r="C608" s="1864">
        <f>2997000+32300</f>
        <v>3029300</v>
      </c>
      <c r="D608" s="1864">
        <f>2997000+32300-10990+(117955.01+495553.09)</f>
        <v>3631818.1</v>
      </c>
      <c r="E608" s="1077">
        <v>3631818.1</v>
      </c>
      <c r="F608" s="1864"/>
      <c r="G608" s="2200">
        <f t="shared" si="78"/>
        <v>119.88968078433962</v>
      </c>
      <c r="H608" s="2200">
        <f t="shared" si="81"/>
        <v>100</v>
      </c>
      <c r="I608" s="2201">
        <f t="shared" si="80"/>
        <v>135.92947556739924</v>
      </c>
      <c r="J608" s="88">
        <v>2671840</v>
      </c>
      <c r="K608" s="2"/>
    </row>
    <row r="609" spans="1:11" customFormat="1" ht="24.75" x14ac:dyDescent="0.2">
      <c r="A609" s="2425" t="s">
        <v>640</v>
      </c>
      <c r="B609" s="1258" t="s">
        <v>3138</v>
      </c>
      <c r="C609" s="1864">
        <v>332000</v>
      </c>
      <c r="D609" s="1077">
        <v>332000</v>
      </c>
      <c r="E609" s="1809">
        <v>332000</v>
      </c>
      <c r="F609" s="1864"/>
      <c r="G609" s="2200">
        <f t="shared" si="78"/>
        <v>100</v>
      </c>
      <c r="H609" s="2200">
        <f t="shared" si="81"/>
        <v>100</v>
      </c>
      <c r="I609" s="2201">
        <f t="shared" si="80"/>
        <v>64.591439688715951</v>
      </c>
      <c r="J609" s="32">
        <v>514000</v>
      </c>
      <c r="K609" s="2"/>
    </row>
    <row r="610" spans="1:11" customFormat="1" x14ac:dyDescent="0.2">
      <c r="A610" s="2425"/>
      <c r="B610" s="1258" t="s">
        <v>2900</v>
      </c>
      <c r="C610" s="1864">
        <v>0</v>
      </c>
      <c r="D610" s="1864">
        <v>0</v>
      </c>
      <c r="E610" s="1809">
        <v>0</v>
      </c>
      <c r="F610" s="815"/>
      <c r="G610" s="2200">
        <v>0</v>
      </c>
      <c r="H610" s="2200">
        <v>0</v>
      </c>
      <c r="I610" s="2201">
        <v>0</v>
      </c>
      <c r="J610" s="88">
        <v>0</v>
      </c>
      <c r="K610" s="2"/>
    </row>
    <row r="611" spans="1:11" customFormat="1" ht="15" x14ac:dyDescent="0.2">
      <c r="A611" s="2425"/>
      <c r="B611" s="1261" t="s">
        <v>2901</v>
      </c>
      <c r="C611" s="1262">
        <f t="shared" ref="C611:D611" si="91">SUM(C612:C614)</f>
        <v>4337900</v>
      </c>
      <c r="D611" s="1262">
        <f t="shared" si="91"/>
        <v>5097945.84</v>
      </c>
      <c r="E611" s="1262">
        <v>5097945.84</v>
      </c>
      <c r="F611" s="1256">
        <f>SUM(E612:E614)</f>
        <v>5097945.84</v>
      </c>
      <c r="G611" s="1663">
        <f t="shared" si="78"/>
        <v>117.52105488831002</v>
      </c>
      <c r="H611" s="1663">
        <f t="shared" si="81"/>
        <v>100</v>
      </c>
      <c r="I611" s="1662">
        <f t="shared" si="80"/>
        <v>124.34014243902438</v>
      </c>
      <c r="J611" s="88">
        <v>4100000</v>
      </c>
      <c r="K611" s="2"/>
    </row>
    <row r="612" spans="1:11" customFormat="1" x14ac:dyDescent="0.2">
      <c r="A612" s="2425"/>
      <c r="B612" s="1258" t="s">
        <v>2902</v>
      </c>
      <c r="C612" s="1864">
        <f>3579000+37900+21000</f>
        <v>3637900</v>
      </c>
      <c r="D612" s="1864">
        <f>3579000+37900+21000+(138438.27+581607.57)+40000</f>
        <v>4397945.84</v>
      </c>
      <c r="E612" s="1077">
        <v>4397945.84</v>
      </c>
      <c r="F612" s="1864"/>
      <c r="G612" s="2200">
        <f t="shared" si="78"/>
        <v>120.89243354682647</v>
      </c>
      <c r="H612" s="2200">
        <f t="shared" si="81"/>
        <v>100</v>
      </c>
      <c r="I612" s="2201">
        <f t="shared" si="80"/>
        <v>139.83929538950716</v>
      </c>
      <c r="J612" s="88">
        <v>3145000</v>
      </c>
      <c r="K612" s="2"/>
    </row>
    <row r="613" spans="1:11" customFormat="1" x14ac:dyDescent="0.2">
      <c r="A613" s="2425"/>
      <c r="B613" s="1258" t="s">
        <v>2903</v>
      </c>
      <c r="C613" s="2035">
        <v>700000</v>
      </c>
      <c r="D613" s="2035">
        <v>700000</v>
      </c>
      <c r="E613" s="1077">
        <v>700000</v>
      </c>
      <c r="F613" s="2035"/>
      <c r="G613" s="2200">
        <f t="shared" ref="G613:G676" si="92">E613/C613*100</f>
        <v>100</v>
      </c>
      <c r="H613" s="2200">
        <f t="shared" si="81"/>
        <v>100</v>
      </c>
      <c r="I613" s="2201">
        <f t="shared" ref="I613:I676" si="93">E613/J613*100</f>
        <v>153.84615384615387</v>
      </c>
      <c r="J613" s="88">
        <v>455000</v>
      </c>
      <c r="K613" s="2"/>
    </row>
    <row r="614" spans="1:11" customFormat="1" x14ac:dyDescent="0.2">
      <c r="A614" s="2425"/>
      <c r="B614" s="1258" t="s">
        <v>2904</v>
      </c>
      <c r="C614" s="1234">
        <v>0</v>
      </c>
      <c r="D614" s="1234">
        <v>0</v>
      </c>
      <c r="E614" s="1809">
        <v>0</v>
      </c>
      <c r="F614" s="1864"/>
      <c r="G614" s="2200">
        <v>0</v>
      </c>
      <c r="H614" s="2200">
        <v>0</v>
      </c>
      <c r="I614" s="2201">
        <f t="shared" si="93"/>
        <v>0</v>
      </c>
      <c r="J614" s="88">
        <v>500000</v>
      </c>
      <c r="K614" s="2"/>
    </row>
    <row r="615" spans="1:11" customFormat="1" x14ac:dyDescent="0.2">
      <c r="A615" s="2425"/>
      <c r="B615" s="1258" t="s">
        <v>2905</v>
      </c>
      <c r="C615" s="1262">
        <f t="shared" ref="C615:D615" si="94">SUM(C616:C618)</f>
        <v>4091700</v>
      </c>
      <c r="D615" s="1262">
        <f t="shared" si="94"/>
        <v>4927371.0299999993</v>
      </c>
      <c r="E615" s="1262">
        <v>4927371.03</v>
      </c>
      <c r="F615" s="1256">
        <f>SUM(E616:E618)</f>
        <v>4927371.0299999993</v>
      </c>
      <c r="G615" s="1663">
        <f t="shared" si="92"/>
        <v>120.42356551066796</v>
      </c>
      <c r="H615" s="1663">
        <f t="shared" si="81"/>
        <v>100.00000000000003</v>
      </c>
      <c r="I615" s="1662">
        <f t="shared" si="93"/>
        <v>131.4926208932969</v>
      </c>
      <c r="J615" s="88">
        <v>3747260.49</v>
      </c>
      <c r="K615" s="2"/>
    </row>
    <row r="616" spans="1:11" customFormat="1" x14ac:dyDescent="0.2">
      <c r="A616" s="2425"/>
      <c r="B616" s="1258" t="s">
        <v>2906</v>
      </c>
      <c r="C616" s="1864">
        <f>3502000+29700</f>
        <v>3531700</v>
      </c>
      <c r="D616" s="1864">
        <f>3502000+29700+(12834+115506)+(108476.76+455733)+(-9659.6-86936.4)+(14076+126684)-32100</f>
        <v>4236313.76</v>
      </c>
      <c r="E616" s="1809">
        <v>4236313.76</v>
      </c>
      <c r="F616" s="1864"/>
      <c r="G616" s="2200">
        <f t="shared" si="92"/>
        <v>119.95112155619105</v>
      </c>
      <c r="H616" s="2200">
        <f t="shared" si="81"/>
        <v>100</v>
      </c>
      <c r="I616" s="2201">
        <f t="shared" si="93"/>
        <v>135.42085638531364</v>
      </c>
      <c r="J616" s="88">
        <v>3128257.99</v>
      </c>
      <c r="K616" s="2"/>
    </row>
    <row r="617" spans="1:11" customFormat="1" ht="24.75" x14ac:dyDescent="0.2">
      <c r="A617" s="2425"/>
      <c r="B617" s="1258" t="s">
        <v>2907</v>
      </c>
      <c r="C617" s="1077">
        <v>430000</v>
      </c>
      <c r="D617" s="1077">
        <f>430000+131057.57-0.3</f>
        <v>561057.27</v>
      </c>
      <c r="E617" s="1809">
        <v>561057.27</v>
      </c>
      <c r="F617" s="1077"/>
      <c r="G617" s="2200">
        <f t="shared" si="92"/>
        <v>130.47843488372092</v>
      </c>
      <c r="H617" s="2200">
        <f t="shared" ref="H617:H680" si="95">E617/D617*100</f>
        <v>100</v>
      </c>
      <c r="I617" s="2201">
        <f t="shared" si="93"/>
        <v>98.327166460013757</v>
      </c>
      <c r="J617" s="32">
        <v>570602.5</v>
      </c>
      <c r="K617" s="2"/>
    </row>
    <row r="618" spans="1:11" customFormat="1" x14ac:dyDescent="0.2">
      <c r="A618" s="2425"/>
      <c r="B618" s="1258" t="s">
        <v>2908</v>
      </c>
      <c r="C618" s="1234">
        <v>130000</v>
      </c>
      <c r="D618" s="1234">
        <v>130000</v>
      </c>
      <c r="E618" s="1077">
        <v>130000</v>
      </c>
      <c r="F618" s="1864"/>
      <c r="G618" s="2200">
        <f t="shared" si="92"/>
        <v>100</v>
      </c>
      <c r="H618" s="2200">
        <f t="shared" si="95"/>
        <v>100</v>
      </c>
      <c r="I618" s="2201">
        <f t="shared" si="93"/>
        <v>268.59504132231405</v>
      </c>
      <c r="J618" s="88">
        <v>48400</v>
      </c>
      <c r="K618" s="2"/>
    </row>
    <row r="619" spans="1:11" customFormat="1" x14ac:dyDescent="0.2">
      <c r="A619" s="2296">
        <v>3113</v>
      </c>
      <c r="B619" s="1266" t="s">
        <v>650</v>
      </c>
      <c r="C619" s="1262">
        <f>SUM(C620:C623)</f>
        <v>32723700</v>
      </c>
      <c r="D619" s="1262">
        <f>SUM(D620:D623)</f>
        <v>40250165.82</v>
      </c>
      <c r="E619" s="1262">
        <v>40082800.090000004</v>
      </c>
      <c r="F619" s="1256">
        <f>SUM(E620,E624,E628,E632,E636)</f>
        <v>40082800.089999996</v>
      </c>
      <c r="G619" s="1663">
        <f t="shared" si="92"/>
        <v>122.48859416875233</v>
      </c>
      <c r="H619" s="1663">
        <f t="shared" si="95"/>
        <v>99.584186234788547</v>
      </c>
      <c r="I619" s="1662">
        <f t="shared" si="93"/>
        <v>91.296773811981453</v>
      </c>
      <c r="J619" s="88">
        <v>43903851.600000001</v>
      </c>
      <c r="K619" s="2"/>
    </row>
    <row r="620" spans="1:11" customFormat="1" x14ac:dyDescent="0.2">
      <c r="A620" s="2296"/>
      <c r="B620" s="1258" t="s">
        <v>651</v>
      </c>
      <c r="C620" s="1234">
        <v>400000</v>
      </c>
      <c r="D620" s="1234">
        <f>400000-131057.57-51162-100000</f>
        <v>117780.43</v>
      </c>
      <c r="E620" s="1809">
        <v>66295.7</v>
      </c>
      <c r="F620" s="1864">
        <f>SUM(E620:E623)</f>
        <v>40082800.090000004</v>
      </c>
      <c r="G620" s="2200">
        <f t="shared" si="92"/>
        <v>16.573924999999999</v>
      </c>
      <c r="H620" s="2200">
        <f t="shared" si="95"/>
        <v>56.28753435524051</v>
      </c>
      <c r="I620" s="2201">
        <f t="shared" si="93"/>
        <v>30.874125059959294</v>
      </c>
      <c r="J620" s="88">
        <v>214729</v>
      </c>
      <c r="K620" s="2"/>
    </row>
    <row r="621" spans="1:11" customFormat="1" x14ac:dyDescent="0.2">
      <c r="A621" s="2425"/>
      <c r="B621" s="1258" t="s">
        <v>652</v>
      </c>
      <c r="C621" s="1256">
        <f t="shared" ref="C621:D622" si="96">+C625+C629+C633+C637</f>
        <v>28271700</v>
      </c>
      <c r="D621" s="1256">
        <f t="shared" si="96"/>
        <v>36422682.18</v>
      </c>
      <c r="E621" s="1256">
        <f t="shared" ref="E621:E623" si="97">SUM(E625,E629,E633,E637)</f>
        <v>36306801.18</v>
      </c>
      <c r="F621" s="1256"/>
      <c r="G621" s="2200">
        <f t="shared" si="92"/>
        <v>128.42100467959125</v>
      </c>
      <c r="H621" s="2200">
        <f t="shared" si="95"/>
        <v>99.681843859199276</v>
      </c>
      <c r="I621" s="2201">
        <f t="shared" si="93"/>
        <v>110.9437353085242</v>
      </c>
      <c r="J621" s="88">
        <v>32725418.050000001</v>
      </c>
      <c r="K621" s="2"/>
    </row>
    <row r="622" spans="1:11" customFormat="1" x14ac:dyDescent="0.2">
      <c r="A622" s="2425"/>
      <c r="B622" s="1258" t="s">
        <v>1802</v>
      </c>
      <c r="C622" s="1256">
        <f t="shared" si="96"/>
        <v>3453000</v>
      </c>
      <c r="D622" s="1256">
        <f t="shared" si="96"/>
        <v>3015808.0300000003</v>
      </c>
      <c r="E622" s="1256">
        <f t="shared" si="97"/>
        <v>3015808.0300000003</v>
      </c>
      <c r="F622" s="1256"/>
      <c r="G622" s="2200">
        <f t="shared" si="92"/>
        <v>87.338778743121921</v>
      </c>
      <c r="H622" s="2200">
        <f t="shared" si="95"/>
        <v>100</v>
      </c>
      <c r="I622" s="2201">
        <f t="shared" si="93"/>
        <v>102.4876773322146</v>
      </c>
      <c r="J622" s="88">
        <v>2942605.5</v>
      </c>
      <c r="K622" s="2"/>
    </row>
    <row r="623" spans="1:11" customFormat="1" x14ac:dyDescent="0.2">
      <c r="A623" s="2425"/>
      <c r="B623" s="1258" t="s">
        <v>1803</v>
      </c>
      <c r="C623" s="1256">
        <f>+C627+C635+C639+C631</f>
        <v>599000</v>
      </c>
      <c r="D623" s="1256">
        <f>+D627+D635+D639+D631</f>
        <v>693895.17999999993</v>
      </c>
      <c r="E623" s="1256">
        <f t="shared" si="97"/>
        <v>693895.17999999993</v>
      </c>
      <c r="F623" s="1256"/>
      <c r="G623" s="2200">
        <f t="shared" si="92"/>
        <v>115.84226711185308</v>
      </c>
      <c r="H623" s="2200">
        <f t="shared" si="95"/>
        <v>100</v>
      </c>
      <c r="I623" s="2201">
        <f t="shared" si="93"/>
        <v>8.6508740968608286</v>
      </c>
      <c r="J623" s="88">
        <v>8021099.0499999998</v>
      </c>
      <c r="K623" s="2"/>
    </row>
    <row r="624" spans="1:11" customFormat="1" x14ac:dyDescent="0.2">
      <c r="A624" s="2425"/>
      <c r="B624" s="1258" t="s">
        <v>2909</v>
      </c>
      <c r="C624" s="1262">
        <f t="shared" ref="C624:D624" si="98">SUM(C625:C627)</f>
        <v>11483000</v>
      </c>
      <c r="D624" s="1262">
        <f t="shared" si="98"/>
        <v>13964751.789999999</v>
      </c>
      <c r="E624" s="1262">
        <v>13964751.789999999</v>
      </c>
      <c r="F624" s="1256">
        <f>SUM(E625:E627)</f>
        <v>13964751.789999999</v>
      </c>
      <c r="G624" s="1663">
        <f t="shared" si="92"/>
        <v>121.61239911173038</v>
      </c>
      <c r="H624" s="1663">
        <f t="shared" si="95"/>
        <v>100</v>
      </c>
      <c r="I624" s="1662">
        <f t="shared" si="93"/>
        <v>124.15364021564798</v>
      </c>
      <c r="J624" s="88">
        <v>11247960</v>
      </c>
      <c r="K624" s="2"/>
    </row>
    <row r="625" spans="1:11" customFormat="1" x14ac:dyDescent="0.2">
      <c r="A625" s="2425"/>
      <c r="B625" s="1258" t="s">
        <v>2910</v>
      </c>
      <c r="C625" s="1864">
        <f>10280000-612000</f>
        <v>9668000</v>
      </c>
      <c r="D625" s="1864">
        <f>10280000-612000+(9850+88650)+500000+(-7511.7-67605.3)+(348577.29+1464444.5)+51162+(9418.5+84766.5)</f>
        <v>12149751.789999999</v>
      </c>
      <c r="E625" s="1077">
        <v>12149751.789999999</v>
      </c>
      <c r="F625" s="1864"/>
      <c r="G625" s="2200">
        <f t="shared" si="92"/>
        <v>125.66975372362432</v>
      </c>
      <c r="H625" s="2200">
        <f t="shared" si="95"/>
        <v>100</v>
      </c>
      <c r="I625" s="2201">
        <f t="shared" si="93"/>
        <v>123.6620992859004</v>
      </c>
      <c r="J625" s="88">
        <v>9824960</v>
      </c>
      <c r="K625" s="2"/>
    </row>
    <row r="626" spans="1:11" customFormat="1" ht="36.75" customHeight="1" x14ac:dyDescent="0.2">
      <c r="A626" s="2425"/>
      <c r="B626" s="1258" t="s">
        <v>2911</v>
      </c>
      <c r="C626" s="1077">
        <v>1815000</v>
      </c>
      <c r="D626" s="1077">
        <v>1815000</v>
      </c>
      <c r="E626" s="1077">
        <v>1815000</v>
      </c>
      <c r="F626" s="1077"/>
      <c r="G626" s="2200">
        <f t="shared" si="92"/>
        <v>100</v>
      </c>
      <c r="H626" s="2200">
        <f t="shared" si="95"/>
        <v>100</v>
      </c>
      <c r="I626" s="2201">
        <f t="shared" si="93"/>
        <v>160.47745358090185</v>
      </c>
      <c r="J626" s="32">
        <v>1131000</v>
      </c>
      <c r="K626" s="2"/>
    </row>
    <row r="627" spans="1:11" customFormat="1" x14ac:dyDescent="0.2">
      <c r="A627" s="2425"/>
      <c r="B627" s="1258" t="s">
        <v>2912</v>
      </c>
      <c r="C627" s="1234">
        <v>0</v>
      </c>
      <c r="D627" s="1234">
        <v>0</v>
      </c>
      <c r="E627" s="1256">
        <v>0</v>
      </c>
      <c r="F627" s="1271"/>
      <c r="G627" s="2200">
        <v>0</v>
      </c>
      <c r="H627" s="2200">
        <v>0</v>
      </c>
      <c r="I627" s="2201">
        <f t="shared" si="93"/>
        <v>0</v>
      </c>
      <c r="J627" s="88">
        <v>292000</v>
      </c>
      <c r="K627" s="2"/>
    </row>
    <row r="628" spans="1:11" customFormat="1" x14ac:dyDescent="0.2">
      <c r="A628" s="2425"/>
      <c r="B628" s="1258" t="s">
        <v>2913</v>
      </c>
      <c r="C628" s="1262">
        <f>SUM(C629:C631)</f>
        <v>7010000</v>
      </c>
      <c r="D628" s="1262">
        <f>SUM(D629:D631)</f>
        <v>8782695</v>
      </c>
      <c r="E628" s="1262">
        <v>8782695</v>
      </c>
      <c r="F628" s="1256">
        <f>SUM(E629:E631)</f>
        <v>8782695</v>
      </c>
      <c r="G628" s="1663">
        <f t="shared" si="92"/>
        <v>125.28808844507846</v>
      </c>
      <c r="H628" s="1663">
        <f t="shared" si="95"/>
        <v>100</v>
      </c>
      <c r="I628" s="1662">
        <f t="shared" si="93"/>
        <v>143.95805123563505</v>
      </c>
      <c r="J628" s="88">
        <v>6100871</v>
      </c>
      <c r="K628" s="2"/>
    </row>
    <row r="629" spans="1:11" customFormat="1" x14ac:dyDescent="0.2">
      <c r="A629" s="2425"/>
      <c r="B629" s="1258" t="s">
        <v>2914</v>
      </c>
      <c r="C629" s="1864">
        <v>6033000</v>
      </c>
      <c r="D629" s="1864">
        <f>6033000-297792+(17098.2+153883.8)+300000+(-17098.2-153883.8)+207366+(291991.6+1226716.4)+(34051.5+306463.5)</f>
        <v>8101797</v>
      </c>
      <c r="E629" s="1077">
        <v>8101797</v>
      </c>
      <c r="F629" s="1864"/>
      <c r="G629" s="2200">
        <f t="shared" si="92"/>
        <v>134.29134758826456</v>
      </c>
      <c r="H629" s="2200">
        <f t="shared" si="95"/>
        <v>100</v>
      </c>
      <c r="I629" s="2201">
        <f t="shared" si="93"/>
        <v>139.66518131501286</v>
      </c>
      <c r="J629" s="88">
        <v>5800871</v>
      </c>
      <c r="K629" s="2"/>
    </row>
    <row r="630" spans="1:11" customFormat="1" x14ac:dyDescent="0.2">
      <c r="A630" s="2425"/>
      <c r="B630" s="1258" t="s">
        <v>2915</v>
      </c>
      <c r="C630" s="1077">
        <v>828000</v>
      </c>
      <c r="D630" s="1077">
        <f>828000+(-296102-137270)</f>
        <v>394628</v>
      </c>
      <c r="E630" s="1809">
        <v>394628</v>
      </c>
      <c r="F630" s="1077"/>
      <c r="G630" s="2200">
        <f t="shared" si="92"/>
        <v>47.660386473429952</v>
      </c>
      <c r="H630" s="2200">
        <f t="shared" si="95"/>
        <v>100</v>
      </c>
      <c r="I630" s="2201">
        <f t="shared" si="93"/>
        <v>131.54266666666666</v>
      </c>
      <c r="J630" s="32">
        <v>300000</v>
      </c>
      <c r="K630" s="2"/>
    </row>
    <row r="631" spans="1:11" customFormat="1" ht="12" customHeight="1" x14ac:dyDescent="0.2">
      <c r="A631" s="2425"/>
      <c r="B631" s="1258" t="s">
        <v>2916</v>
      </c>
      <c r="C631" s="1040">
        <v>149000</v>
      </c>
      <c r="D631" s="1040">
        <f>149000+137270</f>
        <v>286270</v>
      </c>
      <c r="E631" s="1809">
        <v>286270</v>
      </c>
      <c r="F631" s="1864"/>
      <c r="G631" s="2200">
        <f t="shared" si="92"/>
        <v>192.1275167785235</v>
      </c>
      <c r="H631" s="2200">
        <f t="shared" si="95"/>
        <v>100</v>
      </c>
      <c r="I631" s="2201">
        <v>0</v>
      </c>
      <c r="J631" s="32">
        <v>0</v>
      </c>
      <c r="K631" s="2"/>
    </row>
    <row r="632" spans="1:11" customFormat="1" x14ac:dyDescent="0.2">
      <c r="A632" s="2425"/>
      <c r="B632" s="1258" t="s">
        <v>2917</v>
      </c>
      <c r="C632" s="1262">
        <f t="shared" ref="C632:D636" si="99">SUM(C633:C635)</f>
        <v>6230000</v>
      </c>
      <c r="D632" s="1262">
        <f t="shared" si="99"/>
        <v>8157973.6100000003</v>
      </c>
      <c r="E632" s="1262">
        <v>8042092.6100000003</v>
      </c>
      <c r="F632" s="1256">
        <f>SUM(E633:E635)</f>
        <v>8042092.6100000003</v>
      </c>
      <c r="G632" s="1663">
        <f t="shared" si="92"/>
        <v>129.08655874799356</v>
      </c>
      <c r="H632" s="1663">
        <f t="shared" si="95"/>
        <v>98.579536959301336</v>
      </c>
      <c r="I632" s="2201">
        <f t="shared" si="93"/>
        <v>49.138244208224584</v>
      </c>
      <c r="J632" s="88">
        <v>16366259.6</v>
      </c>
      <c r="K632" s="2"/>
    </row>
    <row r="633" spans="1:11" customFormat="1" x14ac:dyDescent="0.2">
      <c r="A633" s="2425"/>
      <c r="B633" s="1258" t="s">
        <v>2918</v>
      </c>
      <c r="C633" s="1864">
        <v>5090000</v>
      </c>
      <c r="D633" s="1864">
        <f>5090000+(9159.75+82437.75)+(269533.32+1132364.58)+(-6672.7-60054.3)+(31360.5+282244.5)+115881+117914</f>
        <v>7064168.4000000004</v>
      </c>
      <c r="E633" s="1809">
        <v>6948287.4000000004</v>
      </c>
      <c r="F633" s="1864"/>
      <c r="G633" s="2200">
        <f t="shared" si="92"/>
        <v>136.50859332023578</v>
      </c>
      <c r="H633" s="2200">
        <f t="shared" si="95"/>
        <v>98.35959459856592</v>
      </c>
      <c r="I633" s="2201">
        <f t="shared" si="93"/>
        <v>69.191160262818144</v>
      </c>
      <c r="J633" s="88">
        <v>10042160.550000001</v>
      </c>
      <c r="K633" s="2"/>
    </row>
    <row r="634" spans="1:11" customFormat="1" ht="22.5" customHeight="1" x14ac:dyDescent="0.2">
      <c r="A634" s="2425"/>
      <c r="B634" s="1258" t="s">
        <v>2919</v>
      </c>
      <c r="C634" s="1809">
        <v>690000</v>
      </c>
      <c r="D634" s="1809">
        <f>690000-3819.97</f>
        <v>686180.03</v>
      </c>
      <c r="E634" s="1077">
        <v>686180.03</v>
      </c>
      <c r="F634" s="1077"/>
      <c r="G634" s="2200">
        <f t="shared" si="92"/>
        <v>99.446381159420298</v>
      </c>
      <c r="H634" s="2200">
        <f t="shared" si="95"/>
        <v>100</v>
      </c>
      <c r="I634" s="2201">
        <f t="shared" si="93"/>
        <v>258.93586037735849</v>
      </c>
      <c r="J634" s="32">
        <v>265000</v>
      </c>
      <c r="K634" s="2"/>
    </row>
    <row r="635" spans="1:11" customFormat="1" ht="24" customHeight="1" x14ac:dyDescent="0.2">
      <c r="A635" s="2425"/>
      <c r="B635" s="1258" t="s">
        <v>2920</v>
      </c>
      <c r="C635" s="1040">
        <v>450000</v>
      </c>
      <c r="D635" s="1040">
        <f>450000-42374.82</f>
        <v>407625.18</v>
      </c>
      <c r="E635" s="1077">
        <v>407625.18</v>
      </c>
      <c r="F635" s="1077"/>
      <c r="G635" s="2200">
        <f t="shared" si="92"/>
        <v>90.583373333333327</v>
      </c>
      <c r="H635" s="2200">
        <f t="shared" si="95"/>
        <v>100</v>
      </c>
      <c r="I635" s="2201">
        <f t="shared" si="93"/>
        <v>6.7274883053776779</v>
      </c>
      <c r="J635" s="32">
        <v>6059099.0499999998</v>
      </c>
      <c r="K635" s="2"/>
    </row>
    <row r="636" spans="1:11" customFormat="1" x14ac:dyDescent="0.2">
      <c r="A636" s="2425"/>
      <c r="B636" s="1258" t="s">
        <v>2921</v>
      </c>
      <c r="C636" s="1262">
        <f t="shared" si="99"/>
        <v>7600700</v>
      </c>
      <c r="D636" s="1262">
        <f t="shared" si="99"/>
        <v>9226964.9900000002</v>
      </c>
      <c r="E636" s="1262">
        <v>9226964.9900000002</v>
      </c>
      <c r="F636" s="1256">
        <f>SUM(E637:E639)</f>
        <v>9226964.9900000002</v>
      </c>
      <c r="G636" s="1663">
        <f t="shared" si="92"/>
        <v>121.39625284513269</v>
      </c>
      <c r="H636" s="1663">
        <f t="shared" si="95"/>
        <v>100</v>
      </c>
      <c r="I636" s="2201">
        <f t="shared" si="93"/>
        <v>92.50987955522902</v>
      </c>
      <c r="J636" s="88">
        <v>9974032</v>
      </c>
      <c r="K636" s="2"/>
    </row>
    <row r="637" spans="1:11" customFormat="1" x14ac:dyDescent="0.2">
      <c r="A637" s="2425"/>
      <c r="B637" s="1258" t="s">
        <v>3139</v>
      </c>
      <c r="C637" s="1864">
        <f>7404000+76700</f>
        <v>7480700</v>
      </c>
      <c r="D637" s="1864">
        <f>7404000+76700+(11663.45+104971.05)+(280004.26+1176355.23)+(-7299.9-65699.1)+(24290.45+113643)+(-24290.45+12627)</f>
        <v>9106964.9900000002</v>
      </c>
      <c r="E637" s="1809">
        <v>9106964.9900000002</v>
      </c>
      <c r="F637" s="1864"/>
      <c r="G637" s="2200">
        <f t="shared" si="92"/>
        <v>121.73947611854506</v>
      </c>
      <c r="H637" s="2200">
        <f t="shared" si="95"/>
        <v>100</v>
      </c>
      <c r="I637" s="2201">
        <f t="shared" si="93"/>
        <v>127.7339671479653</v>
      </c>
      <c r="J637" s="88">
        <v>7129634.5</v>
      </c>
      <c r="K637" s="2"/>
    </row>
    <row r="638" spans="1:11" customFormat="1" ht="36.75" customHeight="1" x14ac:dyDescent="0.2">
      <c r="A638" s="2425"/>
      <c r="B638" s="1258" t="s">
        <v>2923</v>
      </c>
      <c r="C638" s="1077">
        <v>120000</v>
      </c>
      <c r="D638" s="1077">
        <v>120000</v>
      </c>
      <c r="E638" s="1809">
        <v>120000</v>
      </c>
      <c r="F638" s="1077"/>
      <c r="G638" s="2200">
        <f t="shared" si="92"/>
        <v>100</v>
      </c>
      <c r="H638" s="2200">
        <f t="shared" si="95"/>
        <v>100</v>
      </c>
      <c r="I638" s="2201">
        <f t="shared" si="93"/>
        <v>10.218005402770357</v>
      </c>
      <c r="J638" s="32">
        <v>1174397.5</v>
      </c>
      <c r="K638" s="2"/>
    </row>
    <row r="639" spans="1:11" customFormat="1" x14ac:dyDescent="0.2">
      <c r="A639" s="2425"/>
      <c r="B639" s="1258" t="s">
        <v>2924</v>
      </c>
      <c r="C639" s="1234">
        <v>0</v>
      </c>
      <c r="D639" s="1234">
        <v>0</v>
      </c>
      <c r="E639" s="1077">
        <v>0</v>
      </c>
      <c r="F639" s="1864"/>
      <c r="G639" s="2200">
        <v>0</v>
      </c>
      <c r="H639" s="2200">
        <v>0</v>
      </c>
      <c r="I639" s="2201">
        <f t="shared" si="93"/>
        <v>0</v>
      </c>
      <c r="J639" s="88">
        <v>1670000</v>
      </c>
      <c r="K639" s="2"/>
    </row>
    <row r="640" spans="1:11" customFormat="1" x14ac:dyDescent="0.2">
      <c r="A640" s="2296">
        <v>3233</v>
      </c>
      <c r="B640" s="1266" t="s">
        <v>671</v>
      </c>
      <c r="C640" s="1262">
        <f t="shared" ref="C640:D640" si="100">C641</f>
        <v>3023000</v>
      </c>
      <c r="D640" s="1262">
        <f t="shared" si="100"/>
        <v>4547187.84</v>
      </c>
      <c r="E640" s="1262">
        <v>4547187.84</v>
      </c>
      <c r="F640" s="1256"/>
      <c r="G640" s="1663">
        <f t="shared" si="92"/>
        <v>150.41971022163415</v>
      </c>
      <c r="H640" s="1663">
        <f t="shared" si="95"/>
        <v>100</v>
      </c>
      <c r="I640" s="2201">
        <f t="shared" si="93"/>
        <v>154.73993874634181</v>
      </c>
      <c r="J640" s="88">
        <v>2938600</v>
      </c>
      <c r="K640" s="2"/>
    </row>
    <row r="641" spans="1:11" customFormat="1" x14ac:dyDescent="0.2">
      <c r="A641" s="2296"/>
      <c r="B641" s="1258" t="s">
        <v>1819</v>
      </c>
      <c r="C641" s="1256">
        <f t="shared" ref="C641:D641" si="101">SUM(C642:C644)</f>
        <v>3023000</v>
      </c>
      <c r="D641" s="1256">
        <f t="shared" si="101"/>
        <v>4547187.84</v>
      </c>
      <c r="E641" s="1256">
        <v>4547187.84</v>
      </c>
      <c r="F641" s="1256">
        <f>SUM(E642:E644)</f>
        <v>4547187.84</v>
      </c>
      <c r="G641" s="2200">
        <f t="shared" si="92"/>
        <v>150.41971022163415</v>
      </c>
      <c r="H641" s="2200">
        <f t="shared" si="95"/>
        <v>100</v>
      </c>
      <c r="I641" s="2201">
        <f t="shared" si="93"/>
        <v>154.73993874634181</v>
      </c>
      <c r="J641" s="88">
        <v>2938600</v>
      </c>
      <c r="K641" s="2"/>
    </row>
    <row r="642" spans="1:11" customFormat="1" x14ac:dyDescent="0.2">
      <c r="A642" s="2296"/>
      <c r="B642" s="1258" t="s">
        <v>2925</v>
      </c>
      <c r="C642" s="1864">
        <v>2554000</v>
      </c>
      <c r="D642" s="1864">
        <f>2554000+239800+300000-300000+80800+169263+(198862.55+835462.29)</f>
        <v>4078187.84</v>
      </c>
      <c r="E642" s="1809">
        <v>4078187.84</v>
      </c>
      <c r="F642" s="1864"/>
      <c r="G642" s="2200">
        <f t="shared" si="92"/>
        <v>159.67845888801878</v>
      </c>
      <c r="H642" s="2200">
        <f t="shared" si="95"/>
        <v>100</v>
      </c>
      <c r="I642" s="2201">
        <f t="shared" si="93"/>
        <v>138.77995780303544</v>
      </c>
      <c r="J642" s="88">
        <v>2938600</v>
      </c>
      <c r="K642" s="2"/>
    </row>
    <row r="643" spans="1:11" customFormat="1" ht="25.5" x14ac:dyDescent="0.2">
      <c r="A643" s="2296"/>
      <c r="B643" s="1258" t="s">
        <v>2926</v>
      </c>
      <c r="C643" s="1077">
        <v>219000</v>
      </c>
      <c r="D643" s="1077">
        <v>219000</v>
      </c>
      <c r="E643" s="1809">
        <v>219000</v>
      </c>
      <c r="F643" s="1077"/>
      <c r="G643" s="2200">
        <f t="shared" si="92"/>
        <v>100</v>
      </c>
      <c r="H643" s="2200">
        <f t="shared" si="95"/>
        <v>100</v>
      </c>
      <c r="I643" s="2201">
        <v>0</v>
      </c>
      <c r="J643" s="32">
        <v>0</v>
      </c>
      <c r="K643" s="2"/>
    </row>
    <row r="644" spans="1:11" customFormat="1" x14ac:dyDescent="0.2">
      <c r="A644" s="2296"/>
      <c r="B644" s="1258" t="s">
        <v>2927</v>
      </c>
      <c r="C644" s="1864">
        <v>250000</v>
      </c>
      <c r="D644" s="1864">
        <v>250000</v>
      </c>
      <c r="E644" s="1809">
        <v>250000</v>
      </c>
      <c r="F644" s="1864"/>
      <c r="G644" s="2200">
        <f t="shared" si="92"/>
        <v>100</v>
      </c>
      <c r="H644" s="2200">
        <f t="shared" si="95"/>
        <v>100</v>
      </c>
      <c r="I644" s="2201">
        <v>0</v>
      </c>
      <c r="J644" s="88">
        <v>0</v>
      </c>
      <c r="K644" s="2"/>
    </row>
    <row r="645" spans="1:11" customFormat="1" x14ac:dyDescent="0.2">
      <c r="A645" s="2296">
        <v>3419</v>
      </c>
      <c r="B645" s="1266" t="s">
        <v>2477</v>
      </c>
      <c r="C645" s="722">
        <f>40000+100000</f>
        <v>140000</v>
      </c>
      <c r="D645" s="722">
        <f>(40000+100000)-54000</f>
        <v>86000</v>
      </c>
      <c r="E645" s="2029">
        <v>86000</v>
      </c>
      <c r="F645" s="1864"/>
      <c r="G645" s="1663">
        <f t="shared" si="92"/>
        <v>61.428571428571431</v>
      </c>
      <c r="H645" s="1663">
        <f t="shared" si="95"/>
        <v>100</v>
      </c>
      <c r="I645" s="2201">
        <f t="shared" si="93"/>
        <v>38.221039918054089</v>
      </c>
      <c r="J645" s="88">
        <v>225006.96</v>
      </c>
      <c r="K645" s="2"/>
    </row>
    <row r="646" spans="1:11" customFormat="1" ht="12" customHeight="1" x14ac:dyDescent="0.2">
      <c r="A646" s="2275"/>
      <c r="B646" s="1275"/>
      <c r="C646" s="1234"/>
      <c r="D646" s="1234"/>
      <c r="E646" s="2029"/>
      <c r="F646" s="1950"/>
      <c r="G646" s="1950"/>
      <c r="H646" s="1950"/>
      <c r="I646" s="1234"/>
      <c r="J646" s="88"/>
      <c r="K646" s="2"/>
    </row>
    <row r="647" spans="1:11" customFormat="1" ht="15.75" x14ac:dyDescent="0.25">
      <c r="A647" s="2371"/>
      <c r="B647" s="1249" t="s">
        <v>677</v>
      </c>
      <c r="C647" s="1280">
        <f>SUM(C648,C652,C654,C660,C663,C670)</f>
        <v>49380647</v>
      </c>
      <c r="D647" s="1280">
        <f>SUM(D648,D652,D654,D660,D663,D670)</f>
        <v>54143253.549999997</v>
      </c>
      <c r="E647" s="1280">
        <v>53931911.640000001</v>
      </c>
      <c r="F647" s="2426">
        <f>SUM(E648,E652,E654,E660,E663,E670)</f>
        <v>53931911.640000001</v>
      </c>
      <c r="G647" s="2325">
        <f t="shared" si="92"/>
        <v>109.21669705947757</v>
      </c>
      <c r="H647" s="2325">
        <f t="shared" si="95"/>
        <v>99.609661599288955</v>
      </c>
      <c r="I647" s="2325">
        <f t="shared" si="93"/>
        <v>112.99174800524494</v>
      </c>
      <c r="J647" s="88">
        <v>47730841.049999997</v>
      </c>
      <c r="K647" s="2"/>
    </row>
    <row r="648" spans="1:11" customFormat="1" x14ac:dyDescent="0.2">
      <c r="A648" s="2427">
        <v>3311</v>
      </c>
      <c r="B648" s="1284" t="s">
        <v>1824</v>
      </c>
      <c r="C648" s="1273">
        <f t="shared" ref="C648:D648" si="102">SUM(C649:C651)</f>
        <v>15881220</v>
      </c>
      <c r="D648" s="1273">
        <f t="shared" si="102"/>
        <v>15803257.550000001</v>
      </c>
      <c r="E648" s="1273">
        <v>15803257.550000001</v>
      </c>
      <c r="F648" s="1260"/>
      <c r="G648" s="1663">
        <f t="shared" si="92"/>
        <v>99.509090296589306</v>
      </c>
      <c r="H648" s="1663">
        <f t="shared" si="95"/>
        <v>100</v>
      </c>
      <c r="I648" s="1662">
        <f t="shared" si="93"/>
        <v>116.82360839277051</v>
      </c>
      <c r="J648" s="88">
        <v>13527452</v>
      </c>
      <c r="K648" s="2"/>
    </row>
    <row r="649" spans="1:11" customFormat="1" x14ac:dyDescent="0.2">
      <c r="A649" s="2428"/>
      <c r="B649" s="1287" t="s">
        <v>2478</v>
      </c>
      <c r="C649" s="1864">
        <f>14369000+35000+292220</f>
        <v>14696220</v>
      </c>
      <c r="D649" s="1864">
        <f>14369000+35000+292220-85015+13641</f>
        <v>14624846</v>
      </c>
      <c r="E649" s="1809">
        <v>14624846</v>
      </c>
      <c r="F649" s="1864"/>
      <c r="G649" s="2200">
        <f t="shared" si="92"/>
        <v>99.514337700442695</v>
      </c>
      <c r="H649" s="2200">
        <f t="shared" si="95"/>
        <v>100</v>
      </c>
      <c r="I649" s="2201">
        <f t="shared" si="93"/>
        <v>108.11234813474111</v>
      </c>
      <c r="J649" s="88">
        <v>13527452</v>
      </c>
      <c r="K649" s="2"/>
    </row>
    <row r="650" spans="1:11" customFormat="1" x14ac:dyDescent="0.2">
      <c r="A650" s="2428"/>
      <c r="B650" s="1287" t="s">
        <v>2479</v>
      </c>
      <c r="C650" s="1900">
        <v>847000</v>
      </c>
      <c r="D650" s="1900">
        <f>847000-6588.45</f>
        <v>840411.55</v>
      </c>
      <c r="E650" s="1809">
        <v>840411.55</v>
      </c>
      <c r="F650" s="1864"/>
      <c r="G650" s="2200">
        <f t="shared" si="92"/>
        <v>99.222142857142856</v>
      </c>
      <c r="H650" s="2200">
        <f t="shared" si="95"/>
        <v>100</v>
      </c>
      <c r="I650" s="2201">
        <v>0</v>
      </c>
      <c r="J650" s="88">
        <v>0</v>
      </c>
      <c r="K650" s="2"/>
    </row>
    <row r="651" spans="1:11" customFormat="1" ht="25.5" x14ac:dyDescent="0.2">
      <c r="A651" s="2428"/>
      <c r="B651" s="1258" t="s">
        <v>2928</v>
      </c>
      <c r="C651" s="1040">
        <v>338000</v>
      </c>
      <c r="D651" s="1040">
        <v>338000</v>
      </c>
      <c r="E651" s="1077">
        <v>338000</v>
      </c>
      <c r="F651" s="1077"/>
      <c r="G651" s="2200">
        <f t="shared" si="92"/>
        <v>100</v>
      </c>
      <c r="H651" s="2200">
        <f t="shared" si="95"/>
        <v>100</v>
      </c>
      <c r="I651" s="2201">
        <v>0</v>
      </c>
      <c r="J651" s="32">
        <v>0</v>
      </c>
      <c r="K651" s="2"/>
    </row>
    <row r="652" spans="1:11" customFormat="1" x14ac:dyDescent="0.2">
      <c r="A652" s="2429">
        <v>3319</v>
      </c>
      <c r="B652" s="1290" t="s">
        <v>682</v>
      </c>
      <c r="C652" s="1262">
        <f>SUM(C653:C653)</f>
        <v>1520000</v>
      </c>
      <c r="D652" s="1262">
        <f>SUM(D653:D653)</f>
        <v>1340000</v>
      </c>
      <c r="E652" s="1262">
        <v>1250444.6299999999</v>
      </c>
      <c r="F652" s="1256"/>
      <c r="G652" s="1663">
        <f t="shared" si="92"/>
        <v>82.266094078947361</v>
      </c>
      <c r="H652" s="1663">
        <f t="shared" si="95"/>
        <v>93.316763432835813</v>
      </c>
      <c r="I652" s="1662">
        <f t="shared" si="93"/>
        <v>126.20817048427708</v>
      </c>
      <c r="J652" s="88">
        <v>990779.46</v>
      </c>
      <c r="K652" s="2"/>
    </row>
    <row r="653" spans="1:11" customFormat="1" x14ac:dyDescent="0.2">
      <c r="A653" s="2429"/>
      <c r="B653" s="1287" t="s">
        <v>2481</v>
      </c>
      <c r="C653" s="1864">
        <f>920000+(565000+35000)</f>
        <v>1520000</v>
      </c>
      <c r="D653" s="1864">
        <f>920000+(565000+35000)-180000</f>
        <v>1340000</v>
      </c>
      <c r="E653" s="1809">
        <v>1250444.6299999999</v>
      </c>
      <c r="F653" s="1864"/>
      <c r="G653" s="2200">
        <f t="shared" si="92"/>
        <v>82.266094078947361</v>
      </c>
      <c r="H653" s="2200">
        <f t="shared" si="95"/>
        <v>93.316763432835813</v>
      </c>
      <c r="I653" s="2201">
        <f t="shared" si="93"/>
        <v>126.2082978671135</v>
      </c>
      <c r="J653" s="88">
        <v>990778.46</v>
      </c>
      <c r="K653" s="2"/>
    </row>
    <row r="654" spans="1:11" customFormat="1" x14ac:dyDescent="0.2">
      <c r="A654" s="2429" t="s">
        <v>1829</v>
      </c>
      <c r="B654" s="1290" t="s">
        <v>685</v>
      </c>
      <c r="C654" s="1262">
        <f t="shared" ref="C654:D654" si="103">C655+C657+C658+C659+C656</f>
        <v>360000</v>
      </c>
      <c r="D654" s="1262">
        <f t="shared" si="103"/>
        <v>150000</v>
      </c>
      <c r="E654" s="1262">
        <v>83758.5</v>
      </c>
      <c r="F654" s="1256">
        <f>SUM(E655:E659)</f>
        <v>83758.5</v>
      </c>
      <c r="G654" s="1663">
        <f t="shared" si="92"/>
        <v>23.266249999999999</v>
      </c>
      <c r="H654" s="1663">
        <f t="shared" si="95"/>
        <v>55.839000000000006</v>
      </c>
      <c r="I654" s="1662">
        <f t="shared" si="93"/>
        <v>30.155967035222197</v>
      </c>
      <c r="J654" s="88">
        <v>277751</v>
      </c>
      <c r="K654" s="2"/>
    </row>
    <row r="655" spans="1:11" customFormat="1" x14ac:dyDescent="0.2">
      <c r="A655" s="2428"/>
      <c r="B655" s="1287" t="s">
        <v>2483</v>
      </c>
      <c r="C655" s="1864">
        <v>120000</v>
      </c>
      <c r="D655" s="1864">
        <f>120000-120000</f>
        <v>0</v>
      </c>
      <c r="E655" s="1809">
        <v>0</v>
      </c>
      <c r="F655" s="1864"/>
      <c r="G655" s="2200">
        <f t="shared" si="92"/>
        <v>0</v>
      </c>
      <c r="H655" s="2200">
        <v>0</v>
      </c>
      <c r="I655" s="2201">
        <v>0</v>
      </c>
      <c r="J655" s="88">
        <v>90000</v>
      </c>
      <c r="K655" s="2"/>
    </row>
    <row r="656" spans="1:11" customFormat="1" x14ac:dyDescent="0.2">
      <c r="A656" s="2428"/>
      <c r="B656" s="1287" t="s">
        <v>2929</v>
      </c>
      <c r="C656" s="1864">
        <v>10000</v>
      </c>
      <c r="D656" s="1864">
        <v>10000</v>
      </c>
      <c r="E656" s="1809">
        <v>6352.5</v>
      </c>
      <c r="F656" s="1864"/>
      <c r="G656" s="2200">
        <f t="shared" si="92"/>
        <v>63.524999999999999</v>
      </c>
      <c r="H656" s="2200">
        <f t="shared" si="95"/>
        <v>63.524999999999999</v>
      </c>
      <c r="I656" s="2201">
        <v>0</v>
      </c>
      <c r="J656" s="88">
        <v>0</v>
      </c>
      <c r="K656" s="2"/>
    </row>
    <row r="657" spans="1:11" customFormat="1" x14ac:dyDescent="0.2">
      <c r="A657" s="2428"/>
      <c r="B657" s="1287" t="s">
        <v>2930</v>
      </c>
      <c r="C657" s="1864">
        <v>70000</v>
      </c>
      <c r="D657" s="1864">
        <v>70000</v>
      </c>
      <c r="E657" s="1809">
        <v>26136</v>
      </c>
      <c r="F657" s="1864"/>
      <c r="G657" s="2200">
        <f t="shared" si="92"/>
        <v>37.337142857142858</v>
      </c>
      <c r="H657" s="2200">
        <f t="shared" si="95"/>
        <v>37.337142857142858</v>
      </c>
      <c r="I657" s="2201">
        <f t="shared" si="93"/>
        <v>100</v>
      </c>
      <c r="J657" s="88">
        <v>26136</v>
      </c>
      <c r="K657" s="2"/>
    </row>
    <row r="658" spans="1:11" customFormat="1" ht="25.5" x14ac:dyDescent="0.2">
      <c r="A658" s="2428"/>
      <c r="B658" s="1287" t="s">
        <v>2931</v>
      </c>
      <c r="C658" s="1077">
        <v>110000</v>
      </c>
      <c r="D658" s="1077">
        <f>110000-50000</f>
        <v>60000</v>
      </c>
      <c r="E658" s="1077">
        <v>51270</v>
      </c>
      <c r="F658" s="1077"/>
      <c r="G658" s="2200">
        <f t="shared" si="92"/>
        <v>46.609090909090909</v>
      </c>
      <c r="H658" s="2200">
        <f t="shared" si="95"/>
        <v>85.45</v>
      </c>
      <c r="I658" s="2201">
        <f t="shared" si="93"/>
        <v>34.570648326084758</v>
      </c>
      <c r="J658" s="32">
        <v>148305</v>
      </c>
      <c r="K658" s="2"/>
    </row>
    <row r="659" spans="1:11" customFormat="1" x14ac:dyDescent="0.2">
      <c r="A659" s="2428"/>
      <c r="B659" s="1287" t="s">
        <v>2932</v>
      </c>
      <c r="C659" s="1234">
        <v>50000</v>
      </c>
      <c r="D659" s="1234">
        <f>50000-40000</f>
        <v>10000</v>
      </c>
      <c r="E659" s="1809">
        <v>0</v>
      </c>
      <c r="F659" s="1864"/>
      <c r="G659" s="2200">
        <f t="shared" si="92"/>
        <v>0</v>
      </c>
      <c r="H659" s="2200">
        <f t="shared" si="95"/>
        <v>0</v>
      </c>
      <c r="I659" s="2201">
        <f t="shared" si="93"/>
        <v>0</v>
      </c>
      <c r="J659" s="88">
        <v>13310</v>
      </c>
      <c r="K659" s="2"/>
    </row>
    <row r="660" spans="1:11" customFormat="1" x14ac:dyDescent="0.2">
      <c r="A660" s="2429" t="s">
        <v>1835</v>
      </c>
      <c r="B660" s="1290" t="s">
        <v>2487</v>
      </c>
      <c r="C660" s="1262">
        <f t="shared" ref="C660:D660" si="104">C661+C662</f>
        <v>375000</v>
      </c>
      <c r="D660" s="1262">
        <f t="shared" si="104"/>
        <v>55000</v>
      </c>
      <c r="E660" s="1262">
        <v>27195.96</v>
      </c>
      <c r="F660" s="1256">
        <f>SUM(E661:E662)</f>
        <v>27195.96</v>
      </c>
      <c r="G660" s="1663">
        <f t="shared" si="92"/>
        <v>7.252256</v>
      </c>
      <c r="H660" s="1663">
        <f t="shared" si="95"/>
        <v>49.447199999999995</v>
      </c>
      <c r="I660" s="1662">
        <f t="shared" si="93"/>
        <v>3.8052508481268226</v>
      </c>
      <c r="J660" s="88">
        <v>714695.59</v>
      </c>
      <c r="K660" s="2"/>
    </row>
    <row r="661" spans="1:11" customFormat="1" ht="25.5" x14ac:dyDescent="0.2">
      <c r="A661" s="2428"/>
      <c r="B661" s="1287" t="s">
        <v>2488</v>
      </c>
      <c r="C661" s="1077">
        <f>1170000-550000-260000</f>
        <v>360000</v>
      </c>
      <c r="D661" s="1077">
        <f>1170000-550000-260000-320000</f>
        <v>40000</v>
      </c>
      <c r="E661" s="1809">
        <v>19831.88</v>
      </c>
      <c r="F661" s="1077"/>
      <c r="G661" s="2200">
        <f t="shared" si="92"/>
        <v>5.5088555555555558</v>
      </c>
      <c r="H661" s="2200">
        <f t="shared" si="95"/>
        <v>49.579700000000003</v>
      </c>
      <c r="I661" s="2201">
        <f t="shared" si="93"/>
        <v>2.8029345851148348</v>
      </c>
      <c r="J661" s="32">
        <v>707539.88</v>
      </c>
      <c r="K661" s="2"/>
    </row>
    <row r="662" spans="1:11" customFormat="1" x14ac:dyDescent="0.2">
      <c r="A662" s="2428"/>
      <c r="B662" s="1287" t="s">
        <v>1837</v>
      </c>
      <c r="C662" s="1234">
        <v>15000</v>
      </c>
      <c r="D662" s="1234">
        <v>15000</v>
      </c>
      <c r="E662" s="1077">
        <v>7364.08</v>
      </c>
      <c r="F662" s="1864"/>
      <c r="G662" s="2200">
        <f t="shared" si="92"/>
        <v>49.093866666666663</v>
      </c>
      <c r="H662" s="2200">
        <f t="shared" si="95"/>
        <v>49.093866666666663</v>
      </c>
      <c r="I662" s="2201">
        <f t="shared" si="93"/>
        <v>102.9119402547057</v>
      </c>
      <c r="J662" s="88">
        <v>7155.71</v>
      </c>
      <c r="K662" s="2"/>
    </row>
    <row r="663" spans="1:11" customFormat="1" x14ac:dyDescent="0.2">
      <c r="A663" s="2429">
        <v>3392</v>
      </c>
      <c r="B663" s="1290" t="s">
        <v>693</v>
      </c>
      <c r="C663" s="1262">
        <f t="shared" ref="C663:D663" si="105">C665+C664</f>
        <v>30954427</v>
      </c>
      <c r="D663" s="1262">
        <f t="shared" si="105"/>
        <v>36561996</v>
      </c>
      <c r="E663" s="1262">
        <v>36561070</v>
      </c>
      <c r="F663" s="1256"/>
      <c r="G663" s="1663">
        <f t="shared" si="92"/>
        <v>118.11257239554136</v>
      </c>
      <c r="H663" s="1663">
        <f t="shared" si="95"/>
        <v>99.997467315515266</v>
      </c>
      <c r="I663" s="1662">
        <f t="shared" si="93"/>
        <v>114.05389912227861</v>
      </c>
      <c r="J663" s="88">
        <v>32055958</v>
      </c>
      <c r="K663" s="2"/>
    </row>
    <row r="664" spans="1:11" customFormat="1" x14ac:dyDescent="0.2">
      <c r="A664" s="2429"/>
      <c r="B664" s="1287" t="s">
        <v>2489</v>
      </c>
      <c r="C664" s="1234">
        <v>26000</v>
      </c>
      <c r="D664" s="1234">
        <v>26000</v>
      </c>
      <c r="E664" s="1077">
        <v>25074</v>
      </c>
      <c r="F664" s="1864"/>
      <c r="G664" s="2200">
        <f t="shared" si="92"/>
        <v>96.438461538461539</v>
      </c>
      <c r="H664" s="2200">
        <f t="shared" si="95"/>
        <v>96.438461538461539</v>
      </c>
      <c r="I664" s="2201">
        <f t="shared" si="93"/>
        <v>251.06638630219288</v>
      </c>
      <c r="J664" s="88">
        <v>9987</v>
      </c>
      <c r="K664" s="2"/>
    </row>
    <row r="665" spans="1:11" customFormat="1" x14ac:dyDescent="0.2">
      <c r="A665" s="2428"/>
      <c r="B665" s="1287" t="s">
        <v>1838</v>
      </c>
      <c r="C665" s="1262">
        <f t="shared" ref="C665:D665" si="106">SUM(C666+C669+C668)</f>
        <v>30928427</v>
      </c>
      <c r="D665" s="1262">
        <f t="shared" si="106"/>
        <v>36535996</v>
      </c>
      <c r="E665" s="1262">
        <v>36535996</v>
      </c>
      <c r="F665" s="1256">
        <f>SUM(E666:E669)</f>
        <v>36535996</v>
      </c>
      <c r="G665" s="1663">
        <f t="shared" si="92"/>
        <v>118.13079274933705</v>
      </c>
      <c r="H665" s="1663">
        <f t="shared" si="95"/>
        <v>100</v>
      </c>
      <c r="I665" s="1662">
        <f t="shared" si="93"/>
        <v>114.01119972304787</v>
      </c>
      <c r="J665" s="88">
        <v>32045971</v>
      </c>
      <c r="K665" s="2"/>
    </row>
    <row r="666" spans="1:11" customFormat="1" x14ac:dyDescent="0.2">
      <c r="A666" s="2428"/>
      <c r="B666" s="1287" t="s">
        <v>3140</v>
      </c>
      <c r="C666" s="1864">
        <f>27770000+12000+622427</f>
        <v>28404427</v>
      </c>
      <c r="D666" s="1864">
        <f>(27770000+12000+622427)+4737000+400000-472380+370000+110000+152000+30000+118459+123420</f>
        <v>33972926</v>
      </c>
      <c r="E666" s="1809">
        <v>33972926</v>
      </c>
      <c r="F666" s="1077"/>
      <c r="G666" s="2200">
        <f t="shared" si="92"/>
        <v>119.60433491582138</v>
      </c>
      <c r="H666" s="2200">
        <f t="shared" si="95"/>
        <v>100</v>
      </c>
      <c r="I666" s="2201">
        <f t="shared" si="93"/>
        <v>106.01309599886987</v>
      </c>
      <c r="J666" s="88">
        <v>32045971</v>
      </c>
      <c r="K666" s="2"/>
    </row>
    <row r="667" spans="1:11" customFormat="1" x14ac:dyDescent="0.2">
      <c r="A667" s="2428"/>
      <c r="B667" s="1287" t="s">
        <v>697</v>
      </c>
      <c r="C667" s="1864">
        <v>4360000</v>
      </c>
      <c r="D667" s="1864">
        <f>4360000+400000</f>
        <v>4760000</v>
      </c>
      <c r="E667" s="1809"/>
      <c r="F667" s="815"/>
      <c r="G667" s="2200"/>
      <c r="H667" s="2200"/>
      <c r="I667" s="2201"/>
      <c r="J667" s="88"/>
      <c r="K667" s="2"/>
    </row>
    <row r="668" spans="1:11" customFormat="1" ht="38.25" x14ac:dyDescent="0.2">
      <c r="A668" s="2428"/>
      <c r="B668" s="1287" t="s">
        <v>2491</v>
      </c>
      <c r="C668" s="1077">
        <f>3800000-1600000</f>
        <v>2200000</v>
      </c>
      <c r="D668" s="1077">
        <f>3800000-1600000+109500+40000+910000-135000+135000-910000-109500</f>
        <v>2240000</v>
      </c>
      <c r="E668" s="1809">
        <v>2240000</v>
      </c>
      <c r="F668" s="1077"/>
      <c r="G668" s="2200">
        <f t="shared" si="92"/>
        <v>101.81818181818181</v>
      </c>
      <c r="H668" s="2200">
        <f t="shared" si="95"/>
        <v>100</v>
      </c>
      <c r="I668" s="2201">
        <v>0</v>
      </c>
      <c r="J668" s="32">
        <v>0</v>
      </c>
      <c r="K668" s="2"/>
    </row>
    <row r="669" spans="1:11" customFormat="1" x14ac:dyDescent="0.2">
      <c r="A669" s="2428"/>
      <c r="B669" s="1287" t="s">
        <v>2492</v>
      </c>
      <c r="C669" s="1864">
        <v>324000</v>
      </c>
      <c r="D669" s="1864">
        <f>324000-930</f>
        <v>323070</v>
      </c>
      <c r="E669" s="1809">
        <v>323070</v>
      </c>
      <c r="F669" s="1077"/>
      <c r="G669" s="2200">
        <f t="shared" si="92"/>
        <v>99.712962962962962</v>
      </c>
      <c r="H669" s="2200">
        <f t="shared" si="95"/>
        <v>100</v>
      </c>
      <c r="I669" s="2201">
        <v>0</v>
      </c>
      <c r="J669" s="88">
        <v>0</v>
      </c>
      <c r="K669" s="2"/>
    </row>
    <row r="670" spans="1:11" customFormat="1" x14ac:dyDescent="0.2">
      <c r="A670" s="2429">
        <v>3399</v>
      </c>
      <c r="B670" s="1290" t="s">
        <v>700</v>
      </c>
      <c r="C670" s="1262">
        <f t="shared" ref="C670:D670" si="107">C671</f>
        <v>290000</v>
      </c>
      <c r="D670" s="1262">
        <f t="shared" si="107"/>
        <v>233000</v>
      </c>
      <c r="E670" s="1262">
        <v>206185</v>
      </c>
      <c r="F670" s="1256"/>
      <c r="G670" s="1663">
        <f t="shared" si="92"/>
        <v>71.098275862068959</v>
      </c>
      <c r="H670" s="1663">
        <f t="shared" si="95"/>
        <v>88.491416309012877</v>
      </c>
      <c r="I670" s="1662">
        <f t="shared" si="93"/>
        <v>125.56483928723677</v>
      </c>
      <c r="J670" s="88">
        <v>164206</v>
      </c>
      <c r="K670" s="2"/>
    </row>
    <row r="671" spans="1:11" customFormat="1" x14ac:dyDescent="0.2">
      <c r="A671" s="2428"/>
      <c r="B671" s="1287" t="s">
        <v>701</v>
      </c>
      <c r="C671" s="1864">
        <v>290000</v>
      </c>
      <c r="D671" s="1864">
        <f>290000-57000</f>
        <v>233000</v>
      </c>
      <c r="E671" s="1077">
        <v>206185</v>
      </c>
      <c r="F671" s="1077"/>
      <c r="G671" s="2200">
        <f t="shared" si="92"/>
        <v>71.098275862068959</v>
      </c>
      <c r="H671" s="2200">
        <f t="shared" si="95"/>
        <v>88.491416309012877</v>
      </c>
      <c r="I671" s="2201">
        <f t="shared" si="93"/>
        <v>125.56483928723677</v>
      </c>
      <c r="J671" s="88">
        <v>164206</v>
      </c>
      <c r="K671" s="2"/>
    </row>
    <row r="672" spans="1:11" customFormat="1" ht="12.75" customHeight="1" x14ac:dyDescent="0.2">
      <c r="A672" s="2430"/>
      <c r="B672" s="1296"/>
      <c r="C672" s="1950"/>
      <c r="D672" s="1950"/>
      <c r="E672" s="1809"/>
      <c r="F672" s="2431"/>
      <c r="G672" s="2431"/>
      <c r="H672" s="2431"/>
      <c r="I672" s="1234"/>
      <c r="J672" s="88"/>
      <c r="K672" s="2"/>
    </row>
    <row r="673" spans="1:11" customFormat="1" ht="15.75" x14ac:dyDescent="0.25">
      <c r="A673" s="2371"/>
      <c r="B673" s="1249" t="s">
        <v>2934</v>
      </c>
      <c r="C673" s="1280">
        <f>SUM(C674)</f>
        <v>0</v>
      </c>
      <c r="D673" s="1280">
        <f>SUM(D674)</f>
        <v>4800000</v>
      </c>
      <c r="E673" s="1280">
        <v>5000000</v>
      </c>
      <c r="F673" s="2426"/>
      <c r="G673" s="2325">
        <v>0</v>
      </c>
      <c r="H673" s="2325">
        <f t="shared" si="95"/>
        <v>104.16666666666667</v>
      </c>
      <c r="I673" s="2325">
        <v>0</v>
      </c>
      <c r="J673" s="88">
        <v>0</v>
      </c>
      <c r="K673" s="2"/>
    </row>
    <row r="674" spans="1:11" customFormat="1" x14ac:dyDescent="0.2">
      <c r="A674" s="2427" t="s">
        <v>2935</v>
      </c>
      <c r="B674" s="1284" t="s">
        <v>2936</v>
      </c>
      <c r="C674" s="1273">
        <v>0</v>
      </c>
      <c r="D674" s="1273">
        <f>5000000-200000</f>
        <v>4800000</v>
      </c>
      <c r="E674" s="1273">
        <v>5000000</v>
      </c>
      <c r="F674" s="1260"/>
      <c r="G674" s="1663">
        <v>0</v>
      </c>
      <c r="H674" s="1663">
        <f t="shared" si="95"/>
        <v>104.16666666666667</v>
      </c>
      <c r="I674" s="1662">
        <v>0</v>
      </c>
      <c r="J674" s="88">
        <v>0</v>
      </c>
      <c r="K674" s="2"/>
    </row>
    <row r="675" spans="1:11" customFormat="1" ht="12" customHeight="1" x14ac:dyDescent="0.2">
      <c r="A675" s="2430"/>
      <c r="B675" s="1296"/>
      <c r="C675" s="1234"/>
      <c r="D675" s="1234"/>
      <c r="E675" s="1809"/>
      <c r="F675" s="2431"/>
      <c r="G675" s="2431"/>
      <c r="H675" s="2431"/>
      <c r="I675" s="1234"/>
      <c r="J675" s="88"/>
      <c r="K675" s="2"/>
    </row>
    <row r="676" spans="1:11" customFormat="1" ht="15.75" x14ac:dyDescent="0.25">
      <c r="A676" s="2371"/>
      <c r="B676" s="1062" t="s">
        <v>702</v>
      </c>
      <c r="C676" s="1299">
        <f t="shared" ref="C676:D676" si="108">C677</f>
        <v>28598000</v>
      </c>
      <c r="D676" s="1299">
        <f t="shared" si="108"/>
        <v>25643353.490000002</v>
      </c>
      <c r="E676" s="1299">
        <v>25344041.280000001</v>
      </c>
      <c r="F676" s="2432"/>
      <c r="G676" s="2325">
        <f t="shared" si="92"/>
        <v>88.621726274564665</v>
      </c>
      <c r="H676" s="2325">
        <f t="shared" si="95"/>
        <v>98.832788347605458</v>
      </c>
      <c r="I676" s="2325">
        <f t="shared" si="93"/>
        <v>100.35372635254059</v>
      </c>
      <c r="J676" s="88">
        <v>25254708.719999999</v>
      </c>
      <c r="K676" s="2"/>
    </row>
    <row r="677" spans="1:11" customFormat="1" x14ac:dyDescent="0.2">
      <c r="A677" s="2296"/>
      <c r="B677" s="1251" t="s">
        <v>703</v>
      </c>
      <c r="C677" s="1301">
        <f>SUM(C678:C688)</f>
        <v>28598000</v>
      </c>
      <c r="D677" s="1301">
        <f>SUM(D678:D688)</f>
        <v>25643353.490000002</v>
      </c>
      <c r="E677" s="1301">
        <v>25344041.280000001</v>
      </c>
      <c r="F677" s="2433">
        <f>SUM(E678:E688)</f>
        <v>25344041.280000001</v>
      </c>
      <c r="G677" s="1663">
        <f t="shared" ref="G677:G740" si="109">E677/C677*100</f>
        <v>88.621726274564665</v>
      </c>
      <c r="H677" s="1663">
        <f t="shared" si="95"/>
        <v>98.832788347605458</v>
      </c>
      <c r="I677" s="1662">
        <f t="shared" ref="I677:I740" si="110">E677/J677*100</f>
        <v>100.35372635254059</v>
      </c>
      <c r="J677" s="88">
        <v>25254708.719999999</v>
      </c>
      <c r="K677" s="2"/>
    </row>
    <row r="678" spans="1:11" customFormat="1" x14ac:dyDescent="0.2">
      <c r="A678" s="2425"/>
      <c r="B678" s="1258" t="s">
        <v>704</v>
      </c>
      <c r="C678" s="1864">
        <v>1500000</v>
      </c>
      <c r="D678" s="1864">
        <f>1500000-34000</f>
        <v>1466000</v>
      </c>
      <c r="E678" s="1809">
        <v>1466000</v>
      </c>
      <c r="F678" s="1864"/>
      <c r="G678" s="2200">
        <f t="shared" si="109"/>
        <v>97.733333333333334</v>
      </c>
      <c r="H678" s="2200">
        <f t="shared" si="95"/>
        <v>100</v>
      </c>
      <c r="I678" s="2201">
        <f t="shared" si="110"/>
        <v>143.02439024390245</v>
      </c>
      <c r="J678" s="88">
        <v>1025000</v>
      </c>
      <c r="K678" s="2"/>
    </row>
    <row r="679" spans="1:11" customFormat="1" x14ac:dyDescent="0.2">
      <c r="A679" s="2425"/>
      <c r="B679" s="1258" t="s">
        <v>705</v>
      </c>
      <c r="C679" s="1900">
        <v>300000</v>
      </c>
      <c r="D679" s="1900">
        <f>300000-117900</f>
        <v>182100</v>
      </c>
      <c r="E679" s="1809">
        <v>182100</v>
      </c>
      <c r="F679" s="1864"/>
      <c r="G679" s="2200">
        <f t="shared" si="109"/>
        <v>60.699999999999996</v>
      </c>
      <c r="H679" s="2200">
        <f t="shared" si="95"/>
        <v>100</v>
      </c>
      <c r="I679" s="2201">
        <f t="shared" si="110"/>
        <v>97.262719423973962</v>
      </c>
      <c r="J679" s="88">
        <v>187224.87</v>
      </c>
      <c r="K679" s="2"/>
    </row>
    <row r="680" spans="1:11" customFormat="1" x14ac:dyDescent="0.2">
      <c r="A680" s="2425"/>
      <c r="B680" s="1258" t="s">
        <v>706</v>
      </c>
      <c r="C680" s="1900">
        <v>4800000</v>
      </c>
      <c r="D680" s="1900">
        <v>4800000</v>
      </c>
      <c r="E680" s="1809">
        <v>4760000</v>
      </c>
      <c r="F680" s="1864"/>
      <c r="G680" s="2200">
        <f t="shared" si="109"/>
        <v>99.166666666666671</v>
      </c>
      <c r="H680" s="2200">
        <f t="shared" si="95"/>
        <v>99.166666666666671</v>
      </c>
      <c r="I680" s="2201">
        <f t="shared" si="110"/>
        <v>95.390781563126254</v>
      </c>
      <c r="J680" s="88">
        <v>4990000</v>
      </c>
      <c r="K680" s="2"/>
    </row>
    <row r="681" spans="1:11" customFormat="1" x14ac:dyDescent="0.2">
      <c r="A681" s="2425"/>
      <c r="B681" s="1258" t="s">
        <v>707</v>
      </c>
      <c r="C681" s="1900">
        <v>7250000</v>
      </c>
      <c r="D681" s="1900">
        <v>7250000</v>
      </c>
      <c r="E681" s="1809">
        <v>7220000</v>
      </c>
      <c r="F681" s="1864"/>
      <c r="G681" s="2200">
        <f t="shared" si="109"/>
        <v>99.586206896551715</v>
      </c>
      <c r="H681" s="2200">
        <f t="shared" ref="H681:H744" si="111">E681/D681*100</f>
        <v>99.586206896551715</v>
      </c>
      <c r="I681" s="2201">
        <f t="shared" si="110"/>
        <v>99.586206896551715</v>
      </c>
      <c r="J681" s="88">
        <v>7250000</v>
      </c>
      <c r="K681" s="2"/>
    </row>
    <row r="682" spans="1:11" customFormat="1" x14ac:dyDescent="0.2">
      <c r="A682" s="2425"/>
      <c r="B682" s="1258" t="s">
        <v>708</v>
      </c>
      <c r="C682" s="1900">
        <v>250000</v>
      </c>
      <c r="D682" s="1900">
        <f>250000-30000-70000-40000-30000-10000-34300</f>
        <v>35700</v>
      </c>
      <c r="E682" s="1809">
        <v>32680.79</v>
      </c>
      <c r="F682" s="1864"/>
      <c r="G682" s="2200">
        <f t="shared" si="109"/>
        <v>13.072316000000001</v>
      </c>
      <c r="H682" s="2200">
        <f t="shared" si="111"/>
        <v>91.542829131652653</v>
      </c>
      <c r="I682" s="2201">
        <f t="shared" si="110"/>
        <v>67.12150588428598</v>
      </c>
      <c r="J682" s="88">
        <v>48689</v>
      </c>
      <c r="K682" s="2"/>
    </row>
    <row r="683" spans="1:11" customFormat="1" x14ac:dyDescent="0.2">
      <c r="A683" s="2425"/>
      <c r="B683" s="1258" t="s">
        <v>709</v>
      </c>
      <c r="C683" s="1900">
        <v>1000000</v>
      </c>
      <c r="D683" s="1900">
        <f>1000000-50000-100000-10000</f>
        <v>840000</v>
      </c>
      <c r="E683" s="1809">
        <v>840000</v>
      </c>
      <c r="F683" s="1864"/>
      <c r="G683" s="2200">
        <f t="shared" si="109"/>
        <v>84</v>
      </c>
      <c r="H683" s="2200">
        <f t="shared" si="111"/>
        <v>100</v>
      </c>
      <c r="I683" s="2201">
        <f t="shared" si="110"/>
        <v>10.646393419020121</v>
      </c>
      <c r="J683" s="88">
        <v>7889995.8600000003</v>
      </c>
      <c r="K683" s="2"/>
    </row>
    <row r="684" spans="1:11" customFormat="1" x14ac:dyDescent="0.2">
      <c r="A684" s="2425"/>
      <c r="B684" s="1258" t="s">
        <v>712</v>
      </c>
      <c r="C684" s="1900">
        <v>1342000</v>
      </c>
      <c r="D684" s="1900">
        <f>1342000-225000</f>
        <v>1117000</v>
      </c>
      <c r="E684" s="1809">
        <v>1117000</v>
      </c>
      <c r="F684" s="1864"/>
      <c r="G684" s="2200">
        <f t="shared" si="109"/>
        <v>83.233979135618469</v>
      </c>
      <c r="H684" s="2200">
        <f t="shared" si="111"/>
        <v>100</v>
      </c>
      <c r="I684" s="2201">
        <f t="shared" si="110"/>
        <v>115.99169262720666</v>
      </c>
      <c r="J684" s="88">
        <v>963000</v>
      </c>
      <c r="K684" s="2"/>
    </row>
    <row r="685" spans="1:11" customFormat="1" x14ac:dyDescent="0.2">
      <c r="A685" s="2425"/>
      <c r="B685" s="1258" t="s">
        <v>713</v>
      </c>
      <c r="C685" s="1900">
        <v>158000</v>
      </c>
      <c r="D685" s="1900">
        <f>158000-86000</f>
        <v>72000</v>
      </c>
      <c r="E685" s="1809">
        <v>67839</v>
      </c>
      <c r="F685" s="1864"/>
      <c r="G685" s="2200">
        <f t="shared" si="109"/>
        <v>42.936075949367087</v>
      </c>
      <c r="H685" s="2200">
        <f t="shared" si="111"/>
        <v>94.220833333333331</v>
      </c>
      <c r="I685" s="2201">
        <f t="shared" si="110"/>
        <v>48.387652436012559</v>
      </c>
      <c r="J685" s="88">
        <v>140198.99</v>
      </c>
      <c r="K685" s="2"/>
    </row>
    <row r="686" spans="1:11" customFormat="1" x14ac:dyDescent="0.2">
      <c r="A686" s="2425"/>
      <c r="B686" s="1258" t="s">
        <v>714</v>
      </c>
      <c r="C686" s="1900">
        <v>1300000</v>
      </c>
      <c r="D686" s="1900">
        <f>1300000-194200</f>
        <v>1105800</v>
      </c>
      <c r="E686" s="1809">
        <v>1105800</v>
      </c>
      <c r="F686" s="1864"/>
      <c r="G686" s="2200">
        <f t="shared" si="109"/>
        <v>85.061538461538461</v>
      </c>
      <c r="H686" s="2200">
        <f t="shared" si="111"/>
        <v>100</v>
      </c>
      <c r="I686" s="2201">
        <f t="shared" si="110"/>
        <v>114.41282979824108</v>
      </c>
      <c r="J686" s="88">
        <v>966500</v>
      </c>
      <c r="K686" s="2"/>
    </row>
    <row r="687" spans="1:11" customFormat="1" x14ac:dyDescent="0.2">
      <c r="A687" s="2425"/>
      <c r="B687" s="1258" t="s">
        <v>3141</v>
      </c>
      <c r="C687" s="1900">
        <v>0</v>
      </c>
      <c r="D687" s="1900">
        <v>300000</v>
      </c>
      <c r="E687" s="1809">
        <v>78000</v>
      </c>
      <c r="F687" s="1864"/>
      <c r="G687" s="2200">
        <v>0</v>
      </c>
      <c r="H687" s="2200">
        <f t="shared" si="111"/>
        <v>26</v>
      </c>
      <c r="I687" s="2201">
        <v>0</v>
      </c>
      <c r="J687" s="88">
        <v>0</v>
      </c>
      <c r="K687" s="2"/>
    </row>
    <row r="688" spans="1:11" customFormat="1" ht="42" customHeight="1" x14ac:dyDescent="0.2">
      <c r="A688" s="2296"/>
      <c r="B688" s="1258" t="s">
        <v>2493</v>
      </c>
      <c r="C688" s="1809">
        <f>296000+644000+63000+90000+15000+200000+7600000-210000+2000000</f>
        <v>10698000</v>
      </c>
      <c r="D688" s="1809">
        <f>(296000+644000+63000+90000+15000+200000+7600000-210000+2000000)+595004.14+7500+15000+30000+30000+7500+80000+60000+30000+70000+40000+30000+30000+10000+10000+10000+10000+50000+10000+100000-3800400+30250+20000+203075.15-150000+248824.2</f>
        <v>8474753.4900000002</v>
      </c>
      <c r="E688" s="1809">
        <v>8474621.4900000002</v>
      </c>
      <c r="F688" s="1077"/>
      <c r="G688" s="2200">
        <f t="shared" si="109"/>
        <v>79.216876892877181</v>
      </c>
      <c r="H688" s="2200">
        <f t="shared" si="111"/>
        <v>99.998442432571565</v>
      </c>
      <c r="I688" s="2201">
        <f t="shared" si="110"/>
        <v>472.36059807145648</v>
      </c>
      <c r="J688" s="32">
        <v>1794100</v>
      </c>
      <c r="K688" s="2"/>
    </row>
    <row r="689" spans="1:10" ht="12.75" customHeight="1" x14ac:dyDescent="0.2">
      <c r="A689" s="2221"/>
      <c r="B689" s="1303"/>
      <c r="C689" s="742"/>
      <c r="D689" s="742"/>
      <c r="E689" s="1040"/>
      <c r="F689" s="743"/>
      <c r="G689" s="743"/>
      <c r="H689" s="743"/>
      <c r="I689" s="743"/>
    </row>
    <row r="690" spans="1:10" ht="21" customHeight="1" x14ac:dyDescent="0.3">
      <c r="A690" s="2373"/>
      <c r="B690" s="701" t="s">
        <v>716</v>
      </c>
      <c r="C690" s="2434">
        <f>C691</f>
        <v>30378980</v>
      </c>
      <c r="D690" s="2434">
        <f>D691</f>
        <v>31548124.350000001</v>
      </c>
      <c r="E690" s="2435">
        <v>30018799.309999999</v>
      </c>
      <c r="F690" s="2602">
        <f>SUM(E690)</f>
        <v>30018799.309999999</v>
      </c>
      <c r="G690" s="949">
        <f t="shared" si="109"/>
        <v>98.814375301606574</v>
      </c>
      <c r="H690" s="949">
        <f t="shared" si="111"/>
        <v>95.152405819650568</v>
      </c>
      <c r="I690" s="949">
        <f t="shared" si="110"/>
        <v>109.42553469530714</v>
      </c>
      <c r="J690" s="29">
        <v>27433084.420000002</v>
      </c>
    </row>
    <row r="691" spans="1:10" x14ac:dyDescent="0.2">
      <c r="A691" s="2221">
        <v>5311</v>
      </c>
      <c r="B691" s="717" t="s">
        <v>717</v>
      </c>
      <c r="C691" s="2040">
        <f>SUM(C692)</f>
        <v>30378980</v>
      </c>
      <c r="D691" s="2040">
        <f>SUM(D692)</f>
        <v>31548124.350000001</v>
      </c>
      <c r="E691" s="1311">
        <v>30018799.309999999</v>
      </c>
      <c r="F691" s="1260"/>
      <c r="G691" s="1663">
        <f t="shared" si="109"/>
        <v>98.814375301606574</v>
      </c>
      <c r="H691" s="1663">
        <f t="shared" si="111"/>
        <v>95.152405819650568</v>
      </c>
      <c r="I691" s="1662">
        <f t="shared" si="110"/>
        <v>109.42553469530714</v>
      </c>
      <c r="J691" s="29">
        <v>27433084.420000002</v>
      </c>
    </row>
    <row r="692" spans="1:10" ht="76.5" customHeight="1" x14ac:dyDescent="0.2">
      <c r="A692" s="2221"/>
      <c r="B692" s="749" t="s">
        <v>3142</v>
      </c>
      <c r="C692" s="2042">
        <f>(19370+840+4803.76+208.32+1743.3+75.6+5+350+2+348+143+35+264+1+245+30+3+149+3+747+275+200+45+17+50+10+6+170+150+90)*1000</f>
        <v>30378980</v>
      </c>
      <c r="D692" s="2042">
        <f>((19370+840+4803.76+208.32+1743.3+75.6+5+350+2+348+143+35+264+1+245+30+3+149+3+747+275+200+45+17+50+10+6+170+150+90)*1000)+1169144.35</f>
        <v>31548124.350000001</v>
      </c>
      <c r="E692" s="2041">
        <v>30018799.309999999</v>
      </c>
      <c r="F692" s="2042"/>
      <c r="G692" s="2200">
        <f t="shared" si="109"/>
        <v>98.814375301606574</v>
      </c>
      <c r="H692" s="2200">
        <f t="shared" si="111"/>
        <v>95.152405819650568</v>
      </c>
      <c r="I692" s="2201">
        <f t="shared" si="110"/>
        <v>110.63541042857963</v>
      </c>
      <c r="J692" s="1866">
        <v>27133084.420000002</v>
      </c>
    </row>
    <row r="693" spans="1:10" ht="12.75" customHeight="1" x14ac:dyDescent="0.2">
      <c r="A693" s="2419"/>
      <c r="B693" s="1318"/>
      <c r="C693" s="945"/>
      <c r="D693" s="945"/>
      <c r="E693" s="1158"/>
      <c r="F693" s="945"/>
      <c r="G693" s="945"/>
      <c r="H693" s="945"/>
      <c r="I693" s="945"/>
    </row>
    <row r="694" spans="1:10" ht="20.25" x14ac:dyDescent="0.3">
      <c r="A694" s="2373"/>
      <c r="B694" s="701" t="s">
        <v>41</v>
      </c>
      <c r="C694" s="2437">
        <f>SUM(C695:C702)+C714</f>
        <v>37939410</v>
      </c>
      <c r="D694" s="2437">
        <f>SUM(D695:D702)+D714</f>
        <v>35738416.399999999</v>
      </c>
      <c r="E694" s="2437">
        <v>29788329.359999999</v>
      </c>
      <c r="F694" s="2426">
        <f>SUM(E695:E702,E714)</f>
        <v>29788329.359999999</v>
      </c>
      <c r="G694" s="949">
        <f t="shared" si="109"/>
        <v>78.515531369623304</v>
      </c>
      <c r="H694" s="949">
        <f t="shared" si="111"/>
        <v>83.351005334416556</v>
      </c>
      <c r="I694" s="949">
        <f t="shared" si="110"/>
        <v>99.459364232716538</v>
      </c>
      <c r="J694" s="29">
        <v>29950251.129999999</v>
      </c>
    </row>
    <row r="695" spans="1:10" ht="40.5" customHeight="1" x14ac:dyDescent="0.2">
      <c r="A695" s="2438">
        <v>3429</v>
      </c>
      <c r="B695" s="1525" t="s">
        <v>3143</v>
      </c>
      <c r="C695" s="1138">
        <f>SUM(80+20+11+200+12.3+1+30+120+20+500)*1000-500000</f>
        <v>494300</v>
      </c>
      <c r="D695" s="1138">
        <f>SUM((80+20+11+200+12.3+1+30+120+20+500)*1000-500000)-112000</f>
        <v>382300</v>
      </c>
      <c r="E695" s="765">
        <v>237250.43</v>
      </c>
      <c r="F695" s="2439"/>
      <c r="G695" s="1663">
        <f t="shared" si="109"/>
        <v>47.99725470362128</v>
      </c>
      <c r="H695" s="1663">
        <f t="shared" si="111"/>
        <v>62.058705205336118</v>
      </c>
      <c r="I695" s="1662">
        <f t="shared" si="110"/>
        <v>25.35810875388545</v>
      </c>
      <c r="J695" s="1866">
        <v>935599.86</v>
      </c>
    </row>
    <row r="696" spans="1:10" s="98" customFormat="1" ht="36.75" x14ac:dyDescent="0.2">
      <c r="A696" s="2440">
        <v>5212</v>
      </c>
      <c r="B696" s="1208" t="s">
        <v>2496</v>
      </c>
      <c r="C696" s="727">
        <f>SUM(1+20+35+40+30)*1000</f>
        <v>126000</v>
      </c>
      <c r="D696" s="727">
        <f>SUM(1+20+35+40+30)*1000</f>
        <v>126000</v>
      </c>
      <c r="E696" s="731">
        <v>97748.64</v>
      </c>
      <c r="F696" s="1256"/>
      <c r="G696" s="1663">
        <f t="shared" si="109"/>
        <v>77.578285714285713</v>
      </c>
      <c r="H696" s="1663">
        <f t="shared" si="111"/>
        <v>77.578285714285713</v>
      </c>
      <c r="I696" s="1662">
        <f t="shared" si="110"/>
        <v>100.67796610169492</v>
      </c>
      <c r="J696" s="1866">
        <v>97090.4</v>
      </c>
    </row>
    <row r="697" spans="1:10" s="244" customFormat="1" ht="24.75" x14ac:dyDescent="0.25">
      <c r="A697" s="2221">
        <v>5213</v>
      </c>
      <c r="B697" s="725" t="s">
        <v>3144</v>
      </c>
      <c r="C697" s="1262">
        <v>200000</v>
      </c>
      <c r="D697" s="1262">
        <f>200000-100000</f>
        <v>100000</v>
      </c>
      <c r="E697" s="731">
        <v>0</v>
      </c>
      <c r="F697" s="1256"/>
      <c r="G697" s="1663">
        <f t="shared" si="109"/>
        <v>0</v>
      </c>
      <c r="H697" s="1663">
        <f t="shared" si="111"/>
        <v>0</v>
      </c>
      <c r="I697" s="1662">
        <v>0</v>
      </c>
      <c r="J697" s="1866">
        <v>58853.67</v>
      </c>
    </row>
    <row r="698" spans="1:10" s="98" customFormat="1" ht="24.75" x14ac:dyDescent="0.2">
      <c r="A698" s="2221">
        <v>5273</v>
      </c>
      <c r="B698" s="725" t="s">
        <v>1847</v>
      </c>
      <c r="C698" s="1262">
        <v>5000</v>
      </c>
      <c r="D698" s="1262">
        <v>5000</v>
      </c>
      <c r="E698" s="731">
        <v>0</v>
      </c>
      <c r="F698" s="1256"/>
      <c r="G698" s="1663">
        <f t="shared" si="109"/>
        <v>0</v>
      </c>
      <c r="H698" s="1663">
        <f t="shared" si="111"/>
        <v>0</v>
      </c>
      <c r="I698" s="1662">
        <v>0</v>
      </c>
      <c r="J698" s="1866">
        <v>0</v>
      </c>
    </row>
    <row r="699" spans="1:10" s="98" customFormat="1" ht="25.5" x14ac:dyDescent="0.2">
      <c r="A699" s="2221">
        <v>5299</v>
      </c>
      <c r="B699" s="725" t="s">
        <v>3145</v>
      </c>
      <c r="C699" s="1262">
        <v>0</v>
      </c>
      <c r="D699" s="1262">
        <f>440000-40000</f>
        <v>400000</v>
      </c>
      <c r="E699" s="731">
        <v>400000</v>
      </c>
      <c r="F699" s="1256"/>
      <c r="G699" s="1663">
        <v>0</v>
      </c>
      <c r="H699" s="1663">
        <f t="shared" si="111"/>
        <v>100</v>
      </c>
      <c r="I699" s="1662">
        <v>0</v>
      </c>
      <c r="J699" s="1866">
        <v>0</v>
      </c>
    </row>
    <row r="700" spans="1:10" s="244" customFormat="1" ht="12.75" customHeight="1" x14ac:dyDescent="0.25">
      <c r="A700" s="2221">
        <v>5511</v>
      </c>
      <c r="B700" s="725" t="s">
        <v>2498</v>
      </c>
      <c r="C700" s="1262">
        <v>2500000</v>
      </c>
      <c r="D700" s="1262">
        <f>2500000-199496</f>
        <v>2300504</v>
      </c>
      <c r="E700" s="731">
        <v>2300504</v>
      </c>
      <c r="F700" s="1256"/>
      <c r="G700" s="1663">
        <f t="shared" si="109"/>
        <v>92.02015999999999</v>
      </c>
      <c r="H700" s="1663">
        <f t="shared" si="111"/>
        <v>100</v>
      </c>
      <c r="I700" s="1662">
        <f t="shared" si="110"/>
        <v>102.39999715123302</v>
      </c>
      <c r="J700" s="1866">
        <v>2246586</v>
      </c>
    </row>
    <row r="701" spans="1:10" s="244" customFormat="1" ht="48.75" x14ac:dyDescent="0.25">
      <c r="A701" s="2221">
        <v>5512</v>
      </c>
      <c r="B701" s="725" t="s">
        <v>2499</v>
      </c>
      <c r="C701" s="1262">
        <f>SUM(12+44+10+15+5+14+10+30)*1000</f>
        <v>140000</v>
      </c>
      <c r="D701" s="1262">
        <f>SUM(12+44+10+15+5+14+10+30)*1000</f>
        <v>140000</v>
      </c>
      <c r="E701" s="731">
        <v>138841.95000000001</v>
      </c>
      <c r="F701" s="1256"/>
      <c r="G701" s="1663">
        <f t="shared" si="109"/>
        <v>99.172821428571439</v>
      </c>
      <c r="H701" s="1663">
        <f t="shared" si="111"/>
        <v>99.172821428571439</v>
      </c>
      <c r="I701" s="1662">
        <f t="shared" si="110"/>
        <v>75.067625605529713</v>
      </c>
      <c r="J701" s="1866">
        <v>184955.83</v>
      </c>
    </row>
    <row r="702" spans="1:10" s="244" customFormat="1" ht="12.75" customHeight="1" x14ac:dyDescent="0.25">
      <c r="A702" s="2221">
        <v>6171</v>
      </c>
      <c r="B702" s="717" t="s">
        <v>725</v>
      </c>
      <c r="C702" s="1262">
        <f t="shared" ref="C702:D702" si="112">SUM(C703+C704+C708+C709+C711+C712+C713)</f>
        <v>32624110</v>
      </c>
      <c r="D702" s="1262">
        <f t="shared" si="112"/>
        <v>30049705.399999999</v>
      </c>
      <c r="E702" s="1334">
        <v>24520911.25</v>
      </c>
      <c r="F702" s="1256">
        <f>SUM(E703:E713)</f>
        <v>24520911.249999996</v>
      </c>
      <c r="G702" s="1663">
        <f t="shared" si="109"/>
        <v>75.161931620510103</v>
      </c>
      <c r="H702" s="1663">
        <f t="shared" si="111"/>
        <v>81.601170206480631</v>
      </c>
      <c r="I702" s="1662">
        <f t="shared" si="110"/>
        <v>97.603452294964626</v>
      </c>
      <c r="J702" s="29">
        <v>25122995.829999998</v>
      </c>
    </row>
    <row r="703" spans="1:10" s="244" customFormat="1" ht="142.5" customHeight="1" x14ac:dyDescent="0.25">
      <c r="A703" s="2221"/>
      <c r="B703" s="1335" t="s">
        <v>3146</v>
      </c>
      <c r="C703" s="1077">
        <f>SUM(40+40+5+100+500+825+50+40+90+200+50+500+1075+600+3500+2550+1+170+4100+150+120+129.4+72.6+50+48+330+3900+300+20+100+450+30+1000+950+400+950+700+200+4.5+30+2)*1000</f>
        <v>24372500</v>
      </c>
      <c r="D703" s="1077">
        <f>(SUM(40+40+5+100+500+825+50+40+90+200+50+500+1075+600+3500+2550+1+170+4100+150+120+129.4+72.6+50+48+330+3900+300+20+100+450+30+1000+950+400+950+700+200+4.5+30+2)*1000)-1350000+86100+(-100000-600000)+(-160895-71798)+(-60703+50000)+(-5000-24000-30000-60000-18000-156307)</f>
        <v>21871897</v>
      </c>
      <c r="E703" s="1316">
        <v>17267404.969999999</v>
      </c>
      <c r="F703" s="1256">
        <f>SUM(E703:E704)</f>
        <v>18377126.579999998</v>
      </c>
      <c r="G703" s="2200">
        <f t="shared" si="109"/>
        <v>70.847902225869319</v>
      </c>
      <c r="H703" s="2200">
        <f t="shared" si="111"/>
        <v>78.94790730772003</v>
      </c>
      <c r="I703" s="2201">
        <f t="shared" si="110"/>
        <v>97.69781005115226</v>
      </c>
      <c r="J703" s="1866">
        <v>17674300.949999999</v>
      </c>
    </row>
    <row r="704" spans="1:10" s="244" customFormat="1" ht="24" x14ac:dyDescent="0.25">
      <c r="A704" s="2221"/>
      <c r="B704" s="1335" t="s">
        <v>2942</v>
      </c>
      <c r="C704" s="1077">
        <f>SUM(50+100+1000)*1000</f>
        <v>1150000</v>
      </c>
      <c r="D704" s="1077">
        <f>(SUM(50+100+1000)*1000)+10703</f>
        <v>1160703</v>
      </c>
      <c r="E704" s="1809">
        <v>1109721.6100000001</v>
      </c>
      <c r="F704" s="1256"/>
      <c r="G704" s="2200">
        <f t="shared" si="109"/>
        <v>96.497531304347845</v>
      </c>
      <c r="H704" s="2200">
        <f t="shared" si="111"/>
        <v>95.607714462700628</v>
      </c>
      <c r="I704" s="2201">
        <f t="shared" si="110"/>
        <v>77.766000864750623</v>
      </c>
      <c r="J704" s="29">
        <v>1427001</v>
      </c>
    </row>
    <row r="705" spans="1:11" s="244" customFormat="1" ht="156" hidden="1" customHeight="1" x14ac:dyDescent="0.25">
      <c r="A705" s="2221" t="s">
        <v>2502</v>
      </c>
      <c r="B705" s="1335" t="s">
        <v>3147</v>
      </c>
      <c r="C705" s="1256">
        <v>0</v>
      </c>
      <c r="D705" s="1256">
        <v>0</v>
      </c>
      <c r="E705" s="1256"/>
      <c r="F705" s="1256"/>
      <c r="G705" s="2200" t="e">
        <f t="shared" si="109"/>
        <v>#DIV/0!</v>
      </c>
      <c r="H705" s="2200" t="e">
        <f t="shared" si="111"/>
        <v>#DIV/0!</v>
      </c>
      <c r="I705" s="2201" t="e">
        <f t="shared" si="110"/>
        <v>#DIV/0!</v>
      </c>
      <c r="J705" s="29"/>
    </row>
    <row r="706" spans="1:11" s="244" customFormat="1" ht="24" hidden="1" customHeight="1" x14ac:dyDescent="0.25">
      <c r="A706" s="2221"/>
      <c r="B706" s="1335" t="s">
        <v>2943</v>
      </c>
      <c r="C706" s="1256">
        <v>0</v>
      </c>
      <c r="D706" s="1256">
        <v>0</v>
      </c>
      <c r="E706" s="1256"/>
      <c r="F706" s="1256"/>
      <c r="G706" s="2200" t="e">
        <f t="shared" si="109"/>
        <v>#DIV/0!</v>
      </c>
      <c r="H706" s="2200" t="e">
        <f t="shared" si="111"/>
        <v>#DIV/0!</v>
      </c>
      <c r="I706" s="2201" t="e">
        <f t="shared" si="110"/>
        <v>#DIV/0!</v>
      </c>
      <c r="J706" s="29"/>
    </row>
    <row r="707" spans="1:11" s="244" customFormat="1" ht="156" hidden="1" customHeight="1" x14ac:dyDescent="0.25">
      <c r="A707" s="2221" t="s">
        <v>2505</v>
      </c>
      <c r="B707" s="1335" t="s">
        <v>3148</v>
      </c>
      <c r="C707" s="1256">
        <v>0</v>
      </c>
      <c r="D707" s="1256">
        <v>0</v>
      </c>
      <c r="E707" s="1256"/>
      <c r="F707" s="1256"/>
      <c r="G707" s="2200" t="e">
        <f t="shared" si="109"/>
        <v>#DIV/0!</v>
      </c>
      <c r="H707" s="2200" t="e">
        <f t="shared" si="111"/>
        <v>#DIV/0!</v>
      </c>
      <c r="I707" s="2201" t="e">
        <f t="shared" si="110"/>
        <v>#DIV/0!</v>
      </c>
      <c r="J707" s="29"/>
    </row>
    <row r="708" spans="1:11" s="98" customFormat="1" ht="37.5" customHeight="1" x14ac:dyDescent="0.2">
      <c r="A708" s="2221"/>
      <c r="B708" s="1337" t="s">
        <v>3149</v>
      </c>
      <c r="C708" s="1077">
        <f>SUM(200+590+225+40+20+3012.8+200+240+70)*1000</f>
        <v>4597800</v>
      </c>
      <c r="D708" s="1077">
        <f>(SUM(200+590+225+40+20+3012.8+200+240+70)*1000)+97090.4-100000-116000+230000+(-72600)</f>
        <v>4636290.4000000004</v>
      </c>
      <c r="E708" s="738">
        <v>3844202.95</v>
      </c>
      <c r="F708" s="1256">
        <f>SUM(E708:E709)</f>
        <v>5583258.5099999998</v>
      </c>
      <c r="G708" s="2200">
        <f t="shared" si="109"/>
        <v>83.609616555744054</v>
      </c>
      <c r="H708" s="2200">
        <f t="shared" si="111"/>
        <v>82.915491014109037</v>
      </c>
      <c r="I708" s="2201">
        <f t="shared" si="110"/>
        <v>114.11389742047756</v>
      </c>
      <c r="J708" s="1866">
        <v>3368742.14</v>
      </c>
    </row>
    <row r="709" spans="1:11" ht="24" x14ac:dyDescent="0.2">
      <c r="A709" s="2223"/>
      <c r="B709" s="1337" t="s">
        <v>2508</v>
      </c>
      <c r="C709" s="1077">
        <f>SUM(200+1162.81+100+300+100)*1000</f>
        <v>1862810</v>
      </c>
      <c r="D709" s="1077">
        <f>(SUM(200+1162.81+100+300+100)*1000)+116000-230000</f>
        <v>1748810</v>
      </c>
      <c r="E709" s="738">
        <v>1739055.56</v>
      </c>
      <c r="F709" s="1077"/>
      <c r="G709" s="2200">
        <f t="shared" si="109"/>
        <v>93.356572060489256</v>
      </c>
      <c r="H709" s="2200">
        <f t="shared" si="111"/>
        <v>99.442224140987307</v>
      </c>
      <c r="I709" s="2201">
        <f t="shared" si="110"/>
        <v>82.039232209590736</v>
      </c>
      <c r="J709" s="1866">
        <v>2119785.27</v>
      </c>
    </row>
    <row r="710" spans="1:11" ht="48" hidden="1" customHeight="1" x14ac:dyDescent="0.2">
      <c r="A710" s="2221" t="s">
        <v>2502</v>
      </c>
      <c r="B710" s="1337" t="s">
        <v>3150</v>
      </c>
      <c r="C710" s="1256">
        <v>0</v>
      </c>
      <c r="D710" s="1256">
        <v>0</v>
      </c>
      <c r="E710" s="1256"/>
      <c r="F710" s="1256"/>
      <c r="G710" s="2200" t="e">
        <f t="shared" si="109"/>
        <v>#DIV/0!</v>
      </c>
      <c r="H710" s="2200" t="e">
        <f t="shared" si="111"/>
        <v>#DIV/0!</v>
      </c>
      <c r="I710" s="2201" t="e">
        <f t="shared" si="110"/>
        <v>#DIV/0!</v>
      </c>
      <c r="J710" s="2047"/>
      <c r="K710" s="2047"/>
    </row>
    <row r="711" spans="1:11" x14ac:dyDescent="0.2">
      <c r="A711" s="2223"/>
      <c r="B711" s="737" t="s">
        <v>1855</v>
      </c>
      <c r="C711" s="1077">
        <v>210000</v>
      </c>
      <c r="D711" s="1077">
        <v>210000</v>
      </c>
      <c r="E711" s="738">
        <v>156860.17000000001</v>
      </c>
      <c r="F711" s="1077"/>
      <c r="G711" s="2200">
        <f t="shared" si="109"/>
        <v>74.695319047619051</v>
      </c>
      <c r="H711" s="2200">
        <f t="shared" si="111"/>
        <v>74.695319047619051</v>
      </c>
      <c r="I711" s="2201">
        <f t="shared" si="110"/>
        <v>89.83365958085308</v>
      </c>
      <c r="J711" s="2047">
        <v>174611.8</v>
      </c>
    </row>
    <row r="712" spans="1:11" x14ac:dyDescent="0.2">
      <c r="A712" s="2223"/>
      <c r="B712" s="737" t="s">
        <v>1856</v>
      </c>
      <c r="C712" s="1077">
        <v>50000</v>
      </c>
      <c r="D712" s="1077">
        <v>50000</v>
      </c>
      <c r="E712" s="738">
        <v>31660.99</v>
      </c>
      <c r="F712" s="1077"/>
      <c r="G712" s="2200">
        <f t="shared" si="109"/>
        <v>63.321979999999996</v>
      </c>
      <c r="H712" s="2200">
        <f t="shared" si="111"/>
        <v>63.321979999999996</v>
      </c>
      <c r="I712" s="2201">
        <f t="shared" si="110"/>
        <v>103.09050190415164</v>
      </c>
      <c r="J712" s="29">
        <v>30711.84</v>
      </c>
    </row>
    <row r="713" spans="1:11" ht="24.75" x14ac:dyDescent="0.2">
      <c r="A713" s="2223"/>
      <c r="B713" s="749" t="s">
        <v>2510</v>
      </c>
      <c r="C713" s="1077">
        <f>SUM(5+30+30+60+18+72.6+10+140.307+15.093)*1000</f>
        <v>381000</v>
      </c>
      <c r="D713" s="1077">
        <f>(SUM(5+30+30+60+18+72.6+10+140.307+15.093)*1000)-374902+(5000+24000+30000+60000+18000+72600+16000+140307)</f>
        <v>372005</v>
      </c>
      <c r="E713" s="738">
        <v>372005</v>
      </c>
      <c r="F713" s="1077"/>
      <c r="G713" s="2200">
        <f t="shared" si="109"/>
        <v>97.639107611548553</v>
      </c>
      <c r="H713" s="2200">
        <f t="shared" si="111"/>
        <v>100</v>
      </c>
      <c r="I713" s="2201">
        <f t="shared" si="110"/>
        <v>108.8079717498523</v>
      </c>
      <c r="J713" s="1866">
        <v>341891.31</v>
      </c>
    </row>
    <row r="714" spans="1:11" ht="12.75" customHeight="1" x14ac:dyDescent="0.2">
      <c r="A714" s="2221">
        <v>6320</v>
      </c>
      <c r="B714" s="717" t="s">
        <v>2511</v>
      </c>
      <c r="C714" s="727">
        <f>SUM(1800+50)*1000</f>
        <v>1850000</v>
      </c>
      <c r="D714" s="727">
        <f>(SUM(1800+50)*1000)+400000-15093</f>
        <v>2234907</v>
      </c>
      <c r="E714" s="731">
        <v>2093073.09</v>
      </c>
      <c r="F714" s="1077"/>
      <c r="G714" s="2200">
        <f t="shared" si="109"/>
        <v>113.13908594594595</v>
      </c>
      <c r="H714" s="2200">
        <f t="shared" si="111"/>
        <v>93.653699684147938</v>
      </c>
      <c r="I714" s="2201">
        <f t="shared" si="110"/>
        <v>160.49087375557016</v>
      </c>
      <c r="J714" s="29">
        <v>1304169.54</v>
      </c>
    </row>
    <row r="715" spans="1:11" ht="12.75" customHeight="1" x14ac:dyDescent="0.2">
      <c r="A715" s="2412"/>
      <c r="B715" s="2048"/>
      <c r="C715" s="2451"/>
      <c r="D715" s="2451"/>
      <c r="E715" s="2476"/>
      <c r="F715" s="2603"/>
      <c r="G715" s="2603"/>
      <c r="H715" s="2603"/>
      <c r="I715" s="2603"/>
    </row>
    <row r="716" spans="1:11" ht="20.25" x14ac:dyDescent="0.3">
      <c r="A716" s="2373"/>
      <c r="B716" s="701" t="s">
        <v>735</v>
      </c>
      <c r="C716" s="2604">
        <f>C717+C718+C719+C723</f>
        <v>190047550</v>
      </c>
      <c r="D716" s="2604">
        <f>D717+D718+D719+D723</f>
        <v>190893593</v>
      </c>
      <c r="E716" s="2447">
        <v>179564310.03</v>
      </c>
      <c r="F716" s="2191">
        <f>SUM(E717:E719,E723)</f>
        <v>179564310.03</v>
      </c>
      <c r="G716" s="2605">
        <f t="shared" si="109"/>
        <v>94.483885759116603</v>
      </c>
      <c r="H716" s="2605">
        <f t="shared" si="111"/>
        <v>94.065131892614119</v>
      </c>
      <c r="I716" s="2605">
        <f t="shared" si="110"/>
        <v>107.10277456310406</v>
      </c>
      <c r="J716" s="1866">
        <v>167656076.84999999</v>
      </c>
    </row>
    <row r="717" spans="1:11" s="98" customFormat="1" x14ac:dyDescent="0.2">
      <c r="A717" s="2444">
        <v>3341</v>
      </c>
      <c r="B717" s="2050" t="s">
        <v>1860</v>
      </c>
      <c r="C717" s="1138">
        <v>3109200</v>
      </c>
      <c r="D717" s="1138">
        <v>3109200</v>
      </c>
      <c r="E717" s="731">
        <v>3025242</v>
      </c>
      <c r="F717" s="2364"/>
      <c r="G717" s="1663">
        <f t="shared" si="109"/>
        <v>97.29969123890389</v>
      </c>
      <c r="H717" s="1663">
        <f t="shared" si="111"/>
        <v>97.29969123890389</v>
      </c>
      <c r="I717" s="1662">
        <f t="shared" si="110"/>
        <v>98.116317400518014</v>
      </c>
      <c r="J717" s="29">
        <v>3083322</v>
      </c>
    </row>
    <row r="718" spans="1:11" s="98" customFormat="1" ht="36.75" x14ac:dyDescent="0.2">
      <c r="A718" s="2221">
        <v>6112</v>
      </c>
      <c r="B718" s="725" t="s">
        <v>3151</v>
      </c>
      <c r="C718" s="727">
        <f>30000+9270000+1071360+834300+12000+10000+500+20000+200000+7000+90000+30000</f>
        <v>11575160</v>
      </c>
      <c r="D718" s="727">
        <f>30000+9270000+1071360+834300+12000+10000+500+20000+200000+7000+90000+30000</f>
        <v>11575160</v>
      </c>
      <c r="E718" s="731">
        <v>11087893.939999999</v>
      </c>
      <c r="F718" s="2341"/>
      <c r="G718" s="2200">
        <f t="shared" si="109"/>
        <v>95.790416201590304</v>
      </c>
      <c r="H718" s="2200">
        <f t="shared" si="111"/>
        <v>95.790416201590304</v>
      </c>
      <c r="I718" s="2201">
        <f t="shared" si="110"/>
        <v>106.6737114962327</v>
      </c>
      <c r="J718" s="1866">
        <v>10394214.08</v>
      </c>
    </row>
    <row r="719" spans="1:11" x14ac:dyDescent="0.2">
      <c r="A719" s="2221">
        <v>6171</v>
      </c>
      <c r="B719" s="717" t="s">
        <v>725</v>
      </c>
      <c r="C719" s="727">
        <f>+C720+C721+C722</f>
        <v>167563190</v>
      </c>
      <c r="D719" s="727">
        <f>+D720+D721+D722</f>
        <v>168409233</v>
      </c>
      <c r="E719" s="731">
        <v>157651174.09</v>
      </c>
      <c r="F719" s="1077">
        <f>SUM(E720:E722)</f>
        <v>157651174.09</v>
      </c>
      <c r="G719" s="1663">
        <f t="shared" si="109"/>
        <v>94.08461016408198</v>
      </c>
      <c r="H719" s="1663">
        <f t="shared" si="111"/>
        <v>93.61195421512312</v>
      </c>
      <c r="I719" s="1662">
        <f t="shared" si="110"/>
        <v>106.3927160240451</v>
      </c>
      <c r="J719" s="29">
        <v>148178540.77000001</v>
      </c>
    </row>
    <row r="720" spans="1:11" ht="48" x14ac:dyDescent="0.2">
      <c r="A720" s="2219"/>
      <c r="B720" s="1353" t="s">
        <v>3152</v>
      </c>
      <c r="C720" s="2341">
        <f>(101960000+3850000)+10000+1500000+10000+(25658080+954800)+(9311400+346500)+600000+1000+900000+150000+25000+50000+2550000+300000+15000+204000+40000</f>
        <v>148435780</v>
      </c>
      <c r="D720" s="2341">
        <f>(101960000+3850000)+10000+1500000+10000+(25658080+954800)+(9311400+346500)+600000+1000+900000+150000+25000+50000+2550000+300000+15000+204000+40000+13905+(160895+71798)</f>
        <v>148682378</v>
      </c>
      <c r="E720" s="738">
        <f>141824657.8+2000+1079-5</f>
        <v>141827731.80000001</v>
      </c>
      <c r="F720" s="2341"/>
      <c r="G720" s="2200">
        <f t="shared" si="109"/>
        <v>95.548210680740183</v>
      </c>
      <c r="H720" s="2200">
        <f t="shared" si="111"/>
        <v>95.389738654839121</v>
      </c>
      <c r="I720" s="2201">
        <f t="shared" si="110"/>
        <v>107.53552537609204</v>
      </c>
      <c r="J720" s="1866">
        <v>131889188.53</v>
      </c>
    </row>
    <row r="721" spans="1:10" ht="23.25" customHeight="1" x14ac:dyDescent="0.25">
      <c r="A721" s="2445"/>
      <c r="B721" s="749" t="s">
        <v>3153</v>
      </c>
      <c r="C721" s="2341">
        <f>(7060000+275000)+30000+(1758320+68200)+(638100+24750)+180000+10000</f>
        <v>10044370</v>
      </c>
      <c r="D721" s="2341">
        <f>(7060000+275000)+30000+(1758320+68200)+(638100+24750)+180000+10000+294000+305445</f>
        <v>10643815</v>
      </c>
      <c r="E721" s="738">
        <v>8667245</v>
      </c>
      <c r="F721" s="2341"/>
      <c r="G721" s="2200">
        <f t="shared" si="109"/>
        <v>86.289583119697895</v>
      </c>
      <c r="H721" s="2200">
        <f t="shared" si="111"/>
        <v>81.429872653743047</v>
      </c>
      <c r="I721" s="2201">
        <f t="shared" si="110"/>
        <v>96.545932152640518</v>
      </c>
      <c r="J721" s="1866">
        <v>8977328</v>
      </c>
    </row>
    <row r="722" spans="1:10" ht="36.75" x14ac:dyDescent="0.25">
      <c r="A722" s="2445"/>
      <c r="B722" s="725" t="s">
        <v>2515</v>
      </c>
      <c r="C722" s="2341">
        <f>4067040+60000+21000+3140000+160000+100000+320000+1150000+30000+26000+9000</f>
        <v>9083040</v>
      </c>
      <c r="D722" s="2341">
        <f>4067040+60000+21000+3140000+160000+100000+320000+1150000+30000+26000+9000</f>
        <v>9083040</v>
      </c>
      <c r="E722" s="738">
        <v>7156197.29</v>
      </c>
      <c r="F722" s="2341"/>
      <c r="G722" s="2200">
        <f t="shared" si="109"/>
        <v>78.786367669855025</v>
      </c>
      <c r="H722" s="2200">
        <f t="shared" si="111"/>
        <v>78.786367669855025</v>
      </c>
      <c r="I722" s="2201">
        <f t="shared" si="110"/>
        <v>97.868894510119958</v>
      </c>
      <c r="J722" s="1866">
        <v>7312024.2400000002</v>
      </c>
    </row>
    <row r="723" spans="1:10" x14ac:dyDescent="0.2">
      <c r="A723" s="2221">
        <v>6330</v>
      </c>
      <c r="B723" s="717" t="s">
        <v>740</v>
      </c>
      <c r="C723" s="727">
        <v>7800000</v>
      </c>
      <c r="D723" s="727">
        <v>7800000</v>
      </c>
      <c r="E723" s="731">
        <v>7800000</v>
      </c>
      <c r="F723" s="1077"/>
      <c r="G723" s="1663">
        <f t="shared" si="109"/>
        <v>100</v>
      </c>
      <c r="H723" s="1663">
        <f t="shared" si="111"/>
        <v>100</v>
      </c>
      <c r="I723" s="1662">
        <f t="shared" si="110"/>
        <v>130</v>
      </c>
      <c r="J723" s="29">
        <v>6000000</v>
      </c>
    </row>
    <row r="724" spans="1:10" ht="12" customHeight="1" x14ac:dyDescent="0.2">
      <c r="A724" s="2275"/>
      <c r="B724" s="1156"/>
      <c r="C724" s="945"/>
      <c r="D724" s="945"/>
      <c r="E724" s="1145"/>
      <c r="F724" s="2606"/>
      <c r="G724" s="2446"/>
      <c r="H724" s="2446"/>
      <c r="I724" s="945"/>
    </row>
    <row r="725" spans="1:10" ht="20.25" x14ac:dyDescent="0.3">
      <c r="A725" s="2373"/>
      <c r="B725" s="701" t="s">
        <v>43</v>
      </c>
      <c r="C725" s="2447">
        <f>C726+C742</f>
        <v>16959056</v>
      </c>
      <c r="D725" s="2447">
        <f>D726+D742</f>
        <v>18156526</v>
      </c>
      <c r="E725" s="2447">
        <v>16523645.84</v>
      </c>
      <c r="F725" s="2607">
        <f>SUM(E726,E742)</f>
        <v>16523645.84</v>
      </c>
      <c r="G725" s="949">
        <f t="shared" si="109"/>
        <v>97.432580209653167</v>
      </c>
      <c r="H725" s="949">
        <f t="shared" si="111"/>
        <v>91.006648738861159</v>
      </c>
      <c r="I725" s="949">
        <f t="shared" si="110"/>
        <v>107.86159090168685</v>
      </c>
      <c r="J725" s="29">
        <v>15319304.77</v>
      </c>
    </row>
    <row r="726" spans="1:10" ht="15.75" x14ac:dyDescent="0.25">
      <c r="A726" s="2373"/>
      <c r="B726" s="763" t="s">
        <v>741</v>
      </c>
      <c r="C726" s="1363">
        <f t="shared" ref="C726:D726" si="113">C727+C728+C729+C732+C734+C740+C741</f>
        <v>1192000</v>
      </c>
      <c r="D726" s="1363">
        <f t="shared" si="113"/>
        <v>1234350</v>
      </c>
      <c r="E726" s="1363">
        <v>926103.84</v>
      </c>
      <c r="F726" s="2607">
        <f>SUM(E727:E729,E732,E734,E740:E741)</f>
        <v>926103.84</v>
      </c>
      <c r="G726" s="2325">
        <f t="shared" si="109"/>
        <v>77.693275167785231</v>
      </c>
      <c r="H726" s="2325">
        <f t="shared" si="111"/>
        <v>75.027653420828784</v>
      </c>
      <c r="I726" s="2325">
        <f t="shared" si="110"/>
        <v>111.03992856257052</v>
      </c>
      <c r="J726" s="29">
        <v>834027.77</v>
      </c>
    </row>
    <row r="727" spans="1:10" x14ac:dyDescent="0.2">
      <c r="A727" s="2221">
        <v>3613</v>
      </c>
      <c r="B727" s="717" t="s">
        <v>1865</v>
      </c>
      <c r="C727" s="731">
        <v>7000</v>
      </c>
      <c r="D727" s="731">
        <v>7000</v>
      </c>
      <c r="E727" s="731">
        <v>556</v>
      </c>
      <c r="F727" s="1809"/>
      <c r="G727" s="1663">
        <f t="shared" si="109"/>
        <v>7.9428571428571431</v>
      </c>
      <c r="H727" s="1663">
        <f t="shared" si="111"/>
        <v>7.9428571428571431</v>
      </c>
      <c r="I727" s="1662">
        <f t="shared" si="110"/>
        <v>506.83682771194168</v>
      </c>
      <c r="J727" s="29">
        <v>109.7</v>
      </c>
    </row>
    <row r="728" spans="1:10" s="244" customFormat="1" ht="15.75" x14ac:dyDescent="0.25">
      <c r="A728" s="2221">
        <v>3632</v>
      </c>
      <c r="B728" s="717" t="s">
        <v>1866</v>
      </c>
      <c r="C728" s="731">
        <v>270000</v>
      </c>
      <c r="D728" s="731">
        <v>270000</v>
      </c>
      <c r="E728" s="731">
        <v>191375.55</v>
      </c>
      <c r="F728" s="1809"/>
      <c r="G728" s="1663">
        <f t="shared" si="109"/>
        <v>70.879833333333337</v>
      </c>
      <c r="H728" s="1663">
        <f t="shared" si="111"/>
        <v>70.879833333333337</v>
      </c>
      <c r="I728" s="1662">
        <f t="shared" si="110"/>
        <v>90.434246163318917</v>
      </c>
      <c r="J728" s="29">
        <v>211618.45</v>
      </c>
    </row>
    <row r="729" spans="1:10" s="244" customFormat="1" ht="12.75" customHeight="1" x14ac:dyDescent="0.25">
      <c r="A729" s="2221">
        <v>4329</v>
      </c>
      <c r="B729" s="717" t="s">
        <v>745</v>
      </c>
      <c r="C729" s="726">
        <f t="shared" ref="C729:D729" si="114">SUM(C730:C731)</f>
        <v>258000</v>
      </c>
      <c r="D729" s="726">
        <f t="shared" si="114"/>
        <v>258000</v>
      </c>
      <c r="E729" s="726">
        <v>255561.62</v>
      </c>
      <c r="F729" s="1077"/>
      <c r="G729" s="1663">
        <f t="shared" si="109"/>
        <v>99.054891472868206</v>
      </c>
      <c r="H729" s="1663">
        <f t="shared" si="111"/>
        <v>99.054891472868206</v>
      </c>
      <c r="I729" s="1662">
        <f t="shared" si="110"/>
        <v>99.534253065130031</v>
      </c>
      <c r="J729" s="29">
        <v>256757.46</v>
      </c>
    </row>
    <row r="730" spans="1:10" s="98" customFormat="1" x14ac:dyDescent="0.2">
      <c r="A730" s="2221"/>
      <c r="B730" s="1035" t="s">
        <v>1867</v>
      </c>
      <c r="C730" s="738">
        <v>8000</v>
      </c>
      <c r="D730" s="738">
        <f>8000+2561.62</f>
        <v>10561.619999999999</v>
      </c>
      <c r="E730" s="738">
        <v>10561.62</v>
      </c>
      <c r="F730" s="1809"/>
      <c r="G730" s="2200">
        <f t="shared" si="109"/>
        <v>132.02025</v>
      </c>
      <c r="H730" s="2200">
        <f t="shared" si="111"/>
        <v>100.00000000000003</v>
      </c>
      <c r="I730" s="2201">
        <f t="shared" si="110"/>
        <v>89.829095740066322</v>
      </c>
      <c r="J730" s="29">
        <v>11757.46</v>
      </c>
    </row>
    <row r="731" spans="1:10" s="98" customFormat="1" x14ac:dyDescent="0.2">
      <c r="A731" s="2221"/>
      <c r="B731" s="1035" t="s">
        <v>1868</v>
      </c>
      <c r="C731" s="738">
        <v>250000</v>
      </c>
      <c r="D731" s="738">
        <f>250000-2561.62</f>
        <v>247438.38</v>
      </c>
      <c r="E731" s="738">
        <v>245000</v>
      </c>
      <c r="F731" s="1809"/>
      <c r="G731" s="2200">
        <f t="shared" si="109"/>
        <v>98</v>
      </c>
      <c r="H731" s="2200">
        <f t="shared" si="111"/>
        <v>99.014550612560598</v>
      </c>
      <c r="I731" s="2201">
        <v>0</v>
      </c>
      <c r="J731" s="29">
        <v>245000</v>
      </c>
    </row>
    <row r="732" spans="1:10" x14ac:dyDescent="0.2">
      <c r="A732" s="2221">
        <v>4349</v>
      </c>
      <c r="B732" s="717" t="s">
        <v>753</v>
      </c>
      <c r="C732" s="726">
        <f t="shared" ref="C732:D732" si="115">SUM(C733:C733)</f>
        <v>300000</v>
      </c>
      <c r="D732" s="726">
        <f t="shared" si="115"/>
        <v>300000</v>
      </c>
      <c r="E732" s="726">
        <v>176741.32</v>
      </c>
      <c r="F732" s="1077"/>
      <c r="G732" s="1663">
        <f t="shared" si="109"/>
        <v>58.913773333333332</v>
      </c>
      <c r="H732" s="1663">
        <f t="shared" si="111"/>
        <v>58.913773333333332</v>
      </c>
      <c r="I732" s="1662">
        <f t="shared" si="110"/>
        <v>258.7834311902426</v>
      </c>
      <c r="J732" s="29">
        <v>68297</v>
      </c>
    </row>
    <row r="733" spans="1:10" x14ac:dyDescent="0.2">
      <c r="A733" s="2223"/>
      <c r="B733" s="737" t="s">
        <v>1869</v>
      </c>
      <c r="C733" s="738">
        <v>300000</v>
      </c>
      <c r="D733" s="738">
        <v>300000</v>
      </c>
      <c r="E733" s="738">
        <v>176741.32</v>
      </c>
      <c r="F733" s="1809"/>
      <c r="G733" s="2200">
        <f t="shared" si="109"/>
        <v>58.913773333333332</v>
      </c>
      <c r="H733" s="2200">
        <f t="shared" si="111"/>
        <v>58.913773333333332</v>
      </c>
      <c r="I733" s="2201">
        <f t="shared" si="110"/>
        <v>258.7834311902426</v>
      </c>
      <c r="J733" s="29">
        <v>68297</v>
      </c>
    </row>
    <row r="734" spans="1:10" s="98" customFormat="1" x14ac:dyDescent="0.2">
      <c r="A734" s="2221">
        <v>4379</v>
      </c>
      <c r="B734" s="717" t="s">
        <v>760</v>
      </c>
      <c r="C734" s="726">
        <f t="shared" ref="C734:D734" si="116">SUM(C735:C739)</f>
        <v>355000</v>
      </c>
      <c r="D734" s="726">
        <f t="shared" si="116"/>
        <v>397350</v>
      </c>
      <c r="E734" s="726">
        <v>301869.34999999998</v>
      </c>
      <c r="F734" s="1077"/>
      <c r="G734" s="1663">
        <f t="shared" si="109"/>
        <v>85.033619718309851</v>
      </c>
      <c r="H734" s="1663">
        <f t="shared" si="111"/>
        <v>75.970643009940858</v>
      </c>
      <c r="I734" s="1662">
        <f t="shared" si="110"/>
        <v>103.28647549531904</v>
      </c>
      <c r="J734" s="29">
        <v>292264.15999999997</v>
      </c>
    </row>
    <row r="735" spans="1:10" x14ac:dyDescent="0.2">
      <c r="A735" s="2223"/>
      <c r="B735" s="737" t="s">
        <v>1870</v>
      </c>
      <c r="C735" s="738">
        <v>230000</v>
      </c>
      <c r="D735" s="738">
        <f>230000-10000</f>
        <v>220000</v>
      </c>
      <c r="E735" s="738">
        <v>161933.69</v>
      </c>
      <c r="F735" s="1809"/>
      <c r="G735" s="2200">
        <f t="shared" si="109"/>
        <v>70.40595217391305</v>
      </c>
      <c r="H735" s="2200">
        <f t="shared" si="111"/>
        <v>73.606222727272723</v>
      </c>
      <c r="I735" s="2201">
        <f t="shared" si="110"/>
        <v>75.597816270540747</v>
      </c>
      <c r="J735" s="29">
        <v>214204.19</v>
      </c>
    </row>
    <row r="736" spans="1:10" s="419" customFormat="1" x14ac:dyDescent="0.2">
      <c r="A736" s="2223"/>
      <c r="B736" s="737" t="s">
        <v>1871</v>
      </c>
      <c r="C736" s="738">
        <v>65000</v>
      </c>
      <c r="D736" s="738">
        <f>65000+10000</f>
        <v>75000</v>
      </c>
      <c r="E736" s="738">
        <v>71950.06</v>
      </c>
      <c r="F736" s="1809"/>
      <c r="G736" s="2200">
        <f t="shared" si="109"/>
        <v>110.69240000000001</v>
      </c>
      <c r="H736" s="2200">
        <f t="shared" si="111"/>
        <v>95.933413333333334</v>
      </c>
      <c r="I736" s="2201">
        <f t="shared" si="110"/>
        <v>141.83433133102983</v>
      </c>
      <c r="J736" s="29">
        <v>50728.24</v>
      </c>
    </row>
    <row r="737" spans="1:11" x14ac:dyDescent="0.2">
      <c r="A737" s="2223"/>
      <c r="B737" s="737" t="s">
        <v>1872</v>
      </c>
      <c r="C737" s="738">
        <v>50000</v>
      </c>
      <c r="D737" s="738">
        <v>50000</v>
      </c>
      <c r="E737" s="738">
        <v>25635.599999999999</v>
      </c>
      <c r="F737" s="1809"/>
      <c r="G737" s="2200">
        <f t="shared" si="109"/>
        <v>51.271199999999993</v>
      </c>
      <c r="H737" s="2200">
        <f t="shared" si="111"/>
        <v>51.271199999999993</v>
      </c>
      <c r="I737" s="2201">
        <f t="shared" si="110"/>
        <v>93.794282323146021</v>
      </c>
      <c r="J737" s="29">
        <v>27331.73</v>
      </c>
    </row>
    <row r="738" spans="1:11" s="98" customFormat="1" x14ac:dyDescent="0.2">
      <c r="A738" s="2223"/>
      <c r="B738" s="737" t="s">
        <v>1873</v>
      </c>
      <c r="C738" s="738">
        <v>10000</v>
      </c>
      <c r="D738" s="738">
        <v>10000</v>
      </c>
      <c r="E738" s="738">
        <v>0</v>
      </c>
      <c r="F738" s="1809"/>
      <c r="G738" s="2200">
        <f t="shared" si="109"/>
        <v>0</v>
      </c>
      <c r="H738" s="2200">
        <f t="shared" si="111"/>
        <v>0</v>
      </c>
      <c r="I738" s="2201">
        <v>0</v>
      </c>
      <c r="J738" s="29">
        <v>0</v>
      </c>
    </row>
    <row r="739" spans="1:11" s="98" customFormat="1" x14ac:dyDescent="0.2">
      <c r="A739" s="2223"/>
      <c r="B739" s="737" t="s">
        <v>3154</v>
      </c>
      <c r="C739" s="738">
        <v>0</v>
      </c>
      <c r="D739" s="738">
        <v>42350</v>
      </c>
      <c r="E739" s="738">
        <v>42350</v>
      </c>
      <c r="F739" s="1809"/>
      <c r="G739" s="2200">
        <v>0</v>
      </c>
      <c r="H739" s="2200">
        <f t="shared" si="111"/>
        <v>100</v>
      </c>
      <c r="I739" s="2201">
        <v>0</v>
      </c>
      <c r="J739" s="29">
        <v>0</v>
      </c>
    </row>
    <row r="740" spans="1:11" x14ac:dyDescent="0.2">
      <c r="A740" s="2221">
        <v>4399</v>
      </c>
      <c r="B740" s="717" t="s">
        <v>3155</v>
      </c>
      <c r="C740" s="731">
        <v>2000</v>
      </c>
      <c r="D740" s="731">
        <v>2000</v>
      </c>
      <c r="E740" s="731">
        <v>0</v>
      </c>
      <c r="F740" s="1809"/>
      <c r="G740" s="1663">
        <f t="shared" si="109"/>
        <v>0</v>
      </c>
      <c r="H740" s="1663">
        <f t="shared" si="111"/>
        <v>0</v>
      </c>
      <c r="I740" s="1662">
        <f t="shared" si="110"/>
        <v>0</v>
      </c>
      <c r="J740" s="29">
        <v>4981</v>
      </c>
    </row>
    <row r="741" spans="1:11" x14ac:dyDescent="0.2">
      <c r="A741" s="2275">
        <v>6409</v>
      </c>
      <c r="B741" s="1156" t="s">
        <v>1876</v>
      </c>
      <c r="C741" s="731">
        <v>0</v>
      </c>
      <c r="D741" s="731">
        <v>0</v>
      </c>
      <c r="E741" s="1145">
        <v>0</v>
      </c>
      <c r="F741" s="1809"/>
      <c r="G741" s="1663">
        <v>0</v>
      </c>
      <c r="H741" s="1663">
        <v>0</v>
      </c>
      <c r="I741" s="1662">
        <v>0</v>
      </c>
      <c r="J741" s="29">
        <v>0</v>
      </c>
    </row>
    <row r="742" spans="1:11" ht="15.75" x14ac:dyDescent="0.25">
      <c r="A742" s="2373"/>
      <c r="B742" s="763" t="s">
        <v>767</v>
      </c>
      <c r="C742" s="1372">
        <f t="shared" ref="C742:D742" si="117">C743</f>
        <v>15767056</v>
      </c>
      <c r="D742" s="1372">
        <f t="shared" si="117"/>
        <v>16922176</v>
      </c>
      <c r="E742" s="1372">
        <v>15597542</v>
      </c>
      <c r="F742" s="2270"/>
      <c r="G742" s="2325">
        <f t="shared" ref="G742:G804" si="118">E742/C742*100</f>
        <v>98.924884899248156</v>
      </c>
      <c r="H742" s="2325">
        <f t="shared" si="111"/>
        <v>92.172200549149224</v>
      </c>
      <c r="I742" s="2325">
        <f t="shared" ref="I742:I803" si="119">E742/J742*100</f>
        <v>107.67858978464824</v>
      </c>
      <c r="J742" s="29">
        <v>14485277</v>
      </c>
    </row>
    <row r="743" spans="1:11" x14ac:dyDescent="0.2">
      <c r="A743" s="2273"/>
      <c r="B743" s="709" t="s">
        <v>768</v>
      </c>
      <c r="C743" s="1366">
        <f>SUM(C744:C755)</f>
        <v>15767056</v>
      </c>
      <c r="D743" s="1366">
        <f>SUM(D744:D755)</f>
        <v>16922176</v>
      </c>
      <c r="E743" s="1366">
        <v>15597542</v>
      </c>
      <c r="F743" s="1077">
        <f>SUM(E744:E755)</f>
        <v>15597542</v>
      </c>
      <c r="G743" s="1663">
        <f t="shared" si="118"/>
        <v>98.924884899248156</v>
      </c>
      <c r="H743" s="1663">
        <f t="shared" si="111"/>
        <v>92.172200549149224</v>
      </c>
      <c r="I743" s="1662">
        <f t="shared" si="119"/>
        <v>107.67858978464824</v>
      </c>
      <c r="J743" s="29">
        <v>14485277</v>
      </c>
    </row>
    <row r="744" spans="1:11" s="98" customFormat="1" x14ac:dyDescent="0.2">
      <c r="A744" s="2273"/>
      <c r="B744" s="737" t="s">
        <v>769</v>
      </c>
      <c r="C744" s="1045">
        <v>190500</v>
      </c>
      <c r="D744" s="1045">
        <v>190500</v>
      </c>
      <c r="E744" s="738">
        <v>190500</v>
      </c>
      <c r="F744" s="1077"/>
      <c r="G744" s="2200">
        <f t="shared" si="118"/>
        <v>100</v>
      </c>
      <c r="H744" s="2200">
        <f t="shared" si="111"/>
        <v>100</v>
      </c>
      <c r="I744" s="2201">
        <f t="shared" si="119"/>
        <v>147.67441860465115</v>
      </c>
      <c r="J744" s="29">
        <v>129000</v>
      </c>
    </row>
    <row r="745" spans="1:11" x14ac:dyDescent="0.2">
      <c r="A745" s="2273"/>
      <c r="B745" s="737" t="s">
        <v>770</v>
      </c>
      <c r="C745" s="1077">
        <v>200000</v>
      </c>
      <c r="D745" s="1077">
        <v>200000</v>
      </c>
      <c r="E745" s="738">
        <v>158200</v>
      </c>
      <c r="F745" s="1809"/>
      <c r="G745" s="2200">
        <f t="shared" si="118"/>
        <v>79.100000000000009</v>
      </c>
      <c r="H745" s="2200">
        <f t="shared" ref="H745:H808" si="120">E745/D745*100</f>
        <v>79.100000000000009</v>
      </c>
      <c r="I745" s="2201">
        <f t="shared" si="119"/>
        <v>161.75869120654397</v>
      </c>
      <c r="J745" s="29">
        <v>97800</v>
      </c>
    </row>
    <row r="746" spans="1:11" x14ac:dyDescent="0.2">
      <c r="A746" s="2273"/>
      <c r="B746" s="737" t="s">
        <v>2947</v>
      </c>
      <c r="C746" s="1077">
        <v>12122400</v>
      </c>
      <c r="D746" s="1077">
        <v>12122400</v>
      </c>
      <c r="E746" s="738">
        <v>12122400</v>
      </c>
      <c r="F746" s="1809"/>
      <c r="G746" s="2200">
        <f t="shared" si="118"/>
        <v>100</v>
      </c>
      <c r="H746" s="2200">
        <f t="shared" si="120"/>
        <v>100</v>
      </c>
      <c r="I746" s="2201">
        <f t="shared" si="119"/>
        <v>138.20685881065305</v>
      </c>
      <c r="J746" s="29">
        <v>8771200</v>
      </c>
    </row>
    <row r="747" spans="1:11" x14ac:dyDescent="0.2">
      <c r="A747" s="2273"/>
      <c r="B747" s="737" t="s">
        <v>2518</v>
      </c>
      <c r="C747" s="1077">
        <v>1736156</v>
      </c>
      <c r="D747" s="1077">
        <f>1736156-462062-502000</f>
        <v>772094</v>
      </c>
      <c r="E747" s="738">
        <v>387600</v>
      </c>
      <c r="F747" s="1809"/>
      <c r="G747" s="2200">
        <f t="shared" si="118"/>
        <v>22.325182760074554</v>
      </c>
      <c r="H747" s="2200">
        <f t="shared" si="120"/>
        <v>50.201141311809181</v>
      </c>
      <c r="I747" s="2201">
        <f t="shared" si="119"/>
        <v>29.497716894977167</v>
      </c>
      <c r="J747" s="29">
        <v>1314000</v>
      </c>
    </row>
    <row r="748" spans="1:11" x14ac:dyDescent="0.2">
      <c r="A748" s="2273"/>
      <c r="B748" s="737" t="s">
        <v>773</v>
      </c>
      <c r="C748" s="1077">
        <v>135000</v>
      </c>
      <c r="D748" s="1077">
        <v>135000</v>
      </c>
      <c r="E748" s="738">
        <v>135000</v>
      </c>
      <c r="F748" s="1809"/>
      <c r="G748" s="2200">
        <f t="shared" si="118"/>
        <v>100</v>
      </c>
      <c r="H748" s="2200">
        <f t="shared" si="120"/>
        <v>100</v>
      </c>
      <c r="I748" s="2201">
        <f t="shared" si="119"/>
        <v>100</v>
      </c>
      <c r="J748" s="29">
        <v>135000</v>
      </c>
    </row>
    <row r="749" spans="1:11" x14ac:dyDescent="0.2">
      <c r="A749" s="2273"/>
      <c r="B749" s="737" t="s">
        <v>774</v>
      </c>
      <c r="C749" s="1077">
        <v>235000</v>
      </c>
      <c r="D749" s="1077">
        <v>235000</v>
      </c>
      <c r="E749" s="738">
        <v>235000</v>
      </c>
      <c r="F749" s="1809"/>
      <c r="G749" s="2200">
        <f t="shared" si="118"/>
        <v>100</v>
      </c>
      <c r="H749" s="2200">
        <f t="shared" si="120"/>
        <v>100</v>
      </c>
      <c r="I749" s="2201">
        <f t="shared" si="119"/>
        <v>100</v>
      </c>
      <c r="J749" s="29">
        <v>235000</v>
      </c>
    </row>
    <row r="750" spans="1:11" x14ac:dyDescent="0.2">
      <c r="A750" s="2273"/>
      <c r="B750" s="737" t="s">
        <v>1879</v>
      </c>
      <c r="C750" s="1077">
        <v>1000000</v>
      </c>
      <c r="D750" s="1077">
        <v>1000000</v>
      </c>
      <c r="E750" s="738">
        <v>250000</v>
      </c>
      <c r="F750" s="1809"/>
      <c r="G750" s="2200">
        <f t="shared" si="118"/>
        <v>25</v>
      </c>
      <c r="H750" s="2200">
        <f t="shared" si="120"/>
        <v>25</v>
      </c>
      <c r="I750" s="2201">
        <v>0</v>
      </c>
      <c r="J750" s="29">
        <v>0</v>
      </c>
    </row>
    <row r="751" spans="1:11" customFormat="1" x14ac:dyDescent="0.2">
      <c r="A751" s="2425"/>
      <c r="B751" s="1258" t="s">
        <v>3156</v>
      </c>
      <c r="C751" s="1900">
        <v>0</v>
      </c>
      <c r="D751" s="1900">
        <v>500000</v>
      </c>
      <c r="E751" s="1809">
        <v>31410</v>
      </c>
      <c r="F751" s="1864"/>
      <c r="G751" s="2200">
        <v>0</v>
      </c>
      <c r="H751" s="2200">
        <f t="shared" si="120"/>
        <v>6.282</v>
      </c>
      <c r="I751" s="2201">
        <v>0</v>
      </c>
      <c r="J751" s="88">
        <v>0</v>
      </c>
      <c r="K751" s="2"/>
    </row>
    <row r="752" spans="1:11" x14ac:dyDescent="0.2">
      <c r="A752" s="2221"/>
      <c r="B752" s="737" t="s">
        <v>775</v>
      </c>
      <c r="C752" s="1077">
        <v>100000</v>
      </c>
      <c r="D752" s="1077">
        <f>100000-42350</f>
        <v>57650</v>
      </c>
      <c r="E752" s="738">
        <v>42900</v>
      </c>
      <c r="F752" s="1809"/>
      <c r="G752" s="2200">
        <f t="shared" si="118"/>
        <v>42.9</v>
      </c>
      <c r="H752" s="2200">
        <f t="shared" si="120"/>
        <v>74.414570685169124</v>
      </c>
      <c r="I752" s="2201">
        <f t="shared" si="119"/>
        <v>68.723567858515949</v>
      </c>
      <c r="J752" s="29">
        <v>62424</v>
      </c>
    </row>
    <row r="753" spans="1:10" x14ac:dyDescent="0.2">
      <c r="A753" s="2221"/>
      <c r="B753" s="737" t="s">
        <v>776</v>
      </c>
      <c r="C753" s="1077">
        <v>0</v>
      </c>
      <c r="D753" s="1077">
        <f>214000+23725+4745+40000+10000+60000+335000+462062+502000+10000</f>
        <v>1661532</v>
      </c>
      <c r="E753" s="738">
        <v>1661532</v>
      </c>
      <c r="F753" s="1077"/>
      <c r="G753" s="2200">
        <v>0</v>
      </c>
      <c r="H753" s="2200">
        <f t="shared" si="120"/>
        <v>100</v>
      </c>
      <c r="I753" s="2201">
        <f t="shared" si="119"/>
        <v>256.83335136722673</v>
      </c>
      <c r="J753" s="29">
        <v>646930</v>
      </c>
    </row>
    <row r="754" spans="1:10" x14ac:dyDescent="0.2">
      <c r="A754" s="2221"/>
      <c r="B754" s="737" t="s">
        <v>2948</v>
      </c>
      <c r="C754" s="1077">
        <v>48000</v>
      </c>
      <c r="D754" s="1077">
        <v>48000</v>
      </c>
      <c r="E754" s="1077">
        <v>48000</v>
      </c>
      <c r="F754" s="1809"/>
      <c r="G754" s="2200">
        <f t="shared" si="118"/>
        <v>100</v>
      </c>
      <c r="H754" s="2200">
        <f t="shared" si="120"/>
        <v>100</v>
      </c>
      <c r="I754" s="2201">
        <f t="shared" si="119"/>
        <v>100</v>
      </c>
      <c r="J754" s="29">
        <v>48000</v>
      </c>
    </row>
    <row r="755" spans="1:10" x14ac:dyDescent="0.2">
      <c r="A755" s="2221"/>
      <c r="B755" s="737" t="s">
        <v>3157</v>
      </c>
      <c r="C755" s="1077">
        <v>0</v>
      </c>
      <c r="D755" s="1077">
        <v>0</v>
      </c>
      <c r="E755" s="1077">
        <v>335000</v>
      </c>
      <c r="F755" s="1809"/>
      <c r="G755" s="2200">
        <v>0</v>
      </c>
      <c r="H755" s="2200">
        <v>0</v>
      </c>
      <c r="I755" s="2201">
        <f t="shared" si="119"/>
        <v>697.91666666666674</v>
      </c>
      <c r="J755" s="29">
        <v>48000</v>
      </c>
    </row>
    <row r="756" spans="1:10" ht="12" customHeight="1" x14ac:dyDescent="0.2">
      <c r="A756" s="2449"/>
      <c r="B756" s="1872"/>
      <c r="C756" s="2043"/>
      <c r="D756" s="2043"/>
      <c r="E756" s="1158"/>
      <c r="F756" s="979"/>
      <c r="G756" s="979"/>
      <c r="H756" s="979"/>
      <c r="I756" s="979"/>
    </row>
    <row r="757" spans="1:10" ht="20.25" x14ac:dyDescent="0.3">
      <c r="A757" s="2449"/>
      <c r="B757" s="2056" t="s">
        <v>777</v>
      </c>
      <c r="C757" s="1205">
        <f>C758</f>
        <v>18612000</v>
      </c>
      <c r="D757" s="1205">
        <f>D758</f>
        <v>19169000</v>
      </c>
      <c r="E757" s="2057">
        <v>15885436.48</v>
      </c>
      <c r="F757" s="2384">
        <f>SUM(E759:E761)</f>
        <v>15885436.48</v>
      </c>
      <c r="G757" s="949">
        <f t="shared" si="118"/>
        <v>85.350507629486358</v>
      </c>
      <c r="H757" s="949">
        <f t="shared" si="120"/>
        <v>82.87044958005113</v>
      </c>
      <c r="I757" s="949">
        <f t="shared" si="119"/>
        <v>94.53533663662445</v>
      </c>
      <c r="J757" s="29">
        <v>16803702.239999998</v>
      </c>
    </row>
    <row r="758" spans="1:10" x14ac:dyDescent="0.2">
      <c r="A758" s="2608">
        <v>4351</v>
      </c>
      <c r="B758" s="1196" t="s">
        <v>778</v>
      </c>
      <c r="C758" s="1377">
        <f>SUM(C759:C761)</f>
        <v>18612000</v>
      </c>
      <c r="D758" s="1377">
        <f>SUM(D759:D761)</f>
        <v>19169000</v>
      </c>
      <c r="E758" s="1377">
        <v>15885436.48</v>
      </c>
      <c r="F758" s="2609">
        <f>SUM(E759:E761)</f>
        <v>15885436.48</v>
      </c>
      <c r="G758" s="2610">
        <f t="shared" si="118"/>
        <v>85.350507629486358</v>
      </c>
      <c r="H758" s="2610">
        <f t="shared" si="120"/>
        <v>82.87044958005113</v>
      </c>
      <c r="I758" s="2611">
        <f t="shared" si="119"/>
        <v>94.53533663662445</v>
      </c>
      <c r="J758" s="29">
        <v>16803702.239999998</v>
      </c>
    </row>
    <row r="759" spans="1:10" ht="60.75" x14ac:dyDescent="0.2">
      <c r="A759" s="2223"/>
      <c r="B759" s="1335" t="s">
        <v>2519</v>
      </c>
      <c r="C759" s="1368">
        <f>8493500+32200+282000</f>
        <v>8807700</v>
      </c>
      <c r="D759" s="1368">
        <f>8493500+32200+282000+2980000+536000+(-682000-2624000)</f>
        <v>9017700</v>
      </c>
      <c r="E759" s="750">
        <v>7602023.1600000001</v>
      </c>
      <c r="F759" s="1045"/>
      <c r="G759" s="2597">
        <f t="shared" si="118"/>
        <v>86.311104601655373</v>
      </c>
      <c r="H759" s="2597">
        <f t="shared" si="120"/>
        <v>84.301131774177449</v>
      </c>
      <c r="I759" s="1863">
        <f t="shared" si="119"/>
        <v>106.55913073043352</v>
      </c>
      <c r="J759" s="1866">
        <v>7134088.9400000004</v>
      </c>
    </row>
    <row r="760" spans="1:10" ht="48.75" x14ac:dyDescent="0.2">
      <c r="A760" s="2223"/>
      <c r="B760" s="1353" t="s">
        <v>3158</v>
      </c>
      <c r="C760" s="1368">
        <f>2332000+16100+66900</f>
        <v>2415000</v>
      </c>
      <c r="D760" s="1368">
        <f>2332000+16100+66900+586000+158000+(-133000-503000)</f>
        <v>2523000</v>
      </c>
      <c r="E760" s="1045">
        <v>1952636.01</v>
      </c>
      <c r="F760" s="1077"/>
      <c r="G760" s="2200">
        <f t="shared" si="118"/>
        <v>80.854493167701875</v>
      </c>
      <c r="H760" s="2200">
        <f t="shared" si="120"/>
        <v>77.393420927467304</v>
      </c>
      <c r="I760" s="2201">
        <f t="shared" si="119"/>
        <v>102.23429223624088</v>
      </c>
      <c r="J760" s="1866">
        <v>1909961.88</v>
      </c>
    </row>
    <row r="761" spans="1:10" ht="36.75" x14ac:dyDescent="0.2">
      <c r="A761" s="2221"/>
      <c r="B761" s="1353" t="s">
        <v>2521</v>
      </c>
      <c r="C761" s="1368">
        <f>7117500+33400+238400</f>
        <v>7389300</v>
      </c>
      <c r="D761" s="1368">
        <f>7117500+33400+238400+1065000+244000+(-268000-802000)</f>
        <v>7628300</v>
      </c>
      <c r="E761" s="738">
        <v>6330777.3099999996</v>
      </c>
      <c r="F761" s="1809"/>
      <c r="G761" s="2200">
        <f t="shared" si="118"/>
        <v>85.674926041708957</v>
      </c>
      <c r="H761" s="2200">
        <f t="shared" si="120"/>
        <v>82.990670398384964</v>
      </c>
      <c r="I761" s="2201">
        <f t="shared" si="119"/>
        <v>109.13432133645222</v>
      </c>
      <c r="J761" s="1866">
        <v>5800904.0899999999</v>
      </c>
    </row>
    <row r="762" spans="1:10" ht="12.75" customHeight="1" x14ac:dyDescent="0.2">
      <c r="A762" s="2419"/>
      <c r="B762" s="1383"/>
      <c r="C762" s="1384"/>
      <c r="D762" s="1384"/>
      <c r="E762" s="682"/>
      <c r="F762" s="1970"/>
      <c r="G762" s="2452"/>
      <c r="H762" s="2452"/>
      <c r="I762" s="1384"/>
    </row>
    <row r="763" spans="1:10" ht="20.25" x14ac:dyDescent="0.3">
      <c r="A763" s="2373"/>
      <c r="B763" s="701" t="s">
        <v>2117</v>
      </c>
      <c r="C763" s="1217">
        <f>SUM(C764,C765,C766,C767,C768,C769,C770,C771,C776,C777,C778,C783,C784)</f>
        <v>72242000</v>
      </c>
      <c r="D763" s="1217">
        <f>SUM(D764,D765,D766,D767,D768,D769,D770,D771,D776,D777,D778,D783,D784)</f>
        <v>72703526.5</v>
      </c>
      <c r="E763" s="1217">
        <v>71118466.159999996</v>
      </c>
      <c r="F763" s="2384">
        <f>SUM(E764:E771,E776:E778,E783,E784)</f>
        <v>71118466.159999996</v>
      </c>
      <c r="G763" s="949">
        <f t="shared" si="118"/>
        <v>98.444763655491258</v>
      </c>
      <c r="H763" s="949">
        <f t="shared" si="120"/>
        <v>97.81983018389073</v>
      </c>
      <c r="I763" s="949">
        <f t="shared" si="119"/>
        <v>103.24545545698169</v>
      </c>
      <c r="J763" s="29">
        <v>68882902.25</v>
      </c>
    </row>
    <row r="764" spans="1:10" x14ac:dyDescent="0.2">
      <c r="A764" s="2219">
        <v>1014</v>
      </c>
      <c r="B764" s="709" t="s">
        <v>2523</v>
      </c>
      <c r="C764" s="731">
        <v>490000</v>
      </c>
      <c r="D764" s="731">
        <f>490000+50000</f>
        <v>540000</v>
      </c>
      <c r="E764" s="172">
        <v>446686</v>
      </c>
      <c r="F764" s="1809"/>
      <c r="G764" s="1663">
        <f t="shared" si="118"/>
        <v>91.160408163265302</v>
      </c>
      <c r="H764" s="1663">
        <f t="shared" si="120"/>
        <v>82.719629629629637</v>
      </c>
      <c r="I764" s="1662">
        <f t="shared" si="119"/>
        <v>120.09528341708273</v>
      </c>
      <c r="J764" s="29">
        <v>371943</v>
      </c>
    </row>
    <row r="765" spans="1:10" x14ac:dyDescent="0.2">
      <c r="A765" s="2221">
        <v>1031</v>
      </c>
      <c r="B765" s="717" t="s">
        <v>2524</v>
      </c>
      <c r="C765" s="731">
        <v>750000</v>
      </c>
      <c r="D765" s="731">
        <v>750000</v>
      </c>
      <c r="E765" s="181">
        <v>408022.68</v>
      </c>
      <c r="F765" s="1077"/>
      <c r="G765" s="1663">
        <f t="shared" si="118"/>
        <v>54.403024000000002</v>
      </c>
      <c r="H765" s="1663">
        <f t="shared" si="120"/>
        <v>54.403024000000002</v>
      </c>
      <c r="I765" s="1662">
        <f t="shared" si="119"/>
        <v>83.61346145345766</v>
      </c>
      <c r="J765" s="29">
        <v>487986.83</v>
      </c>
    </row>
    <row r="766" spans="1:10" x14ac:dyDescent="0.2">
      <c r="A766" s="2221">
        <v>1036</v>
      </c>
      <c r="B766" s="717" t="s">
        <v>2525</v>
      </c>
      <c r="C766" s="731">
        <v>120000</v>
      </c>
      <c r="D766" s="731">
        <v>120000</v>
      </c>
      <c r="E766" s="181">
        <v>99416</v>
      </c>
      <c r="F766" s="1077"/>
      <c r="G766" s="1663">
        <f t="shared" si="118"/>
        <v>82.846666666666664</v>
      </c>
      <c r="H766" s="1663">
        <f t="shared" si="120"/>
        <v>82.846666666666664</v>
      </c>
      <c r="I766" s="1662">
        <f t="shared" si="119"/>
        <v>75.50547106312213</v>
      </c>
      <c r="J766" s="29">
        <v>131667.28</v>
      </c>
    </row>
    <row r="767" spans="1:10" s="244" customFormat="1" ht="12.75" customHeight="1" x14ac:dyDescent="0.25">
      <c r="A767" s="2221">
        <v>1037</v>
      </c>
      <c r="B767" s="717" t="s">
        <v>2526</v>
      </c>
      <c r="C767" s="731">
        <v>28000</v>
      </c>
      <c r="D767" s="731">
        <f>28000+50000-50000</f>
        <v>28000</v>
      </c>
      <c r="E767" s="181">
        <v>14991.01</v>
      </c>
      <c r="F767" s="1076"/>
      <c r="G767" s="1663">
        <f t="shared" si="118"/>
        <v>53.539321428571427</v>
      </c>
      <c r="H767" s="1663">
        <f t="shared" si="120"/>
        <v>53.539321428571427</v>
      </c>
      <c r="I767" s="1662">
        <f t="shared" si="119"/>
        <v>60.77107994162477</v>
      </c>
      <c r="J767" s="29">
        <v>24668</v>
      </c>
    </row>
    <row r="768" spans="1:10" s="98" customFormat="1" x14ac:dyDescent="0.2">
      <c r="A768" s="2221">
        <v>1039</v>
      </c>
      <c r="B768" s="717" t="s">
        <v>2527</v>
      </c>
      <c r="C768" s="731">
        <v>260000</v>
      </c>
      <c r="D768" s="731">
        <v>260000</v>
      </c>
      <c r="E768" s="181">
        <v>239338</v>
      </c>
      <c r="F768" s="1077"/>
      <c r="G768" s="1663">
        <f t="shared" si="118"/>
        <v>92.053076923076929</v>
      </c>
      <c r="H768" s="1663">
        <f t="shared" si="120"/>
        <v>92.053076923076929</v>
      </c>
      <c r="I768" s="1662">
        <f t="shared" si="119"/>
        <v>63.174542816815759</v>
      </c>
      <c r="J768" s="29">
        <v>378851.97</v>
      </c>
    </row>
    <row r="769" spans="1:10" s="98" customFormat="1" x14ac:dyDescent="0.2">
      <c r="A769" s="2221">
        <v>2369</v>
      </c>
      <c r="B769" s="717" t="s">
        <v>2528</v>
      </c>
      <c r="C769" s="731">
        <v>370000</v>
      </c>
      <c r="D769" s="731">
        <v>370000</v>
      </c>
      <c r="E769" s="181">
        <v>5333.68</v>
      </c>
      <c r="F769" s="1809"/>
      <c r="G769" s="1663">
        <f t="shared" si="118"/>
        <v>1.4415351351351353</v>
      </c>
      <c r="H769" s="1663">
        <f t="shared" si="120"/>
        <v>1.4415351351351353</v>
      </c>
      <c r="I769" s="1662">
        <f t="shared" si="119"/>
        <v>3.8179549422791363</v>
      </c>
      <c r="J769" s="29">
        <v>139699.92000000001</v>
      </c>
    </row>
    <row r="770" spans="1:10" s="98" customFormat="1" x14ac:dyDescent="0.2">
      <c r="A770" s="2221">
        <v>3721</v>
      </c>
      <c r="B770" s="717" t="s">
        <v>2529</v>
      </c>
      <c r="C770" s="731">
        <v>50000</v>
      </c>
      <c r="D770" s="731">
        <v>50000</v>
      </c>
      <c r="E770" s="181">
        <v>50000</v>
      </c>
      <c r="F770" s="1077"/>
      <c r="G770" s="1663">
        <f t="shared" si="118"/>
        <v>100</v>
      </c>
      <c r="H770" s="1663">
        <f t="shared" si="120"/>
        <v>100</v>
      </c>
      <c r="I770" s="1662">
        <f t="shared" si="119"/>
        <v>100</v>
      </c>
      <c r="J770" s="29">
        <v>50000</v>
      </c>
    </row>
    <row r="771" spans="1:10" s="98" customFormat="1" x14ac:dyDescent="0.2">
      <c r="A771" s="2221">
        <v>3722</v>
      </c>
      <c r="B771" s="717" t="s">
        <v>789</v>
      </c>
      <c r="C771" s="726">
        <f>SUM(C772:C775)</f>
        <v>46605000</v>
      </c>
      <c r="D771" s="726">
        <f>SUM(D772:D775)</f>
        <v>46384650</v>
      </c>
      <c r="E771" s="181">
        <v>46442374.590000004</v>
      </c>
      <c r="F771" s="1077">
        <f>SUM(E772:E775)</f>
        <v>46442374.590000004</v>
      </c>
      <c r="G771" s="1663">
        <f t="shared" si="118"/>
        <v>99.651055873833286</v>
      </c>
      <c r="H771" s="1663">
        <f t="shared" si="120"/>
        <v>100.12444761359632</v>
      </c>
      <c r="I771" s="1662">
        <f t="shared" si="119"/>
        <v>114.51895391180744</v>
      </c>
      <c r="J771" s="29">
        <v>40554312.630000003</v>
      </c>
    </row>
    <row r="772" spans="1:10" s="98" customFormat="1" x14ac:dyDescent="0.2">
      <c r="A772" s="2221"/>
      <c r="B772" s="1035" t="s">
        <v>2530</v>
      </c>
      <c r="C772" s="738">
        <v>32350000</v>
      </c>
      <c r="D772" s="738">
        <f>32350000+21950+700000-500000</f>
        <v>32571950</v>
      </c>
      <c r="E772" s="178">
        <v>33071950</v>
      </c>
      <c r="F772" s="1077"/>
      <c r="G772" s="2200">
        <f t="shared" si="118"/>
        <v>102.23168469860897</v>
      </c>
      <c r="H772" s="2200">
        <f t="shared" si="120"/>
        <v>101.53506314482246</v>
      </c>
      <c r="I772" s="2201">
        <f t="shared" si="119"/>
        <v>109.28912721568409</v>
      </c>
      <c r="J772" s="29">
        <v>30260970</v>
      </c>
    </row>
    <row r="773" spans="1:10" s="98" customFormat="1" x14ac:dyDescent="0.2">
      <c r="A773" s="2221"/>
      <c r="B773" s="1035" t="s">
        <v>2531</v>
      </c>
      <c r="C773" s="738">
        <v>1910000</v>
      </c>
      <c r="D773" s="738">
        <v>1910000</v>
      </c>
      <c r="E773" s="178">
        <v>1822586.63</v>
      </c>
      <c r="F773" s="1077"/>
      <c r="G773" s="2200">
        <f t="shared" si="118"/>
        <v>95.423383769633503</v>
      </c>
      <c r="H773" s="2200">
        <f t="shared" si="120"/>
        <v>95.423383769633503</v>
      </c>
      <c r="I773" s="2201">
        <v>0</v>
      </c>
      <c r="J773" s="29">
        <v>0</v>
      </c>
    </row>
    <row r="774" spans="1:10" s="98" customFormat="1" x14ac:dyDescent="0.2">
      <c r="A774" s="2221"/>
      <c r="B774" s="1035" t="s">
        <v>2532</v>
      </c>
      <c r="C774" s="738">
        <v>2695000</v>
      </c>
      <c r="D774" s="738">
        <f>2695000+30000+470000+250000+10000</f>
        <v>3455000</v>
      </c>
      <c r="E774" s="178">
        <v>3100137.96</v>
      </c>
      <c r="F774" s="1077"/>
      <c r="G774" s="2200">
        <f t="shared" si="118"/>
        <v>115.03294842300555</v>
      </c>
      <c r="H774" s="2200">
        <f t="shared" si="120"/>
        <v>89.729029232995657</v>
      </c>
      <c r="I774" s="2201">
        <f t="shared" si="119"/>
        <v>121.97067528179863</v>
      </c>
      <c r="J774" s="29">
        <v>2541707.63</v>
      </c>
    </row>
    <row r="775" spans="1:10" s="98" customFormat="1" ht="25.5" x14ac:dyDescent="0.2">
      <c r="A775" s="2221"/>
      <c r="B775" s="749" t="s">
        <v>2533</v>
      </c>
      <c r="C775" s="738">
        <v>9650000</v>
      </c>
      <c r="D775" s="738">
        <f>9650000-1202300</f>
        <v>8447700</v>
      </c>
      <c r="E775" s="178">
        <v>8447700</v>
      </c>
      <c r="F775" s="1077"/>
      <c r="G775" s="2200">
        <f t="shared" si="118"/>
        <v>87.54093264248705</v>
      </c>
      <c r="H775" s="2200">
        <f t="shared" si="120"/>
        <v>100</v>
      </c>
      <c r="I775" s="2201">
        <f t="shared" si="119"/>
        <v>108.97958946725433</v>
      </c>
      <c r="J775" s="1866">
        <v>7751635</v>
      </c>
    </row>
    <row r="776" spans="1:10" s="98" customFormat="1" x14ac:dyDescent="0.2">
      <c r="A776" s="2221">
        <v>3733</v>
      </c>
      <c r="B776" s="717" t="s">
        <v>2534</v>
      </c>
      <c r="C776" s="731">
        <v>65000</v>
      </c>
      <c r="D776" s="731">
        <v>65000</v>
      </c>
      <c r="E776" s="181">
        <v>43970</v>
      </c>
      <c r="F776" s="1077"/>
      <c r="G776" s="1663">
        <f t="shared" si="118"/>
        <v>67.646153846153851</v>
      </c>
      <c r="H776" s="1663">
        <f t="shared" si="120"/>
        <v>67.646153846153851</v>
      </c>
      <c r="I776" s="1662">
        <v>0</v>
      </c>
      <c r="J776" s="29">
        <v>45195</v>
      </c>
    </row>
    <row r="777" spans="1:10" s="98" customFormat="1" x14ac:dyDescent="0.2">
      <c r="A777" s="2221">
        <v>3742</v>
      </c>
      <c r="B777" s="725" t="s">
        <v>2535</v>
      </c>
      <c r="C777" s="731">
        <v>100000</v>
      </c>
      <c r="D777" s="731">
        <f>100000-50000</f>
        <v>50000</v>
      </c>
      <c r="E777" s="1387">
        <v>0</v>
      </c>
      <c r="F777" s="1076"/>
      <c r="G777" s="1663">
        <f t="shared" si="118"/>
        <v>0</v>
      </c>
      <c r="H777" s="1663">
        <f t="shared" si="120"/>
        <v>0</v>
      </c>
      <c r="I777" s="1662">
        <v>0</v>
      </c>
      <c r="J777" s="29">
        <v>0</v>
      </c>
    </row>
    <row r="778" spans="1:10" s="98" customFormat="1" x14ac:dyDescent="0.2">
      <c r="A778" s="2221">
        <v>3745</v>
      </c>
      <c r="B778" s="717" t="s">
        <v>796</v>
      </c>
      <c r="C778" s="726">
        <f>SUM(C779:C782)</f>
        <v>23089000</v>
      </c>
      <c r="D778" s="726">
        <f>SUM(D779:D782)</f>
        <v>23743449</v>
      </c>
      <c r="E778" s="181">
        <v>23106632.699999999</v>
      </c>
      <c r="F778" s="1077">
        <f>SUM(E779:E782)</f>
        <v>23106632.699999999</v>
      </c>
      <c r="G778" s="1663">
        <f t="shared" si="118"/>
        <v>100.07636840053704</v>
      </c>
      <c r="H778" s="1663">
        <f t="shared" si="120"/>
        <v>97.317928410484924</v>
      </c>
      <c r="I778" s="1662">
        <f t="shared" si="119"/>
        <v>92.715918878344326</v>
      </c>
      <c r="J778" s="29">
        <v>24921969.149999999</v>
      </c>
    </row>
    <row r="779" spans="1:10" s="98" customFormat="1" x14ac:dyDescent="0.2">
      <c r="A779" s="2221"/>
      <c r="B779" s="1035" t="s">
        <v>1895</v>
      </c>
      <c r="C779" s="738">
        <v>260000</v>
      </c>
      <c r="D779" s="738">
        <v>260000</v>
      </c>
      <c r="E779" s="384">
        <v>254750</v>
      </c>
      <c r="F779" s="1809"/>
      <c r="G779" s="2200">
        <f t="shared" si="118"/>
        <v>97.980769230769226</v>
      </c>
      <c r="H779" s="2200">
        <f t="shared" si="120"/>
        <v>97.980769230769226</v>
      </c>
      <c r="I779" s="2201">
        <v>0</v>
      </c>
      <c r="J779" s="29">
        <v>248170</v>
      </c>
    </row>
    <row r="780" spans="1:10" s="98" customFormat="1" x14ac:dyDescent="0.2">
      <c r="A780" s="2223"/>
      <c r="B780" s="1035" t="s">
        <v>2536</v>
      </c>
      <c r="C780" s="738">
        <v>20700000</v>
      </c>
      <c r="D780" s="738">
        <f>20700000+700000</f>
        <v>21400000</v>
      </c>
      <c r="E780" s="384">
        <v>21400000</v>
      </c>
      <c r="F780" s="1809"/>
      <c r="G780" s="2200">
        <f t="shared" si="118"/>
        <v>103.38164251207729</v>
      </c>
      <c r="H780" s="2200">
        <f t="shared" si="120"/>
        <v>100</v>
      </c>
      <c r="I780" s="2201">
        <f t="shared" si="119"/>
        <v>107.53768844221105</v>
      </c>
      <c r="J780" s="29">
        <v>19900000</v>
      </c>
    </row>
    <row r="781" spans="1:10" s="98" customFormat="1" x14ac:dyDescent="0.2">
      <c r="A781" s="2223"/>
      <c r="B781" s="1035" t="s">
        <v>2537</v>
      </c>
      <c r="C781" s="738">
        <v>1979000</v>
      </c>
      <c r="D781" s="738">
        <v>1979000</v>
      </c>
      <c r="E781" s="178">
        <v>1347433.7</v>
      </c>
      <c r="F781" s="1077"/>
      <c r="G781" s="2200">
        <f t="shared" si="118"/>
        <v>68.086594239514909</v>
      </c>
      <c r="H781" s="2200">
        <f t="shared" si="120"/>
        <v>68.086594239514909</v>
      </c>
      <c r="I781" s="2201">
        <f t="shared" si="119"/>
        <v>58.999181379465838</v>
      </c>
      <c r="J781" s="29">
        <v>2283817.62</v>
      </c>
    </row>
    <row r="782" spans="1:10" s="98" customFormat="1" x14ac:dyDescent="0.2">
      <c r="A782" s="2221"/>
      <c r="B782" s="749" t="s">
        <v>2538</v>
      </c>
      <c r="C782" s="738">
        <v>150000</v>
      </c>
      <c r="D782" s="738">
        <f>150000+50000-18123.69-77427.31</f>
        <v>104449</v>
      </c>
      <c r="E782" s="384">
        <v>104449</v>
      </c>
      <c r="F782" s="1809"/>
      <c r="G782" s="2200">
        <f t="shared" si="118"/>
        <v>69.632666666666665</v>
      </c>
      <c r="H782" s="2200">
        <f t="shared" si="120"/>
        <v>100</v>
      </c>
      <c r="I782" s="2201">
        <v>0</v>
      </c>
      <c r="J782" s="29">
        <v>2489981.56</v>
      </c>
    </row>
    <row r="783" spans="1:10" x14ac:dyDescent="0.2">
      <c r="A783" s="2221">
        <v>3792</v>
      </c>
      <c r="B783" s="1236" t="s">
        <v>2539</v>
      </c>
      <c r="C783" s="731">
        <v>215000</v>
      </c>
      <c r="D783" s="731">
        <v>215000</v>
      </c>
      <c r="E783" s="181">
        <v>134275</v>
      </c>
      <c r="F783" s="1076"/>
      <c r="G783" s="1663">
        <f t="shared" si="118"/>
        <v>62.453488372093027</v>
      </c>
      <c r="H783" s="1663">
        <f t="shared" si="120"/>
        <v>62.453488372093027</v>
      </c>
      <c r="I783" s="1662">
        <f t="shared" si="119"/>
        <v>130.2269726901115</v>
      </c>
      <c r="J783" s="29">
        <v>103108.44</v>
      </c>
    </row>
    <row r="784" spans="1:10" ht="15.75" x14ac:dyDescent="0.25">
      <c r="A784" s="2453"/>
      <c r="B784" s="690" t="s">
        <v>1897</v>
      </c>
      <c r="C784" s="1390">
        <f t="shared" ref="C784:D784" si="121">SUM(C785:C785)</f>
        <v>100000</v>
      </c>
      <c r="D784" s="1390">
        <f t="shared" si="121"/>
        <v>127427.5</v>
      </c>
      <c r="E784" s="1390">
        <v>127426.5</v>
      </c>
      <c r="F784" s="2612"/>
      <c r="G784" s="2325">
        <f t="shared" si="118"/>
        <v>127.4265</v>
      </c>
      <c r="H784" s="2325">
        <f t="shared" si="120"/>
        <v>99.999215240038453</v>
      </c>
      <c r="I784" s="2325">
        <f t="shared" si="119"/>
        <v>318.56624999999997</v>
      </c>
      <c r="J784" s="29">
        <v>40000</v>
      </c>
    </row>
    <row r="785" spans="1:244" x14ac:dyDescent="0.2">
      <c r="A785" s="2455" t="s">
        <v>3159</v>
      </c>
      <c r="B785" s="2061" t="s">
        <v>3160</v>
      </c>
      <c r="C785" s="765">
        <v>100000</v>
      </c>
      <c r="D785" s="765">
        <f>100000+27427.5</f>
        <v>127427.5</v>
      </c>
      <c r="E785" s="1139">
        <v>127426.5</v>
      </c>
      <c r="F785" s="2424"/>
      <c r="G785" s="1656">
        <f t="shared" si="118"/>
        <v>127.4265</v>
      </c>
      <c r="H785" s="1656">
        <f t="shared" si="120"/>
        <v>99.999215240038453</v>
      </c>
      <c r="I785" s="1662">
        <f t="shared" si="119"/>
        <v>318.56624999999997</v>
      </c>
      <c r="J785" s="29">
        <v>40000</v>
      </c>
    </row>
    <row r="786" spans="1:244" ht="12" customHeight="1" x14ac:dyDescent="0.2">
      <c r="A786" s="2456"/>
      <c r="B786" s="2063"/>
      <c r="C786" s="758"/>
      <c r="D786" s="758"/>
      <c r="E786" s="1399"/>
      <c r="F786" s="1158"/>
      <c r="G786" s="1048"/>
      <c r="H786" s="1048"/>
      <c r="I786" s="758"/>
    </row>
    <row r="787" spans="1:244" ht="20.25" x14ac:dyDescent="0.3">
      <c r="A787" s="2457"/>
      <c r="B787" s="2056" t="s">
        <v>803</v>
      </c>
      <c r="C787" s="1403">
        <f>SUM(C788,C789,C813,C835,C873,C881,C882,C886)</f>
        <v>130474000</v>
      </c>
      <c r="D787" s="1403">
        <f>SUM(D788,D789,D813,D835,D873,D881,D882,D886)</f>
        <v>139524683.86000001</v>
      </c>
      <c r="E787" s="1403">
        <v>123747689.29000001</v>
      </c>
      <c r="F787" s="2361">
        <f>SUM(E788:E789,E813,E835,E873,E881:E882,E886)</f>
        <v>123747689.29000001</v>
      </c>
      <c r="G787" s="949">
        <f t="shared" si="118"/>
        <v>94.844711812315111</v>
      </c>
      <c r="H787" s="949">
        <f t="shared" si="120"/>
        <v>88.692327311896477</v>
      </c>
      <c r="I787" s="949">
        <f t="shared" si="119"/>
        <v>102.34269000740466</v>
      </c>
      <c r="J787" s="88">
        <v>120915025.08</v>
      </c>
      <c r="K787" s="2"/>
      <c r="L787"/>
      <c r="M787"/>
      <c r="N787"/>
      <c r="O787"/>
      <c r="P787"/>
      <c r="Q787"/>
      <c r="R787"/>
      <c r="S787"/>
      <c r="T787"/>
      <c r="U787"/>
      <c r="V787"/>
      <c r="W787"/>
      <c r="X787"/>
      <c r="Y787"/>
      <c r="Z787"/>
      <c r="AA787"/>
      <c r="AB787"/>
      <c r="AC787"/>
      <c r="AD787"/>
      <c r="AE787"/>
      <c r="AF787"/>
      <c r="AG787"/>
      <c r="AH787"/>
      <c r="AI787"/>
      <c r="AJ787"/>
      <c r="AK787"/>
      <c r="AL787"/>
      <c r="AM787"/>
      <c r="AN787"/>
      <c r="AO787"/>
      <c r="AP787"/>
      <c r="AQ787"/>
      <c r="AR787"/>
      <c r="AS787"/>
      <c r="AT787"/>
      <c r="AU787"/>
      <c r="AV787"/>
      <c r="AW787"/>
      <c r="AX787"/>
      <c r="AY787"/>
      <c r="AZ787"/>
      <c r="BA787"/>
      <c r="BB787"/>
      <c r="BC787"/>
      <c r="BD787"/>
      <c r="BE787"/>
      <c r="BF787"/>
      <c r="BG787"/>
      <c r="BH787"/>
      <c r="BI787"/>
      <c r="BJ787"/>
      <c r="BK787"/>
      <c r="BL787"/>
      <c r="BM787"/>
      <c r="BN787"/>
      <c r="BO787"/>
      <c r="BP787"/>
      <c r="BQ787"/>
      <c r="BR787"/>
      <c r="BS787"/>
      <c r="BT787"/>
      <c r="BU787"/>
      <c r="BV787"/>
      <c r="BW787"/>
      <c r="BX787"/>
      <c r="BY787"/>
      <c r="BZ787"/>
      <c r="CA787"/>
      <c r="CB787"/>
      <c r="CC787"/>
      <c r="CD787"/>
      <c r="CE787"/>
      <c r="CF787"/>
      <c r="CG787"/>
      <c r="CH787"/>
      <c r="CI787"/>
      <c r="CJ787"/>
      <c r="CK787"/>
      <c r="CL787"/>
      <c r="CM787"/>
      <c r="CN787"/>
      <c r="CO787"/>
      <c r="CP787"/>
      <c r="CQ787"/>
      <c r="CR787"/>
      <c r="CS787"/>
      <c r="CT787"/>
      <c r="CU787"/>
      <c r="CV787"/>
      <c r="CW787"/>
      <c r="CX787"/>
      <c r="CY787"/>
      <c r="CZ787"/>
      <c r="DA787"/>
      <c r="DB787"/>
      <c r="DC787"/>
      <c r="DD787"/>
      <c r="DE787"/>
      <c r="DF787"/>
      <c r="DG787"/>
      <c r="DH787"/>
      <c r="DI787"/>
      <c r="DJ787"/>
      <c r="DK787"/>
      <c r="DL787"/>
      <c r="DM787"/>
      <c r="DN787"/>
      <c r="DO787"/>
      <c r="DP787"/>
      <c r="DQ787"/>
      <c r="DR787"/>
      <c r="DS787"/>
      <c r="DT787"/>
      <c r="DU787"/>
      <c r="DV787"/>
      <c r="DW787"/>
      <c r="DX787"/>
      <c r="DY787"/>
      <c r="DZ787"/>
      <c r="EA787"/>
      <c r="EB787"/>
      <c r="EC787"/>
      <c r="ED787"/>
      <c r="EE787"/>
      <c r="EF787"/>
      <c r="EG787"/>
      <c r="EH787"/>
      <c r="EI787"/>
      <c r="EJ787"/>
      <c r="EK787"/>
      <c r="EL787"/>
      <c r="EM787"/>
      <c r="EN787"/>
      <c r="EO787"/>
      <c r="EP787"/>
      <c r="EQ787"/>
      <c r="ER787"/>
      <c r="ES787"/>
      <c r="ET787"/>
      <c r="EU787"/>
      <c r="EV787"/>
      <c r="EW787"/>
      <c r="EX787"/>
      <c r="EY787"/>
      <c r="EZ787"/>
      <c r="FA787"/>
      <c r="FB787"/>
      <c r="FC787"/>
      <c r="FD787"/>
      <c r="FE787"/>
      <c r="FF787"/>
      <c r="FG787"/>
      <c r="FH787"/>
      <c r="FI787"/>
      <c r="FJ787"/>
      <c r="FK787"/>
      <c r="FL787"/>
      <c r="FM787"/>
      <c r="FN787"/>
      <c r="FO787"/>
      <c r="FP787"/>
      <c r="FQ787"/>
      <c r="FR787"/>
      <c r="FS787"/>
      <c r="FT787"/>
      <c r="FU787"/>
      <c r="FV787"/>
      <c r="FW787"/>
      <c r="FX787"/>
      <c r="FY787"/>
      <c r="FZ787"/>
      <c r="GA787"/>
      <c r="GB787"/>
      <c r="GC787"/>
      <c r="GD787"/>
      <c r="GE787"/>
      <c r="GF787"/>
      <c r="GG787"/>
      <c r="GH787"/>
      <c r="GI787"/>
      <c r="GJ787"/>
      <c r="GK787"/>
      <c r="GL787"/>
      <c r="GM787"/>
      <c r="GN787"/>
      <c r="GO787"/>
      <c r="GP787"/>
      <c r="GQ787"/>
      <c r="GR787"/>
      <c r="GS787"/>
      <c r="GT787"/>
      <c r="GU787"/>
      <c r="GV787"/>
      <c r="GW787"/>
      <c r="GX787"/>
      <c r="GY787"/>
      <c r="GZ787"/>
      <c r="HA787"/>
      <c r="HB787"/>
      <c r="HC787"/>
      <c r="HD787"/>
      <c r="HE787"/>
      <c r="HF787"/>
      <c r="HG787"/>
      <c r="HH787"/>
      <c r="HI787"/>
      <c r="HJ787"/>
      <c r="HK787"/>
      <c r="HL787"/>
      <c r="HM787"/>
      <c r="HN787"/>
      <c r="HO787"/>
      <c r="HP787"/>
      <c r="HQ787"/>
      <c r="HR787"/>
      <c r="HS787"/>
      <c r="HT787"/>
      <c r="HU787"/>
      <c r="HV787"/>
      <c r="HW787"/>
      <c r="HX787"/>
      <c r="HY787"/>
      <c r="HZ787"/>
      <c r="IA787"/>
      <c r="IB787"/>
      <c r="IC787"/>
      <c r="ID787"/>
      <c r="IE787"/>
      <c r="IF787"/>
      <c r="IG787"/>
      <c r="IH787"/>
      <c r="II787"/>
      <c r="IJ787"/>
    </row>
    <row r="788" spans="1:244" ht="12.75" customHeight="1" x14ac:dyDescent="0.2">
      <c r="A788" s="2458">
        <v>3122</v>
      </c>
      <c r="B788" s="2065" t="s">
        <v>1902</v>
      </c>
      <c r="C788" s="2067">
        <v>450000</v>
      </c>
      <c r="D788" s="2067">
        <f>450000+500000</f>
        <v>950000</v>
      </c>
      <c r="E788" s="2066">
        <v>730349.2</v>
      </c>
      <c r="F788" s="1809"/>
      <c r="G788" s="1663">
        <f t="shared" si="118"/>
        <v>162.29982222222222</v>
      </c>
      <c r="H788" s="1663">
        <f t="shared" si="120"/>
        <v>76.878863157894727</v>
      </c>
      <c r="I788" s="1662">
        <f t="shared" si="119"/>
        <v>211.62845981833689</v>
      </c>
      <c r="J788" s="88">
        <v>345109.16</v>
      </c>
      <c r="K788" s="2"/>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c r="EX788"/>
      <c r="EY788"/>
      <c r="EZ788"/>
      <c r="FA788"/>
      <c r="FB788"/>
      <c r="FC788"/>
      <c r="FD788"/>
      <c r="FE788"/>
      <c r="FF788"/>
      <c r="FG788"/>
      <c r="FH788"/>
      <c r="FI788"/>
      <c r="FJ788"/>
      <c r="FK788"/>
      <c r="FL788"/>
      <c r="FM788"/>
      <c r="FN788"/>
      <c r="FO788"/>
      <c r="FP788"/>
      <c r="FQ788"/>
      <c r="FR788"/>
      <c r="FS788"/>
      <c r="FT788"/>
      <c r="FU788"/>
      <c r="FV788"/>
      <c r="FW788"/>
      <c r="FX788"/>
      <c r="FY788"/>
      <c r="FZ788"/>
      <c r="GA788"/>
      <c r="GB788"/>
      <c r="GC788"/>
      <c r="GD788"/>
      <c r="GE788"/>
      <c r="GF788"/>
      <c r="GG788"/>
      <c r="GH788"/>
      <c r="GI788"/>
      <c r="GJ788"/>
      <c r="GK788"/>
      <c r="GL788"/>
      <c r="GM788"/>
      <c r="GN788"/>
      <c r="GO788"/>
      <c r="GP788"/>
      <c r="GQ788"/>
      <c r="GR788"/>
      <c r="GS788"/>
      <c r="GT788"/>
      <c r="GU788"/>
      <c r="GV788"/>
      <c r="GW788"/>
      <c r="GX788"/>
      <c r="GY788"/>
      <c r="GZ788"/>
      <c r="HA788"/>
      <c r="HB788"/>
      <c r="HC788"/>
      <c r="HD788"/>
      <c r="HE788"/>
      <c r="HF788"/>
      <c r="HG788"/>
      <c r="HH788"/>
      <c r="HI788"/>
      <c r="HJ788"/>
      <c r="HK788"/>
      <c r="HL788"/>
      <c r="HM788"/>
      <c r="HN788"/>
      <c r="HO788"/>
      <c r="HP788"/>
      <c r="HQ788"/>
      <c r="HR788"/>
      <c r="HS788"/>
      <c r="HT788"/>
      <c r="HU788"/>
      <c r="HV788"/>
      <c r="HW788"/>
      <c r="HX788"/>
      <c r="HY788"/>
      <c r="HZ788"/>
      <c r="IA788"/>
      <c r="IB788"/>
      <c r="IC788"/>
      <c r="ID788"/>
      <c r="IE788"/>
      <c r="IF788"/>
      <c r="IG788"/>
      <c r="IH788"/>
      <c r="II788"/>
      <c r="IJ788"/>
    </row>
    <row r="789" spans="1:244" ht="12.75" customHeight="1" x14ac:dyDescent="0.2">
      <c r="A789" s="2391">
        <v>3412</v>
      </c>
      <c r="B789" s="2069" t="s">
        <v>805</v>
      </c>
      <c r="C789" s="2070">
        <f>C790+C803</f>
        <v>52960000</v>
      </c>
      <c r="D789" s="2070">
        <f>D790+D803</f>
        <v>53962566.329999998</v>
      </c>
      <c r="E789" s="2070">
        <v>53084890.530000001</v>
      </c>
      <c r="F789" s="1077">
        <f>SUM(E790,E803)</f>
        <v>53084890.530000001</v>
      </c>
      <c r="G789" s="1663">
        <f t="shared" si="118"/>
        <v>100.23582048716013</v>
      </c>
      <c r="H789" s="1663">
        <f t="shared" si="120"/>
        <v>98.373546960993835</v>
      </c>
      <c r="I789" s="1662">
        <f t="shared" si="119"/>
        <v>104.52558730023212</v>
      </c>
      <c r="J789" s="88">
        <v>50786503</v>
      </c>
      <c r="K789" s="2"/>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c r="EX789"/>
      <c r="EY789"/>
      <c r="EZ789"/>
      <c r="FA789"/>
      <c r="FB789"/>
      <c r="FC789"/>
      <c r="FD789"/>
      <c r="FE789"/>
      <c r="FF789"/>
      <c r="FG789"/>
      <c r="FH789"/>
      <c r="FI789"/>
      <c r="FJ789"/>
      <c r="FK789"/>
      <c r="FL789"/>
      <c r="FM789"/>
      <c r="FN789"/>
      <c r="FO789"/>
      <c r="FP789"/>
      <c r="FQ789"/>
      <c r="FR789"/>
      <c r="FS789"/>
      <c r="FT789"/>
      <c r="FU789"/>
      <c r="FV789"/>
      <c r="FW789"/>
      <c r="FX789"/>
      <c r="FY789"/>
      <c r="FZ789"/>
      <c r="GA789"/>
      <c r="GB789"/>
      <c r="GC789"/>
      <c r="GD789"/>
      <c r="GE789"/>
      <c r="GF789"/>
      <c r="GG789"/>
      <c r="GH789"/>
      <c r="GI789"/>
      <c r="GJ789"/>
      <c r="GK789"/>
      <c r="GL789"/>
      <c r="GM789"/>
      <c r="GN789"/>
      <c r="GO789"/>
      <c r="GP789"/>
      <c r="GQ789"/>
      <c r="GR789"/>
      <c r="GS789"/>
      <c r="GT789"/>
      <c r="GU789"/>
      <c r="GV789"/>
      <c r="GW789"/>
      <c r="GX789"/>
      <c r="GY789"/>
      <c r="GZ789"/>
      <c r="HA789"/>
      <c r="HB789"/>
      <c r="HC789"/>
      <c r="HD789"/>
      <c r="HE789"/>
      <c r="HF789"/>
      <c r="HG789"/>
      <c r="HH789"/>
      <c r="HI789"/>
      <c r="HJ789"/>
      <c r="HK789"/>
      <c r="HL789"/>
      <c r="HM789"/>
      <c r="HN789"/>
      <c r="HO789"/>
      <c r="HP789"/>
      <c r="HQ789"/>
      <c r="HR789"/>
      <c r="HS789"/>
      <c r="HT789"/>
      <c r="HU789"/>
      <c r="HV789"/>
      <c r="HW789"/>
      <c r="HX789"/>
      <c r="HY789"/>
      <c r="HZ789"/>
      <c r="IA789"/>
      <c r="IB789"/>
      <c r="IC789"/>
      <c r="ID789"/>
      <c r="IE789"/>
      <c r="IF789"/>
      <c r="IG789"/>
      <c r="IH789"/>
      <c r="II789"/>
      <c r="IJ789"/>
    </row>
    <row r="790" spans="1:244" ht="12.75" customHeight="1" x14ac:dyDescent="0.2">
      <c r="A790" s="2391"/>
      <c r="B790" s="2071" t="s">
        <v>1903</v>
      </c>
      <c r="C790" s="2070">
        <f>C791+C796+C799</f>
        <v>37650000</v>
      </c>
      <c r="D790" s="2070">
        <f>D791+D796+D799</f>
        <v>37650000</v>
      </c>
      <c r="E790" s="2070">
        <v>36957612.240000002</v>
      </c>
      <c r="F790" s="1077">
        <f>SUM(E791,E796,E799)</f>
        <v>36957612.239999995</v>
      </c>
      <c r="G790" s="1663">
        <f t="shared" si="118"/>
        <v>98.160988685258971</v>
      </c>
      <c r="H790" s="1663">
        <f t="shared" si="120"/>
        <v>98.160988685258971</v>
      </c>
      <c r="I790" s="1662">
        <f t="shared" si="119"/>
        <v>105.13239754902798</v>
      </c>
      <c r="J790" s="88">
        <v>35153400</v>
      </c>
      <c r="K790" s="2"/>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c r="EX790"/>
      <c r="EY790"/>
      <c r="EZ790"/>
      <c r="FA790"/>
      <c r="FB790"/>
      <c r="FC790"/>
      <c r="FD790"/>
      <c r="FE790"/>
      <c r="FF790"/>
      <c r="FG790"/>
      <c r="FH790"/>
      <c r="FI790"/>
      <c r="FJ790"/>
      <c r="FK790"/>
      <c r="FL790"/>
      <c r="FM790"/>
      <c r="FN790"/>
      <c r="FO790"/>
      <c r="FP790"/>
      <c r="FQ790"/>
      <c r="FR790"/>
      <c r="FS790"/>
      <c r="FT790"/>
      <c r="FU790"/>
      <c r="FV790"/>
      <c r="FW790"/>
      <c r="FX790"/>
      <c r="FY790"/>
      <c r="FZ790"/>
      <c r="GA790"/>
      <c r="GB790"/>
      <c r="GC790"/>
      <c r="GD790"/>
      <c r="GE790"/>
      <c r="GF790"/>
      <c r="GG790"/>
      <c r="GH790"/>
      <c r="GI790"/>
      <c r="GJ790"/>
      <c r="GK790"/>
      <c r="GL790"/>
      <c r="GM790"/>
      <c r="GN790"/>
      <c r="GO790"/>
      <c r="GP790"/>
      <c r="GQ790"/>
      <c r="GR790"/>
      <c r="GS790"/>
      <c r="GT790"/>
      <c r="GU790"/>
      <c r="GV790"/>
      <c r="GW790"/>
      <c r="GX790"/>
      <c r="GY790"/>
      <c r="GZ790"/>
      <c r="HA790"/>
      <c r="HB790"/>
      <c r="HC790"/>
      <c r="HD790"/>
      <c r="HE790"/>
      <c r="HF790"/>
      <c r="HG790"/>
      <c r="HH790"/>
      <c r="HI790"/>
      <c r="HJ790"/>
      <c r="HK790"/>
      <c r="HL790"/>
      <c r="HM790"/>
      <c r="HN790"/>
      <c r="HO790"/>
      <c r="HP790"/>
      <c r="HQ790"/>
      <c r="HR790"/>
      <c r="HS790"/>
      <c r="HT790"/>
      <c r="HU790"/>
      <c r="HV790"/>
      <c r="HW790"/>
      <c r="HX790"/>
      <c r="HY790"/>
      <c r="HZ790"/>
      <c r="IA790"/>
      <c r="IB790"/>
      <c r="IC790"/>
      <c r="ID790"/>
      <c r="IE790"/>
      <c r="IF790"/>
      <c r="IG790"/>
      <c r="IH790"/>
      <c r="II790"/>
      <c r="IJ790"/>
    </row>
    <row r="791" spans="1:244" ht="12.75" customHeight="1" x14ac:dyDescent="0.2">
      <c r="A791" s="2391"/>
      <c r="B791" s="2072" t="s">
        <v>807</v>
      </c>
      <c r="C791" s="2073">
        <f>SUM(C792:C795)</f>
        <v>0</v>
      </c>
      <c r="D791" s="2073">
        <f>SUM(D792:D795)</f>
        <v>1191089.3</v>
      </c>
      <c r="E791" s="2073">
        <v>1189489.3</v>
      </c>
      <c r="F791" s="2073">
        <f>SUM(E792:E795)</f>
        <v>1189489.3</v>
      </c>
      <c r="G791" s="2459">
        <v>0</v>
      </c>
      <c r="H791" s="2459">
        <f t="shared" si="120"/>
        <v>99.86566918198325</v>
      </c>
      <c r="I791" s="2460">
        <f t="shared" si="119"/>
        <v>140.96377903411866</v>
      </c>
      <c r="J791" s="88">
        <v>843826.2</v>
      </c>
      <c r="K791" s="2"/>
      <c r="L791"/>
      <c r="M791"/>
      <c r="N791"/>
      <c r="O791"/>
      <c r="P791"/>
      <c r="Q791"/>
      <c r="R791"/>
      <c r="S791"/>
      <c r="T791"/>
      <c r="U791"/>
      <c r="V791"/>
      <c r="W791"/>
      <c r="X791"/>
      <c r="Y791"/>
      <c r="Z791"/>
      <c r="AA791"/>
      <c r="AB791"/>
      <c r="AC791"/>
      <c r="AD791"/>
      <c r="AE791"/>
      <c r="AF791"/>
      <c r="AG791"/>
      <c r="AH791"/>
      <c r="AI791"/>
      <c r="AJ791"/>
      <c r="AK791"/>
      <c r="AL791"/>
      <c r="AM791"/>
      <c r="AN791"/>
      <c r="AO791"/>
      <c r="AP791"/>
      <c r="AQ791"/>
      <c r="AR791"/>
      <c r="AS791"/>
      <c r="AT791"/>
      <c r="AU791"/>
      <c r="AV791"/>
      <c r="AW791"/>
      <c r="AX791"/>
      <c r="AY791"/>
      <c r="AZ791"/>
      <c r="BA791"/>
      <c r="BB791"/>
      <c r="BC791"/>
      <c r="BD791"/>
      <c r="BE791"/>
      <c r="BF791"/>
      <c r="BG791"/>
      <c r="BH791"/>
      <c r="BI791"/>
      <c r="BJ791"/>
      <c r="BK791"/>
      <c r="BL791"/>
      <c r="BM791"/>
      <c r="BN791"/>
      <c r="BO791"/>
      <c r="BP791"/>
      <c r="BQ791"/>
      <c r="BR791"/>
      <c r="BS791"/>
      <c r="BT791"/>
      <c r="BU791"/>
      <c r="BV791"/>
      <c r="BW791"/>
      <c r="BX791"/>
      <c r="BY791"/>
      <c r="BZ791"/>
      <c r="CA791"/>
      <c r="CB791"/>
      <c r="CC791"/>
      <c r="CD791"/>
      <c r="CE791"/>
      <c r="CF791"/>
      <c r="CG791"/>
      <c r="CH791"/>
      <c r="CI791"/>
      <c r="CJ791"/>
      <c r="CK791"/>
      <c r="CL791"/>
      <c r="CM791"/>
      <c r="CN791"/>
      <c r="CO791"/>
      <c r="CP791"/>
      <c r="CQ791"/>
      <c r="CR791"/>
      <c r="CS791"/>
      <c r="CT791"/>
      <c r="CU791"/>
      <c r="CV791"/>
      <c r="CW791"/>
      <c r="CX791"/>
      <c r="CY791"/>
      <c r="CZ791"/>
      <c r="DA791"/>
      <c r="DB791"/>
      <c r="DC791"/>
      <c r="DD791"/>
      <c r="DE791"/>
      <c r="DF791"/>
      <c r="DG791"/>
      <c r="DH791"/>
      <c r="DI791"/>
      <c r="DJ791"/>
      <c r="DK791"/>
      <c r="DL791"/>
      <c r="DM791"/>
      <c r="DN791"/>
      <c r="DO791"/>
      <c r="DP791"/>
      <c r="DQ791"/>
      <c r="DR791"/>
      <c r="DS791"/>
      <c r="DT791"/>
      <c r="DU791"/>
      <c r="DV791"/>
      <c r="DW791"/>
      <c r="DX791"/>
      <c r="DY791"/>
      <c r="DZ791"/>
      <c r="EA791"/>
      <c r="EB791"/>
      <c r="EC791"/>
      <c r="ED791"/>
      <c r="EE791"/>
      <c r="EF791"/>
      <c r="EG791"/>
      <c r="EH791"/>
      <c r="EI791"/>
      <c r="EJ791"/>
      <c r="EK791"/>
      <c r="EL791"/>
      <c r="EM791"/>
      <c r="EN791"/>
      <c r="EO791"/>
      <c r="EP791"/>
      <c r="EQ791"/>
      <c r="ER791"/>
      <c r="ES791"/>
      <c r="ET791"/>
      <c r="EU791"/>
      <c r="EV791"/>
      <c r="EW791"/>
      <c r="EX791"/>
      <c r="EY791"/>
      <c r="EZ791"/>
      <c r="FA791"/>
      <c r="FB791"/>
      <c r="FC791"/>
      <c r="FD791"/>
      <c r="FE791"/>
      <c r="FF791"/>
      <c r="FG791"/>
      <c r="FH791"/>
      <c r="FI791"/>
      <c r="FJ791"/>
      <c r="FK791"/>
      <c r="FL791"/>
      <c r="FM791"/>
      <c r="FN791"/>
      <c r="FO791"/>
      <c r="FP791"/>
      <c r="FQ791"/>
      <c r="FR791"/>
      <c r="FS791"/>
      <c r="FT791"/>
      <c r="FU791"/>
      <c r="FV791"/>
      <c r="FW791"/>
      <c r="FX791"/>
      <c r="FY791"/>
      <c r="FZ791"/>
      <c r="GA791"/>
      <c r="GB791"/>
      <c r="GC791"/>
      <c r="GD791"/>
      <c r="GE791"/>
      <c r="GF791"/>
      <c r="GG791"/>
      <c r="GH791"/>
      <c r="GI791"/>
      <c r="GJ791"/>
      <c r="GK791"/>
      <c r="GL791"/>
      <c r="GM791"/>
      <c r="GN791"/>
      <c r="GO791"/>
      <c r="GP791"/>
      <c r="GQ791"/>
      <c r="GR791"/>
      <c r="GS791"/>
      <c r="GT791"/>
      <c r="GU791"/>
      <c r="GV791"/>
      <c r="GW791"/>
      <c r="GX791"/>
      <c r="GY791"/>
      <c r="GZ791"/>
      <c r="HA791"/>
      <c r="HB791"/>
      <c r="HC791"/>
      <c r="HD791"/>
      <c r="HE791"/>
      <c r="HF791"/>
      <c r="HG791"/>
      <c r="HH791"/>
      <c r="HI791"/>
      <c r="HJ791"/>
      <c r="HK791"/>
      <c r="HL791"/>
      <c r="HM791"/>
      <c r="HN791"/>
      <c r="HO791"/>
      <c r="HP791"/>
      <c r="HQ791"/>
      <c r="HR791"/>
      <c r="HS791"/>
      <c r="HT791"/>
      <c r="HU791"/>
      <c r="HV791"/>
      <c r="HW791"/>
      <c r="HX791"/>
      <c r="HY791"/>
      <c r="HZ791"/>
      <c r="IA791"/>
      <c r="IB791"/>
      <c r="IC791"/>
      <c r="ID791"/>
      <c r="IE791"/>
      <c r="IF791"/>
      <c r="IG791"/>
      <c r="IH791"/>
      <c r="II791"/>
      <c r="IJ791"/>
    </row>
    <row r="792" spans="1:244" ht="12.75" customHeight="1" x14ac:dyDescent="0.2">
      <c r="A792" s="2391"/>
      <c r="B792" s="2074" t="s">
        <v>2949</v>
      </c>
      <c r="C792" s="2075">
        <v>0</v>
      </c>
      <c r="D792" s="2075">
        <v>302065.3</v>
      </c>
      <c r="E792" s="2075">
        <v>302065.3</v>
      </c>
      <c r="F792" s="2075"/>
      <c r="G792" s="2200">
        <v>0</v>
      </c>
      <c r="H792" s="2200">
        <f t="shared" si="120"/>
        <v>100</v>
      </c>
      <c r="I792" s="2201">
        <v>0</v>
      </c>
      <c r="J792" s="88">
        <v>0</v>
      </c>
      <c r="K792" s="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c r="EX792"/>
      <c r="EY792"/>
      <c r="EZ792"/>
      <c r="FA792"/>
      <c r="FB792"/>
      <c r="FC792"/>
      <c r="FD792"/>
      <c r="FE792"/>
      <c r="FF792"/>
      <c r="FG792"/>
      <c r="FH792"/>
      <c r="FI792"/>
      <c r="FJ792"/>
      <c r="FK792"/>
      <c r="FL792"/>
      <c r="FM792"/>
      <c r="FN792"/>
      <c r="FO792"/>
      <c r="FP792"/>
      <c r="FQ792"/>
      <c r="FR792"/>
      <c r="FS792"/>
      <c r="FT792"/>
      <c r="FU792"/>
      <c r="FV792"/>
      <c r="FW792"/>
      <c r="FX792"/>
      <c r="FY792"/>
      <c r="FZ792"/>
      <c r="GA792"/>
      <c r="GB792"/>
      <c r="GC792"/>
      <c r="GD792"/>
      <c r="GE792"/>
      <c r="GF792"/>
      <c r="GG792"/>
      <c r="GH792"/>
      <c r="GI792"/>
      <c r="GJ792"/>
      <c r="GK792"/>
      <c r="GL792"/>
      <c r="GM792"/>
      <c r="GN792"/>
      <c r="GO792"/>
      <c r="GP792"/>
      <c r="GQ792"/>
      <c r="GR792"/>
      <c r="GS792"/>
      <c r="GT792"/>
      <c r="GU792"/>
      <c r="GV792"/>
      <c r="GW792"/>
      <c r="GX792"/>
      <c r="GY792"/>
      <c r="GZ792"/>
      <c r="HA792"/>
      <c r="HB792"/>
      <c r="HC792"/>
      <c r="HD792"/>
      <c r="HE792"/>
      <c r="HF792"/>
      <c r="HG792"/>
      <c r="HH792"/>
      <c r="HI792"/>
      <c r="HJ792"/>
      <c r="HK792"/>
      <c r="HL792"/>
      <c r="HM792"/>
      <c r="HN792"/>
      <c r="HO792"/>
      <c r="HP792"/>
      <c r="HQ792"/>
      <c r="HR792"/>
      <c r="HS792"/>
      <c r="HT792"/>
      <c r="HU792"/>
      <c r="HV792"/>
      <c r="HW792"/>
      <c r="HX792"/>
      <c r="HY792"/>
      <c r="HZ792"/>
      <c r="IA792"/>
      <c r="IB792"/>
      <c r="IC792"/>
      <c r="ID792"/>
      <c r="IE792"/>
      <c r="IF792"/>
      <c r="IG792"/>
      <c r="IH792"/>
      <c r="II792"/>
      <c r="IJ792"/>
    </row>
    <row r="793" spans="1:244" ht="12.75" customHeight="1" x14ac:dyDescent="0.2">
      <c r="A793" s="2391"/>
      <c r="B793" s="2074" t="s">
        <v>2950</v>
      </c>
      <c r="C793" s="2075">
        <v>0</v>
      </c>
      <c r="D793" s="2075">
        <v>798600</v>
      </c>
      <c r="E793" s="2075">
        <v>798600</v>
      </c>
      <c r="F793" s="2075"/>
      <c r="G793" s="2200">
        <v>0</v>
      </c>
      <c r="H793" s="2200">
        <f t="shared" si="120"/>
        <v>100</v>
      </c>
      <c r="I793" s="2201">
        <v>0</v>
      </c>
      <c r="J793" s="88">
        <v>0</v>
      </c>
      <c r="K793" s="2"/>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c r="EX793"/>
      <c r="EY793"/>
      <c r="EZ793"/>
      <c r="FA793"/>
      <c r="FB793"/>
      <c r="FC793"/>
      <c r="FD793"/>
      <c r="FE793"/>
      <c r="FF793"/>
      <c r="FG793"/>
      <c r="FH793"/>
      <c r="FI793"/>
      <c r="FJ793"/>
      <c r="FK793"/>
      <c r="FL793"/>
      <c r="FM793"/>
      <c r="FN793"/>
      <c r="FO793"/>
      <c r="FP793"/>
      <c r="FQ793"/>
      <c r="FR793"/>
      <c r="FS793"/>
      <c r="FT793"/>
      <c r="FU793"/>
      <c r="FV793"/>
      <c r="FW793"/>
      <c r="FX793"/>
      <c r="FY793"/>
      <c r="FZ793"/>
      <c r="GA793"/>
      <c r="GB793"/>
      <c r="GC793"/>
      <c r="GD793"/>
      <c r="GE793"/>
      <c r="GF793"/>
      <c r="GG793"/>
      <c r="GH793"/>
      <c r="GI793"/>
      <c r="GJ793"/>
      <c r="GK793"/>
      <c r="GL793"/>
      <c r="GM793"/>
      <c r="GN793"/>
      <c r="GO793"/>
      <c r="GP793"/>
      <c r="GQ793"/>
      <c r="GR793"/>
      <c r="GS793"/>
      <c r="GT793"/>
      <c r="GU793"/>
      <c r="GV793"/>
      <c r="GW793"/>
      <c r="GX793"/>
      <c r="GY793"/>
      <c r="GZ793"/>
      <c r="HA793"/>
      <c r="HB793"/>
      <c r="HC793"/>
      <c r="HD793"/>
      <c r="HE793"/>
      <c r="HF793"/>
      <c r="HG793"/>
      <c r="HH793"/>
      <c r="HI793"/>
      <c r="HJ793"/>
      <c r="HK793"/>
      <c r="HL793"/>
      <c r="HM793"/>
      <c r="HN793"/>
      <c r="HO793"/>
      <c r="HP793"/>
      <c r="HQ793"/>
      <c r="HR793"/>
      <c r="HS793"/>
      <c r="HT793"/>
      <c r="HU793"/>
      <c r="HV793"/>
      <c r="HW793"/>
      <c r="HX793"/>
      <c r="HY793"/>
      <c r="HZ793"/>
      <c r="IA793"/>
      <c r="IB793"/>
      <c r="IC793"/>
      <c r="ID793"/>
      <c r="IE793"/>
      <c r="IF793"/>
      <c r="IG793"/>
      <c r="IH793"/>
      <c r="II793"/>
      <c r="IJ793"/>
    </row>
    <row r="794" spans="1:244" ht="12.75" customHeight="1" x14ac:dyDescent="0.2">
      <c r="A794" s="2391"/>
      <c r="B794" s="2074" t="s">
        <v>3161</v>
      </c>
      <c r="C794" s="2075">
        <v>0</v>
      </c>
      <c r="D794" s="2075">
        <v>40424</v>
      </c>
      <c r="E794" s="2075">
        <v>40424</v>
      </c>
      <c r="F794" s="2075"/>
      <c r="G794" s="2200">
        <v>0</v>
      </c>
      <c r="H794" s="2200">
        <f t="shared" si="120"/>
        <v>100</v>
      </c>
      <c r="I794" s="2201">
        <v>0</v>
      </c>
      <c r="J794" s="88">
        <v>0</v>
      </c>
      <c r="K794" s="2"/>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c r="EX794"/>
      <c r="EY794"/>
      <c r="EZ794"/>
      <c r="FA794"/>
      <c r="FB794"/>
      <c r="FC794"/>
      <c r="FD794"/>
      <c r="FE794"/>
      <c r="FF794"/>
      <c r="FG794"/>
      <c r="FH794"/>
      <c r="FI794"/>
      <c r="FJ794"/>
      <c r="FK794"/>
      <c r="FL794"/>
      <c r="FM794"/>
      <c r="FN794"/>
      <c r="FO794"/>
      <c r="FP794"/>
      <c r="FQ794"/>
      <c r="FR794"/>
      <c r="FS794"/>
      <c r="FT794"/>
      <c r="FU794"/>
      <c r="FV794"/>
      <c r="FW794"/>
      <c r="FX794"/>
      <c r="FY794"/>
      <c r="FZ794"/>
      <c r="GA794"/>
      <c r="GB794"/>
      <c r="GC794"/>
      <c r="GD794"/>
      <c r="GE794"/>
      <c r="GF794"/>
      <c r="GG794"/>
      <c r="GH794"/>
      <c r="GI794"/>
      <c r="GJ794"/>
      <c r="GK794"/>
      <c r="GL794"/>
      <c r="GM794"/>
      <c r="GN794"/>
      <c r="GO794"/>
      <c r="GP794"/>
      <c r="GQ794"/>
      <c r="GR794"/>
      <c r="GS794"/>
      <c r="GT794"/>
      <c r="GU794"/>
      <c r="GV794"/>
      <c r="GW794"/>
      <c r="GX794"/>
      <c r="GY794"/>
      <c r="GZ794"/>
      <c r="HA794"/>
      <c r="HB794"/>
      <c r="HC794"/>
      <c r="HD794"/>
      <c r="HE794"/>
      <c r="HF794"/>
      <c r="HG794"/>
      <c r="HH794"/>
      <c r="HI794"/>
      <c r="HJ794"/>
      <c r="HK794"/>
      <c r="HL794"/>
      <c r="HM794"/>
      <c r="HN794"/>
      <c r="HO794"/>
      <c r="HP794"/>
      <c r="HQ794"/>
      <c r="HR794"/>
      <c r="HS794"/>
      <c r="HT794"/>
      <c r="HU794"/>
      <c r="HV794"/>
      <c r="HW794"/>
      <c r="HX794"/>
      <c r="HY794"/>
      <c r="HZ794"/>
      <c r="IA794"/>
      <c r="IB794"/>
      <c r="IC794"/>
      <c r="ID794"/>
      <c r="IE794"/>
      <c r="IF794"/>
      <c r="IG794"/>
      <c r="IH794"/>
      <c r="II794"/>
      <c r="IJ794"/>
    </row>
    <row r="795" spans="1:244" ht="12.75" customHeight="1" x14ac:dyDescent="0.2">
      <c r="A795" s="2391"/>
      <c r="B795" s="2074" t="s">
        <v>2951</v>
      </c>
      <c r="C795" s="2075">
        <v>0</v>
      </c>
      <c r="D795" s="2075">
        <v>50000</v>
      </c>
      <c r="E795" s="2075">
        <v>48400</v>
      </c>
      <c r="F795" s="2075"/>
      <c r="G795" s="2200">
        <v>0</v>
      </c>
      <c r="H795" s="2200">
        <f t="shared" si="120"/>
        <v>96.8</v>
      </c>
      <c r="I795" s="2201">
        <v>0</v>
      </c>
      <c r="J795" s="88">
        <v>0</v>
      </c>
      <c r="K795" s="2"/>
      <c r="L795"/>
      <c r="M795"/>
      <c r="N795"/>
      <c r="O795"/>
      <c r="P795"/>
      <c r="Q795"/>
      <c r="R795"/>
      <c r="S795"/>
      <c r="T795"/>
      <c r="U795"/>
      <c r="V795"/>
      <c r="W795"/>
      <c r="X795"/>
      <c r="Y795"/>
      <c r="Z795"/>
      <c r="AA795"/>
      <c r="AB795"/>
      <c r="AC795"/>
      <c r="AD795"/>
      <c r="AE795"/>
      <c r="AF795"/>
      <c r="AG795"/>
      <c r="AH795"/>
      <c r="AI795"/>
      <c r="AJ795"/>
      <c r="AK795"/>
      <c r="AL795"/>
      <c r="AM795"/>
      <c r="AN795"/>
      <c r="AO795"/>
      <c r="AP795"/>
      <c r="AQ795"/>
      <c r="AR795"/>
      <c r="AS795"/>
      <c r="AT795"/>
      <c r="AU795"/>
      <c r="AV795"/>
      <c r="AW795"/>
      <c r="AX795"/>
      <c r="AY795"/>
      <c r="AZ795"/>
      <c r="BA795"/>
      <c r="BB795"/>
      <c r="BC795"/>
      <c r="BD795"/>
      <c r="BE795"/>
      <c r="BF795"/>
      <c r="BG795"/>
      <c r="BH795"/>
      <c r="BI795"/>
      <c r="BJ795"/>
      <c r="BK795"/>
      <c r="BL795"/>
      <c r="BM795"/>
      <c r="BN795"/>
      <c r="BO795"/>
      <c r="BP795"/>
      <c r="BQ795"/>
      <c r="BR795"/>
      <c r="BS795"/>
      <c r="BT795"/>
      <c r="BU795"/>
      <c r="BV795"/>
      <c r="BW795"/>
      <c r="BX795"/>
      <c r="BY795"/>
      <c r="BZ795"/>
      <c r="CA795"/>
      <c r="CB795"/>
      <c r="CC795"/>
      <c r="CD795"/>
      <c r="CE795"/>
      <c r="CF795"/>
      <c r="CG795"/>
      <c r="CH795"/>
      <c r="CI795"/>
      <c r="CJ795"/>
      <c r="CK795"/>
      <c r="CL795"/>
      <c r="CM795"/>
      <c r="CN795"/>
      <c r="CO795"/>
      <c r="CP795"/>
      <c r="CQ795"/>
      <c r="CR795"/>
      <c r="CS795"/>
      <c r="CT795"/>
      <c r="CU795"/>
      <c r="CV795"/>
      <c r="CW795"/>
      <c r="CX795"/>
      <c r="CY795"/>
      <c r="CZ795"/>
      <c r="DA795"/>
      <c r="DB795"/>
      <c r="DC795"/>
      <c r="DD795"/>
      <c r="DE795"/>
      <c r="DF795"/>
      <c r="DG795"/>
      <c r="DH795"/>
      <c r="DI795"/>
      <c r="DJ795"/>
      <c r="DK795"/>
      <c r="DL795"/>
      <c r="DM795"/>
      <c r="DN795"/>
      <c r="DO795"/>
      <c r="DP795"/>
      <c r="DQ795"/>
      <c r="DR795"/>
      <c r="DS795"/>
      <c r="DT795"/>
      <c r="DU795"/>
      <c r="DV795"/>
      <c r="DW795"/>
      <c r="DX795"/>
      <c r="DY795"/>
      <c r="DZ795"/>
      <c r="EA795"/>
      <c r="EB795"/>
      <c r="EC795"/>
      <c r="ED795"/>
      <c r="EE795"/>
      <c r="EF795"/>
      <c r="EG795"/>
      <c r="EH795"/>
      <c r="EI795"/>
      <c r="EJ795"/>
      <c r="EK795"/>
      <c r="EL795"/>
      <c r="EM795"/>
      <c r="EN795"/>
      <c r="EO795"/>
      <c r="EP795"/>
      <c r="EQ795"/>
      <c r="ER795"/>
      <c r="ES795"/>
      <c r="ET795"/>
      <c r="EU795"/>
      <c r="EV795"/>
      <c r="EW795"/>
      <c r="EX795"/>
      <c r="EY795"/>
      <c r="EZ795"/>
      <c r="FA795"/>
      <c r="FB795"/>
      <c r="FC795"/>
      <c r="FD795"/>
      <c r="FE795"/>
      <c r="FF795"/>
      <c r="FG795"/>
      <c r="FH795"/>
      <c r="FI795"/>
      <c r="FJ795"/>
      <c r="FK795"/>
      <c r="FL795"/>
      <c r="FM795"/>
      <c r="FN795"/>
      <c r="FO795"/>
      <c r="FP795"/>
      <c r="FQ795"/>
      <c r="FR795"/>
      <c r="FS795"/>
      <c r="FT795"/>
      <c r="FU795"/>
      <c r="FV795"/>
      <c r="FW795"/>
      <c r="FX795"/>
      <c r="FY795"/>
      <c r="FZ795"/>
      <c r="GA795"/>
      <c r="GB795"/>
      <c r="GC795"/>
      <c r="GD795"/>
      <c r="GE795"/>
      <c r="GF795"/>
      <c r="GG795"/>
      <c r="GH795"/>
      <c r="GI795"/>
      <c r="GJ795"/>
      <c r="GK795"/>
      <c r="GL795"/>
      <c r="GM795"/>
      <c r="GN795"/>
      <c r="GO795"/>
      <c r="GP795"/>
      <c r="GQ795"/>
      <c r="GR795"/>
      <c r="GS795"/>
      <c r="GT795"/>
      <c r="GU795"/>
      <c r="GV795"/>
      <c r="GW795"/>
      <c r="GX795"/>
      <c r="GY795"/>
      <c r="GZ795"/>
      <c r="HA795"/>
      <c r="HB795"/>
      <c r="HC795"/>
      <c r="HD795"/>
      <c r="HE795"/>
      <c r="HF795"/>
      <c r="HG795"/>
      <c r="HH795"/>
      <c r="HI795"/>
      <c r="HJ795"/>
      <c r="HK795"/>
      <c r="HL795"/>
      <c r="HM795"/>
      <c r="HN795"/>
      <c r="HO795"/>
      <c r="HP795"/>
      <c r="HQ795"/>
      <c r="HR795"/>
      <c r="HS795"/>
      <c r="HT795"/>
      <c r="HU795"/>
      <c r="HV795"/>
      <c r="HW795"/>
      <c r="HX795"/>
      <c r="HY795"/>
      <c r="HZ795"/>
      <c r="IA795"/>
      <c r="IB795"/>
      <c r="IC795"/>
      <c r="ID795"/>
      <c r="IE795"/>
      <c r="IF795"/>
      <c r="IG795"/>
      <c r="IH795"/>
      <c r="II795"/>
      <c r="IJ795"/>
    </row>
    <row r="796" spans="1:244" x14ac:dyDescent="0.2">
      <c r="A796" s="2391"/>
      <c r="B796" s="2076" t="s">
        <v>829</v>
      </c>
      <c r="C796" s="2077">
        <f>SUM(C797:C798)</f>
        <v>750000</v>
      </c>
      <c r="D796" s="2077">
        <f>SUM(D797:D798)</f>
        <v>700000</v>
      </c>
      <c r="E796" s="2077">
        <v>0</v>
      </c>
      <c r="F796" s="2077">
        <f>SUM(E797:E798)</f>
        <v>0</v>
      </c>
      <c r="G796" s="2459">
        <f t="shared" si="118"/>
        <v>0</v>
      </c>
      <c r="H796" s="2459">
        <f t="shared" si="120"/>
        <v>0</v>
      </c>
      <c r="I796" s="2460">
        <v>0</v>
      </c>
      <c r="J796" s="88">
        <v>0</v>
      </c>
      <c r="K796" s="2"/>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c r="EX796"/>
      <c r="EY796"/>
      <c r="EZ796"/>
      <c r="FA796"/>
      <c r="FB796"/>
      <c r="FC796"/>
      <c r="FD796"/>
      <c r="FE796"/>
      <c r="FF796"/>
      <c r="FG796"/>
      <c r="FH796"/>
      <c r="FI796"/>
      <c r="FJ796"/>
      <c r="FK796"/>
      <c r="FL796"/>
      <c r="FM796"/>
      <c r="FN796"/>
      <c r="FO796"/>
      <c r="FP796"/>
      <c r="FQ796"/>
      <c r="FR796"/>
      <c r="FS796"/>
      <c r="FT796"/>
      <c r="FU796"/>
      <c r="FV796"/>
      <c r="FW796"/>
      <c r="FX796"/>
      <c r="FY796"/>
      <c r="FZ796"/>
      <c r="GA796"/>
      <c r="GB796"/>
      <c r="GC796"/>
      <c r="GD796"/>
      <c r="GE796"/>
      <c r="GF796"/>
      <c r="GG796"/>
      <c r="GH796"/>
      <c r="GI796"/>
      <c r="GJ796"/>
      <c r="GK796"/>
      <c r="GL796"/>
      <c r="GM796"/>
      <c r="GN796"/>
      <c r="GO796"/>
      <c r="GP796"/>
      <c r="GQ796"/>
      <c r="GR796"/>
      <c r="GS796"/>
      <c r="GT796"/>
      <c r="GU796"/>
      <c r="GV796"/>
      <c r="GW796"/>
      <c r="GX796"/>
      <c r="GY796"/>
      <c r="GZ796"/>
      <c r="HA796"/>
      <c r="HB796"/>
      <c r="HC796"/>
      <c r="HD796"/>
      <c r="HE796"/>
      <c r="HF796"/>
      <c r="HG796"/>
      <c r="HH796"/>
      <c r="HI796"/>
      <c r="HJ796"/>
      <c r="HK796"/>
      <c r="HL796"/>
      <c r="HM796"/>
      <c r="HN796"/>
      <c r="HO796"/>
      <c r="HP796"/>
      <c r="HQ796"/>
      <c r="HR796"/>
      <c r="HS796"/>
      <c r="HT796"/>
      <c r="HU796"/>
      <c r="HV796"/>
      <c r="HW796"/>
      <c r="HX796"/>
      <c r="HY796"/>
      <c r="HZ796"/>
      <c r="IA796"/>
      <c r="IB796"/>
      <c r="IC796"/>
      <c r="ID796"/>
      <c r="IE796"/>
      <c r="IF796"/>
      <c r="IG796"/>
      <c r="IH796"/>
      <c r="II796"/>
      <c r="IJ796"/>
    </row>
    <row r="797" spans="1:244" s="1417" customFormat="1" ht="12.75" customHeight="1" x14ac:dyDescent="0.2">
      <c r="A797" s="2391"/>
      <c r="B797" s="2078" t="s">
        <v>2541</v>
      </c>
      <c r="C797" s="2075">
        <v>600000</v>
      </c>
      <c r="D797" s="2075">
        <v>600000</v>
      </c>
      <c r="E797" s="2075">
        <v>0</v>
      </c>
      <c r="F797" s="2075"/>
      <c r="G797" s="2200">
        <f t="shared" si="118"/>
        <v>0</v>
      </c>
      <c r="H797" s="2200">
        <f t="shared" si="120"/>
        <v>0</v>
      </c>
      <c r="I797" s="2201">
        <v>0</v>
      </c>
      <c r="J797" s="2461">
        <v>0</v>
      </c>
    </row>
    <row r="798" spans="1:244" ht="12.75" customHeight="1" x14ac:dyDescent="0.2">
      <c r="A798" s="2391"/>
      <c r="B798" s="2080" t="s">
        <v>2542</v>
      </c>
      <c r="C798" s="2075">
        <v>150000</v>
      </c>
      <c r="D798" s="2075">
        <f>150000-50000</f>
        <v>100000</v>
      </c>
      <c r="E798" s="2075">
        <v>0</v>
      </c>
      <c r="F798" s="2075"/>
      <c r="G798" s="2200">
        <f t="shared" si="118"/>
        <v>0</v>
      </c>
      <c r="H798" s="2200">
        <f t="shared" si="120"/>
        <v>0</v>
      </c>
      <c r="I798" s="2201">
        <v>0</v>
      </c>
      <c r="J798" s="88">
        <v>0</v>
      </c>
      <c r="K798" s="2"/>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c r="EX798"/>
      <c r="EY798"/>
      <c r="EZ798"/>
      <c r="FA798"/>
      <c r="FB798"/>
      <c r="FC798"/>
      <c r="FD798"/>
      <c r="FE798"/>
      <c r="FF798"/>
      <c r="FG798"/>
      <c r="FH798"/>
      <c r="FI798"/>
      <c r="FJ798"/>
      <c r="FK798"/>
      <c r="FL798"/>
      <c r="FM798"/>
      <c r="FN798"/>
      <c r="FO798"/>
      <c r="FP798"/>
      <c r="FQ798"/>
      <c r="FR798"/>
      <c r="FS798"/>
      <c r="FT798"/>
      <c r="FU798"/>
      <c r="FV798"/>
      <c r="FW798"/>
      <c r="FX798"/>
      <c r="FY798"/>
      <c r="FZ798"/>
      <c r="GA798"/>
      <c r="GB798"/>
      <c r="GC798"/>
      <c r="GD798"/>
      <c r="GE798"/>
      <c r="GF798"/>
      <c r="GG798"/>
      <c r="GH798"/>
      <c r="GI798"/>
      <c r="GJ798"/>
      <c r="GK798"/>
      <c r="GL798"/>
      <c r="GM798"/>
      <c r="GN798"/>
      <c r="GO798"/>
      <c r="GP798"/>
      <c r="GQ798"/>
      <c r="GR798"/>
      <c r="GS798"/>
      <c r="GT798"/>
      <c r="GU798"/>
      <c r="GV798"/>
      <c r="GW798"/>
      <c r="GX798"/>
      <c r="GY798"/>
      <c r="GZ798"/>
      <c r="HA798"/>
      <c r="HB798"/>
      <c r="HC798"/>
      <c r="HD798"/>
      <c r="HE798"/>
      <c r="HF798"/>
      <c r="HG798"/>
      <c r="HH798"/>
      <c r="HI798"/>
      <c r="HJ798"/>
      <c r="HK798"/>
      <c r="HL798"/>
      <c r="HM798"/>
      <c r="HN798"/>
      <c r="HO798"/>
      <c r="HP798"/>
      <c r="HQ798"/>
      <c r="HR798"/>
      <c r="HS798"/>
      <c r="HT798"/>
      <c r="HU798"/>
      <c r="HV798"/>
      <c r="HW798"/>
      <c r="HX798"/>
      <c r="HY798"/>
      <c r="HZ798"/>
      <c r="IA798"/>
      <c r="IB798"/>
      <c r="IC798"/>
      <c r="ID798"/>
      <c r="IE798"/>
      <c r="IF798"/>
      <c r="IG798"/>
      <c r="IH798"/>
      <c r="II798"/>
      <c r="IJ798"/>
    </row>
    <row r="799" spans="1:244" ht="12.75" customHeight="1" x14ac:dyDescent="0.2">
      <c r="A799" s="2391"/>
      <c r="B799" s="2081" t="s">
        <v>819</v>
      </c>
      <c r="C799" s="2082">
        <f>SUM(C800:C802)</f>
        <v>36900000</v>
      </c>
      <c r="D799" s="2082">
        <f>SUM(D800:D802)</f>
        <v>35758910.700000003</v>
      </c>
      <c r="E799" s="2082">
        <v>35768122.939999998</v>
      </c>
      <c r="F799" s="2082">
        <f>SUM(E800:E802)</f>
        <v>35768122.939999998</v>
      </c>
      <c r="G799" s="2459">
        <f t="shared" si="118"/>
        <v>96.932582493224928</v>
      </c>
      <c r="H799" s="2459">
        <f t="shared" si="120"/>
        <v>100.02576208228847</v>
      </c>
      <c r="I799" s="2460">
        <f t="shared" si="119"/>
        <v>104.25114327709895</v>
      </c>
      <c r="J799" s="88">
        <v>34309573.799999997</v>
      </c>
      <c r="K799" s="2"/>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c r="EX799"/>
      <c r="EY799"/>
      <c r="EZ799"/>
      <c r="FA799"/>
      <c r="FB799"/>
      <c r="FC799"/>
      <c r="FD799"/>
      <c r="FE799"/>
      <c r="FF799"/>
      <c r="FG799"/>
      <c r="FH799"/>
      <c r="FI799"/>
      <c r="FJ799"/>
      <c r="FK799"/>
      <c r="FL799"/>
      <c r="FM799"/>
      <c r="FN799"/>
      <c r="FO799"/>
      <c r="FP799"/>
      <c r="FQ799"/>
      <c r="FR799"/>
      <c r="FS799"/>
      <c r="FT799"/>
      <c r="FU799"/>
      <c r="FV799"/>
      <c r="FW799"/>
      <c r="FX799"/>
      <c r="FY799"/>
      <c r="FZ799"/>
      <c r="GA799"/>
      <c r="GB799"/>
      <c r="GC799"/>
      <c r="GD799"/>
      <c r="GE799"/>
      <c r="GF799"/>
      <c r="GG799"/>
      <c r="GH799"/>
      <c r="GI799"/>
      <c r="GJ799"/>
      <c r="GK799"/>
      <c r="GL799"/>
      <c r="GM799"/>
      <c r="GN799"/>
      <c r="GO799"/>
      <c r="GP799"/>
      <c r="GQ799"/>
      <c r="GR799"/>
      <c r="GS799"/>
      <c r="GT799"/>
      <c r="GU799"/>
      <c r="GV799"/>
      <c r="GW799"/>
      <c r="GX799"/>
      <c r="GY799"/>
      <c r="GZ799"/>
      <c r="HA799"/>
      <c r="HB799"/>
      <c r="HC799"/>
      <c r="HD799"/>
      <c r="HE799"/>
      <c r="HF799"/>
      <c r="HG799"/>
      <c r="HH799"/>
      <c r="HI799"/>
      <c r="HJ799"/>
      <c r="HK799"/>
      <c r="HL799"/>
      <c r="HM799"/>
      <c r="HN799"/>
      <c r="HO799"/>
      <c r="HP799"/>
      <c r="HQ799"/>
      <c r="HR799"/>
      <c r="HS799"/>
      <c r="HT799"/>
      <c r="HU799"/>
      <c r="HV799"/>
      <c r="HW799"/>
      <c r="HX799"/>
      <c r="HY799"/>
      <c r="HZ799"/>
      <c r="IA799"/>
      <c r="IB799"/>
      <c r="IC799"/>
      <c r="ID799"/>
      <c r="IE799"/>
      <c r="IF799"/>
      <c r="IG799"/>
      <c r="IH799"/>
      <c r="II799"/>
      <c r="IJ799"/>
    </row>
    <row r="800" spans="1:244" ht="12.75" customHeight="1" x14ac:dyDescent="0.2">
      <c r="A800" s="2391"/>
      <c r="B800" s="2080" t="s">
        <v>2543</v>
      </c>
      <c r="C800" s="2075">
        <v>36900000</v>
      </c>
      <c r="D800" s="2075">
        <f>36900000-312434.9-847352-256165.19-6955-40397</f>
        <v>35436695.910000004</v>
      </c>
      <c r="E800" s="2075">
        <v>35436695.909999996</v>
      </c>
      <c r="F800" s="2075"/>
      <c r="G800" s="2200">
        <f t="shared" si="118"/>
        <v>96.034406260162598</v>
      </c>
      <c r="H800" s="2200">
        <f t="shared" si="120"/>
        <v>99.999999999999972</v>
      </c>
      <c r="I800" s="2201">
        <f t="shared" si="119"/>
        <v>103.53216317880928</v>
      </c>
      <c r="J800" s="88">
        <v>34227717.090000004</v>
      </c>
      <c r="K800" s="2"/>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c r="EX800"/>
      <c r="EY800"/>
      <c r="EZ800"/>
      <c r="FA800"/>
      <c r="FB800"/>
      <c r="FC800"/>
      <c r="FD800"/>
      <c r="FE800"/>
      <c r="FF800"/>
      <c r="FG800"/>
      <c r="FH800"/>
      <c r="FI800"/>
      <c r="FJ800"/>
      <c r="FK800"/>
      <c r="FL800"/>
      <c r="FM800"/>
      <c r="FN800"/>
      <c r="FO800"/>
      <c r="FP800"/>
      <c r="FQ800"/>
      <c r="FR800"/>
      <c r="FS800"/>
      <c r="FT800"/>
      <c r="FU800"/>
      <c r="FV800"/>
      <c r="FW800"/>
      <c r="FX800"/>
      <c r="FY800"/>
      <c r="FZ800"/>
      <c r="GA800"/>
      <c r="GB800"/>
      <c r="GC800"/>
      <c r="GD800"/>
      <c r="GE800"/>
      <c r="GF800"/>
      <c r="GG800"/>
      <c r="GH800"/>
      <c r="GI800"/>
      <c r="GJ800"/>
      <c r="GK800"/>
      <c r="GL800"/>
      <c r="GM800"/>
      <c r="GN800"/>
      <c r="GO800"/>
      <c r="GP800"/>
      <c r="GQ800"/>
      <c r="GR800"/>
      <c r="GS800"/>
      <c r="GT800"/>
      <c r="GU800"/>
      <c r="GV800"/>
      <c r="GW800"/>
      <c r="GX800"/>
      <c r="GY800"/>
      <c r="GZ800"/>
      <c r="HA800"/>
      <c r="HB800"/>
      <c r="HC800"/>
      <c r="HD800"/>
      <c r="HE800"/>
      <c r="HF800"/>
      <c r="HG800"/>
      <c r="HH800"/>
      <c r="HI800"/>
      <c r="HJ800"/>
      <c r="HK800"/>
      <c r="HL800"/>
      <c r="HM800"/>
      <c r="HN800"/>
      <c r="HO800"/>
      <c r="HP800"/>
      <c r="HQ800"/>
      <c r="HR800"/>
      <c r="HS800"/>
      <c r="HT800"/>
      <c r="HU800"/>
      <c r="HV800"/>
      <c r="HW800"/>
      <c r="HX800"/>
      <c r="HY800"/>
      <c r="HZ800"/>
      <c r="IA800"/>
      <c r="IB800"/>
      <c r="IC800"/>
      <c r="ID800"/>
      <c r="IE800"/>
      <c r="IF800"/>
      <c r="IG800"/>
      <c r="IH800"/>
      <c r="II800"/>
      <c r="IJ800"/>
    </row>
    <row r="801" spans="1:244" s="98" customFormat="1" ht="12.75" customHeight="1" x14ac:dyDescent="0.2">
      <c r="A801" s="2391"/>
      <c r="B801" s="2083" t="s">
        <v>3162</v>
      </c>
      <c r="C801" s="2075">
        <v>0</v>
      </c>
      <c r="D801" s="2075">
        <f>10369.6+48752+215741.19+6955+40397</f>
        <v>322214.78999999998</v>
      </c>
      <c r="E801" s="2075">
        <v>322214.78999999998</v>
      </c>
      <c r="F801" s="2075"/>
      <c r="G801" s="2200">
        <v>0</v>
      </c>
      <c r="H801" s="2200">
        <f t="shared" si="120"/>
        <v>100</v>
      </c>
      <c r="I801" s="2201">
        <f t="shared" si="119"/>
        <v>393.63271502116316</v>
      </c>
      <c r="J801" s="88">
        <v>81856.710000000006</v>
      </c>
    </row>
    <row r="802" spans="1:244" s="98" customFormat="1" ht="12.75" customHeight="1" x14ac:dyDescent="0.2">
      <c r="A802" s="2391"/>
      <c r="B802" s="2083" t="s">
        <v>3163</v>
      </c>
      <c r="C802" s="2075">
        <v>0</v>
      </c>
      <c r="D802" s="2075">
        <v>0</v>
      </c>
      <c r="E802" s="2075">
        <v>9212.24</v>
      </c>
      <c r="F802" s="2075"/>
      <c r="G802" s="2200">
        <v>0</v>
      </c>
      <c r="H802" s="2200">
        <v>0</v>
      </c>
      <c r="I802" s="2201">
        <f t="shared" si="119"/>
        <v>11.254104886453414</v>
      </c>
      <c r="J802" s="88">
        <v>81856.710000000006</v>
      </c>
    </row>
    <row r="803" spans="1:244" ht="12.75" customHeight="1" x14ac:dyDescent="0.2">
      <c r="A803" s="2391"/>
      <c r="B803" s="2084" t="s">
        <v>1917</v>
      </c>
      <c r="C803" s="2085">
        <f>C804+C806+C810</f>
        <v>15310000</v>
      </c>
      <c r="D803" s="2085">
        <f>D804+D806+D810</f>
        <v>16312566.33</v>
      </c>
      <c r="E803" s="2085">
        <v>16127278.289999999</v>
      </c>
      <c r="F803" s="2075"/>
      <c r="G803" s="1663">
        <f t="shared" si="118"/>
        <v>105.33819915088176</v>
      </c>
      <c r="H803" s="1663">
        <f t="shared" si="120"/>
        <v>98.864139239334506</v>
      </c>
      <c r="I803" s="1662">
        <f t="shared" si="119"/>
        <v>103.16108254388139</v>
      </c>
      <c r="J803" s="88">
        <v>15633103</v>
      </c>
      <c r="K803" s="2"/>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c r="EX803"/>
      <c r="EY803"/>
      <c r="EZ803"/>
      <c r="FA803"/>
      <c r="FB803"/>
      <c r="FC803"/>
      <c r="FD803"/>
      <c r="FE803"/>
      <c r="FF803"/>
      <c r="FG803"/>
      <c r="FH803"/>
      <c r="FI803"/>
      <c r="FJ803"/>
      <c r="FK803"/>
      <c r="FL803"/>
      <c r="FM803"/>
      <c r="FN803"/>
      <c r="FO803"/>
      <c r="FP803"/>
      <c r="FQ803"/>
      <c r="FR803"/>
      <c r="FS803"/>
      <c r="FT803"/>
      <c r="FU803"/>
      <c r="FV803"/>
      <c r="FW803"/>
      <c r="FX803"/>
      <c r="FY803"/>
      <c r="FZ803"/>
      <c r="GA803"/>
      <c r="GB803"/>
      <c r="GC803"/>
      <c r="GD803"/>
      <c r="GE803"/>
      <c r="GF803"/>
      <c r="GG803"/>
      <c r="GH803"/>
      <c r="GI803"/>
      <c r="GJ803"/>
      <c r="GK803"/>
      <c r="GL803"/>
      <c r="GM803"/>
      <c r="GN803"/>
      <c r="GO803"/>
      <c r="GP803"/>
      <c r="GQ803"/>
      <c r="GR803"/>
      <c r="GS803"/>
      <c r="GT803"/>
      <c r="GU803"/>
      <c r="GV803"/>
      <c r="GW803"/>
      <c r="GX803"/>
      <c r="GY803"/>
      <c r="GZ803"/>
      <c r="HA803"/>
      <c r="HB803"/>
      <c r="HC803"/>
      <c r="HD803"/>
      <c r="HE803"/>
      <c r="HF803"/>
      <c r="HG803"/>
      <c r="HH803"/>
      <c r="HI803"/>
      <c r="HJ803"/>
      <c r="HK803"/>
      <c r="HL803"/>
      <c r="HM803"/>
      <c r="HN803"/>
      <c r="HO803"/>
      <c r="HP803"/>
      <c r="HQ803"/>
      <c r="HR803"/>
      <c r="HS803"/>
      <c r="HT803"/>
      <c r="HU803"/>
      <c r="HV803"/>
      <c r="HW803"/>
      <c r="HX803"/>
      <c r="HY803"/>
      <c r="HZ803"/>
      <c r="IA803"/>
      <c r="IB803"/>
      <c r="IC803"/>
      <c r="ID803"/>
      <c r="IE803"/>
      <c r="IF803"/>
      <c r="IG803"/>
      <c r="IH803"/>
      <c r="II803"/>
      <c r="IJ803"/>
    </row>
    <row r="804" spans="1:244" ht="12.75" customHeight="1" x14ac:dyDescent="0.2">
      <c r="A804" s="2462"/>
      <c r="B804" s="2087" t="s">
        <v>807</v>
      </c>
      <c r="C804" s="2082">
        <f>C805</f>
        <v>170000</v>
      </c>
      <c r="D804" s="2082">
        <f>D805</f>
        <v>170000</v>
      </c>
      <c r="E804" s="2082">
        <v>167649.13</v>
      </c>
      <c r="F804" s="2082"/>
      <c r="G804" s="2459">
        <f t="shared" si="118"/>
        <v>98.617135294117659</v>
      </c>
      <c r="H804" s="2459">
        <f t="shared" si="120"/>
        <v>98.617135294117659</v>
      </c>
      <c r="I804" s="2460">
        <v>0</v>
      </c>
      <c r="J804" s="88">
        <v>0</v>
      </c>
      <c r="K804" s="2"/>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c r="EX804"/>
      <c r="EY804"/>
      <c r="EZ804"/>
      <c r="FA804"/>
      <c r="FB804"/>
      <c r="FC804"/>
      <c r="FD804"/>
      <c r="FE804"/>
      <c r="FF804"/>
      <c r="FG804"/>
      <c r="FH804"/>
      <c r="FI804"/>
      <c r="FJ804"/>
      <c r="FK804"/>
      <c r="FL804"/>
      <c r="FM804"/>
      <c r="FN804"/>
      <c r="FO804"/>
      <c r="FP804"/>
      <c r="FQ804"/>
      <c r="FR804"/>
      <c r="FS804"/>
      <c r="FT804"/>
      <c r="FU804"/>
      <c r="FV804"/>
      <c r="FW804"/>
      <c r="FX804"/>
      <c r="FY804"/>
      <c r="FZ804"/>
      <c r="GA804"/>
      <c r="GB804"/>
      <c r="GC804"/>
      <c r="GD804"/>
      <c r="GE804"/>
      <c r="GF804"/>
      <c r="GG804"/>
      <c r="GH804"/>
      <c r="GI804"/>
      <c r="GJ804"/>
      <c r="GK804"/>
      <c r="GL804"/>
      <c r="GM804"/>
      <c r="GN804"/>
      <c r="GO804"/>
      <c r="GP804"/>
      <c r="GQ804"/>
      <c r="GR804"/>
      <c r="GS804"/>
      <c r="GT804"/>
      <c r="GU804"/>
      <c r="GV804"/>
      <c r="GW804"/>
      <c r="GX804"/>
      <c r="GY804"/>
      <c r="GZ804"/>
      <c r="HA804"/>
      <c r="HB804"/>
      <c r="HC804"/>
      <c r="HD804"/>
      <c r="HE804"/>
      <c r="HF804"/>
      <c r="HG804"/>
      <c r="HH804"/>
      <c r="HI804"/>
      <c r="HJ804"/>
      <c r="HK804"/>
      <c r="HL804"/>
      <c r="HM804"/>
      <c r="HN804"/>
      <c r="HO804"/>
      <c r="HP804"/>
      <c r="HQ804"/>
      <c r="HR804"/>
      <c r="HS804"/>
      <c r="HT804"/>
      <c r="HU804"/>
      <c r="HV804"/>
      <c r="HW804"/>
      <c r="HX804"/>
      <c r="HY804"/>
      <c r="HZ804"/>
      <c r="IA804"/>
      <c r="IB804"/>
      <c r="IC804"/>
      <c r="ID804"/>
      <c r="IE804"/>
      <c r="IF804"/>
      <c r="IG804"/>
      <c r="IH804"/>
      <c r="II804"/>
      <c r="IJ804"/>
    </row>
    <row r="805" spans="1:244" ht="12.75" customHeight="1" x14ac:dyDescent="0.2">
      <c r="A805" s="2462"/>
      <c r="B805" s="2088" t="s">
        <v>2544</v>
      </c>
      <c r="C805" s="1781">
        <v>170000</v>
      </c>
      <c r="D805" s="1781">
        <v>170000</v>
      </c>
      <c r="E805" s="1809">
        <v>167649.13</v>
      </c>
      <c r="F805" s="1809"/>
      <c r="G805" s="2200">
        <f t="shared" ref="G805:G868" si="122">E805/C805*100</f>
        <v>98.617135294117659</v>
      </c>
      <c r="H805" s="2200">
        <f t="shared" si="120"/>
        <v>98.617135294117659</v>
      </c>
      <c r="I805" s="2201">
        <v>0</v>
      </c>
      <c r="J805" s="88">
        <v>0</v>
      </c>
      <c r="K805" s="2"/>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c r="EX805"/>
      <c r="EY805"/>
      <c r="EZ805"/>
      <c r="FA805"/>
      <c r="FB805"/>
      <c r="FC805"/>
      <c r="FD805"/>
      <c r="FE805"/>
      <c r="FF805"/>
      <c r="FG805"/>
      <c r="FH805"/>
      <c r="FI805"/>
      <c r="FJ805"/>
      <c r="FK805"/>
      <c r="FL805"/>
      <c r="FM805"/>
      <c r="FN805"/>
      <c r="FO805"/>
      <c r="FP805"/>
      <c r="FQ805"/>
      <c r="FR805"/>
      <c r="FS805"/>
      <c r="FT805"/>
      <c r="FU805"/>
      <c r="FV805"/>
      <c r="FW805"/>
      <c r="FX805"/>
      <c r="FY805"/>
      <c r="FZ805"/>
      <c r="GA805"/>
      <c r="GB805"/>
      <c r="GC805"/>
      <c r="GD805"/>
      <c r="GE805"/>
      <c r="GF805"/>
      <c r="GG805"/>
      <c r="GH805"/>
      <c r="GI805"/>
      <c r="GJ805"/>
      <c r="GK805"/>
      <c r="GL805"/>
      <c r="GM805"/>
      <c r="GN805"/>
      <c r="GO805"/>
      <c r="GP805"/>
      <c r="GQ805"/>
      <c r="GR805"/>
      <c r="GS805"/>
      <c r="GT805"/>
      <c r="GU805"/>
      <c r="GV805"/>
      <c r="GW805"/>
      <c r="GX805"/>
      <c r="GY805"/>
      <c r="GZ805"/>
      <c r="HA805"/>
      <c r="HB805"/>
      <c r="HC805"/>
      <c r="HD805"/>
      <c r="HE805"/>
      <c r="HF805"/>
      <c r="HG805"/>
      <c r="HH805"/>
      <c r="HI805"/>
      <c r="HJ805"/>
      <c r="HK805"/>
      <c r="HL805"/>
      <c r="HM805"/>
      <c r="HN805"/>
      <c r="HO805"/>
      <c r="HP805"/>
      <c r="HQ805"/>
      <c r="HR805"/>
      <c r="HS805"/>
      <c r="HT805"/>
      <c r="HU805"/>
      <c r="HV805"/>
      <c r="HW805"/>
      <c r="HX805"/>
      <c r="HY805"/>
      <c r="HZ805"/>
      <c r="IA805"/>
      <c r="IB805"/>
      <c r="IC805"/>
      <c r="ID805"/>
      <c r="IE805"/>
      <c r="IF805"/>
      <c r="IG805"/>
      <c r="IH805"/>
      <c r="II805"/>
      <c r="IJ805"/>
    </row>
    <row r="806" spans="1:244" s="98" customFormat="1" ht="12.75" customHeight="1" x14ac:dyDescent="0.2">
      <c r="A806" s="2462"/>
      <c r="B806" s="2087" t="s">
        <v>819</v>
      </c>
      <c r="C806" s="2089">
        <f>SUM(C807:C809)</f>
        <v>14550000</v>
      </c>
      <c r="D806" s="2089">
        <f>SUM(D807:D809)</f>
        <v>15552566.33</v>
      </c>
      <c r="E806" s="2089">
        <v>15502566.33</v>
      </c>
      <c r="F806" s="2089">
        <f>SUM(E807:E809)</f>
        <v>15502566.33</v>
      </c>
      <c r="G806" s="2459">
        <f t="shared" si="122"/>
        <v>106.54684762886598</v>
      </c>
      <c r="H806" s="2459">
        <f t="shared" si="120"/>
        <v>99.678509649538981</v>
      </c>
      <c r="I806" s="2460">
        <f t="shared" ref="I806:I868" si="123">E806/J806*100</f>
        <v>101.75542396212221</v>
      </c>
      <c r="J806" s="88">
        <v>15235125.289999999</v>
      </c>
    </row>
    <row r="807" spans="1:244" ht="12.75" customHeight="1" x14ac:dyDescent="0.2">
      <c r="A807" s="2462"/>
      <c r="B807" s="2080" t="s">
        <v>1920</v>
      </c>
      <c r="C807" s="2075">
        <v>14500000</v>
      </c>
      <c r="D807" s="2075">
        <f>14500000-1756+1307000-8425-304433.67</f>
        <v>15492385.33</v>
      </c>
      <c r="E807" s="2075">
        <v>15492385.33</v>
      </c>
      <c r="F807" s="2075"/>
      <c r="G807" s="2200">
        <f t="shared" si="122"/>
        <v>106.84403675862069</v>
      </c>
      <c r="H807" s="2200">
        <f t="shared" si="120"/>
        <v>100</v>
      </c>
      <c r="I807" s="2201">
        <f t="shared" si="123"/>
        <v>101.78293111939389</v>
      </c>
      <c r="J807" s="88">
        <v>15221005.289999999</v>
      </c>
      <c r="K807" s="2"/>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c r="EX807"/>
      <c r="EY807"/>
      <c r="EZ807"/>
      <c r="FA807"/>
      <c r="FB807"/>
      <c r="FC807"/>
      <c r="FD807"/>
      <c r="FE807"/>
      <c r="FF807"/>
      <c r="FG807"/>
      <c r="FH807"/>
      <c r="FI807"/>
      <c r="FJ807"/>
      <c r="FK807"/>
      <c r="FL807"/>
      <c r="FM807"/>
      <c r="FN807"/>
      <c r="FO807"/>
      <c r="FP807"/>
      <c r="FQ807"/>
      <c r="FR807"/>
      <c r="FS807"/>
      <c r="FT807"/>
      <c r="FU807"/>
      <c r="FV807"/>
      <c r="FW807"/>
      <c r="FX807"/>
      <c r="FY807"/>
      <c r="FZ807"/>
      <c r="GA807"/>
      <c r="GB807"/>
      <c r="GC807"/>
      <c r="GD807"/>
      <c r="GE807"/>
      <c r="GF807"/>
      <c r="GG807"/>
      <c r="GH807"/>
      <c r="GI807"/>
      <c r="GJ807"/>
      <c r="GK807"/>
      <c r="GL807"/>
      <c r="GM807"/>
      <c r="GN807"/>
      <c r="GO807"/>
      <c r="GP807"/>
      <c r="GQ807"/>
      <c r="GR807"/>
      <c r="GS807"/>
      <c r="GT807"/>
      <c r="GU807"/>
      <c r="GV807"/>
      <c r="GW807"/>
      <c r="GX807"/>
      <c r="GY807"/>
      <c r="GZ807"/>
      <c r="HA807"/>
      <c r="HB807"/>
      <c r="HC807"/>
      <c r="HD807"/>
      <c r="HE807"/>
      <c r="HF807"/>
      <c r="HG807"/>
      <c r="HH807"/>
      <c r="HI807"/>
      <c r="HJ807"/>
      <c r="HK807"/>
      <c r="HL807"/>
      <c r="HM807"/>
      <c r="HN807"/>
      <c r="HO807"/>
      <c r="HP807"/>
      <c r="HQ807"/>
      <c r="HR807"/>
      <c r="HS807"/>
      <c r="HT807"/>
      <c r="HU807"/>
      <c r="HV807"/>
      <c r="HW807"/>
      <c r="HX807"/>
      <c r="HY807"/>
      <c r="HZ807"/>
      <c r="IA807"/>
      <c r="IB807"/>
      <c r="IC807"/>
      <c r="ID807"/>
      <c r="IE807"/>
      <c r="IF807"/>
      <c r="IG807"/>
      <c r="IH807"/>
      <c r="II807"/>
      <c r="IJ807"/>
    </row>
    <row r="808" spans="1:244" ht="12.75" customHeight="1" x14ac:dyDescent="0.2">
      <c r="A808" s="2462"/>
      <c r="B808" s="2078" t="s">
        <v>2545</v>
      </c>
      <c r="C808" s="2075">
        <v>0</v>
      </c>
      <c r="D808" s="2075">
        <f>1756+8425</f>
        <v>10181</v>
      </c>
      <c r="E808" s="2075">
        <v>10181</v>
      </c>
      <c r="F808" s="2075"/>
      <c r="G808" s="2200">
        <v>0</v>
      </c>
      <c r="H808" s="2200">
        <f t="shared" si="120"/>
        <v>100</v>
      </c>
      <c r="I808" s="2201">
        <f t="shared" si="123"/>
        <v>72.103399433427768</v>
      </c>
      <c r="J808" s="88">
        <v>14120</v>
      </c>
      <c r="K808" s="2"/>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c r="EX808"/>
      <c r="EY808"/>
      <c r="EZ808"/>
      <c r="FA808"/>
      <c r="FB808"/>
      <c r="FC808"/>
      <c r="FD808"/>
      <c r="FE808"/>
      <c r="FF808"/>
      <c r="FG808"/>
      <c r="FH808"/>
      <c r="FI808"/>
      <c r="FJ808"/>
      <c r="FK808"/>
      <c r="FL808"/>
      <c r="FM808"/>
      <c r="FN808"/>
      <c r="FO808"/>
      <c r="FP808"/>
      <c r="FQ808"/>
      <c r="FR808"/>
      <c r="FS808"/>
      <c r="FT808"/>
      <c r="FU808"/>
      <c r="FV808"/>
      <c r="FW808"/>
      <c r="FX808"/>
      <c r="FY808"/>
      <c r="FZ808"/>
      <c r="GA808"/>
      <c r="GB808"/>
      <c r="GC808"/>
      <c r="GD808"/>
      <c r="GE808"/>
      <c r="GF808"/>
      <c r="GG808"/>
      <c r="GH808"/>
      <c r="GI808"/>
      <c r="GJ808"/>
      <c r="GK808"/>
      <c r="GL808"/>
      <c r="GM808"/>
      <c r="GN808"/>
      <c r="GO808"/>
      <c r="GP808"/>
      <c r="GQ808"/>
      <c r="GR808"/>
      <c r="GS808"/>
      <c r="GT808"/>
      <c r="GU808"/>
      <c r="GV808"/>
      <c r="GW808"/>
      <c r="GX808"/>
      <c r="GY808"/>
      <c r="GZ808"/>
      <c r="HA808"/>
      <c r="HB808"/>
      <c r="HC808"/>
      <c r="HD808"/>
      <c r="HE808"/>
      <c r="HF808"/>
      <c r="HG808"/>
      <c r="HH808"/>
      <c r="HI808"/>
      <c r="HJ808"/>
      <c r="HK808"/>
      <c r="HL808"/>
      <c r="HM808"/>
      <c r="HN808"/>
      <c r="HO808"/>
      <c r="HP808"/>
      <c r="HQ808"/>
      <c r="HR808"/>
      <c r="HS808"/>
      <c r="HT808"/>
      <c r="HU808"/>
      <c r="HV808"/>
      <c r="HW808"/>
      <c r="HX808"/>
      <c r="HY808"/>
      <c r="HZ808"/>
      <c r="IA808"/>
      <c r="IB808"/>
      <c r="IC808"/>
      <c r="ID808"/>
      <c r="IE808"/>
      <c r="IF808"/>
      <c r="IG808"/>
      <c r="IH808"/>
      <c r="II808"/>
      <c r="IJ808"/>
    </row>
    <row r="809" spans="1:244" ht="12.75" customHeight="1" x14ac:dyDescent="0.2">
      <c r="A809" s="2462"/>
      <c r="B809" s="2090" t="s">
        <v>1921</v>
      </c>
      <c r="C809" s="2075">
        <v>50000</v>
      </c>
      <c r="D809" s="2075">
        <v>50000</v>
      </c>
      <c r="E809" s="2075">
        <v>0</v>
      </c>
      <c r="F809" s="2075"/>
      <c r="G809" s="2200">
        <f t="shared" si="122"/>
        <v>0</v>
      </c>
      <c r="H809" s="2200">
        <f t="shared" ref="H809:H872" si="124">E809/D809*100</f>
        <v>0</v>
      </c>
      <c r="I809" s="2201">
        <v>0</v>
      </c>
      <c r="J809" s="88">
        <v>0</v>
      </c>
      <c r="K809" s="2"/>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c r="EX809"/>
      <c r="EY809"/>
      <c r="EZ809"/>
      <c r="FA809"/>
      <c r="FB809"/>
      <c r="FC809"/>
      <c r="FD809"/>
      <c r="FE809"/>
      <c r="FF809"/>
      <c r="FG809"/>
      <c r="FH809"/>
      <c r="FI809"/>
      <c r="FJ809"/>
      <c r="FK809"/>
      <c r="FL809"/>
      <c r="FM809"/>
      <c r="FN809"/>
      <c r="FO809"/>
      <c r="FP809"/>
      <c r="FQ809"/>
      <c r="FR809"/>
      <c r="FS809"/>
      <c r="FT809"/>
      <c r="FU809"/>
      <c r="FV809"/>
      <c r="FW809"/>
      <c r="FX809"/>
      <c r="FY809"/>
      <c r="FZ809"/>
      <c r="GA809"/>
      <c r="GB809"/>
      <c r="GC809"/>
      <c r="GD809"/>
      <c r="GE809"/>
      <c r="GF809"/>
      <c r="GG809"/>
      <c r="GH809"/>
      <c r="GI809"/>
      <c r="GJ809"/>
      <c r="GK809"/>
      <c r="GL809"/>
      <c r="GM809"/>
      <c r="GN809"/>
      <c r="GO809"/>
      <c r="GP809"/>
      <c r="GQ809"/>
      <c r="GR809"/>
      <c r="GS809"/>
      <c r="GT809"/>
      <c r="GU809"/>
      <c r="GV809"/>
      <c r="GW809"/>
      <c r="GX809"/>
      <c r="GY809"/>
      <c r="GZ809"/>
      <c r="HA809"/>
      <c r="HB809"/>
      <c r="HC809"/>
      <c r="HD809"/>
      <c r="HE809"/>
      <c r="HF809"/>
      <c r="HG809"/>
      <c r="HH809"/>
      <c r="HI809"/>
      <c r="HJ809"/>
      <c r="HK809"/>
      <c r="HL809"/>
      <c r="HM809"/>
      <c r="HN809"/>
      <c r="HO809"/>
      <c r="HP809"/>
      <c r="HQ809"/>
      <c r="HR809"/>
      <c r="HS809"/>
      <c r="HT809"/>
      <c r="HU809"/>
      <c r="HV809"/>
      <c r="HW809"/>
      <c r="HX809"/>
      <c r="HY809"/>
      <c r="HZ809"/>
      <c r="IA809"/>
      <c r="IB809"/>
      <c r="IC809"/>
      <c r="ID809"/>
      <c r="IE809"/>
      <c r="IF809"/>
      <c r="IG809"/>
      <c r="IH809"/>
      <c r="II809"/>
      <c r="IJ809"/>
    </row>
    <row r="810" spans="1:244" x14ac:dyDescent="0.2">
      <c r="A810" s="2463"/>
      <c r="B810" s="2092" t="s">
        <v>829</v>
      </c>
      <c r="C810" s="2093">
        <f>SUM(C811:C812)</f>
        <v>590000</v>
      </c>
      <c r="D810" s="2093">
        <f>SUM(D811:D812)</f>
        <v>590000</v>
      </c>
      <c r="E810" s="2093">
        <v>457062.74</v>
      </c>
      <c r="F810" s="2093">
        <f>SUM(E811:E812)</f>
        <v>457062.74</v>
      </c>
      <c r="G810" s="2459">
        <f t="shared" si="122"/>
        <v>77.468261016949143</v>
      </c>
      <c r="H810" s="2459">
        <f t="shared" si="124"/>
        <v>77.468261016949143</v>
      </c>
      <c r="I810" s="2460">
        <f t="shared" si="123"/>
        <v>114.84631639294571</v>
      </c>
      <c r="J810" s="88">
        <v>397977.71</v>
      </c>
      <c r="K810" s="2"/>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c r="EX810"/>
      <c r="EY810"/>
      <c r="EZ810"/>
      <c r="FA810"/>
      <c r="FB810"/>
      <c r="FC810"/>
      <c r="FD810"/>
      <c r="FE810"/>
      <c r="FF810"/>
      <c r="FG810"/>
      <c r="FH810"/>
      <c r="FI810"/>
      <c r="FJ810"/>
      <c r="FK810"/>
      <c r="FL810"/>
      <c r="FM810"/>
      <c r="FN810"/>
      <c r="FO810"/>
      <c r="FP810"/>
      <c r="FQ810"/>
      <c r="FR810"/>
      <c r="FS810"/>
      <c r="FT810"/>
      <c r="FU810"/>
      <c r="FV810"/>
      <c r="FW810"/>
      <c r="FX810"/>
      <c r="FY810"/>
      <c r="FZ810"/>
      <c r="GA810"/>
      <c r="GB810"/>
      <c r="GC810"/>
      <c r="GD810"/>
      <c r="GE810"/>
      <c r="GF810"/>
      <c r="GG810"/>
      <c r="GH810"/>
      <c r="GI810"/>
      <c r="GJ810"/>
      <c r="GK810"/>
      <c r="GL810"/>
      <c r="GM810"/>
      <c r="GN810"/>
      <c r="GO810"/>
      <c r="GP810"/>
      <c r="GQ810"/>
      <c r="GR810"/>
      <c r="GS810"/>
      <c r="GT810"/>
      <c r="GU810"/>
      <c r="GV810"/>
      <c r="GW810"/>
      <c r="GX810"/>
      <c r="GY810"/>
      <c r="GZ810"/>
      <c r="HA810"/>
      <c r="HB810"/>
      <c r="HC810"/>
      <c r="HD810"/>
      <c r="HE810"/>
      <c r="HF810"/>
      <c r="HG810"/>
      <c r="HH810"/>
      <c r="HI810"/>
      <c r="HJ810"/>
      <c r="HK810"/>
      <c r="HL810"/>
      <c r="HM810"/>
      <c r="HN810"/>
      <c r="HO810"/>
      <c r="HP810"/>
      <c r="HQ810"/>
      <c r="HR810"/>
      <c r="HS810"/>
      <c r="HT810"/>
      <c r="HU810"/>
      <c r="HV810"/>
      <c r="HW810"/>
      <c r="HX810"/>
      <c r="HY810"/>
      <c r="HZ810"/>
      <c r="IA810"/>
      <c r="IB810"/>
      <c r="IC810"/>
      <c r="ID810"/>
      <c r="IE810"/>
      <c r="IF810"/>
      <c r="IG810"/>
      <c r="IH810"/>
      <c r="II810"/>
      <c r="IJ810"/>
    </row>
    <row r="811" spans="1:244" ht="12.75" customHeight="1" x14ac:dyDescent="0.2">
      <c r="A811" s="2462"/>
      <c r="B811" s="2088" t="s">
        <v>2546</v>
      </c>
      <c r="C811" s="2075">
        <v>150000</v>
      </c>
      <c r="D811" s="2075">
        <v>150000</v>
      </c>
      <c r="E811" s="2094">
        <v>18000</v>
      </c>
      <c r="F811" s="2094"/>
      <c r="G811" s="2200">
        <f t="shared" si="122"/>
        <v>12</v>
      </c>
      <c r="H811" s="2200">
        <f t="shared" si="124"/>
        <v>12</v>
      </c>
      <c r="I811" s="2201">
        <v>0</v>
      </c>
      <c r="J811" s="88">
        <v>0</v>
      </c>
      <c r="K811" s="2"/>
      <c r="L811"/>
      <c r="M811"/>
      <c r="N811"/>
      <c r="O811"/>
      <c r="P811"/>
      <c r="Q811"/>
      <c r="R811"/>
      <c r="S811"/>
      <c r="T811"/>
      <c r="U811"/>
      <c r="V811"/>
      <c r="W811"/>
      <c r="X811"/>
      <c r="Y811"/>
      <c r="Z811"/>
      <c r="AA811"/>
      <c r="AB811"/>
      <c r="AC811"/>
      <c r="AD811"/>
      <c r="AE811"/>
      <c r="AF811"/>
      <c r="AG811"/>
      <c r="AH811"/>
      <c r="AI811"/>
      <c r="AJ811"/>
      <c r="AK811"/>
      <c r="AL811"/>
      <c r="AM811"/>
      <c r="AN811"/>
      <c r="AO811"/>
      <c r="AP811"/>
      <c r="AQ811"/>
      <c r="AR811"/>
      <c r="AS811"/>
      <c r="AT811"/>
      <c r="AU811"/>
      <c r="AV811"/>
      <c r="AW811"/>
      <c r="AX811"/>
      <c r="AY811"/>
      <c r="AZ811"/>
      <c r="BA811"/>
      <c r="BB811"/>
      <c r="BC811"/>
      <c r="BD811"/>
      <c r="BE811"/>
      <c r="BF811"/>
      <c r="BG811"/>
      <c r="BH811"/>
      <c r="BI811"/>
      <c r="BJ811"/>
      <c r="BK811"/>
      <c r="BL811"/>
      <c r="BM811"/>
      <c r="BN811"/>
      <c r="BO811"/>
      <c r="BP811"/>
      <c r="BQ811"/>
      <c r="BR811"/>
      <c r="BS811"/>
      <c r="BT811"/>
      <c r="BU811"/>
      <c r="BV811"/>
      <c r="BW811"/>
      <c r="BX811"/>
      <c r="BY811"/>
      <c r="BZ811"/>
      <c r="CA811"/>
      <c r="CB811"/>
      <c r="CC811"/>
      <c r="CD811"/>
      <c r="CE811"/>
      <c r="CF811"/>
      <c r="CG811"/>
      <c r="CH811"/>
      <c r="CI811"/>
      <c r="CJ811"/>
      <c r="CK811"/>
      <c r="CL811"/>
      <c r="CM811"/>
      <c r="CN811"/>
      <c r="CO811"/>
      <c r="CP811"/>
      <c r="CQ811"/>
      <c r="CR811"/>
      <c r="CS811"/>
      <c r="CT811"/>
      <c r="CU811"/>
      <c r="CV811"/>
      <c r="CW811"/>
      <c r="CX811"/>
      <c r="CY811"/>
      <c r="CZ811"/>
      <c r="DA811"/>
      <c r="DB811"/>
      <c r="DC811"/>
      <c r="DD811"/>
      <c r="DE811"/>
      <c r="DF811"/>
      <c r="DG811"/>
      <c r="DH811"/>
      <c r="DI811"/>
      <c r="DJ811"/>
      <c r="DK811"/>
      <c r="DL811"/>
      <c r="DM811"/>
      <c r="DN811"/>
      <c r="DO811"/>
      <c r="DP811"/>
      <c r="DQ811"/>
      <c r="DR811"/>
      <c r="DS811"/>
      <c r="DT811"/>
      <c r="DU811"/>
      <c r="DV811"/>
      <c r="DW811"/>
      <c r="DX811"/>
      <c r="DY811"/>
      <c r="DZ811"/>
      <c r="EA811"/>
      <c r="EB811"/>
      <c r="EC811"/>
      <c r="ED811"/>
      <c r="EE811"/>
      <c r="EF811"/>
      <c r="EG811"/>
      <c r="EH811"/>
      <c r="EI811"/>
      <c r="EJ811"/>
      <c r="EK811"/>
      <c r="EL811"/>
      <c r="EM811"/>
      <c r="EN811"/>
      <c r="EO811"/>
      <c r="EP811"/>
      <c r="EQ811"/>
      <c r="ER811"/>
      <c r="ES811"/>
      <c r="ET811"/>
      <c r="EU811"/>
      <c r="EV811"/>
      <c r="EW811"/>
      <c r="EX811"/>
      <c r="EY811"/>
      <c r="EZ811"/>
      <c r="FA811"/>
      <c r="FB811"/>
      <c r="FC811"/>
      <c r="FD811"/>
      <c r="FE811"/>
      <c r="FF811"/>
      <c r="FG811"/>
      <c r="FH811"/>
      <c r="FI811"/>
      <c r="FJ811"/>
      <c r="FK811"/>
      <c r="FL811"/>
      <c r="FM811"/>
      <c r="FN811"/>
      <c r="FO811"/>
      <c r="FP811"/>
      <c r="FQ811"/>
      <c r="FR811"/>
      <c r="FS811"/>
      <c r="FT811"/>
      <c r="FU811"/>
      <c r="FV811"/>
      <c r="FW811"/>
      <c r="FX811"/>
      <c r="FY811"/>
      <c r="FZ811"/>
      <c r="GA811"/>
      <c r="GB811"/>
      <c r="GC811"/>
      <c r="GD811"/>
      <c r="GE811"/>
      <c r="GF811"/>
      <c r="GG811"/>
      <c r="GH811"/>
      <c r="GI811"/>
      <c r="GJ811"/>
      <c r="GK811"/>
      <c r="GL811"/>
      <c r="GM811"/>
      <c r="GN811"/>
      <c r="GO811"/>
      <c r="GP811"/>
      <c r="GQ811"/>
      <c r="GR811"/>
      <c r="GS811"/>
      <c r="GT811"/>
      <c r="GU811"/>
      <c r="GV811"/>
      <c r="GW811"/>
      <c r="GX811"/>
      <c r="GY811"/>
      <c r="GZ811"/>
      <c r="HA811"/>
      <c r="HB811"/>
      <c r="HC811"/>
      <c r="HD811"/>
      <c r="HE811"/>
      <c r="HF811"/>
      <c r="HG811"/>
      <c r="HH811"/>
      <c r="HI811"/>
      <c r="HJ811"/>
      <c r="HK811"/>
      <c r="HL811"/>
      <c r="HM811"/>
      <c r="HN811"/>
      <c r="HO811"/>
      <c r="HP811"/>
      <c r="HQ811"/>
      <c r="HR811"/>
      <c r="HS811"/>
      <c r="HT811"/>
      <c r="HU811"/>
      <c r="HV811"/>
      <c r="HW811"/>
      <c r="HX811"/>
      <c r="HY811"/>
      <c r="HZ811"/>
      <c r="IA811"/>
      <c r="IB811"/>
      <c r="IC811"/>
      <c r="ID811"/>
      <c r="IE811"/>
      <c r="IF811"/>
      <c r="IG811"/>
      <c r="IH811"/>
      <c r="II811"/>
      <c r="IJ811"/>
    </row>
    <row r="812" spans="1:244" ht="12.75" customHeight="1" x14ac:dyDescent="0.2">
      <c r="A812" s="2462"/>
      <c r="B812" s="2080" t="s">
        <v>2547</v>
      </c>
      <c r="C812" s="854">
        <v>440000</v>
      </c>
      <c r="D812" s="854">
        <v>440000</v>
      </c>
      <c r="E812" s="2075">
        <v>439062.74</v>
      </c>
      <c r="F812" s="2075"/>
      <c r="G812" s="2200">
        <f t="shared" si="122"/>
        <v>99.786986363636359</v>
      </c>
      <c r="H812" s="2200">
        <f t="shared" si="124"/>
        <v>99.786986363636359</v>
      </c>
      <c r="I812" s="2201">
        <v>0</v>
      </c>
      <c r="J812" s="88">
        <v>0</v>
      </c>
      <c r="K812" s="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c r="EX812"/>
      <c r="EY812"/>
      <c r="EZ812"/>
      <c r="FA812"/>
      <c r="FB812"/>
      <c r="FC812"/>
      <c r="FD812"/>
      <c r="FE812"/>
      <c r="FF812"/>
      <c r="FG812"/>
      <c r="FH812"/>
      <c r="FI812"/>
      <c r="FJ812"/>
      <c r="FK812"/>
      <c r="FL812"/>
      <c r="FM812"/>
      <c r="FN812"/>
      <c r="FO812"/>
      <c r="FP812"/>
      <c r="FQ812"/>
      <c r="FR812"/>
      <c r="FS812"/>
      <c r="FT812"/>
      <c r="FU812"/>
      <c r="FV812"/>
      <c r="FW812"/>
      <c r="FX812"/>
      <c r="FY812"/>
      <c r="FZ812"/>
      <c r="GA812"/>
      <c r="GB812"/>
      <c r="GC812"/>
      <c r="GD812"/>
      <c r="GE812"/>
      <c r="GF812"/>
      <c r="GG812"/>
      <c r="GH812"/>
      <c r="GI812"/>
      <c r="GJ812"/>
      <c r="GK812"/>
      <c r="GL812"/>
      <c r="GM812"/>
      <c r="GN812"/>
      <c r="GO812"/>
      <c r="GP812"/>
      <c r="GQ812"/>
      <c r="GR812"/>
      <c r="GS812"/>
      <c r="GT812"/>
      <c r="GU812"/>
      <c r="GV812"/>
      <c r="GW812"/>
      <c r="GX812"/>
      <c r="GY812"/>
      <c r="GZ812"/>
      <c r="HA812"/>
      <c r="HB812"/>
      <c r="HC812"/>
      <c r="HD812"/>
      <c r="HE812"/>
      <c r="HF812"/>
      <c r="HG812"/>
      <c r="HH812"/>
      <c r="HI812"/>
      <c r="HJ812"/>
      <c r="HK812"/>
      <c r="HL812"/>
      <c r="HM812"/>
      <c r="HN812"/>
      <c r="HO812"/>
      <c r="HP812"/>
      <c r="HQ812"/>
      <c r="HR812"/>
      <c r="HS812"/>
      <c r="HT812"/>
      <c r="HU812"/>
      <c r="HV812"/>
      <c r="HW812"/>
      <c r="HX812"/>
      <c r="HY812"/>
      <c r="HZ812"/>
      <c r="IA812"/>
      <c r="IB812"/>
      <c r="IC812"/>
      <c r="ID812"/>
      <c r="IE812"/>
      <c r="IF812"/>
      <c r="IG812"/>
      <c r="IH812"/>
      <c r="II812"/>
      <c r="IJ812"/>
    </row>
    <row r="813" spans="1:244" ht="12.75" customHeight="1" x14ac:dyDescent="0.2">
      <c r="A813" s="2391">
        <v>3612</v>
      </c>
      <c r="B813" s="2095" t="s">
        <v>833</v>
      </c>
      <c r="C813" s="2085">
        <f>C814+C816</f>
        <v>52220000</v>
      </c>
      <c r="D813" s="2085">
        <f>D814+D816</f>
        <v>58234434</v>
      </c>
      <c r="E813" s="2085">
        <v>49755385.619999997</v>
      </c>
      <c r="F813" s="2075"/>
      <c r="G813" s="1663">
        <f t="shared" si="122"/>
        <v>95.280324818077361</v>
      </c>
      <c r="H813" s="1663">
        <f t="shared" si="124"/>
        <v>85.439802883634101</v>
      </c>
      <c r="I813" s="1662">
        <f t="shared" si="123"/>
        <v>101.86847566926933</v>
      </c>
      <c r="J813" s="88">
        <v>48842770.340000004</v>
      </c>
      <c r="K813" s="2"/>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c r="EX813"/>
      <c r="EY813"/>
      <c r="EZ813"/>
      <c r="FA813"/>
      <c r="FB813"/>
      <c r="FC813"/>
      <c r="FD813"/>
      <c r="FE813"/>
      <c r="FF813"/>
      <c r="FG813"/>
      <c r="FH813"/>
      <c r="FI813"/>
      <c r="FJ813"/>
      <c r="FK813"/>
      <c r="FL813"/>
      <c r="FM813"/>
      <c r="FN813"/>
      <c r="FO813"/>
      <c r="FP813"/>
      <c r="FQ813"/>
      <c r="FR813"/>
      <c r="FS813"/>
      <c r="FT813"/>
      <c r="FU813"/>
      <c r="FV813"/>
      <c r="FW813"/>
      <c r="FX813"/>
      <c r="FY813"/>
      <c r="FZ813"/>
      <c r="GA813"/>
      <c r="GB813"/>
      <c r="GC813"/>
      <c r="GD813"/>
      <c r="GE813"/>
      <c r="GF813"/>
      <c r="GG813"/>
      <c r="GH813"/>
      <c r="GI813"/>
      <c r="GJ813"/>
      <c r="GK813"/>
      <c r="GL813"/>
      <c r="GM813"/>
      <c r="GN813"/>
      <c r="GO813"/>
      <c r="GP813"/>
      <c r="GQ813"/>
      <c r="GR813"/>
      <c r="GS813"/>
      <c r="GT813"/>
      <c r="GU813"/>
      <c r="GV813"/>
      <c r="GW813"/>
      <c r="GX813"/>
      <c r="GY813"/>
      <c r="GZ813"/>
      <c r="HA813"/>
      <c r="HB813"/>
      <c r="HC813"/>
      <c r="HD813"/>
      <c r="HE813"/>
      <c r="HF813"/>
      <c r="HG813"/>
      <c r="HH813"/>
      <c r="HI813"/>
      <c r="HJ813"/>
      <c r="HK813"/>
      <c r="HL813"/>
      <c r="HM813"/>
      <c r="HN813"/>
      <c r="HO813"/>
      <c r="HP813"/>
      <c r="HQ813"/>
      <c r="HR813"/>
      <c r="HS813"/>
      <c r="HT813"/>
      <c r="HU813"/>
      <c r="HV813"/>
      <c r="HW813"/>
      <c r="HX813"/>
      <c r="HY813"/>
      <c r="HZ813"/>
      <c r="IA813"/>
      <c r="IB813"/>
      <c r="IC813"/>
      <c r="ID813"/>
      <c r="IE813"/>
      <c r="IF813"/>
      <c r="IG813"/>
      <c r="IH813"/>
      <c r="II813"/>
      <c r="IJ813"/>
    </row>
    <row r="814" spans="1:244" ht="12.75" customHeight="1" x14ac:dyDescent="0.2">
      <c r="A814" s="2462"/>
      <c r="B814" s="2087" t="s">
        <v>807</v>
      </c>
      <c r="C814" s="2082">
        <f>SUM(C815)</f>
        <v>150000</v>
      </c>
      <c r="D814" s="2082">
        <f>SUM(D815)</f>
        <v>150000</v>
      </c>
      <c r="E814" s="2082">
        <v>0</v>
      </c>
      <c r="F814" s="2082"/>
      <c r="G814" s="2459">
        <f t="shared" si="122"/>
        <v>0</v>
      </c>
      <c r="H814" s="2459">
        <f t="shared" si="124"/>
        <v>0</v>
      </c>
      <c r="I814" s="2460">
        <v>0</v>
      </c>
      <c r="J814" s="2175">
        <v>0</v>
      </c>
      <c r="K814" s="2"/>
      <c r="L814"/>
      <c r="M814"/>
      <c r="N814"/>
      <c r="O814"/>
      <c r="P814"/>
      <c r="Q814"/>
      <c r="R814"/>
      <c r="S814"/>
      <c r="T814"/>
      <c r="U814"/>
      <c r="V814"/>
      <c r="W814"/>
      <c r="X814"/>
      <c r="Y814"/>
      <c r="Z814"/>
      <c r="AA814"/>
      <c r="AB814"/>
      <c r="AC814"/>
      <c r="AD814"/>
      <c r="AE814"/>
      <c r="AF814"/>
      <c r="AG814"/>
      <c r="AH814"/>
      <c r="AI814"/>
      <c r="AJ814"/>
      <c r="AK814"/>
      <c r="AL814"/>
      <c r="AM814"/>
      <c r="AN814"/>
      <c r="AO814"/>
      <c r="AP814"/>
      <c r="AQ814"/>
      <c r="AR814"/>
      <c r="AS814"/>
      <c r="AT814"/>
      <c r="AU814"/>
      <c r="AV814"/>
      <c r="AW814"/>
      <c r="AX814"/>
      <c r="AY814"/>
      <c r="AZ814"/>
      <c r="BA814"/>
      <c r="BB814"/>
      <c r="BC814"/>
      <c r="BD814"/>
      <c r="BE814"/>
      <c r="BF814"/>
      <c r="BG814"/>
      <c r="BH814"/>
      <c r="BI814"/>
      <c r="BJ814"/>
      <c r="BK814"/>
      <c r="BL814"/>
      <c r="BM814"/>
      <c r="BN814"/>
      <c r="BO814"/>
      <c r="BP814"/>
      <c r="BQ814"/>
      <c r="BR814"/>
      <c r="BS814"/>
      <c r="BT814"/>
      <c r="BU814"/>
      <c r="BV814"/>
      <c r="BW814"/>
      <c r="BX814"/>
      <c r="BY814"/>
      <c r="BZ814"/>
      <c r="CA814"/>
      <c r="CB814"/>
      <c r="CC814"/>
      <c r="CD814"/>
      <c r="CE814"/>
      <c r="CF814"/>
      <c r="CG814"/>
      <c r="CH814"/>
      <c r="CI814"/>
      <c r="CJ814"/>
      <c r="CK814"/>
      <c r="CL814"/>
      <c r="CM814"/>
      <c r="CN814"/>
      <c r="CO814"/>
      <c r="CP814"/>
      <c r="CQ814"/>
      <c r="CR814"/>
      <c r="CS814"/>
      <c r="CT814"/>
      <c r="CU814"/>
      <c r="CV814"/>
      <c r="CW814"/>
      <c r="CX814"/>
      <c r="CY814"/>
      <c r="CZ814"/>
      <c r="DA814"/>
      <c r="DB814"/>
      <c r="DC814"/>
      <c r="DD814"/>
      <c r="DE814"/>
      <c r="DF814"/>
      <c r="DG814"/>
      <c r="DH814"/>
      <c r="DI814"/>
      <c r="DJ814"/>
      <c r="DK814"/>
      <c r="DL814"/>
      <c r="DM814"/>
      <c r="DN814"/>
      <c r="DO814"/>
      <c r="DP814"/>
      <c r="DQ814"/>
      <c r="DR814"/>
      <c r="DS814"/>
      <c r="DT814"/>
      <c r="DU814"/>
      <c r="DV814"/>
      <c r="DW814"/>
      <c r="DX814"/>
      <c r="DY814"/>
      <c r="DZ814"/>
      <c r="EA814"/>
      <c r="EB814"/>
      <c r="EC814"/>
      <c r="ED814"/>
      <c r="EE814"/>
      <c r="EF814"/>
      <c r="EG814"/>
      <c r="EH814"/>
      <c r="EI814"/>
      <c r="EJ814"/>
      <c r="EK814"/>
      <c r="EL814"/>
      <c r="EM814"/>
      <c r="EN814"/>
      <c r="EO814"/>
      <c r="EP814"/>
      <c r="EQ814"/>
      <c r="ER814"/>
      <c r="ES814"/>
      <c r="ET814"/>
      <c r="EU814"/>
      <c r="EV814"/>
      <c r="EW814"/>
      <c r="EX814"/>
      <c r="EY814"/>
      <c r="EZ814"/>
      <c r="FA814"/>
      <c r="FB814"/>
      <c r="FC814"/>
      <c r="FD814"/>
      <c r="FE814"/>
      <c r="FF814"/>
      <c r="FG814"/>
      <c r="FH814"/>
      <c r="FI814"/>
      <c r="FJ814"/>
      <c r="FK814"/>
      <c r="FL814"/>
      <c r="FM814"/>
      <c r="FN814"/>
      <c r="FO814"/>
      <c r="FP814"/>
      <c r="FQ814"/>
      <c r="FR814"/>
      <c r="FS814"/>
      <c r="FT814"/>
      <c r="FU814"/>
      <c r="FV814"/>
      <c r="FW814"/>
      <c r="FX814"/>
      <c r="FY814"/>
      <c r="FZ814"/>
      <c r="GA814"/>
      <c r="GB814"/>
      <c r="GC814"/>
      <c r="GD814"/>
      <c r="GE814"/>
      <c r="GF814"/>
      <c r="GG814"/>
      <c r="GH814"/>
      <c r="GI814"/>
      <c r="GJ814"/>
      <c r="GK814"/>
      <c r="GL814"/>
      <c r="GM814"/>
      <c r="GN814"/>
      <c r="GO814"/>
      <c r="GP814"/>
      <c r="GQ814"/>
      <c r="GR814"/>
      <c r="GS814"/>
      <c r="GT814"/>
      <c r="GU814"/>
      <c r="GV814"/>
      <c r="GW814"/>
      <c r="GX814"/>
      <c r="GY814"/>
      <c r="GZ814"/>
      <c r="HA814"/>
      <c r="HB814"/>
      <c r="HC814"/>
      <c r="HD814"/>
      <c r="HE814"/>
      <c r="HF814"/>
      <c r="HG814"/>
      <c r="HH814"/>
      <c r="HI814"/>
      <c r="HJ814"/>
      <c r="HK814"/>
      <c r="HL814"/>
      <c r="HM814"/>
      <c r="HN814"/>
      <c r="HO814"/>
      <c r="HP814"/>
      <c r="HQ814"/>
      <c r="HR814"/>
      <c r="HS814"/>
      <c r="HT814"/>
      <c r="HU814"/>
      <c r="HV814"/>
      <c r="HW814"/>
      <c r="HX814"/>
      <c r="HY814"/>
      <c r="HZ814"/>
      <c r="IA814"/>
      <c r="IB814"/>
      <c r="IC814"/>
      <c r="ID814"/>
      <c r="IE814"/>
      <c r="IF814"/>
      <c r="IG814"/>
      <c r="IH814"/>
      <c r="II814"/>
      <c r="IJ814"/>
    </row>
    <row r="815" spans="1:244" ht="12.75" customHeight="1" x14ac:dyDescent="0.2">
      <c r="A815" s="2462"/>
      <c r="B815" s="2088" t="s">
        <v>1924</v>
      </c>
      <c r="C815" s="2075">
        <v>150000</v>
      </c>
      <c r="D815" s="2075">
        <v>150000</v>
      </c>
      <c r="E815" s="2075">
        <v>0</v>
      </c>
      <c r="F815" s="2075"/>
      <c r="G815" s="2200">
        <f t="shared" si="122"/>
        <v>0</v>
      </c>
      <c r="H815" s="2200">
        <f t="shared" si="124"/>
        <v>0</v>
      </c>
      <c r="I815" s="2201">
        <v>0</v>
      </c>
      <c r="J815" s="88">
        <v>0</v>
      </c>
      <c r="K815" s="2"/>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c r="EX815"/>
      <c r="EY815"/>
      <c r="EZ815"/>
      <c r="FA815"/>
      <c r="FB815"/>
      <c r="FC815"/>
      <c r="FD815"/>
      <c r="FE815"/>
      <c r="FF815"/>
      <c r="FG815"/>
      <c r="FH815"/>
      <c r="FI815"/>
      <c r="FJ815"/>
      <c r="FK815"/>
      <c r="FL815"/>
      <c r="FM815"/>
      <c r="FN815"/>
      <c r="FO815"/>
      <c r="FP815"/>
      <c r="FQ815"/>
      <c r="FR815"/>
      <c r="FS815"/>
      <c r="FT815"/>
      <c r="FU815"/>
      <c r="FV815"/>
      <c r="FW815"/>
      <c r="FX815"/>
      <c r="FY815"/>
      <c r="FZ815"/>
      <c r="GA815"/>
      <c r="GB815"/>
      <c r="GC815"/>
      <c r="GD815"/>
      <c r="GE815"/>
      <c r="GF815"/>
      <c r="GG815"/>
      <c r="GH815"/>
      <c r="GI815"/>
      <c r="GJ815"/>
      <c r="GK815"/>
      <c r="GL815"/>
      <c r="GM815"/>
      <c r="GN815"/>
      <c r="GO815"/>
      <c r="GP815"/>
      <c r="GQ815"/>
      <c r="GR815"/>
      <c r="GS815"/>
      <c r="GT815"/>
      <c r="GU815"/>
      <c r="GV815"/>
      <c r="GW815"/>
      <c r="GX815"/>
      <c r="GY815"/>
      <c r="GZ815"/>
      <c r="HA815"/>
      <c r="HB815"/>
      <c r="HC815"/>
      <c r="HD815"/>
      <c r="HE815"/>
      <c r="HF815"/>
      <c r="HG815"/>
      <c r="HH815"/>
      <c r="HI815"/>
      <c r="HJ815"/>
      <c r="HK815"/>
      <c r="HL815"/>
      <c r="HM815"/>
      <c r="HN815"/>
      <c r="HO815"/>
      <c r="HP815"/>
      <c r="HQ815"/>
      <c r="HR815"/>
      <c r="HS815"/>
      <c r="HT815"/>
      <c r="HU815"/>
      <c r="HV815"/>
      <c r="HW815"/>
      <c r="HX815"/>
      <c r="HY815"/>
      <c r="HZ815"/>
      <c r="IA815"/>
      <c r="IB815"/>
      <c r="IC815"/>
      <c r="ID815"/>
      <c r="IE815"/>
      <c r="IF815"/>
      <c r="IG815"/>
      <c r="IH815"/>
      <c r="II815"/>
      <c r="IJ815"/>
    </row>
    <row r="816" spans="1:244" ht="12.75" customHeight="1" x14ac:dyDescent="0.2">
      <c r="A816" s="2391"/>
      <c r="B816" s="2096" t="s">
        <v>844</v>
      </c>
      <c r="C816" s="2097">
        <f>C817+C821+C823+C825+C826+C827+C828+C829+C830</f>
        <v>52070000</v>
      </c>
      <c r="D816" s="2097">
        <f>D817+D821+D823+D825+D826+D827+D828+D829+D830</f>
        <v>58084434</v>
      </c>
      <c r="E816" s="2097">
        <v>49755385.619999997</v>
      </c>
      <c r="F816" s="2097">
        <f>SUM(E817,E821,E823,E825:E830)</f>
        <v>49755385.619999997</v>
      </c>
      <c r="G816" s="2459">
        <f t="shared" si="122"/>
        <v>95.554802419819467</v>
      </c>
      <c r="H816" s="2459">
        <f t="shared" si="124"/>
        <v>85.660446686972961</v>
      </c>
      <c r="I816" s="2460">
        <f t="shared" si="123"/>
        <v>101.86847566926933</v>
      </c>
      <c r="J816" s="2175">
        <v>48842770.340000004</v>
      </c>
      <c r="K816" s="2"/>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c r="EX816"/>
      <c r="EY816"/>
      <c r="EZ816"/>
      <c r="FA816"/>
      <c r="FB816"/>
      <c r="FC816"/>
      <c r="FD816"/>
      <c r="FE816"/>
      <c r="FF816"/>
      <c r="FG816"/>
      <c r="FH816"/>
      <c r="FI816"/>
      <c r="FJ816"/>
      <c r="FK816"/>
      <c r="FL816"/>
      <c r="FM816"/>
      <c r="FN816"/>
      <c r="FO816"/>
      <c r="FP816"/>
      <c r="FQ816"/>
      <c r="FR816"/>
      <c r="FS816"/>
      <c r="FT816"/>
      <c r="FU816"/>
      <c r="FV816"/>
      <c r="FW816"/>
      <c r="FX816"/>
      <c r="FY816"/>
      <c r="FZ816"/>
      <c r="GA816"/>
      <c r="GB816"/>
      <c r="GC816"/>
      <c r="GD816"/>
      <c r="GE816"/>
      <c r="GF816"/>
      <c r="GG816"/>
      <c r="GH816"/>
      <c r="GI816"/>
      <c r="GJ816"/>
      <c r="GK816"/>
      <c r="GL816"/>
      <c r="GM816"/>
      <c r="GN816"/>
      <c r="GO816"/>
      <c r="GP816"/>
      <c r="GQ816"/>
      <c r="GR816"/>
      <c r="GS816"/>
      <c r="GT816"/>
      <c r="GU816"/>
      <c r="GV816"/>
      <c r="GW816"/>
      <c r="GX816"/>
      <c r="GY816"/>
      <c r="GZ816"/>
      <c r="HA816"/>
      <c r="HB816"/>
      <c r="HC816"/>
      <c r="HD816"/>
      <c r="HE816"/>
      <c r="HF816"/>
      <c r="HG816"/>
      <c r="HH816"/>
      <c r="HI816"/>
      <c r="HJ816"/>
      <c r="HK816"/>
      <c r="HL816"/>
      <c r="HM816"/>
      <c r="HN816"/>
      <c r="HO816"/>
      <c r="HP816"/>
      <c r="HQ816"/>
      <c r="HR816"/>
      <c r="HS816"/>
      <c r="HT816"/>
      <c r="HU816"/>
      <c r="HV816"/>
      <c r="HW816"/>
      <c r="HX816"/>
      <c r="HY816"/>
      <c r="HZ816"/>
      <c r="IA816"/>
      <c r="IB816"/>
      <c r="IC816"/>
      <c r="ID816"/>
      <c r="IE816"/>
      <c r="IF816"/>
      <c r="IG816"/>
      <c r="IH816"/>
      <c r="II816"/>
      <c r="IJ816"/>
    </row>
    <row r="817" spans="1:244" ht="12.75" customHeight="1" x14ac:dyDescent="0.2">
      <c r="A817" s="2464"/>
      <c r="B817" s="2099" t="s">
        <v>845</v>
      </c>
      <c r="C817" s="2100">
        <f>SUM(C818:C820)</f>
        <v>7700000</v>
      </c>
      <c r="D817" s="2100">
        <f>SUM(D818:D820)</f>
        <v>7700000</v>
      </c>
      <c r="E817" s="2100">
        <v>7691658.1299999999</v>
      </c>
      <c r="F817" s="2465">
        <f>SUM(E818:E820)</f>
        <v>7691658.129999999</v>
      </c>
      <c r="G817" s="2466">
        <f t="shared" si="122"/>
        <v>99.891664025974023</v>
      </c>
      <c r="H817" s="2466">
        <f t="shared" si="124"/>
        <v>99.891664025974023</v>
      </c>
      <c r="I817" s="2467">
        <f t="shared" si="123"/>
        <v>101.09219249787333</v>
      </c>
      <c r="J817" s="2175">
        <v>7608558.0300000003</v>
      </c>
      <c r="K817" s="2"/>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c r="EX817"/>
      <c r="EY817"/>
      <c r="EZ817"/>
      <c r="FA817"/>
      <c r="FB817"/>
      <c r="FC817"/>
      <c r="FD817"/>
      <c r="FE817"/>
      <c r="FF817"/>
      <c r="FG817"/>
      <c r="FH817"/>
      <c r="FI817"/>
      <c r="FJ817"/>
      <c r="FK817"/>
      <c r="FL817"/>
      <c r="FM817"/>
      <c r="FN817"/>
      <c r="FO817"/>
      <c r="FP817"/>
      <c r="FQ817"/>
      <c r="FR817"/>
      <c r="FS817"/>
      <c r="FT817"/>
      <c r="FU817"/>
      <c r="FV817"/>
      <c r="FW817"/>
      <c r="FX817"/>
      <c r="FY817"/>
      <c r="FZ817"/>
      <c r="GA817"/>
      <c r="GB817"/>
      <c r="GC817"/>
      <c r="GD817"/>
      <c r="GE817"/>
      <c r="GF817"/>
      <c r="GG817"/>
      <c r="GH817"/>
      <c r="GI817"/>
      <c r="GJ817"/>
      <c r="GK817"/>
      <c r="GL817"/>
      <c r="GM817"/>
      <c r="GN817"/>
      <c r="GO817"/>
      <c r="GP817"/>
      <c r="GQ817"/>
      <c r="GR817"/>
      <c r="GS817"/>
      <c r="GT817"/>
      <c r="GU817"/>
      <c r="GV817"/>
      <c r="GW817"/>
      <c r="GX817"/>
      <c r="GY817"/>
      <c r="GZ817"/>
      <c r="HA817"/>
      <c r="HB817"/>
      <c r="HC817"/>
      <c r="HD817"/>
      <c r="HE817"/>
      <c r="HF817"/>
      <c r="HG817"/>
      <c r="HH817"/>
      <c r="HI817"/>
      <c r="HJ817"/>
      <c r="HK817"/>
      <c r="HL817"/>
      <c r="HM817"/>
      <c r="HN817"/>
      <c r="HO817"/>
      <c r="HP817"/>
      <c r="HQ817"/>
      <c r="HR817"/>
      <c r="HS817"/>
      <c r="HT817"/>
      <c r="HU817"/>
      <c r="HV817"/>
      <c r="HW817"/>
      <c r="HX817"/>
      <c r="HY817"/>
      <c r="HZ817"/>
      <c r="IA817"/>
      <c r="IB817"/>
      <c r="IC817"/>
      <c r="ID817"/>
      <c r="IE817"/>
      <c r="IF817"/>
      <c r="IG817"/>
      <c r="IH817"/>
      <c r="II817"/>
      <c r="IJ817"/>
    </row>
    <row r="818" spans="1:244" ht="12.75" customHeight="1" x14ac:dyDescent="0.2">
      <c r="A818" s="2391"/>
      <c r="B818" s="2080" t="s">
        <v>2548</v>
      </c>
      <c r="C818" s="2101">
        <v>6000000</v>
      </c>
      <c r="D818" s="2101">
        <v>6000000</v>
      </c>
      <c r="E818" s="2101">
        <v>5457124.3099999996</v>
      </c>
      <c r="F818" s="2101"/>
      <c r="G818" s="2200">
        <f t="shared" si="122"/>
        <v>90.952071833333321</v>
      </c>
      <c r="H818" s="2200">
        <f t="shared" si="124"/>
        <v>90.952071833333321</v>
      </c>
      <c r="I818" s="2201">
        <f t="shared" si="123"/>
        <v>127.90547286941435</v>
      </c>
      <c r="J818" s="88">
        <v>4266529.17</v>
      </c>
      <c r="K818" s="2"/>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c r="EX818"/>
      <c r="EY818"/>
      <c r="EZ818"/>
      <c r="FA818"/>
      <c r="FB818"/>
      <c r="FC818"/>
      <c r="FD818"/>
      <c r="FE818"/>
      <c r="FF818"/>
      <c r="FG818"/>
      <c r="FH818"/>
      <c r="FI818"/>
      <c r="FJ818"/>
      <c r="FK818"/>
      <c r="FL818"/>
      <c r="FM818"/>
      <c r="FN818"/>
      <c r="FO818"/>
      <c r="FP818"/>
      <c r="FQ818"/>
      <c r="FR818"/>
      <c r="FS818"/>
      <c r="FT818"/>
      <c r="FU818"/>
      <c r="FV818"/>
      <c r="FW818"/>
      <c r="FX818"/>
      <c r="FY818"/>
      <c r="FZ818"/>
      <c r="GA818"/>
      <c r="GB818"/>
      <c r="GC818"/>
      <c r="GD818"/>
      <c r="GE818"/>
      <c r="GF818"/>
      <c r="GG818"/>
      <c r="GH818"/>
      <c r="GI818"/>
      <c r="GJ818"/>
      <c r="GK818"/>
      <c r="GL818"/>
      <c r="GM818"/>
      <c r="GN818"/>
      <c r="GO818"/>
      <c r="GP818"/>
      <c r="GQ818"/>
      <c r="GR818"/>
      <c r="GS818"/>
      <c r="GT818"/>
      <c r="GU818"/>
      <c r="GV818"/>
      <c r="GW818"/>
      <c r="GX818"/>
      <c r="GY818"/>
      <c r="GZ818"/>
      <c r="HA818"/>
      <c r="HB818"/>
      <c r="HC818"/>
      <c r="HD818"/>
      <c r="HE818"/>
      <c r="HF818"/>
      <c r="HG818"/>
      <c r="HH818"/>
      <c r="HI818"/>
      <c r="HJ818"/>
      <c r="HK818"/>
      <c r="HL818"/>
      <c r="HM818"/>
      <c r="HN818"/>
      <c r="HO818"/>
      <c r="HP818"/>
      <c r="HQ818"/>
      <c r="HR818"/>
      <c r="HS818"/>
      <c r="HT818"/>
      <c r="HU818"/>
      <c r="HV818"/>
      <c r="HW818"/>
      <c r="HX818"/>
      <c r="HY818"/>
      <c r="HZ818"/>
      <c r="IA818"/>
      <c r="IB818"/>
      <c r="IC818"/>
      <c r="ID818"/>
      <c r="IE818"/>
      <c r="IF818"/>
      <c r="IG818"/>
      <c r="IH818"/>
      <c r="II818"/>
      <c r="IJ818"/>
    </row>
    <row r="819" spans="1:244" ht="12.75" customHeight="1" x14ac:dyDescent="0.2">
      <c r="A819" s="2391"/>
      <c r="B819" s="2080" t="s">
        <v>1926</v>
      </c>
      <c r="C819" s="2102">
        <v>200000</v>
      </c>
      <c r="D819" s="2102">
        <v>200000</v>
      </c>
      <c r="E819" s="2102">
        <v>0</v>
      </c>
      <c r="F819" s="2102"/>
      <c r="G819" s="2200">
        <f t="shared" si="122"/>
        <v>0</v>
      </c>
      <c r="H819" s="2200">
        <f t="shared" si="124"/>
        <v>0</v>
      </c>
      <c r="I819" s="2201">
        <v>0</v>
      </c>
      <c r="J819" s="88">
        <v>168795</v>
      </c>
      <c r="K819" s="2"/>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c r="EX819"/>
      <c r="EY819"/>
      <c r="EZ819"/>
      <c r="FA819"/>
      <c r="FB819"/>
      <c r="FC819"/>
      <c r="FD819"/>
      <c r="FE819"/>
      <c r="FF819"/>
      <c r="FG819"/>
      <c r="FH819"/>
      <c r="FI819"/>
      <c r="FJ819"/>
      <c r="FK819"/>
      <c r="FL819"/>
      <c r="FM819"/>
      <c r="FN819"/>
      <c r="FO819"/>
      <c r="FP819"/>
      <c r="FQ819"/>
      <c r="FR819"/>
      <c r="FS819"/>
      <c r="FT819"/>
      <c r="FU819"/>
      <c r="FV819"/>
      <c r="FW819"/>
      <c r="FX819"/>
      <c r="FY819"/>
      <c r="FZ819"/>
      <c r="GA819"/>
      <c r="GB819"/>
      <c r="GC819"/>
      <c r="GD819"/>
      <c r="GE819"/>
      <c r="GF819"/>
      <c r="GG819"/>
      <c r="GH819"/>
      <c r="GI819"/>
      <c r="GJ819"/>
      <c r="GK819"/>
      <c r="GL819"/>
      <c r="GM819"/>
      <c r="GN819"/>
      <c r="GO819"/>
      <c r="GP819"/>
      <c r="GQ819"/>
      <c r="GR819"/>
      <c r="GS819"/>
      <c r="GT819"/>
      <c r="GU819"/>
      <c r="GV819"/>
      <c r="GW819"/>
      <c r="GX819"/>
      <c r="GY819"/>
      <c r="GZ819"/>
      <c r="HA819"/>
      <c r="HB819"/>
      <c r="HC819"/>
      <c r="HD819"/>
      <c r="HE819"/>
      <c r="HF819"/>
      <c r="HG819"/>
      <c r="HH819"/>
      <c r="HI819"/>
      <c r="HJ819"/>
      <c r="HK819"/>
      <c r="HL819"/>
      <c r="HM819"/>
      <c r="HN819"/>
      <c r="HO819"/>
      <c r="HP819"/>
      <c r="HQ819"/>
      <c r="HR819"/>
      <c r="HS819"/>
      <c r="HT819"/>
      <c r="HU819"/>
      <c r="HV819"/>
      <c r="HW819"/>
      <c r="HX819"/>
      <c r="HY819"/>
      <c r="HZ819"/>
      <c r="IA819"/>
      <c r="IB819"/>
      <c r="IC819"/>
      <c r="ID819"/>
      <c r="IE819"/>
      <c r="IF819"/>
      <c r="IG819"/>
      <c r="IH819"/>
      <c r="II819"/>
      <c r="IJ819"/>
    </row>
    <row r="820" spans="1:244" ht="12.75" customHeight="1" x14ac:dyDescent="0.2">
      <c r="A820" s="2391"/>
      <c r="B820" s="2080" t="s">
        <v>1927</v>
      </c>
      <c r="C820" s="2102">
        <v>1500000</v>
      </c>
      <c r="D820" s="2102">
        <v>1500000</v>
      </c>
      <c r="E820" s="2102">
        <v>2234533.8199999998</v>
      </c>
      <c r="F820" s="2102"/>
      <c r="G820" s="2200">
        <f t="shared" si="122"/>
        <v>148.96892133333333</v>
      </c>
      <c r="H820" s="2200">
        <f t="shared" si="124"/>
        <v>148.96892133333333</v>
      </c>
      <c r="I820" s="2201">
        <f t="shared" si="123"/>
        <v>130.27484118224308</v>
      </c>
      <c r="J820" s="88">
        <v>1715245.86</v>
      </c>
      <c r="K820" s="2"/>
      <c r="L820"/>
      <c r="M820"/>
      <c r="N820"/>
      <c r="O820"/>
      <c r="P820"/>
      <c r="Q820"/>
      <c r="R820"/>
      <c r="S820"/>
      <c r="T820"/>
      <c r="U820"/>
      <c r="V820"/>
      <c r="W820"/>
      <c r="X820"/>
      <c r="Y820"/>
      <c r="Z820"/>
      <c r="AA820"/>
      <c r="AB820"/>
      <c r="AC820"/>
      <c r="AD820"/>
      <c r="AE820"/>
      <c r="AF820"/>
      <c r="AG820"/>
      <c r="AH820"/>
      <c r="AI820"/>
      <c r="AJ820"/>
      <c r="AK820"/>
      <c r="AL820"/>
      <c r="AM820"/>
      <c r="AN820"/>
      <c r="AO820"/>
      <c r="AP820"/>
      <c r="AQ820"/>
      <c r="AR820"/>
      <c r="AS820"/>
      <c r="AT820"/>
      <c r="AU820"/>
      <c r="AV820"/>
      <c r="AW820"/>
      <c r="AX820"/>
      <c r="AY820"/>
      <c r="AZ820"/>
      <c r="BA820"/>
      <c r="BB820"/>
      <c r="BC820"/>
      <c r="BD820"/>
      <c r="BE820"/>
      <c r="BF820"/>
      <c r="BG820"/>
      <c r="BH820"/>
      <c r="BI820"/>
      <c r="BJ820"/>
      <c r="BK820"/>
      <c r="BL820"/>
      <c r="BM820"/>
      <c r="BN820"/>
      <c r="BO820"/>
      <c r="BP820"/>
      <c r="BQ820"/>
      <c r="BR820"/>
      <c r="BS820"/>
      <c r="BT820"/>
      <c r="BU820"/>
      <c r="BV820"/>
      <c r="BW820"/>
      <c r="BX820"/>
      <c r="BY820"/>
      <c r="BZ820"/>
      <c r="CA820"/>
      <c r="CB820"/>
      <c r="CC820"/>
      <c r="CD820"/>
      <c r="CE820"/>
      <c r="CF820"/>
      <c r="CG820"/>
      <c r="CH820"/>
      <c r="CI820"/>
      <c r="CJ820"/>
      <c r="CK820"/>
      <c r="CL820"/>
      <c r="CM820"/>
      <c r="CN820"/>
      <c r="CO820"/>
      <c r="CP820"/>
      <c r="CQ820"/>
      <c r="CR820"/>
      <c r="CS820"/>
      <c r="CT820"/>
      <c r="CU820"/>
      <c r="CV820"/>
      <c r="CW820"/>
      <c r="CX820"/>
      <c r="CY820"/>
      <c r="CZ820"/>
      <c r="DA820"/>
      <c r="DB820"/>
      <c r="DC820"/>
      <c r="DD820"/>
      <c r="DE820"/>
      <c r="DF820"/>
      <c r="DG820"/>
      <c r="DH820"/>
      <c r="DI820"/>
      <c r="DJ820"/>
      <c r="DK820"/>
      <c r="DL820"/>
      <c r="DM820"/>
      <c r="DN820"/>
      <c r="DO820"/>
      <c r="DP820"/>
      <c r="DQ820"/>
      <c r="DR820"/>
      <c r="DS820"/>
      <c r="DT820"/>
      <c r="DU820"/>
      <c r="DV820"/>
      <c r="DW820"/>
      <c r="DX820"/>
      <c r="DY820"/>
      <c r="DZ820"/>
      <c r="EA820"/>
      <c r="EB820"/>
      <c r="EC820"/>
      <c r="ED820"/>
      <c r="EE820"/>
      <c r="EF820"/>
      <c r="EG820"/>
      <c r="EH820"/>
      <c r="EI820"/>
      <c r="EJ820"/>
      <c r="EK820"/>
      <c r="EL820"/>
      <c r="EM820"/>
      <c r="EN820"/>
      <c r="EO820"/>
      <c r="EP820"/>
      <c r="EQ820"/>
      <c r="ER820"/>
      <c r="ES820"/>
      <c r="ET820"/>
      <c r="EU820"/>
      <c r="EV820"/>
      <c r="EW820"/>
      <c r="EX820"/>
      <c r="EY820"/>
      <c r="EZ820"/>
      <c r="FA820"/>
      <c r="FB820"/>
      <c r="FC820"/>
      <c r="FD820"/>
      <c r="FE820"/>
      <c r="FF820"/>
      <c r="FG820"/>
      <c r="FH820"/>
      <c r="FI820"/>
      <c r="FJ820"/>
      <c r="FK820"/>
      <c r="FL820"/>
      <c r="FM820"/>
      <c r="FN820"/>
      <c r="FO820"/>
      <c r="FP820"/>
      <c r="FQ820"/>
      <c r="FR820"/>
      <c r="FS820"/>
      <c r="FT820"/>
      <c r="FU820"/>
      <c r="FV820"/>
      <c r="FW820"/>
      <c r="FX820"/>
      <c r="FY820"/>
      <c r="FZ820"/>
      <c r="GA820"/>
      <c r="GB820"/>
      <c r="GC820"/>
      <c r="GD820"/>
      <c r="GE820"/>
      <c r="GF820"/>
      <c r="GG820"/>
      <c r="GH820"/>
      <c r="GI820"/>
      <c r="GJ820"/>
      <c r="GK820"/>
      <c r="GL820"/>
      <c r="GM820"/>
      <c r="GN820"/>
      <c r="GO820"/>
      <c r="GP820"/>
      <c r="GQ820"/>
      <c r="GR820"/>
      <c r="GS820"/>
      <c r="GT820"/>
      <c r="GU820"/>
      <c r="GV820"/>
      <c r="GW820"/>
      <c r="GX820"/>
      <c r="GY820"/>
      <c r="GZ820"/>
      <c r="HA820"/>
      <c r="HB820"/>
      <c r="HC820"/>
      <c r="HD820"/>
      <c r="HE820"/>
      <c r="HF820"/>
      <c r="HG820"/>
      <c r="HH820"/>
      <c r="HI820"/>
      <c r="HJ820"/>
      <c r="HK820"/>
      <c r="HL820"/>
      <c r="HM820"/>
      <c r="HN820"/>
      <c r="HO820"/>
      <c r="HP820"/>
      <c r="HQ820"/>
      <c r="HR820"/>
      <c r="HS820"/>
      <c r="HT820"/>
      <c r="HU820"/>
      <c r="HV820"/>
      <c r="HW820"/>
      <c r="HX820"/>
      <c r="HY820"/>
      <c r="HZ820"/>
      <c r="IA820"/>
      <c r="IB820"/>
      <c r="IC820"/>
      <c r="ID820"/>
      <c r="IE820"/>
      <c r="IF820"/>
      <c r="IG820"/>
      <c r="IH820"/>
      <c r="II820"/>
      <c r="IJ820"/>
    </row>
    <row r="821" spans="1:244" ht="12.75" customHeight="1" x14ac:dyDescent="0.2">
      <c r="A821" s="2391"/>
      <c r="B821" s="2103" t="s">
        <v>1929</v>
      </c>
      <c r="C821" s="2104">
        <f>C822</f>
        <v>3000000</v>
      </c>
      <c r="D821" s="2104">
        <f>D822</f>
        <v>5000000</v>
      </c>
      <c r="E821" s="2104">
        <v>4627135.0999999996</v>
      </c>
      <c r="F821" s="2082"/>
      <c r="G821" s="2466">
        <f t="shared" si="122"/>
        <v>154.23783666666665</v>
      </c>
      <c r="H821" s="2466">
        <f t="shared" si="124"/>
        <v>92.542701999999991</v>
      </c>
      <c r="I821" s="2467">
        <f t="shared" si="123"/>
        <v>146.48816311901024</v>
      </c>
      <c r="J821" s="2175">
        <v>3158709.21</v>
      </c>
      <c r="K821" s="2"/>
      <c r="L821"/>
      <c r="M821"/>
      <c r="N821"/>
      <c r="O821"/>
      <c r="P821"/>
      <c r="Q821"/>
      <c r="R821"/>
      <c r="S821"/>
      <c r="T821"/>
      <c r="U821"/>
      <c r="V821"/>
      <c r="W821"/>
      <c r="X821"/>
      <c r="Y821"/>
      <c r="Z821"/>
      <c r="AA821"/>
      <c r="AB821"/>
      <c r="AC821"/>
      <c r="AD821"/>
      <c r="AE821"/>
      <c r="AF821"/>
      <c r="AG821"/>
      <c r="AH821"/>
      <c r="AI821"/>
      <c r="AJ821"/>
      <c r="AK821"/>
      <c r="AL821"/>
      <c r="AM821"/>
      <c r="AN821"/>
      <c r="AO821"/>
      <c r="AP821"/>
      <c r="AQ821"/>
      <c r="AR821"/>
      <c r="AS821"/>
      <c r="AT821"/>
      <c r="AU821"/>
      <c r="AV821"/>
      <c r="AW821"/>
      <c r="AX821"/>
      <c r="AY821"/>
      <c r="AZ821"/>
      <c r="BA821"/>
      <c r="BB821"/>
      <c r="BC821"/>
      <c r="BD821"/>
      <c r="BE821"/>
      <c r="BF821"/>
      <c r="BG821"/>
      <c r="BH821"/>
      <c r="BI821"/>
      <c r="BJ821"/>
      <c r="BK821"/>
      <c r="BL821"/>
      <c r="BM821"/>
      <c r="BN821"/>
      <c r="BO821"/>
      <c r="BP821"/>
      <c r="BQ821"/>
      <c r="BR821"/>
      <c r="BS821"/>
      <c r="BT821"/>
      <c r="BU821"/>
      <c r="BV821"/>
      <c r="BW821"/>
      <c r="BX821"/>
      <c r="BY821"/>
      <c r="BZ821"/>
      <c r="CA821"/>
      <c r="CB821"/>
      <c r="CC821"/>
      <c r="CD821"/>
      <c r="CE821"/>
      <c r="CF821"/>
      <c r="CG821"/>
      <c r="CH821"/>
      <c r="CI821"/>
      <c r="CJ821"/>
      <c r="CK821"/>
      <c r="CL821"/>
      <c r="CM821"/>
      <c r="CN821"/>
      <c r="CO821"/>
      <c r="CP821"/>
      <c r="CQ821"/>
      <c r="CR821"/>
      <c r="CS821"/>
      <c r="CT821"/>
      <c r="CU821"/>
      <c r="CV821"/>
      <c r="CW821"/>
      <c r="CX821"/>
      <c r="CY821"/>
      <c r="CZ821"/>
      <c r="DA821"/>
      <c r="DB821"/>
      <c r="DC821"/>
      <c r="DD821"/>
      <c r="DE821"/>
      <c r="DF821"/>
      <c r="DG821"/>
      <c r="DH821"/>
      <c r="DI821"/>
      <c r="DJ821"/>
      <c r="DK821"/>
      <c r="DL821"/>
      <c r="DM821"/>
      <c r="DN821"/>
      <c r="DO821"/>
      <c r="DP821"/>
      <c r="DQ821"/>
      <c r="DR821"/>
      <c r="DS821"/>
      <c r="DT821"/>
      <c r="DU821"/>
      <c r="DV821"/>
      <c r="DW821"/>
      <c r="DX821"/>
      <c r="DY821"/>
      <c r="DZ821"/>
      <c r="EA821"/>
      <c r="EB821"/>
      <c r="EC821"/>
      <c r="ED821"/>
      <c r="EE821"/>
      <c r="EF821"/>
      <c r="EG821"/>
      <c r="EH821"/>
      <c r="EI821"/>
      <c r="EJ821"/>
      <c r="EK821"/>
      <c r="EL821"/>
      <c r="EM821"/>
      <c r="EN821"/>
      <c r="EO821"/>
      <c r="EP821"/>
      <c r="EQ821"/>
      <c r="ER821"/>
      <c r="ES821"/>
      <c r="ET821"/>
      <c r="EU821"/>
      <c r="EV821"/>
      <c r="EW821"/>
      <c r="EX821"/>
      <c r="EY821"/>
      <c r="EZ821"/>
      <c r="FA821"/>
      <c r="FB821"/>
      <c r="FC821"/>
      <c r="FD821"/>
      <c r="FE821"/>
      <c r="FF821"/>
      <c r="FG821"/>
      <c r="FH821"/>
      <c r="FI821"/>
      <c r="FJ821"/>
      <c r="FK821"/>
      <c r="FL821"/>
      <c r="FM821"/>
      <c r="FN821"/>
      <c r="FO821"/>
      <c r="FP821"/>
      <c r="FQ821"/>
      <c r="FR821"/>
      <c r="FS821"/>
      <c r="FT821"/>
      <c r="FU821"/>
      <c r="FV821"/>
      <c r="FW821"/>
      <c r="FX821"/>
      <c r="FY821"/>
      <c r="FZ821"/>
      <c r="GA821"/>
      <c r="GB821"/>
      <c r="GC821"/>
      <c r="GD821"/>
      <c r="GE821"/>
      <c r="GF821"/>
      <c r="GG821"/>
      <c r="GH821"/>
      <c r="GI821"/>
      <c r="GJ821"/>
      <c r="GK821"/>
      <c r="GL821"/>
      <c r="GM821"/>
      <c r="GN821"/>
      <c r="GO821"/>
      <c r="GP821"/>
      <c r="GQ821"/>
      <c r="GR821"/>
      <c r="GS821"/>
      <c r="GT821"/>
      <c r="GU821"/>
      <c r="GV821"/>
      <c r="GW821"/>
      <c r="GX821"/>
      <c r="GY821"/>
      <c r="GZ821"/>
      <c r="HA821"/>
      <c r="HB821"/>
      <c r="HC821"/>
      <c r="HD821"/>
      <c r="HE821"/>
      <c r="HF821"/>
      <c r="HG821"/>
      <c r="HH821"/>
      <c r="HI821"/>
      <c r="HJ821"/>
      <c r="HK821"/>
      <c r="HL821"/>
      <c r="HM821"/>
      <c r="HN821"/>
      <c r="HO821"/>
      <c r="HP821"/>
      <c r="HQ821"/>
      <c r="HR821"/>
      <c r="HS821"/>
      <c r="HT821"/>
      <c r="HU821"/>
      <c r="HV821"/>
      <c r="HW821"/>
      <c r="HX821"/>
      <c r="HY821"/>
      <c r="HZ821"/>
      <c r="IA821"/>
      <c r="IB821"/>
      <c r="IC821"/>
      <c r="ID821"/>
      <c r="IE821"/>
      <c r="IF821"/>
      <c r="IG821"/>
      <c r="IH821"/>
      <c r="II821"/>
      <c r="IJ821"/>
    </row>
    <row r="822" spans="1:244" s="488" customFormat="1" ht="12.75" customHeight="1" x14ac:dyDescent="0.2">
      <c r="A822" s="2462"/>
      <c r="B822" s="2080" t="s">
        <v>1930</v>
      </c>
      <c r="C822" s="2075">
        <v>3000000</v>
      </c>
      <c r="D822" s="2075">
        <f>3000000+2000000</f>
        <v>5000000</v>
      </c>
      <c r="E822" s="2075">
        <v>4627135.0999999996</v>
      </c>
      <c r="F822" s="2075"/>
      <c r="G822" s="2200">
        <f t="shared" si="122"/>
        <v>154.23783666666665</v>
      </c>
      <c r="H822" s="2200">
        <f t="shared" si="124"/>
        <v>92.542701999999991</v>
      </c>
      <c r="I822" s="2201">
        <f t="shared" si="123"/>
        <v>162.47627128272984</v>
      </c>
      <c r="J822" s="88">
        <v>2847883.61</v>
      </c>
    </row>
    <row r="823" spans="1:244" ht="12.75" customHeight="1" x14ac:dyDescent="0.2">
      <c r="A823" s="2468"/>
      <c r="B823" s="2109" t="s">
        <v>1934</v>
      </c>
      <c r="C823" s="2104">
        <f>C824</f>
        <v>4000000</v>
      </c>
      <c r="D823" s="2104">
        <f>D824</f>
        <v>6324000</v>
      </c>
      <c r="E823" s="2104">
        <v>3949425</v>
      </c>
      <c r="F823" s="2082"/>
      <c r="G823" s="2466">
        <f t="shared" si="122"/>
        <v>98.735624999999999</v>
      </c>
      <c r="H823" s="2466">
        <f t="shared" si="124"/>
        <v>62.451375711574954</v>
      </c>
      <c r="I823" s="2467">
        <f t="shared" si="123"/>
        <v>85.38437564326631</v>
      </c>
      <c r="J823" s="2175">
        <v>4625465.6900000004</v>
      </c>
      <c r="K823" s="2"/>
      <c r="L823"/>
      <c r="M823"/>
      <c r="N823"/>
      <c r="O823"/>
      <c r="P823"/>
      <c r="Q823"/>
      <c r="R823"/>
      <c r="S823"/>
      <c r="T823"/>
      <c r="U823"/>
      <c r="V823"/>
      <c r="W823"/>
      <c r="X823"/>
      <c r="Y823"/>
      <c r="Z823"/>
      <c r="AA823"/>
      <c r="AB823"/>
      <c r="AC823"/>
      <c r="AD823"/>
      <c r="AE823"/>
      <c r="AF823"/>
      <c r="AG823"/>
      <c r="AH823"/>
      <c r="AI823"/>
      <c r="AJ823"/>
      <c r="AK823"/>
      <c r="AL823"/>
      <c r="AM823"/>
      <c r="AN823"/>
      <c r="AO823"/>
      <c r="AP823"/>
      <c r="AQ823"/>
      <c r="AR823"/>
      <c r="AS823"/>
      <c r="AT823"/>
      <c r="AU823"/>
      <c r="AV823"/>
      <c r="AW823"/>
      <c r="AX823"/>
      <c r="AY823"/>
      <c r="AZ823"/>
      <c r="BA823"/>
      <c r="BB823"/>
      <c r="BC823"/>
      <c r="BD823"/>
      <c r="BE823"/>
      <c r="BF823"/>
      <c r="BG823"/>
      <c r="BH823"/>
      <c r="BI823"/>
      <c r="BJ823"/>
      <c r="BK823"/>
      <c r="BL823"/>
      <c r="BM823"/>
      <c r="BN823"/>
      <c r="BO823"/>
      <c r="BP823"/>
      <c r="BQ823"/>
      <c r="BR823"/>
      <c r="BS823"/>
      <c r="BT823"/>
      <c r="BU823"/>
      <c r="BV823"/>
      <c r="BW823"/>
      <c r="BX823"/>
      <c r="BY823"/>
      <c r="BZ823"/>
      <c r="CA823"/>
      <c r="CB823"/>
      <c r="CC823"/>
      <c r="CD823"/>
      <c r="CE823"/>
      <c r="CF823"/>
      <c r="CG823"/>
      <c r="CH823"/>
      <c r="CI823"/>
      <c r="CJ823"/>
      <c r="CK823"/>
      <c r="CL823"/>
      <c r="CM823"/>
      <c r="CN823"/>
      <c r="CO823"/>
      <c r="CP823"/>
      <c r="CQ823"/>
      <c r="CR823"/>
      <c r="CS823"/>
      <c r="CT823"/>
      <c r="CU823"/>
      <c r="CV823"/>
      <c r="CW823"/>
      <c r="CX823"/>
      <c r="CY823"/>
      <c r="CZ823"/>
      <c r="DA823"/>
      <c r="DB823"/>
      <c r="DC823"/>
      <c r="DD823"/>
      <c r="DE823"/>
      <c r="DF823"/>
      <c r="DG823"/>
      <c r="DH823"/>
      <c r="DI823"/>
      <c r="DJ823"/>
      <c r="DK823"/>
      <c r="DL823"/>
      <c r="DM823"/>
      <c r="DN823"/>
      <c r="DO823"/>
      <c r="DP823"/>
      <c r="DQ823"/>
      <c r="DR823"/>
      <c r="DS823"/>
      <c r="DT823"/>
      <c r="DU823"/>
      <c r="DV823"/>
      <c r="DW823"/>
      <c r="DX823"/>
      <c r="DY823"/>
      <c r="DZ823"/>
      <c r="EA823"/>
      <c r="EB823"/>
      <c r="EC823"/>
      <c r="ED823"/>
      <c r="EE823"/>
      <c r="EF823"/>
      <c r="EG823"/>
      <c r="EH823"/>
      <c r="EI823"/>
      <c r="EJ823"/>
      <c r="EK823"/>
      <c r="EL823"/>
      <c r="EM823"/>
      <c r="EN823"/>
      <c r="EO823"/>
      <c r="EP823"/>
      <c r="EQ823"/>
      <c r="ER823"/>
      <c r="ES823"/>
      <c r="ET823"/>
      <c r="EU823"/>
      <c r="EV823"/>
      <c r="EW823"/>
      <c r="EX823"/>
      <c r="EY823"/>
      <c r="EZ823"/>
      <c r="FA823"/>
      <c r="FB823"/>
      <c r="FC823"/>
      <c r="FD823"/>
      <c r="FE823"/>
      <c r="FF823"/>
      <c r="FG823"/>
      <c r="FH823"/>
      <c r="FI823"/>
      <c r="FJ823"/>
      <c r="FK823"/>
      <c r="FL823"/>
      <c r="FM823"/>
      <c r="FN823"/>
      <c r="FO823"/>
      <c r="FP823"/>
      <c r="FQ823"/>
      <c r="FR823"/>
      <c r="FS823"/>
      <c r="FT823"/>
      <c r="FU823"/>
      <c r="FV823"/>
      <c r="FW823"/>
      <c r="FX823"/>
      <c r="FY823"/>
      <c r="FZ823"/>
      <c r="GA823"/>
      <c r="GB823"/>
      <c r="GC823"/>
      <c r="GD823"/>
      <c r="GE823"/>
      <c r="GF823"/>
      <c r="GG823"/>
      <c r="GH823"/>
      <c r="GI823"/>
      <c r="GJ823"/>
      <c r="GK823"/>
      <c r="GL823"/>
      <c r="GM823"/>
      <c r="GN823"/>
      <c r="GO823"/>
      <c r="GP823"/>
      <c r="GQ823"/>
      <c r="GR823"/>
      <c r="GS823"/>
      <c r="GT823"/>
      <c r="GU823"/>
      <c r="GV823"/>
      <c r="GW823"/>
      <c r="GX823"/>
      <c r="GY823"/>
      <c r="GZ823"/>
      <c r="HA823"/>
      <c r="HB823"/>
      <c r="HC823"/>
      <c r="HD823"/>
      <c r="HE823"/>
      <c r="HF823"/>
      <c r="HG823"/>
      <c r="HH823"/>
      <c r="HI823"/>
      <c r="HJ823"/>
      <c r="HK823"/>
      <c r="HL823"/>
      <c r="HM823"/>
      <c r="HN823"/>
      <c r="HO823"/>
      <c r="HP823"/>
      <c r="HQ823"/>
      <c r="HR823"/>
      <c r="HS823"/>
      <c r="HT823"/>
      <c r="HU823"/>
      <c r="HV823"/>
      <c r="HW823"/>
      <c r="HX823"/>
      <c r="HY823"/>
      <c r="HZ823"/>
      <c r="IA823"/>
      <c r="IB823"/>
      <c r="IC823"/>
      <c r="ID823"/>
      <c r="IE823"/>
      <c r="IF823"/>
      <c r="IG823"/>
      <c r="IH823"/>
      <c r="II823"/>
      <c r="IJ823"/>
    </row>
    <row r="824" spans="1:244" ht="12.75" customHeight="1" x14ac:dyDescent="0.2">
      <c r="A824" s="2468"/>
      <c r="B824" s="2110" t="s">
        <v>850</v>
      </c>
      <c r="C824" s="2111">
        <v>4000000</v>
      </c>
      <c r="D824" s="2111">
        <f>4000000+324000+2000000</f>
        <v>6324000</v>
      </c>
      <c r="E824" s="2111">
        <v>3949425</v>
      </c>
      <c r="F824" s="2111"/>
      <c r="G824" s="2200">
        <f t="shared" si="122"/>
        <v>98.735624999999999</v>
      </c>
      <c r="H824" s="2200">
        <f t="shared" si="124"/>
        <v>62.451375711574954</v>
      </c>
      <c r="I824" s="2201">
        <f t="shared" si="123"/>
        <v>107.4064724573368</v>
      </c>
      <c r="J824" s="88">
        <v>3677082.87</v>
      </c>
      <c r="K824" s="2"/>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c r="EX824"/>
      <c r="EY824"/>
      <c r="EZ824"/>
      <c r="FA824"/>
      <c r="FB824"/>
      <c r="FC824"/>
      <c r="FD824"/>
      <c r="FE824"/>
      <c r="FF824"/>
      <c r="FG824"/>
      <c r="FH824"/>
      <c r="FI824"/>
      <c r="FJ824"/>
      <c r="FK824"/>
      <c r="FL824"/>
      <c r="FM824"/>
      <c r="FN824"/>
      <c r="FO824"/>
      <c r="FP824"/>
      <c r="FQ824"/>
      <c r="FR824"/>
      <c r="FS824"/>
      <c r="FT824"/>
      <c r="FU824"/>
      <c r="FV824"/>
      <c r="FW824"/>
      <c r="FX824"/>
      <c r="FY824"/>
      <c r="FZ824"/>
      <c r="GA824"/>
      <c r="GB824"/>
      <c r="GC824"/>
      <c r="GD824"/>
      <c r="GE824"/>
      <c r="GF824"/>
      <c r="GG824"/>
      <c r="GH824"/>
      <c r="GI824"/>
      <c r="GJ824"/>
      <c r="GK824"/>
      <c r="GL824"/>
      <c r="GM824"/>
      <c r="GN824"/>
      <c r="GO824"/>
      <c r="GP824"/>
      <c r="GQ824"/>
      <c r="GR824"/>
      <c r="GS824"/>
      <c r="GT824"/>
      <c r="GU824"/>
      <c r="GV824"/>
      <c r="GW824"/>
      <c r="GX824"/>
      <c r="GY824"/>
      <c r="GZ824"/>
      <c r="HA824"/>
      <c r="HB824"/>
      <c r="HC824"/>
      <c r="HD824"/>
      <c r="HE824"/>
      <c r="HF824"/>
      <c r="HG824"/>
      <c r="HH824"/>
      <c r="HI824"/>
      <c r="HJ824"/>
      <c r="HK824"/>
      <c r="HL824"/>
      <c r="HM824"/>
      <c r="HN824"/>
      <c r="HO824"/>
      <c r="HP824"/>
      <c r="HQ824"/>
      <c r="HR824"/>
      <c r="HS824"/>
      <c r="HT824"/>
      <c r="HU824"/>
      <c r="HV824"/>
      <c r="HW824"/>
      <c r="HX824"/>
      <c r="HY824"/>
      <c r="HZ824"/>
      <c r="IA824"/>
      <c r="IB824"/>
      <c r="IC824"/>
      <c r="ID824"/>
      <c r="IE824"/>
      <c r="IF824"/>
      <c r="IG824"/>
      <c r="IH824"/>
      <c r="II824"/>
      <c r="IJ824"/>
    </row>
    <row r="825" spans="1:244" s="488" customFormat="1" ht="12.75" customHeight="1" x14ac:dyDescent="0.2">
      <c r="A825" s="2468"/>
      <c r="B825" s="2112" t="s">
        <v>2549</v>
      </c>
      <c r="C825" s="2107">
        <v>200000</v>
      </c>
      <c r="D825" s="2107">
        <v>200000</v>
      </c>
      <c r="E825" s="2107">
        <v>141993</v>
      </c>
      <c r="F825" s="2107"/>
      <c r="G825" s="2200">
        <f t="shared" si="122"/>
        <v>70.996499999999997</v>
      </c>
      <c r="H825" s="2200">
        <f t="shared" si="124"/>
        <v>70.996499999999997</v>
      </c>
      <c r="I825" s="2201">
        <f t="shared" si="123"/>
        <v>118.419274938077</v>
      </c>
      <c r="J825" s="88">
        <v>119907</v>
      </c>
    </row>
    <row r="826" spans="1:244" ht="12.75" customHeight="1" x14ac:dyDescent="0.2">
      <c r="A826" s="2468"/>
      <c r="B826" s="2112" t="s">
        <v>2953</v>
      </c>
      <c r="C826" s="2107">
        <v>3000000</v>
      </c>
      <c r="D826" s="2107">
        <v>3000000</v>
      </c>
      <c r="E826" s="2107">
        <v>2857310.17</v>
      </c>
      <c r="F826" s="2107"/>
      <c r="G826" s="2200">
        <f t="shared" si="122"/>
        <v>95.243672333333336</v>
      </c>
      <c r="H826" s="2200">
        <f t="shared" si="124"/>
        <v>95.243672333333336</v>
      </c>
      <c r="I826" s="2201">
        <f t="shared" si="123"/>
        <v>102.64339663087515</v>
      </c>
      <c r="J826" s="88">
        <v>2783725.27</v>
      </c>
      <c r="K826" s="2"/>
      <c r="L826"/>
      <c r="M826"/>
      <c r="N826"/>
      <c r="O826"/>
      <c r="P826"/>
      <c r="Q826"/>
      <c r="R826"/>
      <c r="S826"/>
      <c r="T826"/>
      <c r="U826"/>
      <c r="V826"/>
      <c r="W826"/>
      <c r="X826"/>
      <c r="Y826"/>
      <c r="Z826"/>
      <c r="AA826"/>
      <c r="AB826"/>
      <c r="AC826"/>
      <c r="AD826"/>
      <c r="AE826"/>
      <c r="AF826"/>
      <c r="AG826"/>
      <c r="AH826"/>
      <c r="AI826"/>
      <c r="AJ826"/>
      <c r="AK826"/>
      <c r="AL826"/>
      <c r="AM826"/>
      <c r="AN826"/>
      <c r="AO826"/>
      <c r="AP826"/>
      <c r="AQ826"/>
      <c r="AR826"/>
      <c r="AS826"/>
      <c r="AT826"/>
      <c r="AU826"/>
      <c r="AV826"/>
      <c r="AW826"/>
      <c r="AX826"/>
      <c r="AY826"/>
      <c r="AZ826"/>
      <c r="BA826"/>
      <c r="BB826"/>
      <c r="BC826"/>
      <c r="BD826"/>
      <c r="BE826"/>
      <c r="BF826"/>
      <c r="BG826"/>
      <c r="BH826"/>
      <c r="BI826"/>
      <c r="BJ826"/>
      <c r="BK826"/>
      <c r="BL826"/>
      <c r="BM826"/>
      <c r="BN826"/>
      <c r="BO826"/>
      <c r="BP826"/>
      <c r="BQ826"/>
      <c r="BR826"/>
      <c r="BS826"/>
      <c r="BT826"/>
      <c r="BU826"/>
      <c r="BV826"/>
      <c r="BW826"/>
      <c r="BX826"/>
      <c r="BY826"/>
      <c r="BZ826"/>
      <c r="CA826"/>
      <c r="CB826"/>
      <c r="CC826"/>
      <c r="CD826"/>
      <c r="CE826"/>
      <c r="CF826"/>
      <c r="CG826"/>
      <c r="CH826"/>
      <c r="CI826"/>
      <c r="CJ826"/>
      <c r="CK826"/>
      <c r="CL826"/>
      <c r="CM826"/>
      <c r="CN826"/>
      <c r="CO826"/>
      <c r="CP826"/>
      <c r="CQ826"/>
      <c r="CR826"/>
      <c r="CS826"/>
      <c r="CT826"/>
      <c r="CU826"/>
      <c r="CV826"/>
      <c r="CW826"/>
      <c r="CX826"/>
      <c r="CY826"/>
      <c r="CZ826"/>
      <c r="DA826"/>
      <c r="DB826"/>
      <c r="DC826"/>
      <c r="DD826"/>
      <c r="DE826"/>
      <c r="DF826"/>
      <c r="DG826"/>
      <c r="DH826"/>
      <c r="DI826"/>
      <c r="DJ826"/>
      <c r="DK826"/>
      <c r="DL826"/>
      <c r="DM826"/>
      <c r="DN826"/>
      <c r="DO826"/>
      <c r="DP826"/>
      <c r="DQ826"/>
      <c r="DR826"/>
      <c r="DS826"/>
      <c r="DT826"/>
      <c r="DU826"/>
      <c r="DV826"/>
      <c r="DW826"/>
      <c r="DX826"/>
      <c r="DY826"/>
      <c r="DZ826"/>
      <c r="EA826"/>
      <c r="EB826"/>
      <c r="EC826"/>
      <c r="ED826"/>
      <c r="EE826"/>
      <c r="EF826"/>
      <c r="EG826"/>
      <c r="EH826"/>
      <c r="EI826"/>
      <c r="EJ826"/>
      <c r="EK826"/>
      <c r="EL826"/>
      <c r="EM826"/>
      <c r="EN826"/>
      <c r="EO826"/>
      <c r="EP826"/>
      <c r="EQ826"/>
      <c r="ER826"/>
      <c r="ES826"/>
      <c r="ET826"/>
      <c r="EU826"/>
      <c r="EV826"/>
      <c r="EW826"/>
      <c r="EX826"/>
      <c r="EY826"/>
      <c r="EZ826"/>
      <c r="FA826"/>
      <c r="FB826"/>
      <c r="FC826"/>
      <c r="FD826"/>
      <c r="FE826"/>
      <c r="FF826"/>
      <c r="FG826"/>
      <c r="FH826"/>
      <c r="FI826"/>
      <c r="FJ826"/>
      <c r="FK826"/>
      <c r="FL826"/>
      <c r="FM826"/>
      <c r="FN826"/>
      <c r="FO826"/>
      <c r="FP826"/>
      <c r="FQ826"/>
      <c r="FR826"/>
      <c r="FS826"/>
      <c r="FT826"/>
      <c r="FU826"/>
      <c r="FV826"/>
      <c r="FW826"/>
      <c r="FX826"/>
      <c r="FY826"/>
      <c r="FZ826"/>
      <c r="GA826"/>
      <c r="GB826"/>
      <c r="GC826"/>
      <c r="GD826"/>
      <c r="GE826"/>
      <c r="GF826"/>
      <c r="GG826"/>
      <c r="GH826"/>
      <c r="GI826"/>
      <c r="GJ826"/>
      <c r="GK826"/>
      <c r="GL826"/>
      <c r="GM826"/>
      <c r="GN826"/>
      <c r="GO826"/>
      <c r="GP826"/>
      <c r="GQ826"/>
      <c r="GR826"/>
      <c r="GS826"/>
      <c r="GT826"/>
      <c r="GU826"/>
      <c r="GV826"/>
      <c r="GW826"/>
      <c r="GX826"/>
      <c r="GY826"/>
      <c r="GZ826"/>
      <c r="HA826"/>
      <c r="HB826"/>
      <c r="HC826"/>
      <c r="HD826"/>
      <c r="HE826"/>
      <c r="HF826"/>
      <c r="HG826"/>
      <c r="HH826"/>
      <c r="HI826"/>
      <c r="HJ826"/>
      <c r="HK826"/>
      <c r="HL826"/>
      <c r="HM826"/>
      <c r="HN826"/>
      <c r="HO826"/>
      <c r="HP826"/>
      <c r="HQ826"/>
      <c r="HR826"/>
      <c r="HS826"/>
      <c r="HT826"/>
      <c r="HU826"/>
      <c r="HV826"/>
      <c r="HW826"/>
      <c r="HX826"/>
      <c r="HY826"/>
      <c r="HZ826"/>
      <c r="IA826"/>
      <c r="IB826"/>
      <c r="IC826"/>
      <c r="ID826"/>
      <c r="IE826"/>
      <c r="IF826"/>
      <c r="IG826"/>
      <c r="IH826"/>
      <c r="II826"/>
      <c r="IJ826"/>
    </row>
    <row r="827" spans="1:244" ht="12.75" customHeight="1" x14ac:dyDescent="0.2">
      <c r="A827" s="2468"/>
      <c r="B827" s="2113" t="s">
        <v>1942</v>
      </c>
      <c r="C827" s="2107">
        <v>120000</v>
      </c>
      <c r="D827" s="2107">
        <v>120000</v>
      </c>
      <c r="E827" s="2107">
        <v>103008</v>
      </c>
      <c r="F827" s="2107"/>
      <c r="G827" s="2200">
        <f t="shared" si="122"/>
        <v>85.84</v>
      </c>
      <c r="H827" s="2200">
        <f t="shared" si="124"/>
        <v>85.84</v>
      </c>
      <c r="I827" s="2201">
        <f t="shared" si="123"/>
        <v>97.496521632135398</v>
      </c>
      <c r="J827" s="88">
        <v>105653</v>
      </c>
      <c r="K827" s="2"/>
      <c r="L827"/>
      <c r="M827"/>
      <c r="N827"/>
      <c r="O827"/>
      <c r="P827"/>
      <c r="Q827"/>
      <c r="R827"/>
      <c r="S827"/>
      <c r="T827"/>
      <c r="U827"/>
      <c r="V827"/>
      <c r="W827"/>
      <c r="X827"/>
      <c r="Y827"/>
      <c r="Z827"/>
      <c r="AA827"/>
      <c r="AB827"/>
      <c r="AC827"/>
      <c r="AD827"/>
      <c r="AE827"/>
      <c r="AF827"/>
      <c r="AG827"/>
      <c r="AH827"/>
      <c r="AI827"/>
      <c r="AJ827"/>
      <c r="AK827"/>
      <c r="AL827"/>
      <c r="AM827"/>
      <c r="AN827"/>
      <c r="AO827"/>
      <c r="AP827"/>
      <c r="AQ827"/>
      <c r="AR827"/>
      <c r="AS827"/>
      <c r="AT827"/>
      <c r="AU827"/>
      <c r="AV827"/>
      <c r="AW827"/>
      <c r="AX827"/>
      <c r="AY827"/>
      <c r="AZ827"/>
      <c r="BA827"/>
      <c r="BB827"/>
      <c r="BC827"/>
      <c r="BD827"/>
      <c r="BE827"/>
      <c r="BF827"/>
      <c r="BG827"/>
      <c r="BH827"/>
      <c r="BI827"/>
      <c r="BJ827"/>
      <c r="BK827"/>
      <c r="BL827"/>
      <c r="BM827"/>
      <c r="BN827"/>
      <c r="BO827"/>
      <c r="BP827"/>
      <c r="BQ827"/>
      <c r="BR827"/>
      <c r="BS827"/>
      <c r="BT827"/>
      <c r="BU827"/>
      <c r="BV827"/>
      <c r="BW827"/>
      <c r="BX827"/>
      <c r="BY827"/>
      <c r="BZ827"/>
      <c r="CA827"/>
      <c r="CB827"/>
      <c r="CC827"/>
      <c r="CD827"/>
      <c r="CE827"/>
      <c r="CF827"/>
      <c r="CG827"/>
      <c r="CH827"/>
      <c r="CI827"/>
      <c r="CJ827"/>
      <c r="CK827"/>
      <c r="CL827"/>
      <c r="CM827"/>
      <c r="CN827"/>
      <c r="CO827"/>
      <c r="CP827"/>
      <c r="CQ827"/>
      <c r="CR827"/>
      <c r="CS827"/>
      <c r="CT827"/>
      <c r="CU827"/>
      <c r="CV827"/>
      <c r="CW827"/>
      <c r="CX827"/>
      <c r="CY827"/>
      <c r="CZ827"/>
      <c r="DA827"/>
      <c r="DB827"/>
      <c r="DC827"/>
      <c r="DD827"/>
      <c r="DE827"/>
      <c r="DF827"/>
      <c r="DG827"/>
      <c r="DH827"/>
      <c r="DI827"/>
      <c r="DJ827"/>
      <c r="DK827"/>
      <c r="DL827"/>
      <c r="DM827"/>
      <c r="DN827"/>
      <c r="DO827"/>
      <c r="DP827"/>
      <c r="DQ827"/>
      <c r="DR827"/>
      <c r="DS827"/>
      <c r="DT827"/>
      <c r="DU827"/>
      <c r="DV827"/>
      <c r="DW827"/>
      <c r="DX827"/>
      <c r="DY827"/>
      <c r="DZ827"/>
      <c r="EA827"/>
      <c r="EB827"/>
      <c r="EC827"/>
      <c r="ED827"/>
      <c r="EE827"/>
      <c r="EF827"/>
      <c r="EG827"/>
      <c r="EH827"/>
      <c r="EI827"/>
      <c r="EJ827"/>
      <c r="EK827"/>
      <c r="EL827"/>
      <c r="EM827"/>
      <c r="EN827"/>
      <c r="EO827"/>
      <c r="EP827"/>
      <c r="EQ827"/>
      <c r="ER827"/>
      <c r="ES827"/>
      <c r="ET827"/>
      <c r="EU827"/>
      <c r="EV827"/>
      <c r="EW827"/>
      <c r="EX827"/>
      <c r="EY827"/>
      <c r="EZ827"/>
      <c r="FA827"/>
      <c r="FB827"/>
      <c r="FC827"/>
      <c r="FD827"/>
      <c r="FE827"/>
      <c r="FF827"/>
      <c r="FG827"/>
      <c r="FH827"/>
      <c r="FI827"/>
      <c r="FJ827"/>
      <c r="FK827"/>
      <c r="FL827"/>
      <c r="FM827"/>
      <c r="FN827"/>
      <c r="FO827"/>
      <c r="FP827"/>
      <c r="FQ827"/>
      <c r="FR827"/>
      <c r="FS827"/>
      <c r="FT827"/>
      <c r="FU827"/>
      <c r="FV827"/>
      <c r="FW827"/>
      <c r="FX827"/>
      <c r="FY827"/>
      <c r="FZ827"/>
      <c r="GA827"/>
      <c r="GB827"/>
      <c r="GC827"/>
      <c r="GD827"/>
      <c r="GE827"/>
      <c r="GF827"/>
      <c r="GG827"/>
      <c r="GH827"/>
      <c r="GI827"/>
      <c r="GJ827"/>
      <c r="GK827"/>
      <c r="GL827"/>
      <c r="GM827"/>
      <c r="GN827"/>
      <c r="GO827"/>
      <c r="GP827"/>
      <c r="GQ827"/>
      <c r="GR827"/>
      <c r="GS827"/>
      <c r="GT827"/>
      <c r="GU827"/>
      <c r="GV827"/>
      <c r="GW827"/>
      <c r="GX827"/>
      <c r="GY827"/>
      <c r="GZ827"/>
      <c r="HA827"/>
      <c r="HB827"/>
      <c r="HC827"/>
      <c r="HD827"/>
      <c r="HE827"/>
      <c r="HF827"/>
      <c r="HG827"/>
      <c r="HH827"/>
      <c r="HI827"/>
      <c r="HJ827"/>
      <c r="HK827"/>
      <c r="HL827"/>
      <c r="HM827"/>
      <c r="HN827"/>
      <c r="HO827"/>
      <c r="HP827"/>
      <c r="HQ827"/>
      <c r="HR827"/>
      <c r="HS827"/>
      <c r="HT827"/>
      <c r="HU827"/>
      <c r="HV827"/>
      <c r="HW827"/>
      <c r="HX827"/>
      <c r="HY827"/>
      <c r="HZ827"/>
      <c r="IA827"/>
      <c r="IB827"/>
      <c r="IC827"/>
      <c r="ID827"/>
      <c r="IE827"/>
      <c r="IF827"/>
      <c r="IG827"/>
      <c r="IH827"/>
      <c r="II827"/>
      <c r="IJ827"/>
    </row>
    <row r="828" spans="1:244" ht="12.75" customHeight="1" x14ac:dyDescent="0.2">
      <c r="A828" s="2468"/>
      <c r="B828" s="2113" t="s">
        <v>3164</v>
      </c>
      <c r="C828" s="2107">
        <v>0</v>
      </c>
      <c r="D828" s="2107">
        <f>1690434+2000000</f>
        <v>3690434</v>
      </c>
      <c r="E828" s="2107">
        <v>0</v>
      </c>
      <c r="F828" s="2107"/>
      <c r="G828" s="2200">
        <v>0</v>
      </c>
      <c r="H828" s="2200">
        <v>0</v>
      </c>
      <c r="I828" s="2201">
        <v>0</v>
      </c>
      <c r="J828" s="88">
        <v>0</v>
      </c>
      <c r="K828" s="2"/>
      <c r="L828"/>
      <c r="M828"/>
      <c r="N828"/>
      <c r="O828"/>
      <c r="P828"/>
      <c r="Q828"/>
      <c r="R828"/>
      <c r="S828"/>
      <c r="T828"/>
      <c r="U828"/>
      <c r="V828"/>
      <c r="W828"/>
      <c r="X828"/>
      <c r="Y828"/>
      <c r="Z828"/>
      <c r="AA828"/>
      <c r="AB828"/>
      <c r="AC828"/>
      <c r="AD828"/>
      <c r="AE828"/>
      <c r="AF828"/>
      <c r="AG828"/>
      <c r="AH828"/>
      <c r="AI828"/>
      <c r="AJ828"/>
      <c r="AK828"/>
      <c r="AL828"/>
      <c r="AM828"/>
      <c r="AN828"/>
      <c r="AO828"/>
      <c r="AP828"/>
      <c r="AQ828"/>
      <c r="AR828"/>
      <c r="AS828"/>
      <c r="AT828"/>
      <c r="AU828"/>
      <c r="AV828"/>
      <c r="AW828"/>
      <c r="AX828"/>
      <c r="AY828"/>
      <c r="AZ828"/>
      <c r="BA828"/>
      <c r="BB828"/>
      <c r="BC828"/>
      <c r="BD828"/>
      <c r="BE828"/>
      <c r="BF828"/>
      <c r="BG828"/>
      <c r="BH828"/>
      <c r="BI828"/>
      <c r="BJ828"/>
      <c r="BK828"/>
      <c r="BL828"/>
      <c r="BM828"/>
      <c r="BN828"/>
      <c r="BO828"/>
      <c r="BP828"/>
      <c r="BQ828"/>
      <c r="BR828"/>
      <c r="BS828"/>
      <c r="BT828"/>
      <c r="BU828"/>
      <c r="BV828"/>
      <c r="BW828"/>
      <c r="BX828"/>
      <c r="BY828"/>
      <c r="BZ828"/>
      <c r="CA828"/>
      <c r="CB828"/>
      <c r="CC828"/>
      <c r="CD828"/>
      <c r="CE828"/>
      <c r="CF828"/>
      <c r="CG828"/>
      <c r="CH828"/>
      <c r="CI828"/>
      <c r="CJ828"/>
      <c r="CK828"/>
      <c r="CL828"/>
      <c r="CM828"/>
      <c r="CN828"/>
      <c r="CO828"/>
      <c r="CP828"/>
      <c r="CQ828"/>
      <c r="CR828"/>
      <c r="CS828"/>
      <c r="CT828"/>
      <c r="CU828"/>
      <c r="CV828"/>
      <c r="CW828"/>
      <c r="CX828"/>
      <c r="CY828"/>
      <c r="CZ828"/>
      <c r="DA828"/>
      <c r="DB828"/>
      <c r="DC828"/>
      <c r="DD828"/>
      <c r="DE828"/>
      <c r="DF828"/>
      <c r="DG828"/>
      <c r="DH828"/>
      <c r="DI828"/>
      <c r="DJ828"/>
      <c r="DK828"/>
      <c r="DL828"/>
      <c r="DM828"/>
      <c r="DN828"/>
      <c r="DO828"/>
      <c r="DP828"/>
      <c r="DQ828"/>
      <c r="DR828"/>
      <c r="DS828"/>
      <c r="DT828"/>
      <c r="DU828"/>
      <c r="DV828"/>
      <c r="DW828"/>
      <c r="DX828"/>
      <c r="DY828"/>
      <c r="DZ828"/>
      <c r="EA828"/>
      <c r="EB828"/>
      <c r="EC828"/>
      <c r="ED828"/>
      <c r="EE828"/>
      <c r="EF828"/>
      <c r="EG828"/>
      <c r="EH828"/>
      <c r="EI828"/>
      <c r="EJ828"/>
      <c r="EK828"/>
      <c r="EL828"/>
      <c r="EM828"/>
      <c r="EN828"/>
      <c r="EO828"/>
      <c r="EP828"/>
      <c r="EQ828"/>
      <c r="ER828"/>
      <c r="ES828"/>
      <c r="ET828"/>
      <c r="EU828"/>
      <c r="EV828"/>
      <c r="EW828"/>
      <c r="EX828"/>
      <c r="EY828"/>
      <c r="EZ828"/>
      <c r="FA828"/>
      <c r="FB828"/>
      <c r="FC828"/>
      <c r="FD828"/>
      <c r="FE828"/>
      <c r="FF828"/>
      <c r="FG828"/>
      <c r="FH828"/>
      <c r="FI828"/>
      <c r="FJ828"/>
      <c r="FK828"/>
      <c r="FL828"/>
      <c r="FM828"/>
      <c r="FN828"/>
      <c r="FO828"/>
      <c r="FP828"/>
      <c r="FQ828"/>
      <c r="FR828"/>
      <c r="FS828"/>
      <c r="FT828"/>
      <c r="FU828"/>
      <c r="FV828"/>
      <c r="FW828"/>
      <c r="FX828"/>
      <c r="FY828"/>
      <c r="FZ828"/>
      <c r="GA828"/>
      <c r="GB828"/>
      <c r="GC828"/>
      <c r="GD828"/>
      <c r="GE828"/>
      <c r="GF828"/>
      <c r="GG828"/>
      <c r="GH828"/>
      <c r="GI828"/>
      <c r="GJ828"/>
      <c r="GK828"/>
      <c r="GL828"/>
      <c r="GM828"/>
      <c r="GN828"/>
      <c r="GO828"/>
      <c r="GP828"/>
      <c r="GQ828"/>
      <c r="GR828"/>
      <c r="GS828"/>
      <c r="GT828"/>
      <c r="GU828"/>
      <c r="GV828"/>
      <c r="GW828"/>
      <c r="GX828"/>
      <c r="GY828"/>
      <c r="GZ828"/>
      <c r="HA828"/>
      <c r="HB828"/>
      <c r="HC828"/>
      <c r="HD828"/>
      <c r="HE828"/>
      <c r="HF828"/>
      <c r="HG828"/>
      <c r="HH828"/>
      <c r="HI828"/>
      <c r="HJ828"/>
      <c r="HK828"/>
      <c r="HL828"/>
      <c r="HM828"/>
      <c r="HN828"/>
      <c r="HO828"/>
      <c r="HP828"/>
      <c r="HQ828"/>
      <c r="HR828"/>
      <c r="HS828"/>
      <c r="HT828"/>
      <c r="HU828"/>
      <c r="HV828"/>
      <c r="HW828"/>
      <c r="HX828"/>
      <c r="HY828"/>
      <c r="HZ828"/>
      <c r="IA828"/>
      <c r="IB828"/>
      <c r="IC828"/>
      <c r="ID828"/>
      <c r="IE828"/>
      <c r="IF828"/>
      <c r="IG828"/>
      <c r="IH828"/>
      <c r="II828"/>
      <c r="IJ828"/>
    </row>
    <row r="829" spans="1:244" ht="12.75" customHeight="1" x14ac:dyDescent="0.2">
      <c r="A829" s="2468"/>
      <c r="B829" s="2114" t="s">
        <v>1943</v>
      </c>
      <c r="C829" s="2082">
        <v>50000</v>
      </c>
      <c r="D829" s="2082">
        <v>50000</v>
      </c>
      <c r="E829" s="2082">
        <v>34362.86</v>
      </c>
      <c r="F829" s="2613"/>
      <c r="G829" s="2459">
        <f t="shared" si="122"/>
        <v>68.725719999999995</v>
      </c>
      <c r="H829" s="2459">
        <f t="shared" si="124"/>
        <v>68.725719999999995</v>
      </c>
      <c r="I829" s="2460">
        <f t="shared" si="123"/>
        <v>116.41915538766452</v>
      </c>
      <c r="J829" s="2175">
        <v>29516.5</v>
      </c>
      <c r="K829" s="2"/>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c r="EX829"/>
      <c r="EY829"/>
      <c r="EZ829"/>
      <c r="FA829"/>
      <c r="FB829"/>
      <c r="FC829"/>
      <c r="FD829"/>
      <c r="FE829"/>
      <c r="FF829"/>
      <c r="FG829"/>
      <c r="FH829"/>
      <c r="FI829"/>
      <c r="FJ829"/>
      <c r="FK829"/>
      <c r="FL829"/>
      <c r="FM829"/>
      <c r="FN829"/>
      <c r="FO829"/>
      <c r="FP829"/>
      <c r="FQ829"/>
      <c r="FR829"/>
      <c r="FS829"/>
      <c r="FT829"/>
      <c r="FU829"/>
      <c r="FV829"/>
      <c r="FW829"/>
      <c r="FX829"/>
      <c r="FY829"/>
      <c r="FZ829"/>
      <c r="GA829"/>
      <c r="GB829"/>
      <c r="GC829"/>
      <c r="GD829"/>
      <c r="GE829"/>
      <c r="GF829"/>
      <c r="GG829"/>
      <c r="GH829"/>
      <c r="GI829"/>
      <c r="GJ829"/>
      <c r="GK829"/>
      <c r="GL829"/>
      <c r="GM829"/>
      <c r="GN829"/>
      <c r="GO829"/>
      <c r="GP829"/>
      <c r="GQ829"/>
      <c r="GR829"/>
      <c r="GS829"/>
      <c r="GT829"/>
      <c r="GU829"/>
      <c r="GV829"/>
      <c r="GW829"/>
      <c r="GX829"/>
      <c r="GY829"/>
      <c r="GZ829"/>
      <c r="HA829"/>
      <c r="HB829"/>
      <c r="HC829"/>
      <c r="HD829"/>
      <c r="HE829"/>
      <c r="HF829"/>
      <c r="HG829"/>
      <c r="HH829"/>
      <c r="HI829"/>
      <c r="HJ829"/>
      <c r="HK829"/>
      <c r="HL829"/>
      <c r="HM829"/>
      <c r="HN829"/>
      <c r="HO829"/>
      <c r="HP829"/>
      <c r="HQ829"/>
      <c r="HR829"/>
      <c r="HS829"/>
      <c r="HT829"/>
      <c r="HU829"/>
      <c r="HV829"/>
      <c r="HW829"/>
      <c r="HX829"/>
      <c r="HY829"/>
      <c r="HZ829"/>
      <c r="IA829"/>
      <c r="IB829"/>
      <c r="IC829"/>
      <c r="ID829"/>
      <c r="IE829"/>
      <c r="IF829"/>
      <c r="IG829"/>
      <c r="IH829"/>
      <c r="II829"/>
      <c r="IJ829"/>
    </row>
    <row r="830" spans="1:244" ht="12.75" customHeight="1" x14ac:dyDescent="0.2">
      <c r="A830" s="2468"/>
      <c r="B830" s="2114" t="s">
        <v>1944</v>
      </c>
      <c r="C830" s="2089">
        <f>C831+C832+C833+C834</f>
        <v>34000000</v>
      </c>
      <c r="D830" s="2089">
        <f>D831+D832+D833+D834</f>
        <v>32000000</v>
      </c>
      <c r="E830" s="2089">
        <v>30350493.359999999</v>
      </c>
      <c r="F830" s="2121">
        <f>SUM(E831:E834)</f>
        <v>30350493.359999999</v>
      </c>
      <c r="G830" s="2459">
        <f t="shared" si="122"/>
        <v>89.266156941176462</v>
      </c>
      <c r="H830" s="2459">
        <f t="shared" si="124"/>
        <v>94.845291749999987</v>
      </c>
      <c r="I830" s="2460">
        <f t="shared" si="123"/>
        <v>99.793700740221539</v>
      </c>
      <c r="J830" s="2175">
        <v>30413235.640000001</v>
      </c>
      <c r="K830" s="2"/>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c r="EX830"/>
      <c r="EY830"/>
      <c r="EZ830"/>
      <c r="FA830"/>
      <c r="FB830"/>
      <c r="FC830"/>
      <c r="FD830"/>
      <c r="FE830"/>
      <c r="FF830"/>
      <c r="FG830"/>
      <c r="FH830"/>
      <c r="FI830"/>
      <c r="FJ830"/>
      <c r="FK830"/>
      <c r="FL830"/>
      <c r="FM830"/>
      <c r="FN830"/>
      <c r="FO830"/>
      <c r="FP830"/>
      <c r="FQ830"/>
      <c r="FR830"/>
      <c r="FS830"/>
      <c r="FT830"/>
      <c r="FU830"/>
      <c r="FV830"/>
      <c r="FW830"/>
      <c r="FX830"/>
      <c r="FY830"/>
      <c r="FZ830"/>
      <c r="GA830"/>
      <c r="GB830"/>
      <c r="GC830"/>
      <c r="GD830"/>
      <c r="GE830"/>
      <c r="GF830"/>
      <c r="GG830"/>
      <c r="GH830"/>
      <c r="GI830"/>
      <c r="GJ830"/>
      <c r="GK830"/>
      <c r="GL830"/>
      <c r="GM830"/>
      <c r="GN830"/>
      <c r="GO830"/>
      <c r="GP830"/>
      <c r="GQ830"/>
      <c r="GR830"/>
      <c r="GS830"/>
      <c r="GT830"/>
      <c r="GU830"/>
      <c r="GV830"/>
      <c r="GW830"/>
      <c r="GX830"/>
      <c r="GY830"/>
      <c r="GZ830"/>
      <c r="HA830"/>
      <c r="HB830"/>
      <c r="HC830"/>
      <c r="HD830"/>
      <c r="HE830"/>
      <c r="HF830"/>
      <c r="HG830"/>
      <c r="HH830"/>
      <c r="HI830"/>
      <c r="HJ830"/>
      <c r="HK830"/>
      <c r="HL830"/>
      <c r="HM830"/>
      <c r="HN830"/>
      <c r="HO830"/>
      <c r="HP830"/>
      <c r="HQ830"/>
      <c r="HR830"/>
      <c r="HS830"/>
      <c r="HT830"/>
      <c r="HU830"/>
      <c r="HV830"/>
      <c r="HW830"/>
      <c r="HX830"/>
      <c r="HY830"/>
      <c r="HZ830"/>
      <c r="IA830"/>
      <c r="IB830"/>
      <c r="IC830"/>
      <c r="ID830"/>
      <c r="IE830"/>
      <c r="IF830"/>
      <c r="IG830"/>
      <c r="IH830"/>
      <c r="II830"/>
      <c r="IJ830"/>
    </row>
    <row r="831" spans="1:244" s="488" customFormat="1" ht="12.75" customHeight="1" x14ac:dyDescent="0.2">
      <c r="A831" s="2468"/>
      <c r="B831" s="2115" t="s">
        <v>1945</v>
      </c>
      <c r="C831" s="2075">
        <v>9000000</v>
      </c>
      <c r="D831" s="2075">
        <f>9000000+500000+100000</f>
        <v>9600000</v>
      </c>
      <c r="E831" s="2075">
        <v>9587039.5700000003</v>
      </c>
      <c r="F831" s="2075"/>
      <c r="G831" s="2200">
        <f t="shared" si="122"/>
        <v>106.5226618888889</v>
      </c>
      <c r="H831" s="2200">
        <f t="shared" si="124"/>
        <v>99.864995520833332</v>
      </c>
      <c r="I831" s="2201">
        <f t="shared" si="123"/>
        <v>104.85150550763316</v>
      </c>
      <c r="J831" s="88">
        <v>9143444.8399999999</v>
      </c>
    </row>
    <row r="832" spans="1:244" s="488" customFormat="1" ht="12.75" customHeight="1" x14ac:dyDescent="0.2">
      <c r="A832" s="2462"/>
      <c r="B832" s="2116" t="s">
        <v>1946</v>
      </c>
      <c r="C832" s="2107">
        <v>22000000</v>
      </c>
      <c r="D832" s="2107">
        <f>22000000-100000</f>
        <v>21900000</v>
      </c>
      <c r="E832" s="2107">
        <v>20530916.23</v>
      </c>
      <c r="F832" s="2107"/>
      <c r="G832" s="2200">
        <f t="shared" si="122"/>
        <v>93.322346499999995</v>
      </c>
      <c r="H832" s="2200">
        <f t="shared" si="124"/>
        <v>93.748475936073064</v>
      </c>
      <c r="I832" s="2201">
        <f t="shared" si="123"/>
        <v>107.98095632489519</v>
      </c>
      <c r="J832" s="88">
        <v>19013460.27</v>
      </c>
    </row>
    <row r="833" spans="1:244" s="488" customFormat="1" ht="12.75" customHeight="1" x14ac:dyDescent="0.2">
      <c r="A833" s="2462"/>
      <c r="B833" s="2088" t="s">
        <v>1947</v>
      </c>
      <c r="C833" s="2107">
        <v>500000</v>
      </c>
      <c r="D833" s="2107">
        <f>500000-500000</f>
        <v>0</v>
      </c>
      <c r="E833" s="2107">
        <v>0</v>
      </c>
      <c r="F833" s="2107"/>
      <c r="G833" s="2200">
        <f t="shared" si="122"/>
        <v>0</v>
      </c>
      <c r="H833" s="2200">
        <v>0</v>
      </c>
      <c r="I833" s="2201">
        <f t="shared" si="123"/>
        <v>0</v>
      </c>
      <c r="J833" s="88">
        <v>6063.27</v>
      </c>
    </row>
    <row r="834" spans="1:244" s="488" customFormat="1" ht="12.75" customHeight="1" x14ac:dyDescent="0.2">
      <c r="A834" s="2462"/>
      <c r="B834" s="2080" t="s">
        <v>1948</v>
      </c>
      <c r="C834" s="2107">
        <v>2500000</v>
      </c>
      <c r="D834" s="2107">
        <f>2500000-2000000</f>
        <v>500000</v>
      </c>
      <c r="E834" s="2107">
        <v>232537.56</v>
      </c>
      <c r="F834" s="2107"/>
      <c r="G834" s="2200">
        <f t="shared" si="122"/>
        <v>9.3015024000000004</v>
      </c>
      <c r="H834" s="2200">
        <f t="shared" si="124"/>
        <v>46.507511999999998</v>
      </c>
      <c r="I834" s="2201">
        <f t="shared" si="123"/>
        <v>10.333775197884718</v>
      </c>
      <c r="J834" s="88">
        <v>2250267.2599999998</v>
      </c>
    </row>
    <row r="835" spans="1:244" ht="12.75" customHeight="1" x14ac:dyDescent="0.2">
      <c r="A835" s="2391">
        <v>3613</v>
      </c>
      <c r="B835" s="2117" t="s">
        <v>879</v>
      </c>
      <c r="C835" s="2118">
        <f>C836+C840+C841+C842+C847+C857+C858-165000</f>
        <v>18279000</v>
      </c>
      <c r="D835" s="2118">
        <f>D836+D840+D841+D842+D847+D857+D858</f>
        <v>19562683.530000001</v>
      </c>
      <c r="E835" s="2118">
        <v>13896683.26</v>
      </c>
      <c r="F835" s="2469">
        <f>SUM(E836,E840:E842,E847,E857,E858)</f>
        <v>13896683.26</v>
      </c>
      <c r="G835" s="1663">
        <f t="shared" si="122"/>
        <v>76.025402155478957</v>
      </c>
      <c r="H835" s="1663">
        <f t="shared" si="124"/>
        <v>71.036692070844936</v>
      </c>
      <c r="I835" s="1662">
        <f t="shared" si="123"/>
        <v>92.830745693303726</v>
      </c>
      <c r="J835" s="88">
        <v>14969914.5</v>
      </c>
      <c r="K835" s="2"/>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c r="EX835"/>
      <c r="EY835"/>
      <c r="EZ835"/>
      <c r="FA835"/>
      <c r="FB835"/>
      <c r="FC835"/>
      <c r="FD835"/>
      <c r="FE835"/>
      <c r="FF835"/>
      <c r="FG835"/>
      <c r="FH835"/>
      <c r="FI835"/>
      <c r="FJ835"/>
      <c r="FK835"/>
      <c r="FL835"/>
      <c r="FM835"/>
      <c r="FN835"/>
      <c r="FO835"/>
      <c r="FP835"/>
      <c r="FQ835"/>
      <c r="FR835"/>
      <c r="FS835"/>
      <c r="FT835"/>
      <c r="FU835"/>
      <c r="FV835"/>
      <c r="FW835"/>
      <c r="FX835"/>
      <c r="FY835"/>
      <c r="FZ835"/>
      <c r="GA835"/>
      <c r="GB835"/>
      <c r="GC835"/>
      <c r="GD835"/>
      <c r="GE835"/>
      <c r="GF835"/>
      <c r="GG835"/>
      <c r="GH835"/>
      <c r="GI835"/>
      <c r="GJ835"/>
      <c r="GK835"/>
      <c r="GL835"/>
      <c r="GM835"/>
      <c r="GN835"/>
      <c r="GO835"/>
      <c r="GP835"/>
      <c r="GQ835"/>
      <c r="GR835"/>
      <c r="GS835"/>
      <c r="GT835"/>
      <c r="GU835"/>
      <c r="GV835"/>
      <c r="GW835"/>
      <c r="GX835"/>
      <c r="GY835"/>
      <c r="GZ835"/>
      <c r="HA835"/>
      <c r="HB835"/>
      <c r="HC835"/>
      <c r="HD835"/>
      <c r="HE835"/>
      <c r="HF835"/>
      <c r="HG835"/>
      <c r="HH835"/>
      <c r="HI835"/>
      <c r="HJ835"/>
      <c r="HK835"/>
      <c r="HL835"/>
      <c r="HM835"/>
      <c r="HN835"/>
      <c r="HO835"/>
      <c r="HP835"/>
      <c r="HQ835"/>
      <c r="HR835"/>
      <c r="HS835"/>
      <c r="HT835"/>
      <c r="HU835"/>
      <c r="HV835"/>
      <c r="HW835"/>
      <c r="HX835"/>
      <c r="HY835"/>
      <c r="HZ835"/>
      <c r="IA835"/>
      <c r="IB835"/>
      <c r="IC835"/>
      <c r="ID835"/>
      <c r="IE835"/>
      <c r="IF835"/>
      <c r="IG835"/>
      <c r="IH835"/>
      <c r="II835"/>
      <c r="IJ835"/>
    </row>
    <row r="836" spans="1:244" s="488" customFormat="1" ht="12.75" customHeight="1" x14ac:dyDescent="0.2">
      <c r="A836" s="2470"/>
      <c r="B836" s="2120" t="s">
        <v>880</v>
      </c>
      <c r="C836" s="2121">
        <f>SUM(C837:C839)</f>
        <v>1430000</v>
      </c>
      <c r="D836" s="2121">
        <f>SUM(D837:D839)</f>
        <v>1651497.52</v>
      </c>
      <c r="E836" s="2121">
        <v>1136835.24</v>
      </c>
      <c r="F836" s="2121">
        <f>SUM(E837:E839)</f>
        <v>1136835.24</v>
      </c>
      <c r="G836" s="2459">
        <f t="shared" si="122"/>
        <v>79.498967832167835</v>
      </c>
      <c r="H836" s="2459">
        <f t="shared" si="124"/>
        <v>68.836630163392556</v>
      </c>
      <c r="I836" s="2460">
        <f t="shared" si="123"/>
        <v>37.139129913415744</v>
      </c>
      <c r="J836" s="2175">
        <v>3061017.43</v>
      </c>
    </row>
    <row r="837" spans="1:244" s="488" customFormat="1" ht="12.75" customHeight="1" x14ac:dyDescent="0.2">
      <c r="A837" s="2471"/>
      <c r="B837" s="2080" t="s">
        <v>2551</v>
      </c>
      <c r="C837" s="2107">
        <v>500000</v>
      </c>
      <c r="D837" s="2107">
        <v>500000</v>
      </c>
      <c r="E837" s="2107">
        <v>0</v>
      </c>
      <c r="F837" s="2107"/>
      <c r="G837" s="2200">
        <f t="shared" si="122"/>
        <v>0</v>
      </c>
      <c r="H837" s="2200">
        <f t="shared" si="124"/>
        <v>0</v>
      </c>
      <c r="I837" s="2201">
        <v>0</v>
      </c>
      <c r="J837" s="2175">
        <v>0</v>
      </c>
    </row>
    <row r="838" spans="1:244" s="488" customFormat="1" ht="12.75" customHeight="1" x14ac:dyDescent="0.2">
      <c r="A838" s="2471"/>
      <c r="B838" s="2123" t="s">
        <v>2552</v>
      </c>
      <c r="C838" s="1809">
        <v>930000</v>
      </c>
      <c r="D838" s="1809">
        <f>930000+310000-930000-8502.48</f>
        <v>301497.52</v>
      </c>
      <c r="E838" s="2107">
        <v>301497.52</v>
      </c>
      <c r="F838" s="2107"/>
      <c r="G838" s="2200">
        <f t="shared" si="122"/>
        <v>32.419088172043011</v>
      </c>
      <c r="H838" s="2200">
        <f t="shared" si="124"/>
        <v>100</v>
      </c>
      <c r="I838" s="2201">
        <f t="shared" si="123"/>
        <v>50.249586666666666</v>
      </c>
      <c r="J838" s="88">
        <v>600000</v>
      </c>
    </row>
    <row r="839" spans="1:244" s="488" customFormat="1" ht="12.75" customHeight="1" x14ac:dyDescent="0.2">
      <c r="A839" s="2471"/>
      <c r="B839" s="2088" t="s">
        <v>2954</v>
      </c>
      <c r="C839" s="2107">
        <v>0</v>
      </c>
      <c r="D839" s="2107">
        <f>800000+50000</f>
        <v>850000</v>
      </c>
      <c r="E839" s="2107">
        <v>835337.72</v>
      </c>
      <c r="F839" s="2107"/>
      <c r="G839" s="2200">
        <v>0</v>
      </c>
      <c r="H839" s="2200">
        <f t="shared" si="124"/>
        <v>98.275025882352935</v>
      </c>
      <c r="I839" s="2201">
        <f t="shared" si="123"/>
        <v>110.22168455199832</v>
      </c>
      <c r="J839" s="88">
        <v>757870.58</v>
      </c>
    </row>
    <row r="840" spans="1:244" ht="12.75" customHeight="1" x14ac:dyDescent="0.2">
      <c r="A840" s="2471"/>
      <c r="B840" s="2087" t="s">
        <v>1959</v>
      </c>
      <c r="C840" s="2082">
        <v>30000</v>
      </c>
      <c r="D840" s="2082">
        <v>30000</v>
      </c>
      <c r="E840" s="2082">
        <v>3664.61</v>
      </c>
      <c r="F840" s="2613"/>
      <c r="G840" s="2459">
        <f t="shared" si="122"/>
        <v>12.215366666666668</v>
      </c>
      <c r="H840" s="2459">
        <f t="shared" si="124"/>
        <v>12.215366666666668</v>
      </c>
      <c r="I840" s="2460">
        <v>0</v>
      </c>
      <c r="J840" s="2175">
        <v>0</v>
      </c>
      <c r="K840" s="2"/>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c r="EX840"/>
      <c r="EY840"/>
      <c r="EZ840"/>
      <c r="FA840"/>
      <c r="FB840"/>
      <c r="FC840"/>
      <c r="FD840"/>
      <c r="FE840"/>
      <c r="FF840"/>
      <c r="FG840"/>
      <c r="FH840"/>
      <c r="FI840"/>
      <c r="FJ840"/>
      <c r="FK840"/>
      <c r="FL840"/>
      <c r="FM840"/>
      <c r="FN840"/>
      <c r="FO840"/>
      <c r="FP840"/>
      <c r="FQ840"/>
      <c r="FR840"/>
      <c r="FS840"/>
      <c r="FT840"/>
      <c r="FU840"/>
      <c r="FV840"/>
      <c r="FW840"/>
      <c r="FX840"/>
      <c r="FY840"/>
      <c r="FZ840"/>
      <c r="GA840"/>
      <c r="GB840"/>
      <c r="GC840"/>
      <c r="GD840"/>
      <c r="GE840"/>
      <c r="GF840"/>
      <c r="GG840"/>
      <c r="GH840"/>
      <c r="GI840"/>
      <c r="GJ840"/>
      <c r="GK840"/>
      <c r="GL840"/>
      <c r="GM840"/>
      <c r="GN840"/>
      <c r="GO840"/>
      <c r="GP840"/>
      <c r="GQ840"/>
      <c r="GR840"/>
      <c r="GS840"/>
      <c r="GT840"/>
      <c r="GU840"/>
      <c r="GV840"/>
      <c r="GW840"/>
      <c r="GX840"/>
      <c r="GY840"/>
      <c r="GZ840"/>
      <c r="HA840"/>
      <c r="HB840"/>
      <c r="HC840"/>
      <c r="HD840"/>
      <c r="HE840"/>
      <c r="HF840"/>
      <c r="HG840"/>
      <c r="HH840"/>
      <c r="HI840"/>
      <c r="HJ840"/>
      <c r="HK840"/>
      <c r="HL840"/>
      <c r="HM840"/>
      <c r="HN840"/>
      <c r="HO840"/>
      <c r="HP840"/>
      <c r="HQ840"/>
      <c r="HR840"/>
      <c r="HS840"/>
      <c r="HT840"/>
      <c r="HU840"/>
      <c r="HV840"/>
      <c r="HW840"/>
      <c r="HX840"/>
      <c r="HY840"/>
      <c r="HZ840"/>
      <c r="IA840"/>
      <c r="IB840"/>
      <c r="IC840"/>
      <c r="ID840"/>
      <c r="IE840"/>
      <c r="IF840"/>
      <c r="IG840"/>
      <c r="IH840"/>
      <c r="II840"/>
      <c r="IJ840"/>
    </row>
    <row r="841" spans="1:244" ht="12.75" customHeight="1" x14ac:dyDescent="0.2">
      <c r="A841" s="2471"/>
      <c r="B841" s="2087" t="s">
        <v>1960</v>
      </c>
      <c r="C841" s="2089">
        <v>80000</v>
      </c>
      <c r="D841" s="2089">
        <v>80000</v>
      </c>
      <c r="E841" s="2089">
        <v>16229.49</v>
      </c>
      <c r="F841" s="2089"/>
      <c r="G841" s="2459">
        <f t="shared" si="122"/>
        <v>20.286862499999998</v>
      </c>
      <c r="H841" s="2459">
        <f t="shared" si="124"/>
        <v>20.286862499999998</v>
      </c>
      <c r="I841" s="2460">
        <f t="shared" si="123"/>
        <v>102.25136481195049</v>
      </c>
      <c r="J841" s="2175">
        <v>15872.15</v>
      </c>
      <c r="K841" s="2"/>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c r="EX841"/>
      <c r="EY841"/>
      <c r="EZ841"/>
      <c r="FA841"/>
      <c r="FB841"/>
      <c r="FC841"/>
      <c r="FD841"/>
      <c r="FE841"/>
      <c r="FF841"/>
      <c r="FG841"/>
      <c r="FH841"/>
      <c r="FI841"/>
      <c r="FJ841"/>
      <c r="FK841"/>
      <c r="FL841"/>
      <c r="FM841"/>
      <c r="FN841"/>
      <c r="FO841"/>
      <c r="FP841"/>
      <c r="FQ841"/>
      <c r="FR841"/>
      <c r="FS841"/>
      <c r="FT841"/>
      <c r="FU841"/>
      <c r="FV841"/>
      <c r="FW841"/>
      <c r="FX841"/>
      <c r="FY841"/>
      <c r="FZ841"/>
      <c r="GA841"/>
      <c r="GB841"/>
      <c r="GC841"/>
      <c r="GD841"/>
      <c r="GE841"/>
      <c r="GF841"/>
      <c r="GG841"/>
      <c r="GH841"/>
      <c r="GI841"/>
      <c r="GJ841"/>
      <c r="GK841"/>
      <c r="GL841"/>
      <c r="GM841"/>
      <c r="GN841"/>
      <c r="GO841"/>
      <c r="GP841"/>
      <c r="GQ841"/>
      <c r="GR841"/>
      <c r="GS841"/>
      <c r="GT841"/>
      <c r="GU841"/>
      <c r="GV841"/>
      <c r="GW841"/>
      <c r="GX841"/>
      <c r="GY841"/>
      <c r="GZ841"/>
      <c r="HA841"/>
      <c r="HB841"/>
      <c r="HC841"/>
      <c r="HD841"/>
      <c r="HE841"/>
      <c r="HF841"/>
      <c r="HG841"/>
      <c r="HH841"/>
      <c r="HI841"/>
      <c r="HJ841"/>
      <c r="HK841"/>
      <c r="HL841"/>
      <c r="HM841"/>
      <c r="HN841"/>
      <c r="HO841"/>
      <c r="HP841"/>
      <c r="HQ841"/>
      <c r="HR841"/>
      <c r="HS841"/>
      <c r="HT841"/>
      <c r="HU841"/>
      <c r="HV841"/>
      <c r="HW841"/>
      <c r="HX841"/>
      <c r="HY841"/>
      <c r="HZ841"/>
      <c r="IA841"/>
      <c r="IB841"/>
      <c r="IC841"/>
      <c r="ID841"/>
      <c r="IE841"/>
      <c r="IF841"/>
      <c r="IG841"/>
      <c r="IH841"/>
      <c r="II841"/>
      <c r="IJ841"/>
    </row>
    <row r="842" spans="1:244" s="98" customFormat="1" ht="12.75" customHeight="1" x14ac:dyDescent="0.2">
      <c r="A842" s="2464"/>
      <c r="B842" s="2087" t="s">
        <v>1961</v>
      </c>
      <c r="C842" s="2089">
        <f>C843+C844+C845+C846</f>
        <v>6500000</v>
      </c>
      <c r="D842" s="2089">
        <f>D843+D844+D845+D846</f>
        <v>6200000</v>
      </c>
      <c r="E842" s="2089">
        <v>3175549.75</v>
      </c>
      <c r="F842" s="2472">
        <f>SUM(E843:E846)</f>
        <v>3175549.75</v>
      </c>
      <c r="G842" s="2459">
        <f t="shared" si="122"/>
        <v>48.85461153846154</v>
      </c>
      <c r="H842" s="2459">
        <f t="shared" si="124"/>
        <v>51.218544354838713</v>
      </c>
      <c r="I842" s="2460">
        <f t="shared" si="123"/>
        <v>68.990813776449528</v>
      </c>
      <c r="J842" s="2175">
        <v>4602858.8099999996</v>
      </c>
    </row>
    <row r="843" spans="1:244" s="488" customFormat="1" ht="12.75" customHeight="1" x14ac:dyDescent="0.2">
      <c r="A843" s="2464"/>
      <c r="B843" s="2087" t="s">
        <v>1945</v>
      </c>
      <c r="C843" s="2107">
        <v>1000000</v>
      </c>
      <c r="D843" s="2107">
        <v>1000000</v>
      </c>
      <c r="E843" s="2107">
        <v>579803.06999999995</v>
      </c>
      <c r="F843" s="2107"/>
      <c r="G843" s="2200">
        <f t="shared" si="122"/>
        <v>57.980306999999996</v>
      </c>
      <c r="H843" s="2200">
        <f t="shared" si="124"/>
        <v>57.980306999999996</v>
      </c>
      <c r="I843" s="2201">
        <f t="shared" si="123"/>
        <v>55.373657946807008</v>
      </c>
      <c r="J843" s="88">
        <v>1047073.81</v>
      </c>
    </row>
    <row r="844" spans="1:244" ht="12.75" customHeight="1" x14ac:dyDescent="0.2">
      <c r="A844" s="2464"/>
      <c r="B844" s="2087" t="s">
        <v>897</v>
      </c>
      <c r="C844" s="2107">
        <v>1000000</v>
      </c>
      <c r="D844" s="2107">
        <f>1000000-300000</f>
        <v>700000</v>
      </c>
      <c r="E844" s="2107">
        <v>45346.32</v>
      </c>
      <c r="F844" s="2107"/>
      <c r="G844" s="2200">
        <f t="shared" si="122"/>
        <v>4.5346320000000002</v>
      </c>
      <c r="H844" s="2200">
        <f t="shared" si="124"/>
        <v>6.478045714285714</v>
      </c>
      <c r="I844" s="2201">
        <f t="shared" si="123"/>
        <v>114.48980364730743</v>
      </c>
      <c r="J844" s="88">
        <v>39607.300000000003</v>
      </c>
      <c r="K844" s="2"/>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c r="EX844"/>
      <c r="EY844"/>
      <c r="EZ844"/>
      <c r="FA844"/>
      <c r="FB844"/>
      <c r="FC844"/>
      <c r="FD844"/>
      <c r="FE844"/>
      <c r="FF844"/>
      <c r="FG844"/>
      <c r="FH844"/>
      <c r="FI844"/>
      <c r="FJ844"/>
      <c r="FK844"/>
      <c r="FL844"/>
      <c r="FM844"/>
      <c r="FN844"/>
      <c r="FO844"/>
      <c r="FP844"/>
      <c r="FQ844"/>
      <c r="FR844"/>
      <c r="FS844"/>
      <c r="FT844"/>
      <c r="FU844"/>
      <c r="FV844"/>
      <c r="FW844"/>
      <c r="FX844"/>
      <c r="FY844"/>
      <c r="FZ844"/>
      <c r="GA844"/>
      <c r="GB844"/>
      <c r="GC844"/>
      <c r="GD844"/>
      <c r="GE844"/>
      <c r="GF844"/>
      <c r="GG844"/>
      <c r="GH844"/>
      <c r="GI844"/>
      <c r="GJ844"/>
      <c r="GK844"/>
      <c r="GL844"/>
      <c r="GM844"/>
      <c r="GN844"/>
      <c r="GO844"/>
      <c r="GP844"/>
      <c r="GQ844"/>
      <c r="GR844"/>
      <c r="GS844"/>
      <c r="GT844"/>
      <c r="GU844"/>
      <c r="GV844"/>
      <c r="GW844"/>
      <c r="GX844"/>
      <c r="GY844"/>
      <c r="GZ844"/>
      <c r="HA844"/>
      <c r="HB844"/>
      <c r="HC844"/>
      <c r="HD844"/>
      <c r="HE844"/>
      <c r="HF844"/>
      <c r="HG844"/>
      <c r="HH844"/>
      <c r="HI844"/>
      <c r="HJ844"/>
      <c r="HK844"/>
      <c r="HL844"/>
      <c r="HM844"/>
      <c r="HN844"/>
      <c r="HO844"/>
      <c r="HP844"/>
      <c r="HQ844"/>
      <c r="HR844"/>
      <c r="HS844"/>
      <c r="HT844"/>
      <c r="HU844"/>
      <c r="HV844"/>
      <c r="HW844"/>
      <c r="HX844"/>
      <c r="HY844"/>
      <c r="HZ844"/>
      <c r="IA844"/>
      <c r="IB844"/>
      <c r="IC844"/>
      <c r="ID844"/>
      <c r="IE844"/>
      <c r="IF844"/>
      <c r="IG844"/>
      <c r="IH844"/>
      <c r="II844"/>
      <c r="IJ844"/>
    </row>
    <row r="845" spans="1:244" ht="12.75" customHeight="1" x14ac:dyDescent="0.2">
      <c r="A845" s="2391"/>
      <c r="B845" s="2116" t="s">
        <v>898</v>
      </c>
      <c r="C845" s="2075">
        <v>2500000</v>
      </c>
      <c r="D845" s="2075">
        <v>2500000</v>
      </c>
      <c r="E845" s="2075">
        <v>1270399.22</v>
      </c>
      <c r="F845" s="2075"/>
      <c r="G845" s="2200">
        <f t="shared" si="122"/>
        <v>50.8159688</v>
      </c>
      <c r="H845" s="2200">
        <f t="shared" si="124"/>
        <v>50.8159688</v>
      </c>
      <c r="I845" s="2201">
        <f t="shared" si="123"/>
        <v>55.139019446642187</v>
      </c>
      <c r="J845" s="88">
        <v>2303993.13</v>
      </c>
      <c r="K845" s="2"/>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c r="EX845"/>
      <c r="EY845"/>
      <c r="EZ845"/>
      <c r="FA845"/>
      <c r="FB845"/>
      <c r="FC845"/>
      <c r="FD845"/>
      <c r="FE845"/>
      <c r="FF845"/>
      <c r="FG845"/>
      <c r="FH845"/>
      <c r="FI845"/>
      <c r="FJ845"/>
      <c r="FK845"/>
      <c r="FL845"/>
      <c r="FM845"/>
      <c r="FN845"/>
      <c r="FO845"/>
      <c r="FP845"/>
      <c r="FQ845"/>
      <c r="FR845"/>
      <c r="FS845"/>
      <c r="FT845"/>
      <c r="FU845"/>
      <c r="FV845"/>
      <c r="FW845"/>
      <c r="FX845"/>
      <c r="FY845"/>
      <c r="FZ845"/>
      <c r="GA845"/>
      <c r="GB845"/>
      <c r="GC845"/>
      <c r="GD845"/>
      <c r="GE845"/>
      <c r="GF845"/>
      <c r="GG845"/>
      <c r="GH845"/>
      <c r="GI845"/>
      <c r="GJ845"/>
      <c r="GK845"/>
      <c r="GL845"/>
      <c r="GM845"/>
      <c r="GN845"/>
      <c r="GO845"/>
      <c r="GP845"/>
      <c r="GQ845"/>
      <c r="GR845"/>
      <c r="GS845"/>
      <c r="GT845"/>
      <c r="GU845"/>
      <c r="GV845"/>
      <c r="GW845"/>
      <c r="GX845"/>
      <c r="GY845"/>
      <c r="GZ845"/>
      <c r="HA845"/>
      <c r="HB845"/>
      <c r="HC845"/>
      <c r="HD845"/>
      <c r="HE845"/>
      <c r="HF845"/>
      <c r="HG845"/>
      <c r="HH845"/>
      <c r="HI845"/>
      <c r="HJ845"/>
      <c r="HK845"/>
      <c r="HL845"/>
      <c r="HM845"/>
      <c r="HN845"/>
      <c r="HO845"/>
      <c r="HP845"/>
      <c r="HQ845"/>
      <c r="HR845"/>
      <c r="HS845"/>
      <c r="HT845"/>
      <c r="HU845"/>
      <c r="HV845"/>
      <c r="HW845"/>
      <c r="HX845"/>
      <c r="HY845"/>
      <c r="HZ845"/>
      <c r="IA845"/>
      <c r="IB845"/>
      <c r="IC845"/>
      <c r="ID845"/>
      <c r="IE845"/>
      <c r="IF845"/>
      <c r="IG845"/>
      <c r="IH845"/>
      <c r="II845"/>
      <c r="IJ845"/>
    </row>
    <row r="846" spans="1:244" ht="12.75" customHeight="1" x14ac:dyDescent="0.2">
      <c r="A846" s="2391"/>
      <c r="B846" s="2116" t="s">
        <v>1962</v>
      </c>
      <c r="C846" s="2075">
        <v>2000000</v>
      </c>
      <c r="D846" s="2075">
        <v>2000000</v>
      </c>
      <c r="E846" s="2075">
        <v>1280001.1399999999</v>
      </c>
      <c r="F846" s="2075"/>
      <c r="G846" s="2200">
        <f t="shared" si="122"/>
        <v>64.000056999999998</v>
      </c>
      <c r="H846" s="2200">
        <f t="shared" si="124"/>
        <v>64.000056999999998</v>
      </c>
      <c r="I846" s="2201">
        <f t="shared" si="123"/>
        <v>105.59457459518727</v>
      </c>
      <c r="J846" s="88">
        <v>1212184.57</v>
      </c>
      <c r="K846" s="2"/>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c r="EX846"/>
      <c r="EY846"/>
      <c r="EZ846"/>
      <c r="FA846"/>
      <c r="FB846"/>
      <c r="FC846"/>
      <c r="FD846"/>
      <c r="FE846"/>
      <c r="FF846"/>
      <c r="FG846"/>
      <c r="FH846"/>
      <c r="FI846"/>
      <c r="FJ846"/>
      <c r="FK846"/>
      <c r="FL846"/>
      <c r="FM846"/>
      <c r="FN846"/>
      <c r="FO846"/>
      <c r="FP846"/>
      <c r="FQ846"/>
      <c r="FR846"/>
      <c r="FS846"/>
      <c r="FT846"/>
      <c r="FU846"/>
      <c r="FV846"/>
      <c r="FW846"/>
      <c r="FX846"/>
      <c r="FY846"/>
      <c r="FZ846"/>
      <c r="GA846"/>
      <c r="GB846"/>
      <c r="GC846"/>
      <c r="GD846"/>
      <c r="GE846"/>
      <c r="GF846"/>
      <c r="GG846"/>
      <c r="GH846"/>
      <c r="GI846"/>
      <c r="GJ846"/>
      <c r="GK846"/>
      <c r="GL846"/>
      <c r="GM846"/>
      <c r="GN846"/>
      <c r="GO846"/>
      <c r="GP846"/>
      <c r="GQ846"/>
      <c r="GR846"/>
      <c r="GS846"/>
      <c r="GT846"/>
      <c r="GU846"/>
      <c r="GV846"/>
      <c r="GW846"/>
      <c r="GX846"/>
      <c r="GY846"/>
      <c r="GZ846"/>
      <c r="HA846"/>
      <c r="HB846"/>
      <c r="HC846"/>
      <c r="HD846"/>
      <c r="HE846"/>
      <c r="HF846"/>
      <c r="HG846"/>
      <c r="HH846"/>
      <c r="HI846"/>
      <c r="HJ846"/>
      <c r="HK846"/>
      <c r="HL846"/>
      <c r="HM846"/>
      <c r="HN846"/>
      <c r="HO846"/>
      <c r="HP846"/>
      <c r="HQ846"/>
      <c r="HR846"/>
      <c r="HS846"/>
      <c r="HT846"/>
      <c r="HU846"/>
      <c r="HV846"/>
      <c r="HW846"/>
      <c r="HX846"/>
      <c r="HY846"/>
      <c r="HZ846"/>
      <c r="IA846"/>
      <c r="IB846"/>
      <c r="IC846"/>
      <c r="ID846"/>
      <c r="IE846"/>
      <c r="IF846"/>
      <c r="IG846"/>
      <c r="IH846"/>
      <c r="II846"/>
      <c r="IJ846"/>
    </row>
    <row r="847" spans="1:244" s="2" customFormat="1" ht="12.75" customHeight="1" x14ac:dyDescent="0.2">
      <c r="A847" s="2391"/>
      <c r="B847" s="2124" t="s">
        <v>900</v>
      </c>
      <c r="C847" s="2082">
        <f>SUM(C848:C856)</f>
        <v>4370000</v>
      </c>
      <c r="D847" s="2082">
        <f>SUM(D848:D856)</f>
        <v>4460000</v>
      </c>
      <c r="E847" s="2082">
        <v>4150555.16</v>
      </c>
      <c r="F847" s="2082">
        <f>SUM(E848:E856)</f>
        <v>4150555.16</v>
      </c>
      <c r="G847" s="2459">
        <f t="shared" si="122"/>
        <v>94.978378947368427</v>
      </c>
      <c r="H847" s="2459">
        <f t="shared" si="124"/>
        <v>93.061774887892383</v>
      </c>
      <c r="I847" s="2460">
        <f t="shared" si="123"/>
        <v>105.34102694748313</v>
      </c>
      <c r="J847" s="2175">
        <v>3940112.68</v>
      </c>
    </row>
    <row r="848" spans="1:244" ht="12.75" customHeight="1" x14ac:dyDescent="0.2">
      <c r="A848" s="2391"/>
      <c r="B848" s="2116" t="s">
        <v>1963</v>
      </c>
      <c r="C848" s="2075">
        <v>250000</v>
      </c>
      <c r="D848" s="2075">
        <v>250000</v>
      </c>
      <c r="E848" s="2075">
        <v>220000</v>
      </c>
      <c r="F848" s="2075"/>
      <c r="G848" s="2200">
        <f t="shared" si="122"/>
        <v>88</v>
      </c>
      <c r="H848" s="2200">
        <f t="shared" si="124"/>
        <v>88</v>
      </c>
      <c r="I848" s="2201">
        <v>0</v>
      </c>
      <c r="J848" s="88">
        <v>428753.35</v>
      </c>
      <c r="K848" s="2"/>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c r="EX848"/>
      <c r="EY848"/>
      <c r="EZ848"/>
      <c r="FA848"/>
      <c r="FB848"/>
      <c r="FC848"/>
      <c r="FD848"/>
      <c r="FE848"/>
      <c r="FF848"/>
      <c r="FG848"/>
      <c r="FH848"/>
      <c r="FI848"/>
      <c r="FJ848"/>
      <c r="FK848"/>
      <c r="FL848"/>
      <c r="FM848"/>
      <c r="FN848"/>
      <c r="FO848"/>
      <c r="FP848"/>
      <c r="FQ848"/>
      <c r="FR848"/>
      <c r="FS848"/>
      <c r="FT848"/>
      <c r="FU848"/>
      <c r="FV848"/>
      <c r="FW848"/>
      <c r="FX848"/>
      <c r="FY848"/>
      <c r="FZ848"/>
      <c r="GA848"/>
      <c r="GB848"/>
      <c r="GC848"/>
      <c r="GD848"/>
      <c r="GE848"/>
      <c r="GF848"/>
      <c r="GG848"/>
      <c r="GH848"/>
      <c r="GI848"/>
      <c r="GJ848"/>
      <c r="GK848"/>
      <c r="GL848"/>
      <c r="GM848"/>
      <c r="GN848"/>
      <c r="GO848"/>
      <c r="GP848"/>
      <c r="GQ848"/>
      <c r="GR848"/>
      <c r="GS848"/>
      <c r="GT848"/>
      <c r="GU848"/>
      <c r="GV848"/>
      <c r="GW848"/>
      <c r="GX848"/>
      <c r="GY848"/>
      <c r="GZ848"/>
      <c r="HA848"/>
      <c r="HB848"/>
      <c r="HC848"/>
      <c r="HD848"/>
      <c r="HE848"/>
      <c r="HF848"/>
      <c r="HG848"/>
      <c r="HH848"/>
      <c r="HI848"/>
      <c r="HJ848"/>
      <c r="HK848"/>
      <c r="HL848"/>
      <c r="HM848"/>
      <c r="HN848"/>
      <c r="HO848"/>
      <c r="HP848"/>
      <c r="HQ848"/>
      <c r="HR848"/>
      <c r="HS848"/>
      <c r="HT848"/>
      <c r="HU848"/>
      <c r="HV848"/>
      <c r="HW848"/>
      <c r="HX848"/>
      <c r="HY848"/>
      <c r="HZ848"/>
      <c r="IA848"/>
      <c r="IB848"/>
      <c r="IC848"/>
      <c r="ID848"/>
      <c r="IE848"/>
      <c r="IF848"/>
      <c r="IG848"/>
      <c r="IH848"/>
      <c r="II848"/>
      <c r="IJ848"/>
    </row>
    <row r="849" spans="1:244" ht="12.75" customHeight="1" x14ac:dyDescent="0.2">
      <c r="A849" s="2391"/>
      <c r="B849" s="2083" t="s">
        <v>1964</v>
      </c>
      <c r="C849" s="2075">
        <v>1000000</v>
      </c>
      <c r="D849" s="2075">
        <f>1000000-50000-100000+300000</f>
        <v>1150000</v>
      </c>
      <c r="E849" s="2075">
        <v>1133169.8799999999</v>
      </c>
      <c r="F849" s="2075"/>
      <c r="G849" s="2200">
        <f t="shared" si="122"/>
        <v>113.31698799999998</v>
      </c>
      <c r="H849" s="2200">
        <f t="shared" si="124"/>
        <v>98.536511304347812</v>
      </c>
      <c r="I849" s="2201">
        <f t="shared" si="123"/>
        <v>114.2886483736294</v>
      </c>
      <c r="J849" s="88">
        <v>991498.19</v>
      </c>
      <c r="K849" s="2"/>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c r="EX849"/>
      <c r="EY849"/>
      <c r="EZ849"/>
      <c r="FA849"/>
      <c r="FB849"/>
      <c r="FC849"/>
      <c r="FD849"/>
      <c r="FE849"/>
      <c r="FF849"/>
      <c r="FG849"/>
      <c r="FH849"/>
      <c r="FI849"/>
      <c r="FJ849"/>
      <c r="FK849"/>
      <c r="FL849"/>
      <c r="FM849"/>
      <c r="FN849"/>
      <c r="FO849"/>
      <c r="FP849"/>
      <c r="FQ849"/>
      <c r="FR849"/>
      <c r="FS849"/>
      <c r="FT849"/>
      <c r="FU849"/>
      <c r="FV849"/>
      <c r="FW849"/>
      <c r="FX849"/>
      <c r="FY849"/>
      <c r="FZ849"/>
      <c r="GA849"/>
      <c r="GB849"/>
      <c r="GC849"/>
      <c r="GD849"/>
      <c r="GE849"/>
      <c r="GF849"/>
      <c r="GG849"/>
      <c r="GH849"/>
      <c r="GI849"/>
      <c r="GJ849"/>
      <c r="GK849"/>
      <c r="GL849"/>
      <c r="GM849"/>
      <c r="GN849"/>
      <c r="GO849"/>
      <c r="GP849"/>
      <c r="GQ849"/>
      <c r="GR849"/>
      <c r="GS849"/>
      <c r="GT849"/>
      <c r="GU849"/>
      <c r="GV849"/>
      <c r="GW849"/>
      <c r="GX849"/>
      <c r="GY849"/>
      <c r="GZ849"/>
      <c r="HA849"/>
      <c r="HB849"/>
      <c r="HC849"/>
      <c r="HD849"/>
      <c r="HE849"/>
      <c r="HF849"/>
      <c r="HG849"/>
      <c r="HH849"/>
      <c r="HI849"/>
      <c r="HJ849"/>
      <c r="HK849"/>
      <c r="HL849"/>
      <c r="HM849"/>
      <c r="HN849"/>
      <c r="HO849"/>
      <c r="HP849"/>
      <c r="HQ849"/>
      <c r="HR849"/>
      <c r="HS849"/>
      <c r="HT849"/>
      <c r="HU849"/>
      <c r="HV849"/>
      <c r="HW849"/>
      <c r="HX849"/>
      <c r="HY849"/>
      <c r="HZ849"/>
      <c r="IA849"/>
      <c r="IB849"/>
      <c r="IC849"/>
      <c r="ID849"/>
      <c r="IE849"/>
      <c r="IF849"/>
      <c r="IG849"/>
      <c r="IH849"/>
      <c r="II849"/>
      <c r="IJ849"/>
    </row>
    <row r="850" spans="1:244" ht="12.75" customHeight="1" x14ac:dyDescent="0.2">
      <c r="A850" s="2391"/>
      <c r="B850" s="2083" t="s">
        <v>1965</v>
      </c>
      <c r="C850" s="2075">
        <v>50000</v>
      </c>
      <c r="D850" s="2075">
        <v>50000</v>
      </c>
      <c r="E850" s="2075">
        <v>0</v>
      </c>
      <c r="F850" s="2075"/>
      <c r="G850" s="2200">
        <f t="shared" si="122"/>
        <v>0</v>
      </c>
      <c r="H850" s="2200">
        <f t="shared" si="124"/>
        <v>0</v>
      </c>
      <c r="I850" s="2201">
        <v>0</v>
      </c>
      <c r="J850" s="88">
        <v>70543</v>
      </c>
      <c r="K850" s="2"/>
      <c r="L850"/>
      <c r="M850"/>
      <c r="N850"/>
      <c r="O850"/>
      <c r="P850"/>
      <c r="Q850"/>
      <c r="R850"/>
      <c r="S850"/>
      <c r="T850"/>
      <c r="U850"/>
      <c r="V850"/>
      <c r="W850"/>
      <c r="X850"/>
      <c r="Y850"/>
      <c r="Z850"/>
      <c r="AA850"/>
      <c r="AB850"/>
      <c r="AC850"/>
      <c r="AD850"/>
      <c r="AE850"/>
      <c r="AF850"/>
      <c r="AG850"/>
      <c r="AH850"/>
      <c r="AI850"/>
      <c r="AJ850"/>
      <c r="AK850"/>
      <c r="AL850"/>
      <c r="AM850"/>
      <c r="AN850"/>
      <c r="AO850"/>
      <c r="AP850"/>
      <c r="AQ850"/>
      <c r="AR850"/>
      <c r="AS850"/>
      <c r="AT850"/>
      <c r="AU850"/>
      <c r="AV850"/>
      <c r="AW850"/>
      <c r="AX850"/>
      <c r="AY850"/>
      <c r="AZ850"/>
      <c r="BA850"/>
      <c r="BB850"/>
      <c r="BC850"/>
      <c r="BD850"/>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c r="EX850"/>
      <c r="EY850"/>
      <c r="EZ850"/>
      <c r="FA850"/>
      <c r="FB850"/>
      <c r="FC850"/>
      <c r="FD850"/>
      <c r="FE850"/>
      <c r="FF850"/>
      <c r="FG850"/>
      <c r="FH850"/>
      <c r="FI850"/>
      <c r="FJ850"/>
      <c r="FK850"/>
      <c r="FL850"/>
      <c r="FM850"/>
      <c r="FN850"/>
      <c r="FO850"/>
      <c r="FP850"/>
      <c r="FQ850"/>
      <c r="FR850"/>
      <c r="FS850"/>
      <c r="FT850"/>
      <c r="FU850"/>
      <c r="FV850"/>
      <c r="FW850"/>
      <c r="FX850"/>
      <c r="FY850"/>
      <c r="FZ850"/>
      <c r="GA850"/>
      <c r="GB850"/>
      <c r="GC850"/>
      <c r="GD850"/>
      <c r="GE850"/>
      <c r="GF850"/>
      <c r="GG850"/>
      <c r="GH850"/>
      <c r="GI850"/>
      <c r="GJ850"/>
      <c r="GK850"/>
      <c r="GL850"/>
      <c r="GM850"/>
      <c r="GN850"/>
      <c r="GO850"/>
      <c r="GP850"/>
      <c r="GQ850"/>
      <c r="GR850"/>
      <c r="GS850"/>
      <c r="GT850"/>
      <c r="GU850"/>
      <c r="GV850"/>
      <c r="GW850"/>
      <c r="GX850"/>
      <c r="GY850"/>
      <c r="GZ850"/>
      <c r="HA850"/>
      <c r="HB850"/>
      <c r="HC850"/>
      <c r="HD850"/>
      <c r="HE850"/>
      <c r="HF850"/>
      <c r="HG850"/>
      <c r="HH850"/>
      <c r="HI850"/>
      <c r="HJ850"/>
      <c r="HK850"/>
      <c r="HL850"/>
      <c r="HM850"/>
      <c r="HN850"/>
      <c r="HO850"/>
      <c r="HP850"/>
      <c r="HQ850"/>
      <c r="HR850"/>
      <c r="HS850"/>
      <c r="HT850"/>
      <c r="HU850"/>
      <c r="HV850"/>
      <c r="HW850"/>
      <c r="HX850"/>
      <c r="HY850"/>
      <c r="HZ850"/>
      <c r="IA850"/>
      <c r="IB850"/>
      <c r="IC850"/>
      <c r="ID850"/>
      <c r="IE850"/>
      <c r="IF850"/>
      <c r="IG850"/>
      <c r="IH850"/>
      <c r="II850"/>
      <c r="IJ850"/>
    </row>
    <row r="851" spans="1:244" ht="12.75" customHeight="1" x14ac:dyDescent="0.2">
      <c r="A851" s="2391"/>
      <c r="B851" s="2125" t="s">
        <v>906</v>
      </c>
      <c r="C851" s="1077">
        <v>0</v>
      </c>
      <c r="D851" s="1077">
        <f>50000-10000</f>
        <v>40000</v>
      </c>
      <c r="E851" s="1077">
        <v>21780</v>
      </c>
      <c r="F851" s="1077"/>
      <c r="G851" s="2200">
        <v>0</v>
      </c>
      <c r="H851" s="2200">
        <f t="shared" si="124"/>
        <v>54.449999999999996</v>
      </c>
      <c r="I851" s="2201">
        <f t="shared" si="123"/>
        <v>39.517372766034654</v>
      </c>
      <c r="J851" s="88">
        <v>55115</v>
      </c>
      <c r="K851" s="2"/>
      <c r="L851"/>
      <c r="M851"/>
      <c r="N851"/>
      <c r="O851"/>
      <c r="P851"/>
      <c r="Q851"/>
      <c r="R851"/>
      <c r="S851"/>
      <c r="T851"/>
      <c r="U851"/>
      <c r="V851"/>
      <c r="W851"/>
      <c r="X851"/>
      <c r="Y851"/>
      <c r="Z851"/>
      <c r="AA851"/>
      <c r="AB851"/>
      <c r="AC851"/>
      <c r="AD851"/>
      <c r="AE851"/>
      <c r="AF851"/>
      <c r="AG851"/>
      <c r="AH851"/>
      <c r="AI851"/>
      <c r="AJ851"/>
      <c r="AK851"/>
      <c r="AL851"/>
      <c r="AM851"/>
      <c r="AN851"/>
      <c r="AO851"/>
      <c r="AP851"/>
      <c r="AQ851"/>
      <c r="AR851"/>
      <c r="AS851"/>
      <c r="AT851"/>
      <c r="AU851"/>
      <c r="AV851"/>
      <c r="AW851"/>
      <c r="AX851"/>
      <c r="AY851"/>
      <c r="AZ851"/>
      <c r="BA851"/>
      <c r="BB851"/>
      <c r="BC851"/>
      <c r="BD85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c r="EX851"/>
      <c r="EY851"/>
      <c r="EZ851"/>
      <c r="FA851"/>
      <c r="FB851"/>
      <c r="FC851"/>
      <c r="FD851"/>
      <c r="FE851"/>
      <c r="FF851"/>
      <c r="FG851"/>
      <c r="FH851"/>
      <c r="FI851"/>
      <c r="FJ851"/>
      <c r="FK851"/>
      <c r="FL851"/>
      <c r="FM851"/>
      <c r="FN851"/>
      <c r="FO851"/>
      <c r="FP851"/>
      <c r="FQ851"/>
      <c r="FR851"/>
      <c r="FS851"/>
      <c r="FT851"/>
      <c r="FU851"/>
      <c r="FV851"/>
      <c r="FW851"/>
      <c r="FX851"/>
      <c r="FY851"/>
      <c r="FZ851"/>
      <c r="GA851"/>
      <c r="GB851"/>
      <c r="GC851"/>
      <c r="GD851"/>
      <c r="GE851"/>
      <c r="GF851"/>
      <c r="GG851"/>
      <c r="GH851"/>
      <c r="GI851"/>
      <c r="GJ851"/>
      <c r="GK851"/>
      <c r="GL851"/>
      <c r="GM851"/>
      <c r="GN851"/>
      <c r="GO851"/>
      <c r="GP851"/>
      <c r="GQ851"/>
      <c r="GR851"/>
      <c r="GS851"/>
      <c r="GT851"/>
      <c r="GU851"/>
      <c r="GV851"/>
      <c r="GW851"/>
      <c r="GX851"/>
      <c r="GY851"/>
      <c r="GZ851"/>
      <c r="HA851"/>
      <c r="HB851"/>
      <c r="HC851"/>
      <c r="HD851"/>
      <c r="HE851"/>
      <c r="HF851"/>
      <c r="HG851"/>
      <c r="HH851"/>
      <c r="HI851"/>
      <c r="HJ851"/>
      <c r="HK851"/>
      <c r="HL851"/>
      <c r="HM851"/>
      <c r="HN851"/>
      <c r="HO851"/>
      <c r="HP851"/>
      <c r="HQ851"/>
      <c r="HR851"/>
      <c r="HS851"/>
      <c r="HT851"/>
      <c r="HU851"/>
      <c r="HV851"/>
      <c r="HW851"/>
      <c r="HX851"/>
      <c r="HY851"/>
      <c r="HZ851"/>
      <c r="IA851"/>
      <c r="IB851"/>
      <c r="IC851"/>
      <c r="ID851"/>
      <c r="IE851"/>
      <c r="IF851"/>
      <c r="IG851"/>
      <c r="IH851"/>
      <c r="II851"/>
      <c r="IJ851"/>
    </row>
    <row r="852" spans="1:244" ht="12.75" customHeight="1" x14ac:dyDescent="0.2">
      <c r="A852" s="2391"/>
      <c r="B852" s="2116" t="s">
        <v>1966</v>
      </c>
      <c r="C852" s="2075">
        <v>200000</v>
      </c>
      <c r="D852" s="2075">
        <v>200000</v>
      </c>
      <c r="E852" s="2075">
        <v>108080.28</v>
      </c>
      <c r="F852" s="2075"/>
      <c r="G852" s="2200">
        <f t="shared" si="122"/>
        <v>54.040140000000001</v>
      </c>
      <c r="H852" s="2200">
        <f t="shared" si="124"/>
        <v>54.040140000000001</v>
      </c>
      <c r="I852" s="2201">
        <f t="shared" si="123"/>
        <v>92.861138075253407</v>
      </c>
      <c r="J852" s="88">
        <v>116389.14</v>
      </c>
      <c r="K852" s="2"/>
      <c r="L852"/>
      <c r="M852"/>
      <c r="N852"/>
      <c r="O852"/>
      <c r="P85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c r="EB852"/>
      <c r="EC852"/>
      <c r="ED852"/>
      <c r="EE852"/>
      <c r="EF852"/>
      <c r="EG852"/>
      <c r="EH852"/>
      <c r="EI852"/>
      <c r="EJ852"/>
      <c r="EK852"/>
      <c r="EL852"/>
      <c r="EM852"/>
      <c r="EN852"/>
      <c r="EO852"/>
      <c r="EP852"/>
      <c r="EQ852"/>
      <c r="ER852"/>
      <c r="ES852"/>
      <c r="ET852"/>
      <c r="EU852"/>
      <c r="EV852"/>
      <c r="EW852"/>
      <c r="EX852"/>
      <c r="EY852"/>
      <c r="EZ852"/>
      <c r="FA852"/>
      <c r="FB852"/>
      <c r="FC852"/>
      <c r="FD852"/>
      <c r="FE852"/>
      <c r="FF852"/>
      <c r="FG852"/>
      <c r="FH852"/>
      <c r="FI852"/>
      <c r="FJ852"/>
      <c r="FK852"/>
      <c r="FL852"/>
      <c r="FM852"/>
      <c r="FN852"/>
      <c r="FO852"/>
      <c r="FP852"/>
      <c r="FQ852"/>
      <c r="FR852"/>
      <c r="FS852"/>
      <c r="FT852"/>
      <c r="FU852"/>
      <c r="FV852"/>
      <c r="FW852"/>
      <c r="FX852"/>
      <c r="FY852"/>
      <c r="FZ852"/>
      <c r="GA852"/>
      <c r="GB852"/>
      <c r="GC852"/>
      <c r="GD852"/>
      <c r="GE852"/>
      <c r="GF852"/>
      <c r="GG852"/>
      <c r="GH852"/>
      <c r="GI852"/>
      <c r="GJ852"/>
      <c r="GK852"/>
      <c r="GL852"/>
      <c r="GM852"/>
      <c r="GN852"/>
      <c r="GO852"/>
      <c r="GP852"/>
      <c r="GQ852"/>
      <c r="GR852"/>
      <c r="GS852"/>
      <c r="GT852"/>
      <c r="GU852"/>
      <c r="GV852"/>
      <c r="GW852"/>
      <c r="GX852"/>
      <c r="GY852"/>
      <c r="GZ852"/>
      <c r="HA852"/>
      <c r="HB852"/>
      <c r="HC852"/>
      <c r="HD852"/>
      <c r="HE852"/>
      <c r="HF852"/>
      <c r="HG852"/>
      <c r="HH852"/>
      <c r="HI852"/>
      <c r="HJ852"/>
      <c r="HK852"/>
      <c r="HL852"/>
      <c r="HM852"/>
      <c r="HN852"/>
      <c r="HO852"/>
      <c r="HP852"/>
      <c r="HQ852"/>
      <c r="HR852"/>
      <c r="HS852"/>
      <c r="HT852"/>
      <c r="HU852"/>
      <c r="HV852"/>
      <c r="HW852"/>
      <c r="HX852"/>
      <c r="HY852"/>
      <c r="HZ852"/>
      <c r="IA852"/>
      <c r="IB852"/>
      <c r="IC852"/>
      <c r="ID852"/>
      <c r="IE852"/>
      <c r="IF852"/>
      <c r="IG852"/>
      <c r="IH852"/>
      <c r="II852"/>
      <c r="IJ852"/>
    </row>
    <row r="853" spans="1:244" ht="12.75" customHeight="1" x14ac:dyDescent="0.2">
      <c r="A853" s="2391"/>
      <c r="B853" s="2126" t="s">
        <v>1967</v>
      </c>
      <c r="C853" s="2075">
        <v>350000</v>
      </c>
      <c r="D853" s="2075">
        <f>350000+100000</f>
        <v>450000</v>
      </c>
      <c r="E853" s="2075">
        <v>353005</v>
      </c>
      <c r="F853" s="2075"/>
      <c r="G853" s="2200">
        <f t="shared" si="122"/>
        <v>100.85857142857142</v>
      </c>
      <c r="H853" s="2200">
        <f t="shared" si="124"/>
        <v>78.445555555555558</v>
      </c>
      <c r="I853" s="2201">
        <f t="shared" si="123"/>
        <v>135.31628295652308</v>
      </c>
      <c r="J853" s="88">
        <v>260874</v>
      </c>
      <c r="K853" s="2"/>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c r="EX853"/>
      <c r="EY853"/>
      <c r="EZ853"/>
      <c r="FA853"/>
      <c r="FB853"/>
      <c r="FC853"/>
      <c r="FD853"/>
      <c r="FE853"/>
      <c r="FF853"/>
      <c r="FG853"/>
      <c r="FH853"/>
      <c r="FI853"/>
      <c r="FJ853"/>
      <c r="FK853"/>
      <c r="FL853"/>
      <c r="FM853"/>
      <c r="FN853"/>
      <c r="FO853"/>
      <c r="FP853"/>
      <c r="FQ853"/>
      <c r="FR853"/>
      <c r="FS853"/>
      <c r="FT853"/>
      <c r="FU853"/>
      <c r="FV853"/>
      <c r="FW853"/>
      <c r="FX853"/>
      <c r="FY853"/>
      <c r="FZ853"/>
      <c r="GA853"/>
      <c r="GB853"/>
      <c r="GC853"/>
      <c r="GD853"/>
      <c r="GE853"/>
      <c r="GF853"/>
      <c r="GG853"/>
      <c r="GH853"/>
      <c r="GI853"/>
      <c r="GJ853"/>
      <c r="GK853"/>
      <c r="GL853"/>
      <c r="GM853"/>
      <c r="GN853"/>
      <c r="GO853"/>
      <c r="GP853"/>
      <c r="GQ853"/>
      <c r="GR853"/>
      <c r="GS853"/>
      <c r="GT853"/>
      <c r="GU853"/>
      <c r="GV853"/>
      <c r="GW853"/>
      <c r="GX853"/>
      <c r="GY853"/>
      <c r="GZ853"/>
      <c r="HA853"/>
      <c r="HB853"/>
      <c r="HC853"/>
      <c r="HD853"/>
      <c r="HE853"/>
      <c r="HF853"/>
      <c r="HG853"/>
      <c r="HH853"/>
      <c r="HI853"/>
      <c r="HJ853"/>
      <c r="HK853"/>
      <c r="HL853"/>
      <c r="HM853"/>
      <c r="HN853"/>
      <c r="HO853"/>
      <c r="HP853"/>
      <c r="HQ853"/>
      <c r="HR853"/>
      <c r="HS853"/>
      <c r="HT853"/>
      <c r="HU853"/>
      <c r="HV853"/>
      <c r="HW853"/>
      <c r="HX853"/>
      <c r="HY853"/>
      <c r="HZ853"/>
      <c r="IA853"/>
      <c r="IB853"/>
      <c r="IC853"/>
      <c r="ID853"/>
      <c r="IE853"/>
      <c r="IF853"/>
      <c r="IG853"/>
      <c r="IH853"/>
      <c r="II853"/>
      <c r="IJ853"/>
    </row>
    <row r="854" spans="1:244" ht="12.75" customHeight="1" x14ac:dyDescent="0.2">
      <c r="A854" s="2391"/>
      <c r="B854" s="2083" t="s">
        <v>1969</v>
      </c>
      <c r="C854" s="2075">
        <v>2300000</v>
      </c>
      <c r="D854" s="2075">
        <f>2300000-200000</f>
        <v>2100000</v>
      </c>
      <c r="E854" s="2075">
        <v>2100000</v>
      </c>
      <c r="F854" s="2075"/>
      <c r="G854" s="2200">
        <f t="shared" si="122"/>
        <v>91.304347826086953</v>
      </c>
      <c r="H854" s="2200">
        <f t="shared" si="124"/>
        <v>100</v>
      </c>
      <c r="I854" s="2201">
        <f t="shared" si="123"/>
        <v>105</v>
      </c>
      <c r="J854" s="88">
        <v>2000000</v>
      </c>
      <c r="K854" s="2"/>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c r="EX854"/>
      <c r="EY854"/>
      <c r="EZ854"/>
      <c r="FA854"/>
      <c r="FB854"/>
      <c r="FC854"/>
      <c r="FD854"/>
      <c r="FE854"/>
      <c r="FF854"/>
      <c r="FG854"/>
      <c r="FH854"/>
      <c r="FI854"/>
      <c r="FJ854"/>
      <c r="FK854"/>
      <c r="FL854"/>
      <c r="FM854"/>
      <c r="FN854"/>
      <c r="FO854"/>
      <c r="FP854"/>
      <c r="FQ854"/>
      <c r="FR854"/>
      <c r="FS854"/>
      <c r="FT854"/>
      <c r="FU854"/>
      <c r="FV854"/>
      <c r="FW854"/>
      <c r="FX854"/>
      <c r="FY854"/>
      <c r="FZ854"/>
      <c r="GA854"/>
      <c r="GB854"/>
      <c r="GC854"/>
      <c r="GD854"/>
      <c r="GE854"/>
      <c r="GF854"/>
      <c r="GG854"/>
      <c r="GH854"/>
      <c r="GI854"/>
      <c r="GJ854"/>
      <c r="GK854"/>
      <c r="GL854"/>
      <c r="GM854"/>
      <c r="GN854"/>
      <c r="GO854"/>
      <c r="GP854"/>
      <c r="GQ854"/>
      <c r="GR854"/>
      <c r="GS854"/>
      <c r="GT854"/>
      <c r="GU854"/>
      <c r="GV854"/>
      <c r="GW854"/>
      <c r="GX854"/>
      <c r="GY854"/>
      <c r="GZ854"/>
      <c r="HA854"/>
      <c r="HB854"/>
      <c r="HC854"/>
      <c r="HD854"/>
      <c r="HE854"/>
      <c r="HF854"/>
      <c r="HG854"/>
      <c r="HH854"/>
      <c r="HI854"/>
      <c r="HJ854"/>
      <c r="HK854"/>
      <c r="HL854"/>
      <c r="HM854"/>
      <c r="HN854"/>
      <c r="HO854"/>
      <c r="HP854"/>
      <c r="HQ854"/>
      <c r="HR854"/>
      <c r="HS854"/>
      <c r="HT854"/>
      <c r="HU854"/>
      <c r="HV854"/>
      <c r="HW854"/>
      <c r="HX854"/>
      <c r="HY854"/>
      <c r="HZ854"/>
      <c r="IA854"/>
      <c r="IB854"/>
      <c r="IC854"/>
      <c r="ID854"/>
      <c r="IE854"/>
      <c r="IF854"/>
      <c r="IG854"/>
      <c r="IH854"/>
      <c r="II854"/>
      <c r="IJ854"/>
    </row>
    <row r="855" spans="1:244" x14ac:dyDescent="0.2">
      <c r="A855" s="2391"/>
      <c r="B855" s="2083" t="s">
        <v>2554</v>
      </c>
      <c r="C855" s="2075">
        <v>200000</v>
      </c>
      <c r="D855" s="2075">
        <v>200000</v>
      </c>
      <c r="E855" s="2075">
        <v>200000</v>
      </c>
      <c r="F855" s="2075"/>
      <c r="G855" s="2200">
        <f t="shared" si="122"/>
        <v>100</v>
      </c>
      <c r="H855" s="2200">
        <f t="shared" si="124"/>
        <v>100</v>
      </c>
      <c r="I855" s="2201">
        <v>0</v>
      </c>
      <c r="J855" s="88">
        <v>0</v>
      </c>
      <c r="K855" s="2"/>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c r="EX855"/>
      <c r="EY855"/>
      <c r="EZ855"/>
      <c r="FA855"/>
      <c r="FB855"/>
      <c r="FC855"/>
      <c r="FD855"/>
      <c r="FE855"/>
      <c r="FF855"/>
      <c r="FG855"/>
      <c r="FH855"/>
      <c r="FI855"/>
      <c r="FJ855"/>
      <c r="FK855"/>
      <c r="FL855"/>
      <c r="FM855"/>
      <c r="FN855"/>
      <c r="FO855"/>
      <c r="FP855"/>
      <c r="FQ855"/>
      <c r="FR855"/>
      <c r="FS855"/>
      <c r="FT855"/>
      <c r="FU855"/>
      <c r="FV855"/>
      <c r="FW855"/>
      <c r="FX855"/>
      <c r="FY855"/>
      <c r="FZ855"/>
      <c r="GA855"/>
      <c r="GB855"/>
      <c r="GC855"/>
      <c r="GD855"/>
      <c r="GE855"/>
      <c r="GF855"/>
      <c r="GG855"/>
      <c r="GH855"/>
      <c r="GI855"/>
      <c r="GJ855"/>
      <c r="GK855"/>
      <c r="GL855"/>
      <c r="GM855"/>
      <c r="GN855"/>
      <c r="GO855"/>
      <c r="GP855"/>
      <c r="GQ855"/>
      <c r="GR855"/>
      <c r="GS855"/>
      <c r="GT855"/>
      <c r="GU855"/>
      <c r="GV855"/>
      <c r="GW855"/>
      <c r="GX855"/>
      <c r="GY855"/>
      <c r="GZ855"/>
      <c r="HA855"/>
      <c r="HB855"/>
      <c r="HC855"/>
      <c r="HD855"/>
      <c r="HE855"/>
      <c r="HF855"/>
      <c r="HG855"/>
      <c r="HH855"/>
      <c r="HI855"/>
      <c r="HJ855"/>
      <c r="HK855"/>
      <c r="HL855"/>
      <c r="HM855"/>
      <c r="HN855"/>
      <c r="HO855"/>
      <c r="HP855"/>
      <c r="HQ855"/>
      <c r="HR855"/>
      <c r="HS855"/>
      <c r="HT855"/>
      <c r="HU855"/>
      <c r="HV855"/>
      <c r="HW855"/>
      <c r="HX855"/>
      <c r="HY855"/>
      <c r="HZ855"/>
      <c r="IA855"/>
      <c r="IB855"/>
      <c r="IC855"/>
      <c r="ID855"/>
      <c r="IE855"/>
      <c r="IF855"/>
      <c r="IG855"/>
      <c r="IH855"/>
      <c r="II855"/>
      <c r="IJ855"/>
    </row>
    <row r="856" spans="1:244" ht="12.75" customHeight="1" x14ac:dyDescent="0.2">
      <c r="A856" s="2391"/>
      <c r="B856" s="2088" t="s">
        <v>911</v>
      </c>
      <c r="C856" s="2075">
        <v>20000</v>
      </c>
      <c r="D856" s="2075">
        <v>20000</v>
      </c>
      <c r="E856" s="2075">
        <v>14520</v>
      </c>
      <c r="F856" s="2075"/>
      <c r="G856" s="2200">
        <f t="shared" si="122"/>
        <v>72.599999999999994</v>
      </c>
      <c r="H856" s="2200">
        <f t="shared" si="124"/>
        <v>72.599999999999994</v>
      </c>
      <c r="I856" s="2201">
        <f t="shared" si="123"/>
        <v>85.714285714285708</v>
      </c>
      <c r="J856" s="88">
        <v>16940</v>
      </c>
      <c r="K856" s="2"/>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c r="EX856"/>
      <c r="EY856"/>
      <c r="EZ856"/>
      <c r="FA856"/>
      <c r="FB856"/>
      <c r="FC856"/>
      <c r="FD856"/>
      <c r="FE856"/>
      <c r="FF856"/>
      <c r="FG856"/>
      <c r="FH856"/>
      <c r="FI856"/>
      <c r="FJ856"/>
      <c r="FK856"/>
      <c r="FL856"/>
      <c r="FM856"/>
      <c r="FN856"/>
      <c r="FO856"/>
      <c r="FP856"/>
      <c r="FQ856"/>
      <c r="FR856"/>
      <c r="FS856"/>
      <c r="FT856"/>
      <c r="FU856"/>
      <c r="FV856"/>
      <c r="FW856"/>
      <c r="FX856"/>
      <c r="FY856"/>
      <c r="FZ856"/>
      <c r="GA856"/>
      <c r="GB856"/>
      <c r="GC856"/>
      <c r="GD856"/>
      <c r="GE856"/>
      <c r="GF856"/>
      <c r="GG856"/>
      <c r="GH856"/>
      <c r="GI856"/>
      <c r="GJ856"/>
      <c r="GK856"/>
      <c r="GL856"/>
      <c r="GM856"/>
      <c r="GN856"/>
      <c r="GO856"/>
      <c r="GP856"/>
      <c r="GQ856"/>
      <c r="GR856"/>
      <c r="GS856"/>
      <c r="GT856"/>
      <c r="GU856"/>
      <c r="GV856"/>
      <c r="GW856"/>
      <c r="GX856"/>
      <c r="GY856"/>
      <c r="GZ856"/>
      <c r="HA856"/>
      <c r="HB856"/>
      <c r="HC856"/>
      <c r="HD856"/>
      <c r="HE856"/>
      <c r="HF856"/>
      <c r="HG856"/>
      <c r="HH856"/>
      <c r="HI856"/>
      <c r="HJ856"/>
      <c r="HK856"/>
      <c r="HL856"/>
      <c r="HM856"/>
      <c r="HN856"/>
      <c r="HO856"/>
      <c r="HP856"/>
      <c r="HQ856"/>
      <c r="HR856"/>
      <c r="HS856"/>
      <c r="HT856"/>
      <c r="HU856"/>
      <c r="HV856"/>
      <c r="HW856"/>
      <c r="HX856"/>
      <c r="HY856"/>
      <c r="HZ856"/>
      <c r="IA856"/>
      <c r="IB856"/>
      <c r="IC856"/>
      <c r="ID856"/>
      <c r="IE856"/>
      <c r="IF856"/>
      <c r="IG856"/>
      <c r="IH856"/>
      <c r="II856"/>
      <c r="IJ856"/>
    </row>
    <row r="857" spans="1:244" ht="12.75" customHeight="1" x14ac:dyDescent="0.2">
      <c r="A857" s="2464"/>
      <c r="B857" s="2087" t="s">
        <v>913</v>
      </c>
      <c r="C857" s="2082">
        <f>C859+C866+C858</f>
        <v>5542000</v>
      </c>
      <c r="D857" s="2082">
        <f>D859+D866+D858</f>
        <v>6960000</v>
      </c>
      <c r="E857" s="2082">
        <v>5232663</v>
      </c>
      <c r="F857" s="2082"/>
      <c r="G857" s="2459">
        <f t="shared" si="122"/>
        <v>94.418314687838318</v>
      </c>
      <c r="H857" s="2459">
        <f t="shared" si="124"/>
        <v>75.181939655172414</v>
      </c>
      <c r="I857" s="2460">
        <f t="shared" si="123"/>
        <v>163.7985364238877</v>
      </c>
      <c r="J857" s="2175">
        <v>3194572.5</v>
      </c>
      <c r="K857" s="2"/>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c r="EX857"/>
      <c r="EY857"/>
      <c r="EZ857"/>
      <c r="FA857"/>
      <c r="FB857"/>
      <c r="FC857"/>
      <c r="FD857"/>
      <c r="FE857"/>
      <c r="FF857"/>
      <c r="FG857"/>
      <c r="FH857"/>
      <c r="FI857"/>
      <c r="FJ857"/>
      <c r="FK857"/>
      <c r="FL857"/>
      <c r="FM857"/>
      <c r="FN857"/>
      <c r="FO857"/>
      <c r="FP857"/>
      <c r="FQ857"/>
      <c r="FR857"/>
      <c r="FS857"/>
      <c r="FT857"/>
      <c r="FU857"/>
      <c r="FV857"/>
      <c r="FW857"/>
      <c r="FX857"/>
      <c r="FY857"/>
      <c r="FZ857"/>
      <c r="GA857"/>
      <c r="GB857"/>
      <c r="GC857"/>
      <c r="GD857"/>
      <c r="GE857"/>
      <c r="GF857"/>
      <c r="GG857"/>
      <c r="GH857"/>
      <c r="GI857"/>
      <c r="GJ857"/>
      <c r="GK857"/>
      <c r="GL857"/>
      <c r="GM857"/>
      <c r="GN857"/>
      <c r="GO857"/>
      <c r="GP857"/>
      <c r="GQ857"/>
      <c r="GR857"/>
      <c r="GS857"/>
      <c r="GT857"/>
      <c r="GU857"/>
      <c r="GV857"/>
      <c r="GW857"/>
      <c r="GX857"/>
      <c r="GY857"/>
      <c r="GZ857"/>
      <c r="HA857"/>
      <c r="HB857"/>
      <c r="HC857"/>
      <c r="HD857"/>
      <c r="HE857"/>
      <c r="HF857"/>
      <c r="HG857"/>
      <c r="HH857"/>
      <c r="HI857"/>
      <c r="HJ857"/>
      <c r="HK857"/>
      <c r="HL857"/>
      <c r="HM857"/>
      <c r="HN857"/>
      <c r="HO857"/>
      <c r="HP857"/>
      <c r="HQ857"/>
      <c r="HR857"/>
      <c r="HS857"/>
      <c r="HT857"/>
      <c r="HU857"/>
      <c r="HV857"/>
      <c r="HW857"/>
      <c r="HX857"/>
      <c r="HY857"/>
      <c r="HZ857"/>
      <c r="IA857"/>
      <c r="IB857"/>
      <c r="IC857"/>
      <c r="ID857"/>
      <c r="IE857"/>
      <c r="IF857"/>
      <c r="IG857"/>
      <c r="IH857"/>
      <c r="II857"/>
      <c r="IJ857"/>
    </row>
    <row r="858" spans="1:244" ht="24" customHeight="1" x14ac:dyDescent="0.2">
      <c r="A858" s="2464"/>
      <c r="B858" s="2080" t="s">
        <v>2555</v>
      </c>
      <c r="C858" s="2075">
        <f>310000+110000+72000</f>
        <v>492000</v>
      </c>
      <c r="D858" s="2075">
        <f>310000+110000+72000-310000+(-14.07-799.92)</f>
        <v>181186.01</v>
      </c>
      <c r="E858" s="2075">
        <v>181186.01</v>
      </c>
      <c r="F858" s="2075"/>
      <c r="G858" s="2200">
        <f t="shared" si="122"/>
        <v>36.826424796747972</v>
      </c>
      <c r="H858" s="2200">
        <f t="shared" si="124"/>
        <v>100</v>
      </c>
      <c r="I858" s="2201">
        <v>0</v>
      </c>
      <c r="J858" s="32">
        <v>155480.93</v>
      </c>
      <c r="K858" s="2"/>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c r="EX858"/>
      <c r="EY858"/>
      <c r="EZ858"/>
      <c r="FA858"/>
      <c r="FB858"/>
      <c r="FC858"/>
      <c r="FD858"/>
      <c r="FE858"/>
      <c r="FF858"/>
      <c r="FG858"/>
      <c r="FH858"/>
      <c r="FI858"/>
      <c r="FJ858"/>
      <c r="FK858"/>
      <c r="FL858"/>
      <c r="FM858"/>
      <c r="FN858"/>
      <c r="FO858"/>
      <c r="FP858"/>
      <c r="FQ858"/>
      <c r="FR858"/>
      <c r="FS858"/>
      <c r="FT858"/>
      <c r="FU858"/>
      <c r="FV858"/>
      <c r="FW858"/>
      <c r="FX858"/>
      <c r="FY858"/>
      <c r="FZ858"/>
      <c r="GA858"/>
      <c r="GB858"/>
      <c r="GC858"/>
      <c r="GD858"/>
      <c r="GE858"/>
      <c r="GF858"/>
      <c r="GG858"/>
      <c r="GH858"/>
      <c r="GI858"/>
      <c r="GJ858"/>
      <c r="GK858"/>
      <c r="GL858"/>
      <c r="GM858"/>
      <c r="GN858"/>
      <c r="GO858"/>
      <c r="GP858"/>
      <c r="GQ858"/>
      <c r="GR858"/>
      <c r="GS858"/>
      <c r="GT858"/>
      <c r="GU858"/>
      <c r="GV858"/>
      <c r="GW858"/>
      <c r="GX858"/>
      <c r="GY858"/>
      <c r="GZ858"/>
      <c r="HA858"/>
      <c r="HB858"/>
      <c r="HC858"/>
      <c r="HD858"/>
      <c r="HE858"/>
      <c r="HF858"/>
      <c r="HG858"/>
      <c r="HH858"/>
      <c r="HI858"/>
      <c r="HJ858"/>
      <c r="HK858"/>
      <c r="HL858"/>
      <c r="HM858"/>
      <c r="HN858"/>
      <c r="HO858"/>
      <c r="HP858"/>
      <c r="HQ858"/>
      <c r="HR858"/>
      <c r="HS858"/>
      <c r="HT858"/>
      <c r="HU858"/>
      <c r="HV858"/>
      <c r="HW858"/>
      <c r="HX858"/>
      <c r="HY858"/>
      <c r="HZ858"/>
      <c r="IA858"/>
      <c r="IB858"/>
      <c r="IC858"/>
      <c r="ID858"/>
      <c r="IE858"/>
      <c r="IF858"/>
      <c r="IG858"/>
      <c r="IH858"/>
      <c r="II858"/>
      <c r="IJ858"/>
    </row>
    <row r="859" spans="1:244" ht="12.75" customHeight="1" x14ac:dyDescent="0.2">
      <c r="A859" s="2464"/>
      <c r="B859" s="2127" t="s">
        <v>2556</v>
      </c>
      <c r="C859" s="2085">
        <f>SUM(C860:C861)</f>
        <v>3400000</v>
      </c>
      <c r="D859" s="2085">
        <f>SUM(D860:D861)</f>
        <v>5178813.99</v>
      </c>
      <c r="E859" s="2085">
        <v>4598345.58</v>
      </c>
      <c r="F859" s="2075">
        <f>SUM(E860:E861)</f>
        <v>4598345.58</v>
      </c>
      <c r="G859" s="1663">
        <f t="shared" si="122"/>
        <v>135.24545823529414</v>
      </c>
      <c r="H859" s="1663">
        <f t="shared" si="124"/>
        <v>88.791479842279486</v>
      </c>
      <c r="I859" s="1662">
        <f t="shared" si="123"/>
        <v>156.15117662495985</v>
      </c>
      <c r="J859" s="88">
        <v>2944803.67</v>
      </c>
      <c r="K859" s="2"/>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c r="EX859"/>
      <c r="EY859"/>
      <c r="EZ859"/>
      <c r="FA859"/>
      <c r="FB859"/>
      <c r="FC859"/>
      <c r="FD859"/>
      <c r="FE859"/>
      <c r="FF859"/>
      <c r="FG859"/>
      <c r="FH859"/>
      <c r="FI859"/>
      <c r="FJ859"/>
      <c r="FK859"/>
      <c r="FL859"/>
      <c r="FM859"/>
      <c r="FN859"/>
      <c r="FO859"/>
      <c r="FP859"/>
      <c r="FQ859"/>
      <c r="FR859"/>
      <c r="FS859"/>
      <c r="FT859"/>
      <c r="FU859"/>
      <c r="FV859"/>
      <c r="FW859"/>
      <c r="FX859"/>
      <c r="FY859"/>
      <c r="FZ859"/>
      <c r="GA859"/>
      <c r="GB859"/>
      <c r="GC859"/>
      <c r="GD859"/>
      <c r="GE859"/>
      <c r="GF859"/>
      <c r="GG859"/>
      <c r="GH859"/>
      <c r="GI859"/>
      <c r="GJ859"/>
      <c r="GK859"/>
      <c r="GL859"/>
      <c r="GM859"/>
      <c r="GN859"/>
      <c r="GO859"/>
      <c r="GP859"/>
      <c r="GQ859"/>
      <c r="GR859"/>
      <c r="GS859"/>
      <c r="GT859"/>
      <c r="GU859"/>
      <c r="GV859"/>
      <c r="GW859"/>
      <c r="GX859"/>
      <c r="GY859"/>
      <c r="GZ859"/>
      <c r="HA859"/>
      <c r="HB859"/>
      <c r="HC859"/>
      <c r="HD859"/>
      <c r="HE859"/>
      <c r="HF859"/>
      <c r="HG859"/>
      <c r="HH859"/>
      <c r="HI859"/>
      <c r="HJ859"/>
      <c r="HK859"/>
      <c r="HL859"/>
      <c r="HM859"/>
      <c r="HN859"/>
      <c r="HO859"/>
      <c r="HP859"/>
      <c r="HQ859"/>
      <c r="HR859"/>
      <c r="HS859"/>
      <c r="HT859"/>
      <c r="HU859"/>
      <c r="HV859"/>
      <c r="HW859"/>
      <c r="HX859"/>
      <c r="HY859"/>
      <c r="HZ859"/>
      <c r="IA859"/>
      <c r="IB859"/>
      <c r="IC859"/>
      <c r="ID859"/>
      <c r="IE859"/>
      <c r="IF859"/>
      <c r="IG859"/>
      <c r="IH859"/>
      <c r="II859"/>
      <c r="IJ859"/>
    </row>
    <row r="860" spans="1:244" ht="12.75" customHeight="1" x14ac:dyDescent="0.2">
      <c r="A860" s="2464"/>
      <c r="B860" s="2128" t="s">
        <v>927</v>
      </c>
      <c r="C860" s="2075">
        <v>3000000</v>
      </c>
      <c r="D860" s="2075">
        <f>3000000-30000-20000+1000000+1000000-50000-327000+145813.99</f>
        <v>4718813.99</v>
      </c>
      <c r="E860" s="2075">
        <v>4446179.83</v>
      </c>
      <c r="F860" s="2075"/>
      <c r="G860" s="2200">
        <f t="shared" si="122"/>
        <v>148.20599433333334</v>
      </c>
      <c r="H860" s="2200">
        <f t="shared" si="124"/>
        <v>94.2224007859229</v>
      </c>
      <c r="I860" s="2201">
        <f t="shared" si="123"/>
        <v>153.74451226733729</v>
      </c>
      <c r="J860" s="88">
        <v>2891927.5</v>
      </c>
      <c r="K860" s="2"/>
      <c r="L860"/>
      <c r="M860"/>
      <c r="N860"/>
      <c r="O860"/>
      <c r="P860"/>
      <c r="Q860"/>
      <c r="R860"/>
      <c r="S860"/>
      <c r="T860"/>
      <c r="U860"/>
      <c r="V860"/>
      <c r="W860"/>
      <c r="X860"/>
      <c r="Y860"/>
      <c r="Z860"/>
      <c r="AA860"/>
      <c r="AB860"/>
      <c r="AC860"/>
      <c r="AD860"/>
      <c r="AE860"/>
      <c r="AF860"/>
      <c r="AG860"/>
      <c r="AH860"/>
      <c r="AI860"/>
      <c r="AJ860"/>
      <c r="AK860"/>
      <c r="AL860"/>
      <c r="AM860"/>
      <c r="AN860"/>
      <c r="AO860"/>
      <c r="AP860"/>
      <c r="AQ860"/>
      <c r="AR860"/>
      <c r="AS860"/>
      <c r="AT860"/>
      <c r="AU860"/>
      <c r="AV860"/>
      <c r="AW860"/>
      <c r="AX860"/>
      <c r="AY860"/>
      <c r="AZ860"/>
      <c r="BA860"/>
      <c r="BB860"/>
      <c r="BC860"/>
      <c r="BD860"/>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c r="EB860"/>
      <c r="EC860"/>
      <c r="ED860"/>
      <c r="EE860"/>
      <c r="EF860"/>
      <c r="EG860"/>
      <c r="EH860"/>
      <c r="EI860"/>
      <c r="EJ860"/>
      <c r="EK860"/>
      <c r="EL860"/>
      <c r="EM860"/>
      <c r="EN860"/>
      <c r="EO860"/>
      <c r="EP860"/>
      <c r="EQ860"/>
      <c r="ER860"/>
      <c r="ES860"/>
      <c r="ET860"/>
      <c r="EU860"/>
      <c r="EV860"/>
      <c r="EW860"/>
      <c r="EX860"/>
      <c r="EY860"/>
      <c r="EZ860"/>
      <c r="FA860"/>
      <c r="FB860"/>
      <c r="FC860"/>
      <c r="FD860"/>
      <c r="FE860"/>
      <c r="FF860"/>
      <c r="FG860"/>
      <c r="FH860"/>
      <c r="FI860"/>
      <c r="FJ860"/>
      <c r="FK860"/>
      <c r="FL860"/>
      <c r="FM860"/>
      <c r="FN860"/>
      <c r="FO860"/>
      <c r="FP860"/>
      <c r="FQ860"/>
      <c r="FR860"/>
      <c r="FS860"/>
      <c r="FT860"/>
      <c r="FU860"/>
      <c r="FV860"/>
      <c r="FW860"/>
      <c r="FX860"/>
      <c r="FY860"/>
      <c r="FZ860"/>
      <c r="GA860"/>
      <c r="GB860"/>
      <c r="GC860"/>
      <c r="GD860"/>
      <c r="GE860"/>
      <c r="GF860"/>
      <c r="GG860"/>
      <c r="GH860"/>
      <c r="GI860"/>
      <c r="GJ860"/>
      <c r="GK860"/>
      <c r="GL860"/>
      <c r="GM860"/>
      <c r="GN860"/>
      <c r="GO860"/>
      <c r="GP860"/>
      <c r="GQ860"/>
      <c r="GR860"/>
      <c r="GS860"/>
      <c r="GT860"/>
      <c r="GU860"/>
      <c r="GV860"/>
      <c r="GW860"/>
      <c r="GX860"/>
      <c r="GY860"/>
      <c r="GZ860"/>
      <c r="HA860"/>
      <c r="HB860"/>
      <c r="HC860"/>
      <c r="HD860"/>
      <c r="HE860"/>
      <c r="HF860"/>
      <c r="HG860"/>
      <c r="HH860"/>
      <c r="HI860"/>
      <c r="HJ860"/>
      <c r="HK860"/>
      <c r="HL860"/>
      <c r="HM860"/>
      <c r="HN860"/>
      <c r="HO860"/>
      <c r="HP860"/>
      <c r="HQ860"/>
      <c r="HR860"/>
      <c r="HS860"/>
      <c r="HT860"/>
      <c r="HU860"/>
      <c r="HV860"/>
      <c r="HW860"/>
      <c r="HX860"/>
      <c r="HY860"/>
      <c r="HZ860"/>
      <c r="IA860"/>
      <c r="IB860"/>
      <c r="IC860"/>
      <c r="ID860"/>
      <c r="IE860"/>
      <c r="IF860"/>
      <c r="IG860"/>
      <c r="IH860"/>
      <c r="II860"/>
      <c r="IJ860"/>
    </row>
    <row r="861" spans="1:244" ht="12.75" customHeight="1" x14ac:dyDescent="0.2">
      <c r="A861" s="2464"/>
      <c r="B861" s="2128" t="s">
        <v>1978</v>
      </c>
      <c r="C861" s="2075">
        <f>SUM(C862:C865)</f>
        <v>400000</v>
      </c>
      <c r="D861" s="2075">
        <f>SUM(D862:D865)</f>
        <v>460000</v>
      </c>
      <c r="E861" s="2075">
        <v>152165.75</v>
      </c>
      <c r="F861" s="2075">
        <f>SUM(E862:E865)</f>
        <v>152165.84999999998</v>
      </c>
      <c r="G861" s="2200">
        <f t="shared" si="122"/>
        <v>38.041437500000001</v>
      </c>
      <c r="H861" s="2200">
        <f t="shared" si="124"/>
        <v>33.079510869565212</v>
      </c>
      <c r="I861" s="2201">
        <f t="shared" si="123"/>
        <v>287.77755650607827</v>
      </c>
      <c r="J861" s="88">
        <v>52876.17</v>
      </c>
      <c r="K861" s="2"/>
      <c r="L861"/>
      <c r="M861"/>
      <c r="N861"/>
      <c r="O861"/>
      <c r="P861"/>
      <c r="Q861"/>
      <c r="R861"/>
      <c r="S861"/>
      <c r="T861"/>
      <c r="U861"/>
      <c r="V861"/>
      <c r="W861"/>
      <c r="X861"/>
      <c r="Y861"/>
      <c r="Z861"/>
      <c r="AA861"/>
      <c r="AB861"/>
      <c r="AC861"/>
      <c r="AD861"/>
      <c r="AE861"/>
      <c r="AF861"/>
      <c r="AG861"/>
      <c r="AH861"/>
      <c r="AI861"/>
      <c r="AJ861"/>
      <c r="AK861"/>
      <c r="AL861"/>
      <c r="AM861"/>
      <c r="AN861"/>
      <c r="AO861"/>
      <c r="AP861"/>
      <c r="AQ861"/>
      <c r="AR861"/>
      <c r="AS861"/>
      <c r="AT861"/>
      <c r="AU861"/>
      <c r="AV861"/>
      <c r="AW861"/>
      <c r="AX861"/>
      <c r="AY861"/>
      <c r="AZ861"/>
      <c r="BA861"/>
      <c r="BB861"/>
      <c r="BC861"/>
      <c r="BD861"/>
      <c r="BE861"/>
      <c r="BF861"/>
      <c r="BG861"/>
      <c r="BH861"/>
      <c r="BI861"/>
      <c r="BJ861"/>
      <c r="BK861"/>
      <c r="BL861"/>
      <c r="BM861"/>
      <c r="BN861"/>
      <c r="BO861"/>
      <c r="BP861"/>
      <c r="BQ861"/>
      <c r="BR861"/>
      <c r="BS861"/>
      <c r="BT861"/>
      <c r="BU861"/>
      <c r="BV861"/>
      <c r="BW861"/>
      <c r="BX861"/>
      <c r="BY861"/>
      <c r="BZ861"/>
      <c r="CA861"/>
      <c r="CB861"/>
      <c r="CC861"/>
      <c r="CD861"/>
      <c r="CE861"/>
      <c r="CF861"/>
      <c r="CG861"/>
      <c r="CH861"/>
      <c r="CI861"/>
      <c r="CJ861"/>
      <c r="CK861"/>
      <c r="CL861"/>
      <c r="CM861"/>
      <c r="CN861"/>
      <c r="CO861"/>
      <c r="CP861"/>
      <c r="CQ861"/>
      <c r="CR861"/>
      <c r="CS861"/>
      <c r="CT861"/>
      <c r="CU861"/>
      <c r="CV861"/>
      <c r="CW861"/>
      <c r="CX861"/>
      <c r="CY861"/>
      <c r="CZ861"/>
      <c r="DA861"/>
      <c r="DB861"/>
      <c r="DC861"/>
      <c r="DD861"/>
      <c r="DE861"/>
      <c r="DF861"/>
      <c r="DG861"/>
      <c r="DH861"/>
      <c r="DI861"/>
      <c r="DJ861"/>
      <c r="DK861"/>
      <c r="DL861"/>
      <c r="DM861"/>
      <c r="DN861"/>
      <c r="DO861"/>
      <c r="DP861"/>
      <c r="DQ861"/>
      <c r="DR861"/>
      <c r="DS861"/>
      <c r="DT861"/>
      <c r="DU861"/>
      <c r="DV861"/>
      <c r="DW861"/>
      <c r="DX861"/>
      <c r="DY861"/>
      <c r="DZ861"/>
      <c r="EA861"/>
      <c r="EB861"/>
      <c r="EC861"/>
      <c r="ED861"/>
      <c r="EE861"/>
      <c r="EF861"/>
      <c r="EG861"/>
      <c r="EH861"/>
      <c r="EI861"/>
      <c r="EJ861"/>
      <c r="EK861"/>
      <c r="EL861"/>
      <c r="EM861"/>
      <c r="EN861"/>
      <c r="EO861"/>
      <c r="EP861"/>
      <c r="EQ861"/>
      <c r="ER861"/>
      <c r="ES861"/>
      <c r="ET861"/>
      <c r="EU861"/>
      <c r="EV861"/>
      <c r="EW861"/>
      <c r="EX861"/>
      <c r="EY861"/>
      <c r="EZ861"/>
      <c r="FA861"/>
      <c r="FB861"/>
      <c r="FC861"/>
      <c r="FD861"/>
      <c r="FE861"/>
      <c r="FF861"/>
      <c r="FG861"/>
      <c r="FH861"/>
      <c r="FI861"/>
      <c r="FJ861"/>
      <c r="FK861"/>
      <c r="FL861"/>
      <c r="FM861"/>
      <c r="FN861"/>
      <c r="FO861"/>
      <c r="FP861"/>
      <c r="FQ861"/>
      <c r="FR861"/>
      <c r="FS861"/>
      <c r="FT861"/>
      <c r="FU861"/>
      <c r="FV861"/>
      <c r="FW861"/>
      <c r="FX861"/>
      <c r="FY861"/>
      <c r="FZ861"/>
      <c r="GA861"/>
      <c r="GB861"/>
      <c r="GC861"/>
      <c r="GD861"/>
      <c r="GE861"/>
      <c r="GF861"/>
      <c r="GG861"/>
      <c r="GH861"/>
      <c r="GI861"/>
      <c r="GJ861"/>
      <c r="GK861"/>
      <c r="GL861"/>
      <c r="GM861"/>
      <c r="GN861"/>
      <c r="GO861"/>
      <c r="GP861"/>
      <c r="GQ861"/>
      <c r="GR861"/>
      <c r="GS861"/>
      <c r="GT861"/>
      <c r="GU861"/>
      <c r="GV861"/>
      <c r="GW861"/>
      <c r="GX861"/>
      <c r="GY861"/>
      <c r="GZ861"/>
      <c r="HA861"/>
      <c r="HB861"/>
      <c r="HC861"/>
      <c r="HD861"/>
      <c r="HE861"/>
      <c r="HF861"/>
      <c r="HG861"/>
      <c r="HH861"/>
      <c r="HI861"/>
      <c r="HJ861"/>
      <c r="HK861"/>
      <c r="HL861"/>
      <c r="HM861"/>
      <c r="HN861"/>
      <c r="HO861"/>
      <c r="HP861"/>
      <c r="HQ861"/>
      <c r="HR861"/>
      <c r="HS861"/>
      <c r="HT861"/>
      <c r="HU861"/>
      <c r="HV861"/>
      <c r="HW861"/>
      <c r="HX861"/>
      <c r="HY861"/>
      <c r="HZ861"/>
      <c r="IA861"/>
      <c r="IB861"/>
      <c r="IC861"/>
      <c r="ID861"/>
      <c r="IE861"/>
      <c r="IF861"/>
      <c r="IG861"/>
      <c r="IH861"/>
      <c r="II861"/>
      <c r="IJ861"/>
    </row>
    <row r="862" spans="1:244" ht="12.75" customHeight="1" x14ac:dyDescent="0.2">
      <c r="A862" s="2391"/>
      <c r="B862" s="2088" t="s">
        <v>2557</v>
      </c>
      <c r="C862" s="2075">
        <v>100000</v>
      </c>
      <c r="D862" s="2075">
        <f>100000</f>
        <v>100000</v>
      </c>
      <c r="E862" s="2075">
        <v>0</v>
      </c>
      <c r="F862" s="2075"/>
      <c r="G862" s="2200">
        <f t="shared" si="122"/>
        <v>0</v>
      </c>
      <c r="H862" s="2200">
        <f t="shared" si="124"/>
        <v>0</v>
      </c>
      <c r="I862" s="2201">
        <v>0</v>
      </c>
      <c r="J862" s="88">
        <v>0</v>
      </c>
      <c r="K862" s="2"/>
      <c r="L862"/>
      <c r="M862"/>
      <c r="N862"/>
      <c r="O862"/>
      <c r="P862"/>
      <c r="Q862"/>
      <c r="R862"/>
      <c r="S862"/>
      <c r="T862"/>
      <c r="U862"/>
      <c r="V862"/>
      <c r="W862"/>
      <c r="X862"/>
      <c r="Y862"/>
      <c r="Z862"/>
      <c r="AA862"/>
      <c r="AB862"/>
      <c r="AC862"/>
      <c r="AD862"/>
      <c r="AE862"/>
      <c r="AF862"/>
      <c r="AG862"/>
      <c r="AH862"/>
      <c r="AI862"/>
      <c r="AJ862"/>
      <c r="AK862"/>
      <c r="AL862"/>
      <c r="AM862"/>
      <c r="AN862"/>
      <c r="AO862"/>
      <c r="AP862"/>
      <c r="AQ862"/>
      <c r="AR862"/>
      <c r="AS862"/>
      <c r="AT862"/>
      <c r="AU862"/>
      <c r="AV862"/>
      <c r="AW862"/>
      <c r="AX862"/>
      <c r="AY862"/>
      <c r="AZ862"/>
      <c r="BA862"/>
      <c r="BB862"/>
      <c r="BC862"/>
      <c r="BD862"/>
      <c r="BE862"/>
      <c r="BF862"/>
      <c r="BG862"/>
      <c r="BH862"/>
      <c r="BI862"/>
      <c r="BJ862"/>
      <c r="BK862"/>
      <c r="BL862"/>
      <c r="BM862"/>
      <c r="BN862"/>
      <c r="BO862"/>
      <c r="BP862"/>
      <c r="BQ862"/>
      <c r="BR862"/>
      <c r="BS862"/>
      <c r="BT862"/>
      <c r="BU862"/>
      <c r="BV862"/>
      <c r="BW862"/>
      <c r="BX862"/>
      <c r="BY862"/>
      <c r="BZ862"/>
      <c r="CA862"/>
      <c r="CB862"/>
      <c r="CC862"/>
      <c r="CD862"/>
      <c r="CE862"/>
      <c r="CF862"/>
      <c r="CG862"/>
      <c r="CH862"/>
      <c r="CI862"/>
      <c r="CJ862"/>
      <c r="CK862"/>
      <c r="CL862"/>
      <c r="CM862"/>
      <c r="CN862"/>
      <c r="CO862"/>
      <c r="CP862"/>
      <c r="CQ862"/>
      <c r="CR862"/>
      <c r="CS862"/>
      <c r="CT862"/>
      <c r="CU862"/>
      <c r="CV862"/>
      <c r="CW862"/>
      <c r="CX862"/>
      <c r="CY862"/>
      <c r="CZ862"/>
      <c r="DA862"/>
      <c r="DB862"/>
      <c r="DC862"/>
      <c r="DD862"/>
      <c r="DE862"/>
      <c r="DF862"/>
      <c r="DG862"/>
      <c r="DH862"/>
      <c r="DI862"/>
      <c r="DJ862"/>
      <c r="DK862"/>
      <c r="DL862"/>
      <c r="DM862"/>
      <c r="DN862"/>
      <c r="DO862"/>
      <c r="DP862"/>
      <c r="DQ862"/>
      <c r="DR862"/>
      <c r="DS862"/>
      <c r="DT862"/>
      <c r="DU862"/>
      <c r="DV862"/>
      <c r="DW862"/>
      <c r="DX862"/>
      <c r="DY862"/>
      <c r="DZ862"/>
      <c r="EA862"/>
      <c r="EB862"/>
      <c r="EC862"/>
      <c r="ED862"/>
      <c r="EE862"/>
      <c r="EF862"/>
      <c r="EG862"/>
      <c r="EH862"/>
      <c r="EI862"/>
      <c r="EJ862"/>
      <c r="EK862"/>
      <c r="EL862"/>
      <c r="EM862"/>
      <c r="EN862"/>
      <c r="EO862"/>
      <c r="EP862"/>
      <c r="EQ862"/>
      <c r="ER862"/>
      <c r="ES862"/>
      <c r="ET862"/>
      <c r="EU862"/>
      <c r="EV862"/>
      <c r="EW862"/>
      <c r="EX862"/>
      <c r="EY862"/>
      <c r="EZ862"/>
      <c r="FA862"/>
      <c r="FB862"/>
      <c r="FC862"/>
      <c r="FD862"/>
      <c r="FE862"/>
      <c r="FF862"/>
      <c r="FG862"/>
      <c r="FH862"/>
      <c r="FI862"/>
      <c r="FJ862"/>
      <c r="FK862"/>
      <c r="FL862"/>
      <c r="FM862"/>
      <c r="FN862"/>
      <c r="FO862"/>
      <c r="FP862"/>
      <c r="FQ862"/>
      <c r="FR862"/>
      <c r="FS862"/>
      <c r="FT862"/>
      <c r="FU862"/>
      <c r="FV862"/>
      <c r="FW862"/>
      <c r="FX862"/>
      <c r="FY862"/>
      <c r="FZ862"/>
      <c r="GA862"/>
      <c r="GB862"/>
      <c r="GC862"/>
      <c r="GD862"/>
      <c r="GE862"/>
      <c r="GF862"/>
      <c r="GG862"/>
      <c r="GH862"/>
      <c r="GI862"/>
      <c r="GJ862"/>
      <c r="GK862"/>
      <c r="GL862"/>
      <c r="GM862"/>
      <c r="GN862"/>
      <c r="GO862"/>
      <c r="GP862"/>
      <c r="GQ862"/>
      <c r="GR862"/>
      <c r="GS862"/>
      <c r="GT862"/>
      <c r="GU862"/>
      <c r="GV862"/>
      <c r="GW862"/>
      <c r="GX862"/>
      <c r="GY862"/>
      <c r="GZ862"/>
      <c r="HA862"/>
      <c r="HB862"/>
      <c r="HC862"/>
      <c r="HD862"/>
      <c r="HE862"/>
      <c r="HF862"/>
      <c r="HG862"/>
      <c r="HH862"/>
      <c r="HI862"/>
      <c r="HJ862"/>
      <c r="HK862"/>
      <c r="HL862"/>
      <c r="HM862"/>
      <c r="HN862"/>
      <c r="HO862"/>
      <c r="HP862"/>
      <c r="HQ862"/>
      <c r="HR862"/>
      <c r="HS862"/>
      <c r="HT862"/>
      <c r="HU862"/>
      <c r="HV862"/>
      <c r="HW862"/>
      <c r="HX862"/>
      <c r="HY862"/>
      <c r="HZ862"/>
      <c r="IA862"/>
      <c r="IB862"/>
      <c r="IC862"/>
      <c r="ID862"/>
      <c r="IE862"/>
      <c r="IF862"/>
      <c r="IG862"/>
      <c r="IH862"/>
      <c r="II862"/>
      <c r="IJ862"/>
    </row>
    <row r="863" spans="1:244" ht="12.75" customHeight="1" x14ac:dyDescent="0.2">
      <c r="A863" s="2464"/>
      <c r="B863" s="2113" t="s">
        <v>2558</v>
      </c>
      <c r="C863" s="2075">
        <v>200000</v>
      </c>
      <c r="D863" s="2075">
        <v>200000</v>
      </c>
      <c r="E863" s="2075">
        <v>7381</v>
      </c>
      <c r="F863" s="2075"/>
      <c r="G863" s="2200">
        <f t="shared" si="122"/>
        <v>3.6905000000000001</v>
      </c>
      <c r="H863" s="2200">
        <f t="shared" si="124"/>
        <v>3.6905000000000001</v>
      </c>
      <c r="I863" s="2201">
        <f t="shared" si="123"/>
        <v>13.959029180820018</v>
      </c>
      <c r="J863" s="88">
        <v>52876.17</v>
      </c>
      <c r="K863" s="2"/>
      <c r="L863"/>
      <c r="M863"/>
      <c r="N863"/>
      <c r="O863"/>
      <c r="P863"/>
      <c r="Q863"/>
      <c r="R863"/>
      <c r="S863"/>
      <c r="T863"/>
      <c r="U863"/>
      <c r="V863"/>
      <c r="W863"/>
      <c r="X863"/>
      <c r="Y863"/>
      <c r="Z863"/>
      <c r="AA863"/>
      <c r="AB863"/>
      <c r="AC863"/>
      <c r="AD863"/>
      <c r="AE863"/>
      <c r="AF863"/>
      <c r="AG863"/>
      <c r="AH863"/>
      <c r="AI863"/>
      <c r="AJ863"/>
      <c r="AK863"/>
      <c r="AL863"/>
      <c r="AM863"/>
      <c r="AN863"/>
      <c r="AO863"/>
      <c r="AP863"/>
      <c r="AQ863"/>
      <c r="AR863"/>
      <c r="AS863"/>
      <c r="AT863"/>
      <c r="AU863"/>
      <c r="AV863"/>
      <c r="AW863"/>
      <c r="AX863"/>
      <c r="AY863"/>
      <c r="AZ863"/>
      <c r="BA863"/>
      <c r="BB863"/>
      <c r="BC863"/>
      <c r="BD863"/>
      <c r="BE863"/>
      <c r="BF863"/>
      <c r="BG863"/>
      <c r="BH863"/>
      <c r="BI863"/>
      <c r="BJ863"/>
      <c r="BK863"/>
      <c r="BL863"/>
      <c r="BM863"/>
      <c r="BN863"/>
      <c r="BO863"/>
      <c r="BP863"/>
      <c r="BQ863"/>
      <c r="BR863"/>
      <c r="BS863"/>
      <c r="BT863"/>
      <c r="BU863"/>
      <c r="BV863"/>
      <c r="BW863"/>
      <c r="BX863"/>
      <c r="BY863"/>
      <c r="BZ863"/>
      <c r="CA863"/>
      <c r="CB863"/>
      <c r="CC863"/>
      <c r="CD863"/>
      <c r="CE863"/>
      <c r="CF863"/>
      <c r="CG863"/>
      <c r="CH863"/>
      <c r="CI863"/>
      <c r="CJ863"/>
      <c r="CK863"/>
      <c r="CL863"/>
      <c r="CM863"/>
      <c r="CN863"/>
      <c r="CO863"/>
      <c r="CP863"/>
      <c r="CQ863"/>
      <c r="CR863"/>
      <c r="CS863"/>
      <c r="CT863"/>
      <c r="CU863"/>
      <c r="CV863"/>
      <c r="CW863"/>
      <c r="CX863"/>
      <c r="CY863"/>
      <c r="CZ863"/>
      <c r="DA863"/>
      <c r="DB863"/>
      <c r="DC863"/>
      <c r="DD863"/>
      <c r="DE863"/>
      <c r="DF863"/>
      <c r="DG863"/>
      <c r="DH863"/>
      <c r="DI863"/>
      <c r="DJ863"/>
      <c r="DK863"/>
      <c r="DL863"/>
      <c r="DM863"/>
      <c r="DN863"/>
      <c r="DO863"/>
      <c r="DP863"/>
      <c r="DQ863"/>
      <c r="DR863"/>
      <c r="DS863"/>
      <c r="DT863"/>
      <c r="DU863"/>
      <c r="DV863"/>
      <c r="DW863"/>
      <c r="DX863"/>
      <c r="DY863"/>
      <c r="DZ863"/>
      <c r="EA863"/>
      <c r="EB863"/>
      <c r="EC863"/>
      <c r="ED863"/>
      <c r="EE863"/>
      <c r="EF863"/>
      <c r="EG863"/>
      <c r="EH863"/>
      <c r="EI863"/>
      <c r="EJ863"/>
      <c r="EK863"/>
      <c r="EL863"/>
      <c r="EM863"/>
      <c r="EN863"/>
      <c r="EO863"/>
      <c r="EP863"/>
      <c r="EQ863"/>
      <c r="ER863"/>
      <c r="ES863"/>
      <c r="ET863"/>
      <c r="EU863"/>
      <c r="EV863"/>
      <c r="EW863"/>
      <c r="EX863"/>
      <c r="EY863"/>
      <c r="EZ863"/>
      <c r="FA863"/>
      <c r="FB863"/>
      <c r="FC863"/>
      <c r="FD863"/>
      <c r="FE863"/>
      <c r="FF863"/>
      <c r="FG863"/>
      <c r="FH863"/>
      <c r="FI863"/>
      <c r="FJ863"/>
      <c r="FK863"/>
      <c r="FL863"/>
      <c r="FM863"/>
      <c r="FN863"/>
      <c r="FO863"/>
      <c r="FP863"/>
      <c r="FQ863"/>
      <c r="FR863"/>
      <c r="FS863"/>
      <c r="FT863"/>
      <c r="FU863"/>
      <c r="FV863"/>
      <c r="FW863"/>
      <c r="FX863"/>
      <c r="FY863"/>
      <c r="FZ863"/>
      <c r="GA863"/>
      <c r="GB863"/>
      <c r="GC863"/>
      <c r="GD863"/>
      <c r="GE863"/>
      <c r="GF863"/>
      <c r="GG863"/>
      <c r="GH863"/>
      <c r="GI863"/>
      <c r="GJ863"/>
      <c r="GK863"/>
      <c r="GL863"/>
      <c r="GM863"/>
      <c r="GN863"/>
      <c r="GO863"/>
      <c r="GP863"/>
      <c r="GQ863"/>
      <c r="GR863"/>
      <c r="GS863"/>
      <c r="GT863"/>
      <c r="GU863"/>
      <c r="GV863"/>
      <c r="GW863"/>
      <c r="GX863"/>
      <c r="GY863"/>
      <c r="GZ863"/>
      <c r="HA863"/>
      <c r="HB863"/>
      <c r="HC863"/>
      <c r="HD863"/>
      <c r="HE863"/>
      <c r="HF863"/>
      <c r="HG863"/>
      <c r="HH863"/>
      <c r="HI863"/>
      <c r="HJ863"/>
      <c r="HK863"/>
      <c r="HL863"/>
      <c r="HM863"/>
      <c r="HN863"/>
      <c r="HO863"/>
      <c r="HP863"/>
      <c r="HQ863"/>
      <c r="HR863"/>
      <c r="HS863"/>
      <c r="HT863"/>
      <c r="HU863"/>
      <c r="HV863"/>
      <c r="HW863"/>
      <c r="HX863"/>
      <c r="HY863"/>
      <c r="HZ863"/>
      <c r="IA863"/>
      <c r="IB863"/>
      <c r="IC863"/>
      <c r="ID863"/>
      <c r="IE863"/>
      <c r="IF863"/>
      <c r="IG863"/>
      <c r="IH863"/>
      <c r="II863"/>
      <c r="IJ863"/>
    </row>
    <row r="864" spans="1:244" ht="12.75" customHeight="1" x14ac:dyDescent="0.2">
      <c r="A864" s="2464"/>
      <c r="B864" s="2113" t="s">
        <v>1982</v>
      </c>
      <c r="C864" s="2075">
        <v>100000</v>
      </c>
      <c r="D864" s="2075">
        <v>100000</v>
      </c>
      <c r="E864" s="2075">
        <v>90809.29</v>
      </c>
      <c r="F864" s="2075"/>
      <c r="G864" s="2200">
        <f t="shared" si="122"/>
        <v>90.809290000000004</v>
      </c>
      <c r="H864" s="2200">
        <f t="shared" si="124"/>
        <v>90.809290000000004</v>
      </c>
      <c r="I864" s="2201">
        <v>0</v>
      </c>
      <c r="J864" s="88">
        <v>0</v>
      </c>
      <c r="K864" s="2"/>
      <c r="L864"/>
      <c r="M864"/>
      <c r="N864"/>
      <c r="O864"/>
      <c r="P864"/>
      <c r="Q864"/>
      <c r="R864"/>
      <c r="S864"/>
      <c r="T864"/>
      <c r="U864"/>
      <c r="V864"/>
      <c r="W864"/>
      <c r="X864"/>
      <c r="Y864"/>
      <c r="Z864"/>
      <c r="AA864"/>
      <c r="AB864"/>
      <c r="AC864"/>
      <c r="AD864"/>
      <c r="AE864"/>
      <c r="AF864"/>
      <c r="AG864"/>
      <c r="AH864"/>
      <c r="AI864"/>
      <c r="AJ864"/>
      <c r="AK864"/>
      <c r="AL864"/>
      <c r="AM864"/>
      <c r="AN864"/>
      <c r="AO864"/>
      <c r="AP864"/>
      <c r="AQ864"/>
      <c r="AR864"/>
      <c r="AS864"/>
      <c r="AT864"/>
      <c r="AU864"/>
      <c r="AV864"/>
      <c r="AW864"/>
      <c r="AX864"/>
      <c r="AY864"/>
      <c r="AZ864"/>
      <c r="BA864"/>
      <c r="BB864"/>
      <c r="BC864"/>
      <c r="BD864"/>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c r="EB864"/>
      <c r="EC864"/>
      <c r="ED864"/>
      <c r="EE864"/>
      <c r="EF864"/>
      <c r="EG864"/>
      <c r="EH864"/>
      <c r="EI864"/>
      <c r="EJ864"/>
      <c r="EK864"/>
      <c r="EL864"/>
      <c r="EM864"/>
      <c r="EN864"/>
      <c r="EO864"/>
      <c r="EP864"/>
      <c r="EQ864"/>
      <c r="ER864"/>
      <c r="ES864"/>
      <c r="ET864"/>
      <c r="EU864"/>
      <c r="EV864"/>
      <c r="EW864"/>
      <c r="EX864"/>
      <c r="EY864"/>
      <c r="EZ864"/>
      <c r="FA864"/>
      <c r="FB864"/>
      <c r="FC864"/>
      <c r="FD864"/>
      <c r="FE864"/>
      <c r="FF864"/>
      <c r="FG864"/>
      <c r="FH864"/>
      <c r="FI864"/>
      <c r="FJ864"/>
      <c r="FK864"/>
      <c r="FL864"/>
      <c r="FM864"/>
      <c r="FN864"/>
      <c r="FO864"/>
      <c r="FP864"/>
      <c r="FQ864"/>
      <c r="FR864"/>
      <c r="FS864"/>
      <c r="FT864"/>
      <c r="FU864"/>
      <c r="FV864"/>
      <c r="FW864"/>
      <c r="FX864"/>
      <c r="FY864"/>
      <c r="FZ864"/>
      <c r="GA864"/>
      <c r="GB864"/>
      <c r="GC864"/>
      <c r="GD864"/>
      <c r="GE864"/>
      <c r="GF864"/>
      <c r="GG864"/>
      <c r="GH864"/>
      <c r="GI864"/>
      <c r="GJ864"/>
      <c r="GK864"/>
      <c r="GL864"/>
      <c r="GM864"/>
      <c r="GN864"/>
      <c r="GO864"/>
      <c r="GP864"/>
      <c r="GQ864"/>
      <c r="GR864"/>
      <c r="GS864"/>
      <c r="GT864"/>
      <c r="GU864"/>
      <c r="GV864"/>
      <c r="GW864"/>
      <c r="GX864"/>
      <c r="GY864"/>
      <c r="GZ864"/>
      <c r="HA864"/>
      <c r="HB864"/>
      <c r="HC864"/>
      <c r="HD864"/>
      <c r="HE864"/>
      <c r="HF864"/>
      <c r="HG864"/>
      <c r="HH864"/>
      <c r="HI864"/>
      <c r="HJ864"/>
      <c r="HK864"/>
      <c r="HL864"/>
      <c r="HM864"/>
      <c r="HN864"/>
      <c r="HO864"/>
      <c r="HP864"/>
      <c r="HQ864"/>
      <c r="HR864"/>
      <c r="HS864"/>
      <c r="HT864"/>
      <c r="HU864"/>
      <c r="HV864"/>
      <c r="HW864"/>
      <c r="HX864"/>
      <c r="HY864"/>
      <c r="HZ864"/>
      <c r="IA864"/>
      <c r="IB864"/>
      <c r="IC864"/>
      <c r="ID864"/>
      <c r="IE864"/>
      <c r="IF864"/>
      <c r="IG864"/>
      <c r="IH864"/>
      <c r="II864"/>
      <c r="IJ864"/>
    </row>
    <row r="865" spans="1:244" ht="12.75" customHeight="1" x14ac:dyDescent="0.2">
      <c r="A865" s="2464"/>
      <c r="B865" s="2113" t="s">
        <v>2955</v>
      </c>
      <c r="C865" s="2075">
        <v>0</v>
      </c>
      <c r="D865" s="2075">
        <f>30000+20000+10000</f>
        <v>60000</v>
      </c>
      <c r="E865" s="2075">
        <v>53975.56</v>
      </c>
      <c r="F865" s="2075"/>
      <c r="G865" s="2200">
        <v>0</v>
      </c>
      <c r="H865" s="2200">
        <f t="shared" si="124"/>
        <v>89.959266666666664</v>
      </c>
      <c r="I865" s="2201">
        <v>0</v>
      </c>
      <c r="J865" s="88">
        <v>0</v>
      </c>
      <c r="K865" s="2"/>
      <c r="L865"/>
      <c r="M865"/>
      <c r="N865"/>
      <c r="O865"/>
      <c r="P865"/>
      <c r="Q865"/>
      <c r="R865"/>
      <c r="S865"/>
      <c r="T865"/>
      <c r="U865"/>
      <c r="V865"/>
      <c r="W865"/>
      <c r="X865"/>
      <c r="Y865"/>
      <c r="Z865"/>
      <c r="AA865"/>
      <c r="AB865"/>
      <c r="AC865"/>
      <c r="AD865"/>
      <c r="AE865"/>
      <c r="AF865"/>
      <c r="AG865"/>
      <c r="AH865"/>
      <c r="AI865"/>
      <c r="AJ865"/>
      <c r="AK865"/>
      <c r="AL865"/>
      <c r="AM865"/>
      <c r="AN865"/>
      <c r="AO865"/>
      <c r="AP865"/>
      <c r="AQ865"/>
      <c r="AR865"/>
      <c r="AS865"/>
      <c r="AT865"/>
      <c r="AU865"/>
      <c r="AV865"/>
      <c r="AW865"/>
      <c r="AX865"/>
      <c r="AY865"/>
      <c r="AZ865"/>
      <c r="BA865"/>
      <c r="BB865"/>
      <c r="BC865"/>
      <c r="BD865"/>
      <c r="BE865"/>
      <c r="BF865"/>
      <c r="BG865"/>
      <c r="BH865"/>
      <c r="BI865"/>
      <c r="BJ865"/>
      <c r="BK865"/>
      <c r="BL865"/>
      <c r="BM865"/>
      <c r="BN865"/>
      <c r="BO865"/>
      <c r="BP865"/>
      <c r="BQ865"/>
      <c r="BR865"/>
      <c r="BS865"/>
      <c r="BT865"/>
      <c r="BU865"/>
      <c r="BV865"/>
      <c r="BW865"/>
      <c r="BX865"/>
      <c r="BY865"/>
      <c r="BZ865"/>
      <c r="CA865"/>
      <c r="CB865"/>
      <c r="CC865"/>
      <c r="CD865"/>
      <c r="CE865"/>
      <c r="CF865"/>
      <c r="CG865"/>
      <c r="CH865"/>
      <c r="CI865"/>
      <c r="CJ865"/>
      <c r="CK865"/>
      <c r="CL865"/>
      <c r="CM865"/>
      <c r="CN865"/>
      <c r="CO865"/>
      <c r="CP865"/>
      <c r="CQ865"/>
      <c r="CR865"/>
      <c r="CS865"/>
      <c r="CT865"/>
      <c r="CU865"/>
      <c r="CV865"/>
      <c r="CW865"/>
      <c r="CX865"/>
      <c r="CY865"/>
      <c r="CZ865"/>
      <c r="DA865"/>
      <c r="DB865"/>
      <c r="DC865"/>
      <c r="DD865"/>
      <c r="DE865"/>
      <c r="DF865"/>
      <c r="DG865"/>
      <c r="DH865"/>
      <c r="DI865"/>
      <c r="DJ865"/>
      <c r="DK865"/>
      <c r="DL865"/>
      <c r="DM865"/>
      <c r="DN865"/>
      <c r="DO865"/>
      <c r="DP865"/>
      <c r="DQ865"/>
      <c r="DR865"/>
      <c r="DS865"/>
      <c r="DT865"/>
      <c r="DU865"/>
      <c r="DV865"/>
      <c r="DW865"/>
      <c r="DX865"/>
      <c r="DY865"/>
      <c r="DZ865"/>
      <c r="EA865"/>
      <c r="EB865"/>
      <c r="EC865"/>
      <c r="ED865"/>
      <c r="EE865"/>
      <c r="EF865"/>
      <c r="EG865"/>
      <c r="EH865"/>
      <c r="EI865"/>
      <c r="EJ865"/>
      <c r="EK865"/>
      <c r="EL865"/>
      <c r="EM865"/>
      <c r="EN865"/>
      <c r="EO865"/>
      <c r="EP865"/>
      <c r="EQ865"/>
      <c r="ER865"/>
      <c r="ES865"/>
      <c r="ET865"/>
      <c r="EU865"/>
      <c r="EV865"/>
      <c r="EW865"/>
      <c r="EX865"/>
      <c r="EY865"/>
      <c r="EZ865"/>
      <c r="FA865"/>
      <c r="FB865"/>
      <c r="FC865"/>
      <c r="FD865"/>
      <c r="FE865"/>
      <c r="FF865"/>
      <c r="FG865"/>
      <c r="FH865"/>
      <c r="FI865"/>
      <c r="FJ865"/>
      <c r="FK865"/>
      <c r="FL865"/>
      <c r="FM865"/>
      <c r="FN865"/>
      <c r="FO865"/>
      <c r="FP865"/>
      <c r="FQ865"/>
      <c r="FR865"/>
      <c r="FS865"/>
      <c r="FT865"/>
      <c r="FU865"/>
      <c r="FV865"/>
      <c r="FW865"/>
      <c r="FX865"/>
      <c r="FY865"/>
      <c r="FZ865"/>
      <c r="GA865"/>
      <c r="GB865"/>
      <c r="GC865"/>
      <c r="GD865"/>
      <c r="GE865"/>
      <c r="GF865"/>
      <c r="GG865"/>
      <c r="GH865"/>
      <c r="GI865"/>
      <c r="GJ865"/>
      <c r="GK865"/>
      <c r="GL865"/>
      <c r="GM865"/>
      <c r="GN865"/>
      <c r="GO865"/>
      <c r="GP865"/>
      <c r="GQ865"/>
      <c r="GR865"/>
      <c r="GS865"/>
      <c r="GT865"/>
      <c r="GU865"/>
      <c r="GV865"/>
      <c r="GW865"/>
      <c r="GX865"/>
      <c r="GY865"/>
      <c r="GZ865"/>
      <c r="HA865"/>
      <c r="HB865"/>
      <c r="HC865"/>
      <c r="HD865"/>
      <c r="HE865"/>
      <c r="HF865"/>
      <c r="HG865"/>
      <c r="HH865"/>
      <c r="HI865"/>
      <c r="HJ865"/>
      <c r="HK865"/>
      <c r="HL865"/>
      <c r="HM865"/>
      <c r="HN865"/>
      <c r="HO865"/>
      <c r="HP865"/>
      <c r="HQ865"/>
      <c r="HR865"/>
      <c r="HS865"/>
      <c r="HT865"/>
      <c r="HU865"/>
      <c r="HV865"/>
      <c r="HW865"/>
      <c r="HX865"/>
      <c r="HY865"/>
      <c r="HZ865"/>
      <c r="IA865"/>
      <c r="IB865"/>
      <c r="IC865"/>
      <c r="ID865"/>
      <c r="IE865"/>
      <c r="IF865"/>
      <c r="IG865"/>
      <c r="IH865"/>
      <c r="II865"/>
      <c r="IJ865"/>
    </row>
    <row r="866" spans="1:244" x14ac:dyDescent="0.2">
      <c r="A866" s="2464"/>
      <c r="B866" s="2129" t="s">
        <v>2956</v>
      </c>
      <c r="C866" s="2082">
        <f>SUM(C867:C872)</f>
        <v>1650000</v>
      </c>
      <c r="D866" s="2082">
        <f>SUM(D867:D872)</f>
        <v>1600000</v>
      </c>
      <c r="E866" s="2082">
        <v>634317.42000000004</v>
      </c>
      <c r="F866" s="2082">
        <f>SUM(E867:E872)</f>
        <v>634317.41999999993</v>
      </c>
      <c r="G866" s="2459">
        <f t="shared" si="122"/>
        <v>38.443480000000001</v>
      </c>
      <c r="H866" s="2459">
        <f t="shared" si="124"/>
        <v>39.644838749999998</v>
      </c>
      <c r="I866" s="2460">
        <f t="shared" si="123"/>
        <v>253.9618013985172</v>
      </c>
      <c r="J866" s="2175">
        <v>249768.83</v>
      </c>
      <c r="K866" s="2"/>
      <c r="L866"/>
      <c r="M866"/>
      <c r="N866"/>
      <c r="O866"/>
      <c r="P866"/>
      <c r="Q866"/>
      <c r="R866"/>
      <c r="S866"/>
      <c r="T866"/>
      <c r="U866"/>
      <c r="V866"/>
      <c r="W866"/>
      <c r="X866"/>
      <c r="Y866"/>
      <c r="Z866"/>
      <c r="AA866"/>
      <c r="AB866"/>
      <c r="AC866"/>
      <c r="AD866"/>
      <c r="AE866"/>
      <c r="AF866"/>
      <c r="AG866"/>
      <c r="AH866"/>
      <c r="AI866"/>
      <c r="AJ866"/>
      <c r="AK866"/>
      <c r="AL866"/>
      <c r="AM866"/>
      <c r="AN866"/>
      <c r="AO866"/>
      <c r="AP866"/>
      <c r="AQ866"/>
      <c r="AR866"/>
      <c r="AS866"/>
      <c r="AT866"/>
      <c r="AU866"/>
      <c r="AV866"/>
      <c r="AW866"/>
      <c r="AX866"/>
      <c r="AY866"/>
      <c r="AZ866"/>
      <c r="BA866"/>
      <c r="BB866"/>
      <c r="BC866"/>
      <c r="BD866"/>
      <c r="BE866"/>
      <c r="BF866"/>
      <c r="BG866"/>
      <c r="BH866"/>
      <c r="BI866"/>
      <c r="BJ866"/>
      <c r="BK866"/>
      <c r="BL866"/>
      <c r="BM866"/>
      <c r="BN866"/>
      <c r="BO866"/>
      <c r="BP866"/>
      <c r="BQ866"/>
      <c r="BR866"/>
      <c r="BS866"/>
      <c r="BT866"/>
      <c r="BU866"/>
      <c r="BV866"/>
      <c r="BW866"/>
      <c r="BX866"/>
      <c r="BY866"/>
      <c r="BZ866"/>
      <c r="CA866"/>
      <c r="CB866"/>
      <c r="CC866"/>
      <c r="CD866"/>
      <c r="CE866"/>
      <c r="CF866"/>
      <c r="CG866"/>
      <c r="CH866"/>
      <c r="CI866"/>
      <c r="CJ866"/>
      <c r="CK866"/>
      <c r="CL866"/>
      <c r="CM866"/>
      <c r="CN866"/>
      <c r="CO866"/>
      <c r="CP866"/>
      <c r="CQ866"/>
      <c r="CR866"/>
      <c r="CS866"/>
      <c r="CT866"/>
      <c r="CU866"/>
      <c r="CV866"/>
      <c r="CW866"/>
      <c r="CX866"/>
      <c r="CY866"/>
      <c r="CZ866"/>
      <c r="DA866"/>
      <c r="DB866"/>
      <c r="DC866"/>
      <c r="DD866"/>
      <c r="DE866"/>
      <c r="DF866"/>
      <c r="DG866"/>
      <c r="DH866"/>
      <c r="DI866"/>
      <c r="DJ866"/>
      <c r="DK866"/>
      <c r="DL866"/>
      <c r="DM866"/>
      <c r="DN866"/>
      <c r="DO866"/>
      <c r="DP866"/>
      <c r="DQ866"/>
      <c r="DR866"/>
      <c r="DS866"/>
      <c r="DT866"/>
      <c r="DU866"/>
      <c r="DV866"/>
      <c r="DW866"/>
      <c r="DX866"/>
      <c r="DY866"/>
      <c r="DZ866"/>
      <c r="EA866"/>
      <c r="EB866"/>
      <c r="EC866"/>
      <c r="ED866"/>
      <c r="EE866"/>
      <c r="EF866"/>
      <c r="EG866"/>
      <c r="EH866"/>
      <c r="EI866"/>
      <c r="EJ866"/>
      <c r="EK866"/>
      <c r="EL866"/>
      <c r="EM866"/>
      <c r="EN866"/>
      <c r="EO866"/>
      <c r="EP866"/>
      <c r="EQ866"/>
      <c r="ER866"/>
      <c r="ES866"/>
      <c r="ET866"/>
      <c r="EU866"/>
      <c r="EV866"/>
      <c r="EW866"/>
      <c r="EX866"/>
      <c r="EY866"/>
      <c r="EZ866"/>
      <c r="FA866"/>
      <c r="FB866"/>
      <c r="FC866"/>
      <c r="FD866"/>
      <c r="FE866"/>
      <c r="FF866"/>
      <c r="FG866"/>
      <c r="FH866"/>
      <c r="FI866"/>
      <c r="FJ866"/>
      <c r="FK866"/>
      <c r="FL866"/>
      <c r="FM866"/>
      <c r="FN866"/>
      <c r="FO866"/>
      <c r="FP866"/>
      <c r="FQ866"/>
      <c r="FR866"/>
      <c r="FS866"/>
      <c r="FT866"/>
      <c r="FU866"/>
      <c r="FV866"/>
      <c r="FW866"/>
      <c r="FX866"/>
      <c r="FY866"/>
      <c r="FZ866"/>
      <c r="GA866"/>
      <c r="GB866"/>
      <c r="GC866"/>
      <c r="GD866"/>
      <c r="GE866"/>
      <c r="GF866"/>
      <c r="GG866"/>
      <c r="GH866"/>
      <c r="GI866"/>
      <c r="GJ866"/>
      <c r="GK866"/>
      <c r="GL866"/>
      <c r="GM866"/>
      <c r="GN866"/>
      <c r="GO866"/>
      <c r="GP866"/>
      <c r="GQ866"/>
      <c r="GR866"/>
      <c r="GS866"/>
      <c r="GT866"/>
      <c r="GU866"/>
      <c r="GV866"/>
      <c r="GW866"/>
      <c r="GX866"/>
      <c r="GY866"/>
      <c r="GZ866"/>
      <c r="HA866"/>
      <c r="HB866"/>
      <c r="HC866"/>
      <c r="HD866"/>
      <c r="HE866"/>
      <c r="HF866"/>
      <c r="HG866"/>
      <c r="HH866"/>
      <c r="HI866"/>
      <c r="HJ866"/>
      <c r="HK866"/>
      <c r="HL866"/>
      <c r="HM866"/>
      <c r="HN866"/>
      <c r="HO866"/>
      <c r="HP866"/>
      <c r="HQ866"/>
      <c r="HR866"/>
      <c r="HS866"/>
      <c r="HT866"/>
      <c r="HU866"/>
      <c r="HV866"/>
      <c r="HW866"/>
      <c r="HX866"/>
      <c r="HY866"/>
      <c r="HZ866"/>
      <c r="IA866"/>
      <c r="IB866"/>
      <c r="IC866"/>
      <c r="ID866"/>
      <c r="IE866"/>
      <c r="IF866"/>
      <c r="IG866"/>
      <c r="IH866"/>
      <c r="II866"/>
      <c r="IJ866"/>
    </row>
    <row r="867" spans="1:244" x14ac:dyDescent="0.2">
      <c r="A867" s="2464"/>
      <c r="B867" s="2113" t="s">
        <v>1985</v>
      </c>
      <c r="C867" s="2107">
        <v>100000</v>
      </c>
      <c r="D867" s="2107">
        <v>100000</v>
      </c>
      <c r="E867" s="2107">
        <v>0</v>
      </c>
      <c r="F867" s="2107"/>
      <c r="G867" s="2200">
        <f t="shared" si="122"/>
        <v>0</v>
      </c>
      <c r="H867" s="2200">
        <f t="shared" si="124"/>
        <v>0</v>
      </c>
      <c r="I867" s="2201">
        <f t="shared" si="123"/>
        <v>0</v>
      </c>
      <c r="J867" s="88">
        <v>4203.5600000000004</v>
      </c>
      <c r="K867" s="2"/>
      <c r="L867"/>
      <c r="M867"/>
      <c r="N867"/>
      <c r="O867"/>
      <c r="P867"/>
      <c r="Q867"/>
      <c r="R867"/>
      <c r="S867"/>
      <c r="T867"/>
      <c r="U867"/>
      <c r="V867"/>
      <c r="W867"/>
      <c r="X867"/>
      <c r="Y867"/>
      <c r="Z867"/>
      <c r="AA867"/>
      <c r="AB867"/>
      <c r="AC867"/>
      <c r="AD867"/>
      <c r="AE867"/>
      <c r="AF867"/>
      <c r="AG867"/>
      <c r="AH867"/>
      <c r="AI867"/>
      <c r="AJ867"/>
      <c r="AK867"/>
      <c r="AL867"/>
      <c r="AM867"/>
      <c r="AN867"/>
      <c r="AO867"/>
      <c r="AP867"/>
      <c r="AQ867"/>
      <c r="AR867"/>
      <c r="AS867"/>
      <c r="AT867"/>
      <c r="AU867"/>
      <c r="AV867"/>
      <c r="AW867"/>
      <c r="AX867"/>
      <c r="AY867"/>
      <c r="AZ867"/>
      <c r="BA867"/>
      <c r="BB867"/>
      <c r="BC867"/>
      <c r="BD867"/>
      <c r="BE867"/>
      <c r="BF867"/>
      <c r="BG867"/>
      <c r="BH867"/>
      <c r="BI867"/>
      <c r="BJ867"/>
      <c r="BK867"/>
      <c r="BL867"/>
      <c r="BM867"/>
      <c r="BN867"/>
      <c r="BO867"/>
      <c r="BP867"/>
      <c r="BQ867"/>
      <c r="BR867"/>
      <c r="BS867"/>
      <c r="BT867"/>
      <c r="BU867"/>
      <c r="BV867"/>
      <c r="BW867"/>
      <c r="BX867"/>
      <c r="BY867"/>
      <c r="BZ867"/>
      <c r="CA867"/>
      <c r="CB867"/>
      <c r="CC867"/>
      <c r="CD867"/>
      <c r="CE867"/>
      <c r="CF867"/>
      <c r="CG867"/>
      <c r="CH867"/>
      <c r="CI867"/>
      <c r="CJ867"/>
      <c r="CK867"/>
      <c r="CL867"/>
      <c r="CM867"/>
      <c r="CN867"/>
      <c r="CO867"/>
      <c r="CP867"/>
      <c r="CQ867"/>
      <c r="CR867"/>
      <c r="CS867"/>
      <c r="CT867"/>
      <c r="CU867"/>
      <c r="CV867"/>
      <c r="CW867"/>
      <c r="CX867"/>
      <c r="CY867"/>
      <c r="CZ867"/>
      <c r="DA867"/>
      <c r="DB867"/>
      <c r="DC867"/>
      <c r="DD867"/>
      <c r="DE867"/>
      <c r="DF867"/>
      <c r="DG867"/>
      <c r="DH867"/>
      <c r="DI867"/>
      <c r="DJ867"/>
      <c r="DK867"/>
      <c r="DL867"/>
      <c r="DM867"/>
      <c r="DN867"/>
      <c r="DO867"/>
      <c r="DP867"/>
      <c r="DQ867"/>
      <c r="DR867"/>
      <c r="DS867"/>
      <c r="DT867"/>
      <c r="DU867"/>
      <c r="DV867"/>
      <c r="DW867"/>
      <c r="DX867"/>
      <c r="DY867"/>
      <c r="DZ867"/>
      <c r="EA867"/>
      <c r="EB867"/>
      <c r="EC867"/>
      <c r="ED867"/>
      <c r="EE867"/>
      <c r="EF867"/>
      <c r="EG867"/>
      <c r="EH867"/>
      <c r="EI867"/>
      <c r="EJ867"/>
      <c r="EK867"/>
      <c r="EL867"/>
      <c r="EM867"/>
      <c r="EN867"/>
      <c r="EO867"/>
      <c r="EP867"/>
      <c r="EQ867"/>
      <c r="ER867"/>
      <c r="ES867"/>
      <c r="ET867"/>
      <c r="EU867"/>
      <c r="EV867"/>
      <c r="EW867"/>
      <c r="EX867"/>
      <c r="EY867"/>
      <c r="EZ867"/>
      <c r="FA867"/>
      <c r="FB867"/>
      <c r="FC867"/>
      <c r="FD867"/>
      <c r="FE867"/>
      <c r="FF867"/>
      <c r="FG867"/>
      <c r="FH867"/>
      <c r="FI867"/>
      <c r="FJ867"/>
      <c r="FK867"/>
      <c r="FL867"/>
      <c r="FM867"/>
      <c r="FN867"/>
      <c r="FO867"/>
      <c r="FP867"/>
      <c r="FQ867"/>
      <c r="FR867"/>
      <c r="FS867"/>
      <c r="FT867"/>
      <c r="FU867"/>
      <c r="FV867"/>
      <c r="FW867"/>
      <c r="FX867"/>
      <c r="FY867"/>
      <c r="FZ867"/>
      <c r="GA867"/>
      <c r="GB867"/>
      <c r="GC867"/>
      <c r="GD867"/>
      <c r="GE867"/>
      <c r="GF867"/>
      <c r="GG867"/>
      <c r="GH867"/>
      <c r="GI867"/>
      <c r="GJ867"/>
      <c r="GK867"/>
      <c r="GL867"/>
      <c r="GM867"/>
      <c r="GN867"/>
      <c r="GO867"/>
      <c r="GP867"/>
      <c r="GQ867"/>
      <c r="GR867"/>
      <c r="GS867"/>
      <c r="GT867"/>
      <c r="GU867"/>
      <c r="GV867"/>
      <c r="GW867"/>
      <c r="GX867"/>
      <c r="GY867"/>
      <c r="GZ867"/>
      <c r="HA867"/>
      <c r="HB867"/>
      <c r="HC867"/>
      <c r="HD867"/>
      <c r="HE867"/>
      <c r="HF867"/>
      <c r="HG867"/>
      <c r="HH867"/>
      <c r="HI867"/>
      <c r="HJ867"/>
      <c r="HK867"/>
      <c r="HL867"/>
      <c r="HM867"/>
      <c r="HN867"/>
      <c r="HO867"/>
      <c r="HP867"/>
      <c r="HQ867"/>
      <c r="HR867"/>
      <c r="HS867"/>
      <c r="HT867"/>
      <c r="HU867"/>
      <c r="HV867"/>
      <c r="HW867"/>
      <c r="HX867"/>
      <c r="HY867"/>
      <c r="HZ867"/>
      <c r="IA867"/>
      <c r="IB867"/>
      <c r="IC867"/>
      <c r="ID867"/>
      <c r="IE867"/>
      <c r="IF867"/>
      <c r="IG867"/>
      <c r="IH867"/>
      <c r="II867"/>
      <c r="IJ867"/>
    </row>
    <row r="868" spans="1:244" x14ac:dyDescent="0.2">
      <c r="A868" s="2464"/>
      <c r="B868" s="2113" t="s">
        <v>1986</v>
      </c>
      <c r="C868" s="2107">
        <v>200000</v>
      </c>
      <c r="D868" s="2107">
        <v>200000</v>
      </c>
      <c r="E868" s="2107">
        <v>61875.72</v>
      </c>
      <c r="F868" s="2107"/>
      <c r="G868" s="2200">
        <f t="shared" si="122"/>
        <v>30.937860000000001</v>
      </c>
      <c r="H868" s="2200">
        <f t="shared" si="124"/>
        <v>30.937860000000001</v>
      </c>
      <c r="I868" s="2201">
        <f t="shared" si="123"/>
        <v>1941.1138020604585</v>
      </c>
      <c r="J868" s="88">
        <v>3187.64</v>
      </c>
      <c r="K868" s="2"/>
      <c r="L868"/>
      <c r="M868"/>
      <c r="N868"/>
      <c r="O868"/>
      <c r="P868"/>
      <c r="Q868"/>
      <c r="R868"/>
      <c r="S868"/>
      <c r="T868"/>
      <c r="U868"/>
      <c r="V868"/>
      <c r="W868"/>
      <c r="X868"/>
      <c r="Y868"/>
      <c r="Z868"/>
      <c r="AA868"/>
      <c r="AB868"/>
      <c r="AC868"/>
      <c r="AD868"/>
      <c r="AE868"/>
      <c r="AF868"/>
      <c r="AG868"/>
      <c r="AH868"/>
      <c r="AI868"/>
      <c r="AJ868"/>
      <c r="AK868"/>
      <c r="AL868"/>
      <c r="AM868"/>
      <c r="AN868"/>
      <c r="AO868"/>
      <c r="AP868"/>
      <c r="AQ868"/>
      <c r="AR868"/>
      <c r="AS868"/>
      <c r="AT868"/>
      <c r="AU868"/>
      <c r="AV868"/>
      <c r="AW868"/>
      <c r="AX868"/>
      <c r="AY868"/>
      <c r="AZ868"/>
      <c r="BA868"/>
      <c r="BB868"/>
      <c r="BC868"/>
      <c r="BD868"/>
      <c r="BE868"/>
      <c r="BF868"/>
      <c r="BG868"/>
      <c r="BH868"/>
      <c r="BI868"/>
      <c r="BJ868"/>
      <c r="BK868"/>
      <c r="BL868"/>
      <c r="BM868"/>
      <c r="BN868"/>
      <c r="BO868"/>
      <c r="BP868"/>
      <c r="BQ868"/>
      <c r="BR868"/>
      <c r="BS868"/>
      <c r="BT868"/>
      <c r="BU868"/>
      <c r="BV868"/>
      <c r="BW868"/>
      <c r="BX868"/>
      <c r="BY868"/>
      <c r="BZ868"/>
      <c r="CA868"/>
      <c r="CB868"/>
      <c r="CC868"/>
      <c r="CD868"/>
      <c r="CE868"/>
      <c r="CF868"/>
      <c r="CG868"/>
      <c r="CH868"/>
      <c r="CI868"/>
      <c r="CJ868"/>
      <c r="CK868"/>
      <c r="CL868"/>
      <c r="CM868"/>
      <c r="CN868"/>
      <c r="CO868"/>
      <c r="CP868"/>
      <c r="CQ868"/>
      <c r="CR868"/>
      <c r="CS868"/>
      <c r="CT868"/>
      <c r="CU868"/>
      <c r="CV868"/>
      <c r="CW868"/>
      <c r="CX868"/>
      <c r="CY868"/>
      <c r="CZ868"/>
      <c r="DA868"/>
      <c r="DB868"/>
      <c r="DC868"/>
      <c r="DD868"/>
      <c r="DE868"/>
      <c r="DF868"/>
      <c r="DG868"/>
      <c r="DH868"/>
      <c r="DI868"/>
      <c r="DJ868"/>
      <c r="DK868"/>
      <c r="DL868"/>
      <c r="DM868"/>
      <c r="DN868"/>
      <c r="DO868"/>
      <c r="DP868"/>
      <c r="DQ868"/>
      <c r="DR868"/>
      <c r="DS868"/>
      <c r="DT868"/>
      <c r="DU868"/>
      <c r="DV868"/>
      <c r="DW868"/>
      <c r="DX868"/>
      <c r="DY868"/>
      <c r="DZ868"/>
      <c r="EA868"/>
      <c r="EB868"/>
      <c r="EC868"/>
      <c r="ED868"/>
      <c r="EE868"/>
      <c r="EF868"/>
      <c r="EG868"/>
      <c r="EH868"/>
      <c r="EI868"/>
      <c r="EJ868"/>
      <c r="EK868"/>
      <c r="EL868"/>
      <c r="EM868"/>
      <c r="EN868"/>
      <c r="EO868"/>
      <c r="EP868"/>
      <c r="EQ868"/>
      <c r="ER868"/>
      <c r="ES868"/>
      <c r="ET868"/>
      <c r="EU868"/>
      <c r="EV868"/>
      <c r="EW868"/>
      <c r="EX868"/>
      <c r="EY868"/>
      <c r="EZ868"/>
      <c r="FA868"/>
      <c r="FB868"/>
      <c r="FC868"/>
      <c r="FD868"/>
      <c r="FE868"/>
      <c r="FF868"/>
      <c r="FG868"/>
      <c r="FH868"/>
      <c r="FI868"/>
      <c r="FJ868"/>
      <c r="FK868"/>
      <c r="FL868"/>
      <c r="FM868"/>
      <c r="FN868"/>
      <c r="FO868"/>
      <c r="FP868"/>
      <c r="FQ868"/>
      <c r="FR868"/>
      <c r="FS868"/>
      <c r="FT868"/>
      <c r="FU868"/>
      <c r="FV868"/>
      <c r="FW868"/>
      <c r="FX868"/>
      <c r="FY868"/>
      <c r="FZ868"/>
      <c r="GA868"/>
      <c r="GB868"/>
      <c r="GC868"/>
      <c r="GD868"/>
      <c r="GE868"/>
      <c r="GF868"/>
      <c r="GG868"/>
      <c r="GH868"/>
      <c r="GI868"/>
      <c r="GJ868"/>
      <c r="GK868"/>
      <c r="GL868"/>
      <c r="GM868"/>
      <c r="GN868"/>
      <c r="GO868"/>
      <c r="GP868"/>
      <c r="GQ868"/>
      <c r="GR868"/>
      <c r="GS868"/>
      <c r="GT868"/>
      <c r="GU868"/>
      <c r="GV868"/>
      <c r="GW868"/>
      <c r="GX868"/>
      <c r="GY868"/>
      <c r="GZ868"/>
      <c r="HA868"/>
      <c r="HB868"/>
      <c r="HC868"/>
      <c r="HD868"/>
      <c r="HE868"/>
      <c r="HF868"/>
      <c r="HG868"/>
      <c r="HH868"/>
      <c r="HI868"/>
      <c r="HJ868"/>
      <c r="HK868"/>
      <c r="HL868"/>
      <c r="HM868"/>
      <c r="HN868"/>
      <c r="HO868"/>
      <c r="HP868"/>
      <c r="HQ868"/>
      <c r="HR868"/>
      <c r="HS868"/>
      <c r="HT868"/>
      <c r="HU868"/>
      <c r="HV868"/>
      <c r="HW868"/>
      <c r="HX868"/>
      <c r="HY868"/>
      <c r="HZ868"/>
      <c r="IA868"/>
      <c r="IB868"/>
      <c r="IC868"/>
      <c r="ID868"/>
      <c r="IE868"/>
      <c r="IF868"/>
      <c r="IG868"/>
      <c r="IH868"/>
      <c r="II868"/>
      <c r="IJ868"/>
    </row>
    <row r="869" spans="1:244" x14ac:dyDescent="0.2">
      <c r="A869" s="2464"/>
      <c r="B869" s="2113" t="s">
        <v>2559</v>
      </c>
      <c r="C869" s="2075">
        <v>450000</v>
      </c>
      <c r="D869" s="2075">
        <f>450000-50000</f>
        <v>400000</v>
      </c>
      <c r="E869" s="2075">
        <v>223651.59</v>
      </c>
      <c r="F869" s="2075"/>
      <c r="G869" s="2200">
        <f t="shared" ref="G869:G925" si="125">E869/C869*100</f>
        <v>49.700353333333332</v>
      </c>
      <c r="H869" s="2200">
        <f t="shared" si="124"/>
        <v>55.9128975</v>
      </c>
      <c r="I869" s="2201">
        <v>0</v>
      </c>
      <c r="J869" s="88">
        <v>0</v>
      </c>
      <c r="K869" s="2"/>
      <c r="L869"/>
      <c r="M869"/>
      <c r="N869"/>
      <c r="O869"/>
      <c r="P869"/>
      <c r="Q869"/>
      <c r="R869"/>
      <c r="S869"/>
      <c r="T869"/>
      <c r="U869"/>
      <c r="V869"/>
      <c r="W869"/>
      <c r="X869"/>
      <c r="Y869"/>
      <c r="Z869"/>
      <c r="AA869"/>
      <c r="AB869"/>
      <c r="AC869"/>
      <c r="AD869"/>
      <c r="AE869"/>
      <c r="AF869"/>
      <c r="AG869"/>
      <c r="AH869"/>
      <c r="AI869"/>
      <c r="AJ869"/>
      <c r="AK869"/>
      <c r="AL869"/>
      <c r="AM869"/>
      <c r="AN869"/>
      <c r="AO869"/>
      <c r="AP869"/>
      <c r="AQ869"/>
      <c r="AR869"/>
      <c r="AS869"/>
      <c r="AT869"/>
      <c r="AU869"/>
      <c r="AV869"/>
      <c r="AW869"/>
      <c r="AX869"/>
      <c r="AY869"/>
      <c r="AZ869"/>
      <c r="BA869"/>
      <c r="BB869"/>
      <c r="BC869"/>
      <c r="BD869"/>
      <c r="BE869"/>
      <c r="BF869"/>
      <c r="BG869"/>
      <c r="BH869"/>
      <c r="BI869"/>
      <c r="BJ869"/>
      <c r="BK869"/>
      <c r="BL869"/>
      <c r="BM869"/>
      <c r="BN869"/>
      <c r="BO869"/>
      <c r="BP869"/>
      <c r="BQ869"/>
      <c r="BR869"/>
      <c r="BS869"/>
      <c r="BT869"/>
      <c r="BU869"/>
      <c r="BV869"/>
      <c r="BW869"/>
      <c r="BX869"/>
      <c r="BY869"/>
      <c r="BZ869"/>
      <c r="CA869"/>
      <c r="CB869"/>
      <c r="CC869"/>
      <c r="CD869"/>
      <c r="CE869"/>
      <c r="CF869"/>
      <c r="CG869"/>
      <c r="CH869"/>
      <c r="CI869"/>
      <c r="CJ869"/>
      <c r="CK869"/>
      <c r="CL869"/>
      <c r="CM869"/>
      <c r="CN869"/>
      <c r="CO869"/>
      <c r="CP869"/>
      <c r="CQ869"/>
      <c r="CR869"/>
      <c r="CS869"/>
      <c r="CT869"/>
      <c r="CU869"/>
      <c r="CV869"/>
      <c r="CW869"/>
      <c r="CX869"/>
      <c r="CY869"/>
      <c r="CZ869"/>
      <c r="DA869"/>
      <c r="DB869"/>
      <c r="DC869"/>
      <c r="DD869"/>
      <c r="DE869"/>
      <c r="DF869"/>
      <c r="DG869"/>
      <c r="DH869"/>
      <c r="DI869"/>
      <c r="DJ869"/>
      <c r="DK869"/>
      <c r="DL869"/>
      <c r="DM869"/>
      <c r="DN869"/>
      <c r="DO869"/>
      <c r="DP869"/>
      <c r="DQ869"/>
      <c r="DR869"/>
      <c r="DS869"/>
      <c r="DT869"/>
      <c r="DU869"/>
      <c r="DV869"/>
      <c r="DW869"/>
      <c r="DX869"/>
      <c r="DY869"/>
      <c r="DZ869"/>
      <c r="EA869"/>
      <c r="EB869"/>
      <c r="EC869"/>
      <c r="ED869"/>
      <c r="EE869"/>
      <c r="EF869"/>
      <c r="EG869"/>
      <c r="EH869"/>
      <c r="EI869"/>
      <c r="EJ869"/>
      <c r="EK869"/>
      <c r="EL869"/>
      <c r="EM869"/>
      <c r="EN869"/>
      <c r="EO869"/>
      <c r="EP869"/>
      <c r="EQ869"/>
      <c r="ER869"/>
      <c r="ES869"/>
      <c r="ET869"/>
      <c r="EU869"/>
      <c r="EV869"/>
      <c r="EW869"/>
      <c r="EX869"/>
      <c r="EY869"/>
      <c r="EZ869"/>
      <c r="FA869"/>
      <c r="FB869"/>
      <c r="FC869"/>
      <c r="FD869"/>
      <c r="FE869"/>
      <c r="FF869"/>
      <c r="FG869"/>
      <c r="FH869"/>
      <c r="FI869"/>
      <c r="FJ869"/>
      <c r="FK869"/>
      <c r="FL869"/>
      <c r="FM869"/>
      <c r="FN869"/>
      <c r="FO869"/>
      <c r="FP869"/>
      <c r="FQ869"/>
      <c r="FR869"/>
      <c r="FS869"/>
      <c r="FT869"/>
      <c r="FU869"/>
      <c r="FV869"/>
      <c r="FW869"/>
      <c r="FX869"/>
      <c r="FY869"/>
      <c r="FZ869"/>
      <c r="GA869"/>
      <c r="GB869"/>
      <c r="GC869"/>
      <c r="GD869"/>
      <c r="GE869"/>
      <c r="GF869"/>
      <c r="GG869"/>
      <c r="GH869"/>
      <c r="GI869"/>
      <c r="GJ869"/>
      <c r="GK869"/>
      <c r="GL869"/>
      <c r="GM869"/>
      <c r="GN869"/>
      <c r="GO869"/>
      <c r="GP869"/>
      <c r="GQ869"/>
      <c r="GR869"/>
      <c r="GS869"/>
      <c r="GT869"/>
      <c r="GU869"/>
      <c r="GV869"/>
      <c r="GW869"/>
      <c r="GX869"/>
      <c r="GY869"/>
      <c r="GZ869"/>
      <c r="HA869"/>
      <c r="HB869"/>
      <c r="HC869"/>
      <c r="HD869"/>
      <c r="HE869"/>
      <c r="HF869"/>
      <c r="HG869"/>
      <c r="HH869"/>
      <c r="HI869"/>
      <c r="HJ869"/>
      <c r="HK869"/>
      <c r="HL869"/>
      <c r="HM869"/>
      <c r="HN869"/>
      <c r="HO869"/>
      <c r="HP869"/>
      <c r="HQ869"/>
      <c r="HR869"/>
      <c r="HS869"/>
      <c r="HT869"/>
      <c r="HU869"/>
      <c r="HV869"/>
      <c r="HW869"/>
      <c r="HX869"/>
      <c r="HY869"/>
      <c r="HZ869"/>
      <c r="IA869"/>
      <c r="IB869"/>
      <c r="IC869"/>
      <c r="ID869"/>
      <c r="IE869"/>
      <c r="IF869"/>
      <c r="IG869"/>
      <c r="IH869"/>
      <c r="II869"/>
      <c r="IJ869"/>
    </row>
    <row r="870" spans="1:244" ht="13.5" customHeight="1" x14ac:dyDescent="0.2">
      <c r="A870" s="2464"/>
      <c r="B870" s="2112" t="s">
        <v>1988</v>
      </c>
      <c r="C870" s="2107">
        <v>200000</v>
      </c>
      <c r="D870" s="2107">
        <v>200000</v>
      </c>
      <c r="E870" s="2107">
        <v>0</v>
      </c>
      <c r="F870" s="2107"/>
      <c r="G870" s="2200">
        <f t="shared" si="125"/>
        <v>0</v>
      </c>
      <c r="H870" s="2200">
        <f t="shared" si="124"/>
        <v>0</v>
      </c>
      <c r="I870" s="2201">
        <f t="shared" ref="I870:I925" si="126">E870/J870*100</f>
        <v>0</v>
      </c>
      <c r="J870" s="88">
        <v>36421</v>
      </c>
      <c r="K870" s="2"/>
      <c r="L870"/>
      <c r="M870"/>
      <c r="N870"/>
      <c r="O870"/>
      <c r="P870"/>
      <c r="Q870"/>
      <c r="R870"/>
      <c r="S870"/>
      <c r="T870"/>
      <c r="U870"/>
      <c r="V870"/>
      <c r="W870"/>
      <c r="X870"/>
      <c r="Y870"/>
      <c r="Z870"/>
      <c r="AA870"/>
      <c r="AB870"/>
      <c r="AC870"/>
      <c r="AD870"/>
      <c r="AE870"/>
      <c r="AF870"/>
      <c r="AG870"/>
      <c r="AH870"/>
      <c r="AI870"/>
      <c r="AJ870"/>
      <c r="AK870"/>
      <c r="AL870"/>
      <c r="AM870"/>
      <c r="AN870"/>
      <c r="AO870"/>
      <c r="AP870"/>
      <c r="AQ870"/>
      <c r="AR870"/>
      <c r="AS870"/>
      <c r="AT870"/>
      <c r="AU870"/>
      <c r="AV870"/>
      <c r="AW870"/>
      <c r="AX870"/>
      <c r="AY870"/>
      <c r="AZ870"/>
      <c r="BA870"/>
      <c r="BB870"/>
      <c r="BC870"/>
      <c r="BD870"/>
      <c r="BE870"/>
      <c r="BF870"/>
      <c r="BG870"/>
      <c r="BH870"/>
      <c r="BI870"/>
      <c r="BJ870"/>
      <c r="BK870"/>
      <c r="BL870"/>
      <c r="BM870"/>
      <c r="BN870"/>
      <c r="BO870"/>
      <c r="BP870"/>
      <c r="BQ870"/>
      <c r="BR870"/>
      <c r="BS870"/>
      <c r="BT870"/>
      <c r="BU870"/>
      <c r="BV870"/>
      <c r="BW870"/>
      <c r="BX870"/>
      <c r="BY870"/>
      <c r="BZ870"/>
      <c r="CA870"/>
      <c r="CB870"/>
      <c r="CC870"/>
      <c r="CD870"/>
      <c r="CE870"/>
      <c r="CF870"/>
      <c r="CG870"/>
      <c r="CH870"/>
      <c r="CI870"/>
      <c r="CJ870"/>
      <c r="CK870"/>
      <c r="CL870"/>
      <c r="CM870"/>
      <c r="CN870"/>
      <c r="CO870"/>
      <c r="CP870"/>
      <c r="CQ870"/>
      <c r="CR870"/>
      <c r="CS870"/>
      <c r="CT870"/>
      <c r="CU870"/>
      <c r="CV870"/>
      <c r="CW870"/>
      <c r="CX870"/>
      <c r="CY870"/>
      <c r="CZ870"/>
      <c r="DA870"/>
      <c r="DB870"/>
      <c r="DC870"/>
      <c r="DD870"/>
      <c r="DE870"/>
      <c r="DF870"/>
      <c r="DG870"/>
      <c r="DH870"/>
      <c r="DI870"/>
      <c r="DJ870"/>
      <c r="DK870"/>
      <c r="DL870"/>
      <c r="DM870"/>
      <c r="DN870"/>
      <c r="DO870"/>
      <c r="DP870"/>
      <c r="DQ870"/>
      <c r="DR870"/>
      <c r="DS870"/>
      <c r="DT870"/>
      <c r="DU870"/>
      <c r="DV870"/>
      <c r="DW870"/>
      <c r="DX870"/>
      <c r="DY870"/>
      <c r="DZ870"/>
      <c r="EA870"/>
      <c r="EB870"/>
      <c r="EC870"/>
      <c r="ED870"/>
      <c r="EE870"/>
      <c r="EF870"/>
      <c r="EG870"/>
      <c r="EH870"/>
      <c r="EI870"/>
      <c r="EJ870"/>
      <c r="EK870"/>
      <c r="EL870"/>
      <c r="EM870"/>
      <c r="EN870"/>
      <c r="EO870"/>
      <c r="EP870"/>
      <c r="EQ870"/>
      <c r="ER870"/>
      <c r="ES870"/>
      <c r="ET870"/>
      <c r="EU870"/>
      <c r="EV870"/>
      <c r="EW870"/>
      <c r="EX870"/>
      <c r="EY870"/>
      <c r="EZ870"/>
      <c r="FA870"/>
      <c r="FB870"/>
      <c r="FC870"/>
      <c r="FD870"/>
      <c r="FE870"/>
      <c r="FF870"/>
      <c r="FG870"/>
      <c r="FH870"/>
      <c r="FI870"/>
      <c r="FJ870"/>
      <c r="FK870"/>
      <c r="FL870"/>
      <c r="FM870"/>
      <c r="FN870"/>
      <c r="FO870"/>
      <c r="FP870"/>
      <c r="FQ870"/>
      <c r="FR870"/>
      <c r="FS870"/>
      <c r="FT870"/>
      <c r="FU870"/>
      <c r="FV870"/>
      <c r="FW870"/>
      <c r="FX870"/>
      <c r="FY870"/>
      <c r="FZ870"/>
      <c r="GA870"/>
      <c r="GB870"/>
      <c r="GC870"/>
      <c r="GD870"/>
      <c r="GE870"/>
      <c r="GF870"/>
      <c r="GG870"/>
      <c r="GH870"/>
      <c r="GI870"/>
      <c r="GJ870"/>
      <c r="GK870"/>
      <c r="GL870"/>
      <c r="GM870"/>
      <c r="GN870"/>
      <c r="GO870"/>
      <c r="GP870"/>
      <c r="GQ870"/>
      <c r="GR870"/>
      <c r="GS870"/>
      <c r="GT870"/>
      <c r="GU870"/>
      <c r="GV870"/>
      <c r="GW870"/>
      <c r="GX870"/>
      <c r="GY870"/>
      <c r="GZ870"/>
      <c r="HA870"/>
      <c r="HB870"/>
      <c r="HC870"/>
      <c r="HD870"/>
      <c r="HE870"/>
      <c r="HF870"/>
      <c r="HG870"/>
      <c r="HH870"/>
      <c r="HI870"/>
      <c r="HJ870"/>
      <c r="HK870"/>
      <c r="HL870"/>
      <c r="HM870"/>
      <c r="HN870"/>
      <c r="HO870"/>
      <c r="HP870"/>
      <c r="HQ870"/>
      <c r="HR870"/>
      <c r="HS870"/>
      <c r="HT870"/>
      <c r="HU870"/>
      <c r="HV870"/>
      <c r="HW870"/>
      <c r="HX870"/>
      <c r="HY870"/>
      <c r="HZ870"/>
      <c r="IA870"/>
      <c r="IB870"/>
      <c r="IC870"/>
      <c r="ID870"/>
      <c r="IE870"/>
      <c r="IF870"/>
      <c r="IG870"/>
      <c r="IH870"/>
      <c r="II870"/>
      <c r="IJ870"/>
    </row>
    <row r="871" spans="1:244" x14ac:dyDescent="0.2">
      <c r="A871" s="2464"/>
      <c r="B871" s="2126" t="s">
        <v>2560</v>
      </c>
      <c r="C871" s="2111">
        <v>200000</v>
      </c>
      <c r="D871" s="2111">
        <v>200000</v>
      </c>
      <c r="E871" s="2111">
        <v>0</v>
      </c>
      <c r="F871" s="2111"/>
      <c r="G871" s="2200">
        <f t="shared" si="125"/>
        <v>0</v>
      </c>
      <c r="H871" s="2200">
        <f t="shared" si="124"/>
        <v>0</v>
      </c>
      <c r="I871" s="2201">
        <v>0</v>
      </c>
      <c r="J871" s="88">
        <v>0</v>
      </c>
      <c r="K871" s="2"/>
      <c r="L871"/>
      <c r="M871"/>
      <c r="N871"/>
      <c r="O871"/>
      <c r="P871"/>
      <c r="Q871"/>
      <c r="R871"/>
      <c r="S871"/>
      <c r="T871"/>
      <c r="U871"/>
      <c r="V871"/>
      <c r="W871"/>
      <c r="X871"/>
      <c r="Y871"/>
      <c r="Z871"/>
      <c r="AA871"/>
      <c r="AB871"/>
      <c r="AC871"/>
      <c r="AD871"/>
      <c r="AE871"/>
      <c r="AF871"/>
      <c r="AG871"/>
      <c r="AH871"/>
      <c r="AI871"/>
      <c r="AJ871"/>
      <c r="AK871"/>
      <c r="AL871"/>
      <c r="AM871"/>
      <c r="AN871"/>
      <c r="AO871"/>
      <c r="AP871"/>
      <c r="AQ871"/>
      <c r="AR871"/>
      <c r="AS871"/>
      <c r="AT871"/>
      <c r="AU871"/>
      <c r="AV871"/>
      <c r="AW871"/>
      <c r="AX871"/>
      <c r="AY871"/>
      <c r="AZ871"/>
      <c r="BA871"/>
      <c r="BB871"/>
      <c r="BC871"/>
      <c r="BD871"/>
      <c r="BE871"/>
      <c r="BF871"/>
      <c r="BG871"/>
      <c r="BH871"/>
      <c r="BI871"/>
      <c r="BJ871"/>
      <c r="BK871"/>
      <c r="BL871"/>
      <c r="BM871"/>
      <c r="BN871"/>
      <c r="BO871"/>
      <c r="BP871"/>
      <c r="BQ871"/>
      <c r="BR871"/>
      <c r="BS871"/>
      <c r="BT871"/>
      <c r="BU871"/>
      <c r="BV871"/>
      <c r="BW871"/>
      <c r="BX871"/>
      <c r="BY871"/>
      <c r="BZ871"/>
      <c r="CA871"/>
      <c r="CB871"/>
      <c r="CC871"/>
      <c r="CD871"/>
      <c r="CE871"/>
      <c r="CF871"/>
      <c r="CG871"/>
      <c r="CH871"/>
      <c r="CI871"/>
      <c r="CJ871"/>
      <c r="CK871"/>
      <c r="CL871"/>
      <c r="CM871"/>
      <c r="CN871"/>
      <c r="CO871"/>
      <c r="CP871"/>
      <c r="CQ871"/>
      <c r="CR871"/>
      <c r="CS871"/>
      <c r="CT871"/>
      <c r="CU871"/>
      <c r="CV871"/>
      <c r="CW871"/>
      <c r="CX871"/>
      <c r="CY871"/>
      <c r="CZ871"/>
      <c r="DA871"/>
      <c r="DB871"/>
      <c r="DC871"/>
      <c r="DD871"/>
      <c r="DE871"/>
      <c r="DF871"/>
      <c r="DG871"/>
      <c r="DH871"/>
      <c r="DI871"/>
      <c r="DJ871"/>
      <c r="DK871"/>
      <c r="DL871"/>
      <c r="DM871"/>
      <c r="DN871"/>
      <c r="DO871"/>
      <c r="DP871"/>
      <c r="DQ871"/>
      <c r="DR871"/>
      <c r="DS871"/>
      <c r="DT871"/>
      <c r="DU871"/>
      <c r="DV871"/>
      <c r="DW871"/>
      <c r="DX871"/>
      <c r="DY871"/>
      <c r="DZ871"/>
      <c r="EA871"/>
      <c r="EB871"/>
      <c r="EC871"/>
      <c r="ED871"/>
      <c r="EE871"/>
      <c r="EF871"/>
      <c r="EG871"/>
      <c r="EH871"/>
      <c r="EI871"/>
      <c r="EJ871"/>
      <c r="EK871"/>
      <c r="EL871"/>
      <c r="EM871"/>
      <c r="EN871"/>
      <c r="EO871"/>
      <c r="EP871"/>
      <c r="EQ871"/>
      <c r="ER871"/>
      <c r="ES871"/>
      <c r="ET871"/>
      <c r="EU871"/>
      <c r="EV871"/>
      <c r="EW871"/>
      <c r="EX871"/>
      <c r="EY871"/>
      <c r="EZ871"/>
      <c r="FA871"/>
      <c r="FB871"/>
      <c r="FC871"/>
      <c r="FD871"/>
      <c r="FE871"/>
      <c r="FF871"/>
      <c r="FG871"/>
      <c r="FH871"/>
      <c r="FI871"/>
      <c r="FJ871"/>
      <c r="FK871"/>
      <c r="FL871"/>
      <c r="FM871"/>
      <c r="FN871"/>
      <c r="FO871"/>
      <c r="FP871"/>
      <c r="FQ871"/>
      <c r="FR871"/>
      <c r="FS871"/>
      <c r="FT871"/>
      <c r="FU871"/>
      <c r="FV871"/>
      <c r="FW871"/>
      <c r="FX871"/>
      <c r="FY871"/>
      <c r="FZ871"/>
      <c r="GA871"/>
      <c r="GB871"/>
      <c r="GC871"/>
      <c r="GD871"/>
      <c r="GE871"/>
      <c r="GF871"/>
      <c r="GG871"/>
      <c r="GH871"/>
      <c r="GI871"/>
      <c r="GJ871"/>
      <c r="GK871"/>
      <c r="GL871"/>
      <c r="GM871"/>
      <c r="GN871"/>
      <c r="GO871"/>
      <c r="GP871"/>
      <c r="GQ871"/>
      <c r="GR871"/>
      <c r="GS871"/>
      <c r="GT871"/>
      <c r="GU871"/>
      <c r="GV871"/>
      <c r="GW871"/>
      <c r="GX871"/>
      <c r="GY871"/>
      <c r="GZ871"/>
      <c r="HA871"/>
      <c r="HB871"/>
      <c r="HC871"/>
      <c r="HD871"/>
      <c r="HE871"/>
      <c r="HF871"/>
      <c r="HG871"/>
      <c r="HH871"/>
      <c r="HI871"/>
      <c r="HJ871"/>
      <c r="HK871"/>
      <c r="HL871"/>
      <c r="HM871"/>
      <c r="HN871"/>
      <c r="HO871"/>
      <c r="HP871"/>
      <c r="HQ871"/>
      <c r="HR871"/>
      <c r="HS871"/>
      <c r="HT871"/>
      <c r="HU871"/>
      <c r="HV871"/>
      <c r="HW871"/>
      <c r="HX871"/>
      <c r="HY871"/>
      <c r="HZ871"/>
      <c r="IA871"/>
      <c r="IB871"/>
      <c r="IC871"/>
      <c r="ID871"/>
      <c r="IE871"/>
      <c r="IF871"/>
      <c r="IG871"/>
      <c r="IH871"/>
      <c r="II871"/>
      <c r="IJ871"/>
    </row>
    <row r="872" spans="1:244" s="488" customFormat="1" ht="13.5" customHeight="1" x14ac:dyDescent="0.2">
      <c r="A872" s="2391"/>
      <c r="B872" s="2112" t="s">
        <v>2561</v>
      </c>
      <c r="C872" s="2107">
        <v>500000</v>
      </c>
      <c r="D872" s="2107">
        <v>500000</v>
      </c>
      <c r="E872" s="2111">
        <v>348790.11</v>
      </c>
      <c r="F872" s="2111"/>
      <c r="G872" s="2200">
        <f t="shared" si="125"/>
        <v>69.758021999999997</v>
      </c>
      <c r="H872" s="2200">
        <f t="shared" si="124"/>
        <v>69.758021999999997</v>
      </c>
      <c r="I872" s="2201">
        <f t="shared" si="126"/>
        <v>169.34959705257313</v>
      </c>
      <c r="J872" s="88">
        <v>205958.63</v>
      </c>
    </row>
    <row r="873" spans="1:244" s="488" customFormat="1" ht="13.5" customHeight="1" x14ac:dyDescent="0.2">
      <c r="A873" s="2391">
        <v>3634</v>
      </c>
      <c r="B873" s="2130" t="s">
        <v>1991</v>
      </c>
      <c r="C873" s="2131">
        <f>SUM(C874:C877)</f>
        <v>5700000</v>
      </c>
      <c r="D873" s="2131">
        <f>SUM(D874:D877)</f>
        <v>6120000</v>
      </c>
      <c r="E873" s="2131">
        <v>5635349.4000000004</v>
      </c>
      <c r="F873" s="2107">
        <f>SUM(E874:E877)</f>
        <v>5635349.4000000004</v>
      </c>
      <c r="G873" s="1663">
        <f t="shared" si="125"/>
        <v>98.865778947368426</v>
      </c>
      <c r="H873" s="1663">
        <f t="shared" ref="H873:H925" si="127">E873/D873*100</f>
        <v>92.080872549019617</v>
      </c>
      <c r="I873" s="1662">
        <f t="shared" si="126"/>
        <v>141.41662927388606</v>
      </c>
      <c r="J873" s="2175">
        <v>3984926.97</v>
      </c>
    </row>
    <row r="874" spans="1:244" s="488" customFormat="1" ht="12.75" customHeight="1" x14ac:dyDescent="0.2">
      <c r="A874" s="2391"/>
      <c r="B874" s="2113" t="s">
        <v>2562</v>
      </c>
      <c r="C874" s="2107">
        <v>500000</v>
      </c>
      <c r="D874" s="2107">
        <v>500000</v>
      </c>
      <c r="E874" s="2107">
        <v>153568.35999999999</v>
      </c>
      <c r="F874" s="2107"/>
      <c r="G874" s="2200">
        <f t="shared" si="125"/>
        <v>30.713671999999999</v>
      </c>
      <c r="H874" s="2200">
        <f t="shared" si="127"/>
        <v>30.713671999999999</v>
      </c>
      <c r="I874" s="2201">
        <f t="shared" si="126"/>
        <v>69.962019106208686</v>
      </c>
      <c r="J874" s="88">
        <v>219502.47</v>
      </c>
    </row>
    <row r="875" spans="1:244" ht="27.75" customHeight="1" x14ac:dyDescent="0.2">
      <c r="A875" s="2391"/>
      <c r="B875" s="2113" t="s">
        <v>2957</v>
      </c>
      <c r="C875" s="2075">
        <v>700000</v>
      </c>
      <c r="D875" s="2075">
        <f>700000+1000000+550000+220000</f>
        <v>2470000</v>
      </c>
      <c r="E875" s="2107">
        <v>2452632.23</v>
      </c>
      <c r="F875" s="2107"/>
      <c r="G875" s="2200">
        <f t="shared" si="125"/>
        <v>350.37603285714283</v>
      </c>
      <c r="H875" s="2200">
        <f t="shared" si="127"/>
        <v>99.296851417004049</v>
      </c>
      <c r="I875" s="2201">
        <f t="shared" si="126"/>
        <v>451.79165475922895</v>
      </c>
      <c r="J875" s="32">
        <v>542867.98</v>
      </c>
      <c r="K875" s="2"/>
      <c r="L875"/>
      <c r="M875"/>
      <c r="N875"/>
      <c r="O875"/>
      <c r="P875"/>
      <c r="Q875"/>
      <c r="R875"/>
      <c r="S875"/>
      <c r="T875"/>
      <c r="U875"/>
      <c r="V875"/>
      <c r="W875"/>
      <c r="X875"/>
      <c r="Y875"/>
      <c r="Z875"/>
      <c r="AA875"/>
      <c r="AB875"/>
      <c r="AC875"/>
      <c r="AD875"/>
      <c r="AE875"/>
      <c r="AF875"/>
      <c r="AG875"/>
      <c r="AH875"/>
      <c r="AI875"/>
      <c r="AJ875"/>
      <c r="AK875"/>
      <c r="AL875"/>
      <c r="AM875"/>
      <c r="AN875"/>
      <c r="AO875"/>
      <c r="AP875"/>
      <c r="AQ875"/>
      <c r="AR875"/>
      <c r="AS875"/>
      <c r="AT875"/>
      <c r="AU875"/>
      <c r="AV875"/>
      <c r="AW875"/>
      <c r="AX875"/>
      <c r="AY875"/>
      <c r="AZ875"/>
      <c r="BA875"/>
      <c r="BB875"/>
      <c r="BC875"/>
      <c r="BD875"/>
      <c r="BE875"/>
      <c r="BF875"/>
      <c r="BG875"/>
      <c r="BH875"/>
      <c r="BI875"/>
      <c r="BJ875"/>
      <c r="BK875"/>
      <c r="BL875"/>
      <c r="BM875"/>
      <c r="BN875"/>
      <c r="BO875"/>
      <c r="BP875"/>
      <c r="BQ875"/>
      <c r="BR875"/>
      <c r="BS875"/>
      <c r="BT875"/>
      <c r="BU875"/>
      <c r="BV875"/>
      <c r="BW875"/>
      <c r="BX875"/>
      <c r="BY875"/>
      <c r="BZ875"/>
      <c r="CA875"/>
      <c r="CB875"/>
      <c r="CC875"/>
      <c r="CD875"/>
      <c r="CE875"/>
      <c r="CF875"/>
      <c r="CG875"/>
      <c r="CH875"/>
      <c r="CI875"/>
      <c r="CJ875"/>
      <c r="CK875"/>
      <c r="CL875"/>
      <c r="CM875"/>
      <c r="CN875"/>
      <c r="CO875"/>
      <c r="CP875"/>
      <c r="CQ875"/>
      <c r="CR875"/>
      <c r="CS875"/>
      <c r="CT875"/>
      <c r="CU875"/>
      <c r="CV875"/>
      <c r="CW875"/>
      <c r="CX875"/>
      <c r="CY875"/>
      <c r="CZ875"/>
      <c r="DA875"/>
      <c r="DB875"/>
      <c r="DC875"/>
      <c r="DD875"/>
      <c r="DE875"/>
      <c r="DF875"/>
      <c r="DG875"/>
      <c r="DH875"/>
      <c r="DI875"/>
      <c r="DJ875"/>
      <c r="DK875"/>
      <c r="DL875"/>
      <c r="DM875"/>
      <c r="DN875"/>
      <c r="DO875"/>
      <c r="DP875"/>
      <c r="DQ875"/>
      <c r="DR875"/>
      <c r="DS875"/>
      <c r="DT875"/>
      <c r="DU875"/>
      <c r="DV875"/>
      <c r="DW875"/>
      <c r="DX875"/>
      <c r="DY875"/>
      <c r="DZ875"/>
      <c r="EA875"/>
      <c r="EB875"/>
      <c r="EC875"/>
      <c r="ED875"/>
      <c r="EE875"/>
      <c r="EF875"/>
      <c r="EG875"/>
      <c r="EH875"/>
      <c r="EI875"/>
      <c r="EJ875"/>
      <c r="EK875"/>
      <c r="EL875"/>
      <c r="EM875"/>
      <c r="EN875"/>
      <c r="EO875"/>
      <c r="EP875"/>
      <c r="EQ875"/>
      <c r="ER875"/>
      <c r="ES875"/>
      <c r="ET875"/>
      <c r="EU875"/>
      <c r="EV875"/>
      <c r="EW875"/>
      <c r="EX875"/>
      <c r="EY875"/>
      <c r="EZ875"/>
      <c r="FA875"/>
      <c r="FB875"/>
      <c r="FC875"/>
      <c r="FD875"/>
      <c r="FE875"/>
      <c r="FF875"/>
      <c r="FG875"/>
      <c r="FH875"/>
      <c r="FI875"/>
      <c r="FJ875"/>
      <c r="FK875"/>
      <c r="FL875"/>
      <c r="FM875"/>
      <c r="FN875"/>
      <c r="FO875"/>
      <c r="FP875"/>
      <c r="FQ875"/>
      <c r="FR875"/>
      <c r="FS875"/>
      <c r="FT875"/>
      <c r="FU875"/>
      <c r="FV875"/>
      <c r="FW875"/>
      <c r="FX875"/>
      <c r="FY875"/>
      <c r="FZ875"/>
      <c r="GA875"/>
      <c r="GB875"/>
      <c r="GC875"/>
      <c r="GD875"/>
      <c r="GE875"/>
      <c r="GF875"/>
      <c r="GG875"/>
      <c r="GH875"/>
      <c r="GI875"/>
      <c r="GJ875"/>
      <c r="GK875"/>
      <c r="GL875"/>
      <c r="GM875"/>
      <c r="GN875"/>
      <c r="GO875"/>
      <c r="GP875"/>
      <c r="GQ875"/>
      <c r="GR875"/>
      <c r="GS875"/>
      <c r="GT875"/>
      <c r="GU875"/>
      <c r="GV875"/>
      <c r="GW875"/>
      <c r="GX875"/>
      <c r="GY875"/>
      <c r="GZ875"/>
      <c r="HA875"/>
      <c r="HB875"/>
      <c r="HC875"/>
      <c r="HD875"/>
      <c r="HE875"/>
      <c r="HF875"/>
      <c r="HG875"/>
      <c r="HH875"/>
      <c r="HI875"/>
      <c r="HJ875"/>
      <c r="HK875"/>
      <c r="HL875"/>
      <c r="HM875"/>
      <c r="HN875"/>
      <c r="HO875"/>
      <c r="HP875"/>
      <c r="HQ875"/>
      <c r="HR875"/>
      <c r="HS875"/>
      <c r="HT875"/>
      <c r="HU875"/>
      <c r="HV875"/>
      <c r="HW875"/>
      <c r="HX875"/>
      <c r="HY875"/>
      <c r="HZ875"/>
      <c r="IA875"/>
      <c r="IB875"/>
      <c r="IC875"/>
      <c r="ID875"/>
      <c r="IE875"/>
      <c r="IF875"/>
      <c r="IG875"/>
      <c r="IH875"/>
      <c r="II875"/>
      <c r="IJ875"/>
    </row>
    <row r="876" spans="1:244" s="488" customFormat="1" ht="12.75" customHeight="1" x14ac:dyDescent="0.2">
      <c r="A876" s="2391"/>
      <c r="B876" s="2132" t="s">
        <v>2958</v>
      </c>
      <c r="C876" s="2075">
        <v>2500000</v>
      </c>
      <c r="D876" s="2075">
        <v>2500000</v>
      </c>
      <c r="E876" s="2075">
        <v>2497244.91</v>
      </c>
      <c r="F876" s="2075"/>
      <c r="G876" s="2200">
        <f t="shared" si="125"/>
        <v>99.889796400000009</v>
      </c>
      <c r="H876" s="2200">
        <f t="shared" si="127"/>
        <v>99.889796400000009</v>
      </c>
      <c r="I876" s="2201">
        <v>0</v>
      </c>
      <c r="J876" s="88">
        <v>0</v>
      </c>
    </row>
    <row r="877" spans="1:244" s="488" customFormat="1" ht="13.5" customHeight="1" x14ac:dyDescent="0.2">
      <c r="A877" s="2471"/>
      <c r="B877" s="2106" t="s">
        <v>951</v>
      </c>
      <c r="C877" s="2107">
        <f>SUM(C878:C880)</f>
        <v>2000000</v>
      </c>
      <c r="D877" s="2107">
        <f>SUM(D878:D880)</f>
        <v>650000</v>
      </c>
      <c r="E877" s="2107">
        <v>531903.9</v>
      </c>
      <c r="F877" s="2107">
        <f>SUM(E878:E880)</f>
        <v>531903.9</v>
      </c>
      <c r="G877" s="2200">
        <f t="shared" si="125"/>
        <v>26.595195</v>
      </c>
      <c r="H877" s="2200">
        <f t="shared" si="127"/>
        <v>81.831369230769241</v>
      </c>
      <c r="I877" s="2201">
        <f t="shared" si="126"/>
        <v>65.854305270711393</v>
      </c>
      <c r="J877" s="88">
        <v>807697.99</v>
      </c>
    </row>
    <row r="878" spans="1:244" s="488" customFormat="1" ht="12" customHeight="1" x14ac:dyDescent="0.2">
      <c r="A878" s="2462"/>
      <c r="B878" s="2133" t="s">
        <v>2959</v>
      </c>
      <c r="C878" s="2075">
        <v>400000</v>
      </c>
      <c r="D878" s="2075">
        <v>400000</v>
      </c>
      <c r="E878" s="2075">
        <v>300080</v>
      </c>
      <c r="F878" s="2075"/>
      <c r="G878" s="2200">
        <f t="shared" si="125"/>
        <v>75.02</v>
      </c>
      <c r="H878" s="2200">
        <f t="shared" si="127"/>
        <v>75.02</v>
      </c>
      <c r="I878" s="2201">
        <f t="shared" si="126"/>
        <v>39.998774231112272</v>
      </c>
      <c r="J878" s="32">
        <v>750222.99</v>
      </c>
    </row>
    <row r="879" spans="1:244" s="488" customFormat="1" ht="13.5" customHeight="1" x14ac:dyDescent="0.2">
      <c r="A879" s="2462"/>
      <c r="B879" s="2133" t="s">
        <v>2566</v>
      </c>
      <c r="C879" s="2107">
        <v>800000</v>
      </c>
      <c r="D879" s="2107">
        <f>800000-550000</f>
        <v>250000</v>
      </c>
      <c r="E879" s="2107">
        <v>231823.9</v>
      </c>
      <c r="F879" s="2107"/>
      <c r="G879" s="2200">
        <f t="shared" si="125"/>
        <v>28.977987500000001</v>
      </c>
      <c r="H879" s="2200">
        <f t="shared" si="127"/>
        <v>92.729560000000006</v>
      </c>
      <c r="I879" s="2201">
        <v>0</v>
      </c>
      <c r="J879" s="88">
        <v>0</v>
      </c>
    </row>
    <row r="880" spans="1:244" s="488" customFormat="1" ht="13.5" customHeight="1" x14ac:dyDescent="0.2">
      <c r="A880" s="2462"/>
      <c r="B880" s="2133" t="s">
        <v>2960</v>
      </c>
      <c r="C880" s="2107">
        <v>800000</v>
      </c>
      <c r="D880" s="2107">
        <f>800000-800000</f>
        <v>0</v>
      </c>
      <c r="E880" s="2107">
        <v>0</v>
      </c>
      <c r="F880" s="2107"/>
      <c r="G880" s="2200">
        <f t="shared" si="125"/>
        <v>0</v>
      </c>
      <c r="H880" s="2200">
        <v>0</v>
      </c>
      <c r="I880" s="2201">
        <v>0</v>
      </c>
      <c r="J880" s="88">
        <v>57475</v>
      </c>
    </row>
    <row r="881" spans="1:243" s="488" customFormat="1" ht="13.5" customHeight="1" x14ac:dyDescent="0.2">
      <c r="A881" s="2391">
        <v>4351</v>
      </c>
      <c r="B881" s="2134" t="s">
        <v>1998</v>
      </c>
      <c r="C881" s="2085">
        <v>15000</v>
      </c>
      <c r="D881" s="2085">
        <v>15000</v>
      </c>
      <c r="E881" s="2085">
        <v>6002.45</v>
      </c>
      <c r="F881" s="2075"/>
      <c r="G881" s="1663">
        <f t="shared" si="125"/>
        <v>40.016333333333328</v>
      </c>
      <c r="H881" s="1663">
        <f t="shared" si="127"/>
        <v>40.016333333333328</v>
      </c>
      <c r="I881" s="1662">
        <f t="shared" si="126"/>
        <v>181.06446582144073</v>
      </c>
      <c r="J881" s="88">
        <v>3315.09</v>
      </c>
    </row>
    <row r="882" spans="1:243" s="488" customFormat="1" ht="13.5" customHeight="1" x14ac:dyDescent="0.2">
      <c r="A882" s="2391">
        <v>4374</v>
      </c>
      <c r="B882" s="2134" t="s">
        <v>759</v>
      </c>
      <c r="C882" s="2085">
        <f>C883</f>
        <v>350000</v>
      </c>
      <c r="D882" s="2085">
        <f>D883</f>
        <v>400000</v>
      </c>
      <c r="E882" s="2085">
        <v>360685.83</v>
      </c>
      <c r="F882" s="2075"/>
      <c r="G882" s="1663">
        <f t="shared" si="125"/>
        <v>103.05309428571429</v>
      </c>
      <c r="H882" s="1663">
        <f t="shared" si="127"/>
        <v>90.171457500000002</v>
      </c>
      <c r="I882" s="1662">
        <f t="shared" si="126"/>
        <v>45.250919494159405</v>
      </c>
      <c r="J882" s="88">
        <v>797079.56</v>
      </c>
    </row>
    <row r="883" spans="1:243" s="488" customFormat="1" ht="13.5" customHeight="1" x14ac:dyDescent="0.2">
      <c r="A883" s="2462"/>
      <c r="B883" s="2133" t="s">
        <v>1999</v>
      </c>
      <c r="C883" s="2075">
        <f>C884+C885</f>
        <v>350000</v>
      </c>
      <c r="D883" s="2075">
        <f>D884+D885</f>
        <v>400000</v>
      </c>
      <c r="E883" s="2075">
        <v>260685.83</v>
      </c>
      <c r="F883" s="2075">
        <f>SUM(E884:E885)</f>
        <v>360685.83</v>
      </c>
      <c r="G883" s="2200">
        <f t="shared" si="125"/>
        <v>74.481665714285711</v>
      </c>
      <c r="H883" s="2200">
        <f t="shared" si="127"/>
        <v>65.171457500000002</v>
      </c>
      <c r="I883" s="2201">
        <f t="shared" si="126"/>
        <v>32.705120427376158</v>
      </c>
      <c r="J883" s="88">
        <v>797079.56</v>
      </c>
    </row>
    <row r="884" spans="1:243" s="488" customFormat="1" x14ac:dyDescent="0.2">
      <c r="A884" s="2462"/>
      <c r="B884" s="2133" t="s">
        <v>2000</v>
      </c>
      <c r="C884" s="2107">
        <v>250000</v>
      </c>
      <c r="D884" s="2107">
        <f>250000+50000</f>
        <v>300000</v>
      </c>
      <c r="E884" s="2107">
        <v>296887.83</v>
      </c>
      <c r="F884" s="2107"/>
      <c r="G884" s="2200">
        <f t="shared" si="125"/>
        <v>118.755132</v>
      </c>
      <c r="H884" s="2200">
        <f t="shared" si="127"/>
        <v>98.962610000000012</v>
      </c>
      <c r="I884" s="2201">
        <f t="shared" si="126"/>
        <v>37.907434804328076</v>
      </c>
      <c r="J884" s="88">
        <v>783191.56</v>
      </c>
    </row>
    <row r="885" spans="1:243" s="488" customFormat="1" ht="13.5" customHeight="1" x14ac:dyDescent="0.2">
      <c r="A885" s="2391"/>
      <c r="B885" s="2083" t="s">
        <v>2001</v>
      </c>
      <c r="C885" s="2075">
        <v>100000</v>
      </c>
      <c r="D885" s="2075">
        <v>100000</v>
      </c>
      <c r="E885" s="2075">
        <v>63798</v>
      </c>
      <c r="F885" s="2075"/>
      <c r="G885" s="2200">
        <f t="shared" si="125"/>
        <v>63.798000000000002</v>
      </c>
      <c r="H885" s="2200">
        <f t="shared" si="127"/>
        <v>63.798000000000002</v>
      </c>
      <c r="I885" s="2201">
        <f t="shared" si="126"/>
        <v>459.375</v>
      </c>
      <c r="J885" s="88">
        <v>13888</v>
      </c>
    </row>
    <row r="886" spans="1:243" s="488" customFormat="1" ht="13.5" customHeight="1" x14ac:dyDescent="0.2">
      <c r="A886" s="2391">
        <v>6171</v>
      </c>
      <c r="B886" s="2135" t="s">
        <v>975</v>
      </c>
      <c r="C886" s="2131">
        <f>SUM(C887:C888)</f>
        <v>500000</v>
      </c>
      <c r="D886" s="2131">
        <f>SUM(D887:D888)</f>
        <v>280000</v>
      </c>
      <c r="E886" s="2131">
        <v>278343</v>
      </c>
      <c r="F886" s="2107">
        <f>SUM(E887:E888)</f>
        <v>278343</v>
      </c>
      <c r="G886" s="1663">
        <f t="shared" si="125"/>
        <v>55.668599999999998</v>
      </c>
      <c r="H886" s="1663">
        <f t="shared" si="127"/>
        <v>99.40821428571428</v>
      </c>
      <c r="I886" s="1662">
        <f t="shared" si="126"/>
        <v>23.480805951376173</v>
      </c>
      <c r="J886" s="88">
        <v>1185406.5</v>
      </c>
    </row>
    <row r="887" spans="1:243" s="488" customFormat="1" ht="12" customHeight="1" x14ac:dyDescent="0.2">
      <c r="A887" s="2473"/>
      <c r="B887" s="2128" t="s">
        <v>2002</v>
      </c>
      <c r="C887" s="2137">
        <v>250000</v>
      </c>
      <c r="D887" s="2137">
        <f>250000+30000</f>
        <v>280000</v>
      </c>
      <c r="E887" s="2137">
        <v>278343</v>
      </c>
      <c r="F887" s="2137"/>
      <c r="G887" s="2200">
        <f t="shared" si="125"/>
        <v>111.3372</v>
      </c>
      <c r="H887" s="2200">
        <f t="shared" si="127"/>
        <v>99.40821428571428</v>
      </c>
      <c r="I887" s="2201">
        <f t="shared" si="126"/>
        <v>133.56702752504896</v>
      </c>
      <c r="J887" s="88">
        <v>208392</v>
      </c>
    </row>
    <row r="888" spans="1:243" s="488" customFormat="1" ht="25.5" x14ac:dyDescent="0.2">
      <c r="A888" s="2462"/>
      <c r="B888" s="2078" t="s">
        <v>2568</v>
      </c>
      <c r="C888" s="2075">
        <v>250000</v>
      </c>
      <c r="D888" s="2075">
        <f>250000-220000-30000</f>
        <v>0</v>
      </c>
      <c r="E888" s="2075">
        <v>0</v>
      </c>
      <c r="F888" s="2075"/>
      <c r="G888" s="2200">
        <f t="shared" si="125"/>
        <v>0</v>
      </c>
      <c r="H888" s="2200">
        <v>0</v>
      </c>
      <c r="I888" s="2201">
        <v>0</v>
      </c>
      <c r="J888" s="32">
        <v>361790</v>
      </c>
    </row>
    <row r="889" spans="1:243" s="488" customFormat="1" ht="12" customHeight="1" x14ac:dyDescent="0.2">
      <c r="A889" s="2474"/>
      <c r="B889" s="2141"/>
      <c r="C889" s="2144"/>
      <c r="D889" s="2144"/>
      <c r="E889" s="2142"/>
      <c r="F889" s="2143"/>
      <c r="G889" s="2475"/>
      <c r="H889" s="2475"/>
      <c r="I889" s="2144"/>
      <c r="J889" s="2175"/>
    </row>
    <row r="890" spans="1:243" s="545" customFormat="1" ht="20.25" x14ac:dyDescent="0.3">
      <c r="A890" s="2373"/>
      <c r="B890" s="701" t="s">
        <v>52</v>
      </c>
      <c r="C890" s="2145">
        <f t="shared" ref="C890:D890" si="128">SUM(C891+C896)</f>
        <v>290000</v>
      </c>
      <c r="D890" s="2145">
        <f t="shared" si="128"/>
        <v>290000</v>
      </c>
      <c r="E890" s="1217">
        <v>44600</v>
      </c>
      <c r="F890" s="1158">
        <f>SUM(E891,E896)</f>
        <v>44600</v>
      </c>
      <c r="G890" s="949">
        <f t="shared" si="125"/>
        <v>15.379310344827587</v>
      </c>
      <c r="H890" s="949">
        <f t="shared" si="127"/>
        <v>15.379310344827587</v>
      </c>
      <c r="I890" s="949">
        <f t="shared" si="126"/>
        <v>34.084829957967138</v>
      </c>
      <c r="J890" s="2047">
        <v>130850</v>
      </c>
      <c r="IC890" s="98"/>
      <c r="ID890" s="98"/>
      <c r="IE890" s="98"/>
      <c r="IF890" s="98"/>
      <c r="IG890" s="98"/>
      <c r="IH890" s="98"/>
      <c r="II890" s="98"/>
    </row>
    <row r="891" spans="1:243" s="545" customFormat="1" x14ac:dyDescent="0.2">
      <c r="A891" s="2219">
        <v>2169</v>
      </c>
      <c r="B891" s="709" t="s">
        <v>2007</v>
      </c>
      <c r="C891" s="746">
        <f>SUM(C892:C895)</f>
        <v>250000</v>
      </c>
      <c r="D891" s="746">
        <f>SUM(D892:D895)</f>
        <v>250000</v>
      </c>
      <c r="E891" s="731">
        <v>6500</v>
      </c>
      <c r="F891" s="1809"/>
      <c r="G891" s="1663">
        <f t="shared" si="125"/>
        <v>2.6</v>
      </c>
      <c r="H891" s="1663">
        <f t="shared" si="127"/>
        <v>2.6</v>
      </c>
      <c r="I891" s="1662">
        <v>0</v>
      </c>
      <c r="J891" s="2047">
        <v>0</v>
      </c>
      <c r="IC891" s="98"/>
      <c r="ID891" s="98"/>
      <c r="IE891" s="98"/>
      <c r="IF891" s="98"/>
      <c r="IG891" s="98"/>
      <c r="IH891" s="98"/>
      <c r="II891" s="98"/>
    </row>
    <row r="892" spans="1:243" s="545" customFormat="1" x14ac:dyDescent="0.2">
      <c r="A892" s="2219"/>
      <c r="B892" s="766" t="s">
        <v>982</v>
      </c>
      <c r="C892" s="1856">
        <v>37000</v>
      </c>
      <c r="D892" s="1856">
        <v>37000</v>
      </c>
      <c r="E892" s="738">
        <v>6500</v>
      </c>
      <c r="F892" s="1256"/>
      <c r="G892" s="2200">
        <f t="shared" si="125"/>
        <v>17.567567567567568</v>
      </c>
      <c r="H892" s="2200">
        <f t="shared" si="127"/>
        <v>17.567567567567568</v>
      </c>
      <c r="I892" s="2201">
        <v>0</v>
      </c>
      <c r="J892" s="2047">
        <v>0</v>
      </c>
      <c r="IC892" s="98"/>
      <c r="ID892" s="98"/>
      <c r="IE892" s="98"/>
      <c r="IF892" s="98"/>
      <c r="IG892" s="98"/>
      <c r="IH892" s="98"/>
      <c r="II892" s="98"/>
    </row>
    <row r="893" spans="1:243" s="545" customFormat="1" x14ac:dyDescent="0.2">
      <c r="A893" s="2219"/>
      <c r="B893" s="766" t="s">
        <v>983</v>
      </c>
      <c r="C893" s="858">
        <v>200000</v>
      </c>
      <c r="D893" s="858">
        <v>200000</v>
      </c>
      <c r="E893" s="738">
        <v>0</v>
      </c>
      <c r="F893" s="1256"/>
      <c r="G893" s="2200">
        <f t="shared" si="125"/>
        <v>0</v>
      </c>
      <c r="H893" s="2200">
        <f t="shared" si="127"/>
        <v>0</v>
      </c>
      <c r="I893" s="2201">
        <v>0</v>
      </c>
      <c r="J893" s="2047">
        <v>0</v>
      </c>
      <c r="IC893" s="98"/>
      <c r="ID893" s="98"/>
      <c r="IE893" s="98"/>
      <c r="IF893" s="98"/>
      <c r="IG893" s="98"/>
      <c r="IH893" s="98"/>
      <c r="II893" s="98"/>
    </row>
    <row r="894" spans="1:243" s="545" customFormat="1" x14ac:dyDescent="0.2">
      <c r="A894" s="2219"/>
      <c r="B894" s="766" t="s">
        <v>2569</v>
      </c>
      <c r="C894" s="858">
        <v>10000</v>
      </c>
      <c r="D894" s="858">
        <v>10000</v>
      </c>
      <c r="E894" s="738">
        <v>0</v>
      </c>
      <c r="F894" s="1256"/>
      <c r="G894" s="2200">
        <f t="shared" si="125"/>
        <v>0</v>
      </c>
      <c r="H894" s="2200">
        <f t="shared" si="127"/>
        <v>0</v>
      </c>
      <c r="I894" s="2201">
        <v>0</v>
      </c>
      <c r="J894" s="2047">
        <v>0</v>
      </c>
      <c r="IC894" s="98"/>
      <c r="ID894" s="98"/>
      <c r="IE894" s="98"/>
      <c r="IF894" s="98"/>
      <c r="IG894" s="98"/>
      <c r="IH894" s="98"/>
      <c r="II894" s="98"/>
    </row>
    <row r="895" spans="1:243" s="545" customFormat="1" x14ac:dyDescent="0.2">
      <c r="A895" s="2219"/>
      <c r="B895" s="766" t="s">
        <v>984</v>
      </c>
      <c r="C895" s="866">
        <v>3000</v>
      </c>
      <c r="D895" s="866">
        <v>3000</v>
      </c>
      <c r="E895" s="738">
        <v>0</v>
      </c>
      <c r="F895" s="1260"/>
      <c r="G895" s="2200">
        <f t="shared" si="125"/>
        <v>0</v>
      </c>
      <c r="H895" s="2200">
        <f t="shared" si="127"/>
        <v>0</v>
      </c>
      <c r="I895" s="2201">
        <v>0</v>
      </c>
      <c r="J895" s="2047">
        <v>0</v>
      </c>
      <c r="IC895" s="98"/>
      <c r="ID895" s="98"/>
      <c r="IE895" s="98"/>
      <c r="IF895" s="98"/>
      <c r="IG895" s="98"/>
      <c r="IH895" s="98"/>
      <c r="II895" s="98"/>
    </row>
    <row r="896" spans="1:243" s="545" customFormat="1" x14ac:dyDescent="0.2">
      <c r="A896" s="2221">
        <v>3635</v>
      </c>
      <c r="B896" s="717" t="s">
        <v>986</v>
      </c>
      <c r="C896" s="726">
        <f t="shared" ref="C896:D896" si="129">SUM(C897:C898)</f>
        <v>40000</v>
      </c>
      <c r="D896" s="726">
        <f t="shared" si="129"/>
        <v>40000</v>
      </c>
      <c r="E896" s="726">
        <v>38100</v>
      </c>
      <c r="F896" s="1077"/>
      <c r="G896" s="1663">
        <f t="shared" si="125"/>
        <v>95.25</v>
      </c>
      <c r="H896" s="1663">
        <f t="shared" si="127"/>
        <v>95.25</v>
      </c>
      <c r="I896" s="1662">
        <f t="shared" si="126"/>
        <v>29.117309896828431</v>
      </c>
      <c r="J896" s="2047">
        <v>130850</v>
      </c>
      <c r="IC896" s="98"/>
      <c r="ID896" s="98"/>
      <c r="IE896" s="98"/>
      <c r="IF896" s="98"/>
      <c r="IG896" s="98"/>
      <c r="IH896" s="98"/>
      <c r="II896" s="98"/>
    </row>
    <row r="897" spans="1:243" s="545" customFormat="1" x14ac:dyDescent="0.2">
      <c r="A897" s="2223"/>
      <c r="B897" s="737" t="s">
        <v>2570</v>
      </c>
      <c r="C897" s="2146">
        <v>0</v>
      </c>
      <c r="D897" s="2146">
        <v>0</v>
      </c>
      <c r="E897" s="738">
        <v>0</v>
      </c>
      <c r="F897" s="1256"/>
      <c r="G897" s="2200">
        <v>0</v>
      </c>
      <c r="H897" s="2200">
        <v>0</v>
      </c>
      <c r="I897" s="2201">
        <f t="shared" si="126"/>
        <v>0</v>
      </c>
      <c r="J897" s="2047">
        <v>130850</v>
      </c>
      <c r="IC897" s="98"/>
      <c r="ID897" s="98"/>
      <c r="IE897" s="98"/>
      <c r="IF897" s="98"/>
      <c r="IG897" s="98"/>
      <c r="IH897" s="98"/>
      <c r="II897" s="98"/>
    </row>
    <row r="898" spans="1:243" s="545" customFormat="1" x14ac:dyDescent="0.2">
      <c r="A898" s="2263"/>
      <c r="B898" s="1530" t="s">
        <v>2571</v>
      </c>
      <c r="C898" s="1260">
        <v>40000</v>
      </c>
      <c r="D898" s="1260">
        <v>40000</v>
      </c>
      <c r="E898" s="1040">
        <v>38100</v>
      </c>
      <c r="F898" s="1269"/>
      <c r="G898" s="2200">
        <f t="shared" si="125"/>
        <v>95.25</v>
      </c>
      <c r="H898" s="2200">
        <f t="shared" si="127"/>
        <v>95.25</v>
      </c>
      <c r="I898" s="2201">
        <v>0</v>
      </c>
      <c r="J898" s="2047">
        <v>0</v>
      </c>
      <c r="IC898" s="98"/>
      <c r="ID898" s="98"/>
      <c r="IE898" s="98"/>
      <c r="IF898" s="98"/>
      <c r="IG898" s="98"/>
      <c r="IH898" s="98"/>
      <c r="II898" s="98"/>
    </row>
    <row r="899" spans="1:243" s="550" customFormat="1" ht="12" customHeight="1" x14ac:dyDescent="0.2">
      <c r="A899" s="2273"/>
      <c r="B899" s="1236"/>
      <c r="C899" s="2147"/>
      <c r="D899" s="2147"/>
      <c r="E899" s="1042"/>
      <c r="F899" s="2477"/>
      <c r="G899" s="2478"/>
      <c r="H899" s="2478"/>
      <c r="I899" s="2147"/>
      <c r="J899" s="2047"/>
      <c r="IC899" s="1"/>
      <c r="ID899" s="1"/>
      <c r="IE899" s="1"/>
      <c r="IF899" s="1"/>
      <c r="IG899" s="1"/>
      <c r="IH899" s="1"/>
      <c r="II899" s="1"/>
    </row>
    <row r="900" spans="1:243" s="244" customFormat="1" ht="20.25" x14ac:dyDescent="0.3">
      <c r="A900" s="2479"/>
      <c r="B900" s="1051" t="s">
        <v>54</v>
      </c>
      <c r="C900" s="652">
        <f>SUM(C901:C906,C907:C911,C914,C920)</f>
        <v>65900000</v>
      </c>
      <c r="D900" s="652">
        <f>SUM(D901:D906,D907:D911,D914,D920)</f>
        <v>121213181.03</v>
      </c>
      <c r="E900" s="652">
        <v>92898725.950000003</v>
      </c>
      <c r="F900" s="2270">
        <f>SUM(E901:E911,E914,E920)</f>
        <v>92898725.949999988</v>
      </c>
      <c r="G900" s="949">
        <f t="shared" si="125"/>
        <v>140.96923512898331</v>
      </c>
      <c r="H900" s="949">
        <f t="shared" si="127"/>
        <v>76.640778800292168</v>
      </c>
      <c r="I900" s="949">
        <f t="shared" si="126"/>
        <v>166.536467632746</v>
      </c>
      <c r="J900" s="29">
        <v>55782812.780000001</v>
      </c>
    </row>
    <row r="901" spans="1:243" s="98" customFormat="1" ht="13.5" customHeight="1" x14ac:dyDescent="0.2">
      <c r="A901" s="2199">
        <v>3111</v>
      </c>
      <c r="B901" s="717" t="s">
        <v>2961</v>
      </c>
      <c r="C901" s="2480">
        <v>0</v>
      </c>
      <c r="D901" s="2480">
        <f>(76214.38+111686.75)</f>
        <v>187901.13</v>
      </c>
      <c r="E901" s="882">
        <v>187901.13</v>
      </c>
      <c r="F901" s="1040"/>
      <c r="G901" s="1663">
        <v>0</v>
      </c>
      <c r="H901" s="1663">
        <f t="shared" si="127"/>
        <v>100</v>
      </c>
      <c r="I901" s="1662">
        <v>0</v>
      </c>
      <c r="J901" s="29">
        <v>0</v>
      </c>
    </row>
    <row r="902" spans="1:243" s="98" customFormat="1" ht="13.5" customHeight="1" x14ac:dyDescent="0.2">
      <c r="A902" s="2199">
        <v>3113</v>
      </c>
      <c r="B902" s="717" t="s">
        <v>2962</v>
      </c>
      <c r="C902" s="727">
        <v>0</v>
      </c>
      <c r="D902" s="727">
        <f>(212592.52+261781.31+349438.48)</f>
        <v>823812.30999999994</v>
      </c>
      <c r="E902" s="882">
        <v>823812.31</v>
      </c>
      <c r="F902" s="1040"/>
      <c r="G902" s="1663">
        <v>0</v>
      </c>
      <c r="H902" s="1663">
        <f t="shared" si="127"/>
        <v>100.00000000000003</v>
      </c>
      <c r="I902" s="1662">
        <f t="shared" si="126"/>
        <v>106.90608435636071</v>
      </c>
      <c r="J902" s="29">
        <v>770594.41</v>
      </c>
    </row>
    <row r="903" spans="1:243" s="98" customFormat="1" ht="13.5" customHeight="1" x14ac:dyDescent="0.2">
      <c r="A903" s="2199">
        <v>3113</v>
      </c>
      <c r="B903" s="717" t="s">
        <v>3165</v>
      </c>
      <c r="C903" s="727">
        <v>0</v>
      </c>
      <c r="D903" s="727">
        <f>(6450.7+58056.3)</f>
        <v>64507</v>
      </c>
      <c r="E903" s="882">
        <v>64507</v>
      </c>
      <c r="F903" s="1040"/>
      <c r="G903" s="1663">
        <v>0</v>
      </c>
      <c r="H903" s="1663">
        <f t="shared" si="127"/>
        <v>100</v>
      </c>
      <c r="I903" s="1662">
        <v>0</v>
      </c>
      <c r="J903" s="29">
        <v>0</v>
      </c>
    </row>
    <row r="904" spans="1:243" s="98" customFormat="1" ht="13.5" customHeight="1" x14ac:dyDescent="0.2">
      <c r="A904" s="2221">
        <v>3233</v>
      </c>
      <c r="B904" s="717" t="s">
        <v>2963</v>
      </c>
      <c r="C904" s="722">
        <v>0</v>
      </c>
      <c r="D904" s="722">
        <v>3730</v>
      </c>
      <c r="E904" s="882">
        <v>3730</v>
      </c>
      <c r="F904" s="2029"/>
      <c r="G904" s="1663">
        <v>0</v>
      </c>
      <c r="H904" s="1663">
        <f t="shared" si="127"/>
        <v>100</v>
      </c>
      <c r="I904" s="1662">
        <v>0</v>
      </c>
      <c r="J904" s="88">
        <v>0</v>
      </c>
    </row>
    <row r="905" spans="1:243" s="98" customFormat="1" ht="13.5" customHeight="1" x14ac:dyDescent="0.2">
      <c r="A905" s="2199">
        <v>3392</v>
      </c>
      <c r="B905" s="717" t="s">
        <v>2964</v>
      </c>
      <c r="C905" s="727">
        <v>0</v>
      </c>
      <c r="D905" s="727">
        <v>61299</v>
      </c>
      <c r="E905" s="882">
        <v>61299</v>
      </c>
      <c r="F905" s="1040"/>
      <c r="G905" s="1663">
        <v>0</v>
      </c>
      <c r="H905" s="1663">
        <f t="shared" si="127"/>
        <v>100</v>
      </c>
      <c r="I905" s="1662">
        <v>0</v>
      </c>
      <c r="J905" s="29">
        <v>0</v>
      </c>
    </row>
    <row r="906" spans="1:243" s="98" customFormat="1" ht="13.5" customHeight="1" x14ac:dyDescent="0.2">
      <c r="A906" s="2221">
        <v>3392</v>
      </c>
      <c r="B906" s="717" t="s">
        <v>2965</v>
      </c>
      <c r="C906" s="730">
        <v>28000000</v>
      </c>
      <c r="D906" s="730">
        <v>28000000</v>
      </c>
      <c r="E906" s="998">
        <v>28000000</v>
      </c>
      <c r="F906" s="730"/>
      <c r="G906" s="1663">
        <f t="shared" si="125"/>
        <v>100</v>
      </c>
      <c r="H906" s="1663">
        <f t="shared" si="127"/>
        <v>100</v>
      </c>
      <c r="I906" s="1662">
        <v>0</v>
      </c>
      <c r="J906" s="88">
        <v>0</v>
      </c>
    </row>
    <row r="907" spans="1:243" s="98" customFormat="1" ht="13.5" customHeight="1" x14ac:dyDescent="0.2">
      <c r="A907" s="2221">
        <v>3612</v>
      </c>
      <c r="B907" s="1035" t="s">
        <v>2575</v>
      </c>
      <c r="C907" s="722">
        <v>700000</v>
      </c>
      <c r="D907" s="722">
        <f>700000+230000</f>
        <v>930000</v>
      </c>
      <c r="E907" s="882">
        <v>929542.12</v>
      </c>
      <c r="F907" s="740"/>
      <c r="G907" s="1663">
        <f t="shared" si="125"/>
        <v>132.79173142857144</v>
      </c>
      <c r="H907" s="1663">
        <f t="shared" si="127"/>
        <v>99.950765591397854</v>
      </c>
      <c r="I907" s="1662">
        <f t="shared" si="126"/>
        <v>114.06086618203896</v>
      </c>
      <c r="J907" s="29">
        <v>814952.71</v>
      </c>
    </row>
    <row r="908" spans="1:243" s="553" customFormat="1" ht="13.5" customHeight="1" x14ac:dyDescent="0.2">
      <c r="A908" s="2197">
        <v>3639</v>
      </c>
      <c r="B908" s="709" t="s">
        <v>2020</v>
      </c>
      <c r="C908" s="731">
        <v>200000</v>
      </c>
      <c r="D908" s="731">
        <f>200000-120000</f>
        <v>80000</v>
      </c>
      <c r="E908" s="882">
        <v>75049</v>
      </c>
      <c r="F908" s="1809"/>
      <c r="G908" s="1663">
        <f t="shared" si="125"/>
        <v>37.524499999999996</v>
      </c>
      <c r="H908" s="1663">
        <f t="shared" si="127"/>
        <v>93.811250000000001</v>
      </c>
      <c r="I908" s="1662">
        <f t="shared" si="126"/>
        <v>47.274662836769529</v>
      </c>
      <c r="J908" s="1866">
        <v>158751</v>
      </c>
    </row>
    <row r="909" spans="1:243" ht="25.5" x14ac:dyDescent="0.2">
      <c r="A909" s="2221">
        <v>6171</v>
      </c>
      <c r="B909" s="1526" t="s">
        <v>2576</v>
      </c>
      <c r="C909" s="731">
        <v>100000</v>
      </c>
      <c r="D909" s="731">
        <f>100000+400</f>
        <v>100400</v>
      </c>
      <c r="E909" s="882">
        <v>101556</v>
      </c>
      <c r="F909" s="1809"/>
      <c r="G909" s="1663">
        <f t="shared" si="125"/>
        <v>101.556</v>
      </c>
      <c r="H909" s="1663">
        <f t="shared" si="127"/>
        <v>101.15139442231076</v>
      </c>
      <c r="I909" s="1662">
        <f t="shared" si="126"/>
        <v>127.2567791088166</v>
      </c>
      <c r="J909" s="1866">
        <v>79804</v>
      </c>
    </row>
    <row r="910" spans="1:243" ht="13.5" customHeight="1" x14ac:dyDescent="0.2">
      <c r="A910" s="2221">
        <v>6310</v>
      </c>
      <c r="B910" s="717" t="s">
        <v>2577</v>
      </c>
      <c r="C910" s="731">
        <v>400000</v>
      </c>
      <c r="D910" s="731">
        <f>400000+(90657.28+30684.81+1657.91)</f>
        <v>523000</v>
      </c>
      <c r="E910" s="998">
        <v>525634.16</v>
      </c>
      <c r="F910" s="1809"/>
      <c r="G910" s="1663">
        <f t="shared" si="125"/>
        <v>131.40854000000002</v>
      </c>
      <c r="H910" s="1663">
        <f t="shared" si="127"/>
        <v>100.50366347992352</v>
      </c>
      <c r="I910" s="1662">
        <f t="shared" si="126"/>
        <v>103.13870151084062</v>
      </c>
      <c r="J910" s="29">
        <v>509638.14</v>
      </c>
    </row>
    <row r="911" spans="1:243" ht="13.5" customHeight="1" x14ac:dyDescent="0.2">
      <c r="A911" s="2221">
        <v>6399</v>
      </c>
      <c r="B911" s="717" t="s">
        <v>1005</v>
      </c>
      <c r="C911" s="726">
        <f>SUM(C912:C913)</f>
        <v>33000000</v>
      </c>
      <c r="D911" s="726">
        <f>SUM(D912:D913)</f>
        <v>58564110</v>
      </c>
      <c r="E911" s="734">
        <v>60426732</v>
      </c>
      <c r="F911" s="1077">
        <f>SUM(E912:E913)</f>
        <v>60426732</v>
      </c>
      <c r="G911" s="1663">
        <f t="shared" si="125"/>
        <v>183.11130909090909</v>
      </c>
      <c r="H911" s="1663">
        <f t="shared" si="127"/>
        <v>103.18048374678621</v>
      </c>
      <c r="I911" s="1662">
        <f t="shared" si="126"/>
        <v>114.48608022738549</v>
      </c>
      <c r="J911" s="29">
        <v>52780855</v>
      </c>
    </row>
    <row r="912" spans="1:243" ht="13.5" customHeight="1" x14ac:dyDescent="0.2">
      <c r="A912" s="2223"/>
      <c r="B912" s="737" t="s">
        <v>2023</v>
      </c>
      <c r="C912" s="2150">
        <v>30000000</v>
      </c>
      <c r="D912" s="2150">
        <f>30000000+25564110</f>
        <v>55564110</v>
      </c>
      <c r="E912" s="894">
        <v>55564110</v>
      </c>
      <c r="F912" s="1809"/>
      <c r="G912" s="2200">
        <f t="shared" si="125"/>
        <v>185.21369999999999</v>
      </c>
      <c r="H912" s="2200">
        <f t="shared" si="127"/>
        <v>100</v>
      </c>
      <c r="I912" s="2201">
        <f t="shared" si="126"/>
        <v>119.65984746436152</v>
      </c>
      <c r="J912" s="29">
        <v>46435050</v>
      </c>
    </row>
    <row r="913" spans="1:10" ht="13.5" customHeight="1" x14ac:dyDescent="0.2">
      <c r="A913" s="2223"/>
      <c r="B913" s="737" t="s">
        <v>2024</v>
      </c>
      <c r="C913" s="1946">
        <v>3000000</v>
      </c>
      <c r="D913" s="1946">
        <v>3000000</v>
      </c>
      <c r="E913" s="893">
        <v>4862622</v>
      </c>
      <c r="F913" s="740"/>
      <c r="G913" s="2200">
        <f t="shared" si="125"/>
        <v>162.0874</v>
      </c>
      <c r="H913" s="2200">
        <f t="shared" si="127"/>
        <v>162.0874</v>
      </c>
      <c r="I913" s="2201">
        <f t="shared" si="126"/>
        <v>76.62734672748374</v>
      </c>
      <c r="J913" s="29">
        <v>6345805</v>
      </c>
    </row>
    <row r="914" spans="1:10" s="98" customFormat="1" ht="12" customHeight="1" x14ac:dyDescent="0.2">
      <c r="A914" s="2221">
        <v>6402</v>
      </c>
      <c r="B914" s="717" t="s">
        <v>2579</v>
      </c>
      <c r="C914" s="726">
        <f>SUM(C915:C919)</f>
        <v>0</v>
      </c>
      <c r="D914" s="726">
        <f>SUM(D915:D919)</f>
        <v>1216127.96</v>
      </c>
      <c r="E914" s="734">
        <v>1216127.96</v>
      </c>
      <c r="F914" s="1077">
        <f>SUM(E917:E919)</f>
        <v>125320.95</v>
      </c>
      <c r="G914" s="1663">
        <v>0</v>
      </c>
      <c r="H914" s="1663">
        <f t="shared" si="127"/>
        <v>100</v>
      </c>
      <c r="I914" s="1662">
        <f t="shared" si="126"/>
        <v>890.64913873916089</v>
      </c>
      <c r="J914" s="29">
        <v>136544</v>
      </c>
    </row>
    <row r="915" spans="1:10" s="2" customFormat="1" ht="13.5" customHeight="1" x14ac:dyDescent="0.2">
      <c r="A915" s="2243"/>
      <c r="B915" s="1035" t="s">
        <v>2966</v>
      </c>
      <c r="C915" s="1232">
        <v>0</v>
      </c>
      <c r="D915" s="1232">
        <f>(913.14+3011.86)</f>
        <v>3925</v>
      </c>
      <c r="E915" s="894">
        <v>3925</v>
      </c>
      <c r="F915" s="1809"/>
      <c r="G915" s="2200">
        <v>0</v>
      </c>
      <c r="H915" s="2200">
        <f t="shared" si="127"/>
        <v>100</v>
      </c>
      <c r="I915" s="2201">
        <v>0</v>
      </c>
      <c r="J915" s="88">
        <v>0</v>
      </c>
    </row>
    <row r="916" spans="1:10" s="2" customFormat="1" ht="13.5" customHeight="1" x14ac:dyDescent="0.2">
      <c r="A916" s="2243"/>
      <c r="B916" s="1035" t="s">
        <v>3166</v>
      </c>
      <c r="C916" s="1232">
        <v>0</v>
      </c>
      <c r="D916" s="1232">
        <f>(252863.08+834018.92)</f>
        <v>1086882</v>
      </c>
      <c r="E916" s="894">
        <v>1086882</v>
      </c>
      <c r="F916" s="1809"/>
      <c r="G916" s="2200">
        <v>0</v>
      </c>
      <c r="H916" s="2200">
        <f t="shared" si="127"/>
        <v>100</v>
      </c>
      <c r="I916" s="2201">
        <v>0</v>
      </c>
      <c r="J916" s="88">
        <v>0</v>
      </c>
    </row>
    <row r="917" spans="1:10" s="2" customFormat="1" ht="13.5" customHeight="1" x14ac:dyDescent="0.2">
      <c r="A917" s="2243"/>
      <c r="B917" s="1035" t="s">
        <v>3167</v>
      </c>
      <c r="C917" s="1232">
        <v>0</v>
      </c>
      <c r="D917" s="1232">
        <f>(24701.86+81474.14)</f>
        <v>106176</v>
      </c>
      <c r="E917" s="894">
        <v>106176</v>
      </c>
      <c r="F917" s="1809"/>
      <c r="G917" s="2200">
        <v>0</v>
      </c>
      <c r="H917" s="2200">
        <f t="shared" si="127"/>
        <v>100</v>
      </c>
      <c r="I917" s="2201">
        <v>0</v>
      </c>
      <c r="J917" s="88">
        <v>0</v>
      </c>
    </row>
    <row r="918" spans="1:10" s="2" customFormat="1" ht="13.5" customHeight="1" x14ac:dyDescent="0.2">
      <c r="A918" s="2243"/>
      <c r="B918" s="1035" t="s">
        <v>2967</v>
      </c>
      <c r="C918" s="1232">
        <v>0</v>
      </c>
      <c r="D918" s="1232">
        <v>15187.53</v>
      </c>
      <c r="E918" s="894">
        <v>15187.52</v>
      </c>
      <c r="F918" s="1809"/>
      <c r="G918" s="2200">
        <v>0</v>
      </c>
      <c r="H918" s="2200">
        <f t="shared" si="127"/>
        <v>99.999934156508658</v>
      </c>
      <c r="I918" s="2201">
        <v>0</v>
      </c>
      <c r="J918" s="88">
        <v>0</v>
      </c>
    </row>
    <row r="919" spans="1:10" s="2" customFormat="1" ht="13.5" customHeight="1" x14ac:dyDescent="0.2">
      <c r="A919" s="2243"/>
      <c r="B919" s="1035" t="s">
        <v>2968</v>
      </c>
      <c r="C919" s="1864">
        <v>0</v>
      </c>
      <c r="D919" s="1864">
        <v>3957.43</v>
      </c>
      <c r="E919" s="894">
        <v>3957.43</v>
      </c>
      <c r="F919" s="1809"/>
      <c r="G919" s="2200">
        <v>0</v>
      </c>
      <c r="H919" s="2200">
        <f t="shared" si="127"/>
        <v>100</v>
      </c>
      <c r="I919" s="2201">
        <v>0</v>
      </c>
      <c r="J919" s="88">
        <v>0</v>
      </c>
    </row>
    <row r="920" spans="1:10" s="244" customFormat="1" ht="13.5" customHeight="1" x14ac:dyDescent="0.25">
      <c r="A920" s="2221">
        <v>6409</v>
      </c>
      <c r="B920" s="717" t="s">
        <v>1014</v>
      </c>
      <c r="C920" s="726">
        <f t="shared" ref="C920:D920" si="130">SUM(C921:C923)</f>
        <v>3500000</v>
      </c>
      <c r="D920" s="726">
        <f t="shared" si="130"/>
        <v>30658293.63000001</v>
      </c>
      <c r="E920" s="998">
        <v>482835.27</v>
      </c>
      <c r="F920" s="1077">
        <f>SUM(E921:E923)</f>
        <v>482835.26999999996</v>
      </c>
      <c r="G920" s="1663">
        <f t="shared" si="125"/>
        <v>13.795293428571428</v>
      </c>
      <c r="H920" s="1663">
        <f t="shared" si="127"/>
        <v>1.574892835938958</v>
      </c>
      <c r="I920" s="1662">
        <f t="shared" si="126"/>
        <v>121.06974153322825</v>
      </c>
      <c r="J920" s="29">
        <v>398807.55</v>
      </c>
    </row>
    <row r="921" spans="1:10" s="98" customFormat="1" ht="13.5" customHeight="1" x14ac:dyDescent="0.2">
      <c r="A921" s="2263"/>
      <c r="B921" s="1530" t="s">
        <v>2969</v>
      </c>
      <c r="C921" s="1234">
        <v>3000000</v>
      </c>
      <c r="D921" s="1234">
        <f>3000000-3178500+99036-432200-595004.14+3000000+145092-7500-15000-30000-30000-7500-80000+472672.5-214000-641178.72-104517-19144.96+463363-400000+21520868.17+1247432.21-60000+297792+2743942.28-14800000-6020000+1571026.45-27427.5+5889660-1700000-5000000-2000000-3000000+85015+472380+706318.75+1093905.82-300000-280000+54671.25+25000000-3000000-3375008.64-370000-300000-1266234.75+810777+5424450-4500000-5000000+300000-50000-800000-30000-109500-500000-3000000-86100-400000-9000000-2000000-910000-300000+1202300+2000000-470000-177565+4501800+4000000+69477.18+470747.5+5000000+132500+141260.58+483823+930000+1300000+3850000-2499999-56855.41-8886847-1156926.85-168585-79980-250000+17666+671703.9+33960000+150000-80800-500000-1000000-1307000+1099496-23885049+30000-30250-20000-203075.15-1372559.84+51162+0.3+296102+(3819.97+42374.82)+(-152000+135000)+6588.45+5012000-3000000+150000+(530000+237000)+54000-300000-135000-30000+52000+77427.31-118459+910000+930-23420+109500-40000+32100+995434.77+112000+234649.25+139959.54+50000+3508109.62-222532-248824.2+5391199.63+1750000+304433.67+1049889.53-764800-5132771.51+(389995-305445)+(382500+18500.85)+327000-27000</f>
        <v>30178293.63000001</v>
      </c>
      <c r="E921" s="993">
        <v>0</v>
      </c>
      <c r="F921" s="1234"/>
      <c r="G921" s="2200">
        <f t="shared" si="125"/>
        <v>0</v>
      </c>
      <c r="H921" s="2200">
        <f t="shared" si="127"/>
        <v>0</v>
      </c>
      <c r="I921" s="2201">
        <v>0</v>
      </c>
      <c r="J921" s="29">
        <v>0</v>
      </c>
    </row>
    <row r="922" spans="1:10" s="98" customFormat="1" ht="38.25" x14ac:dyDescent="0.2">
      <c r="A922" s="2425"/>
      <c r="B922" s="1258" t="s">
        <v>2032</v>
      </c>
      <c r="C922" s="1077">
        <v>500000</v>
      </c>
      <c r="D922" s="1077">
        <f>500000-20000</f>
        <v>480000</v>
      </c>
      <c r="E922" s="993">
        <v>479938.41</v>
      </c>
      <c r="F922" s="1077"/>
      <c r="G922" s="2200">
        <f t="shared" si="125"/>
        <v>95.987681999999992</v>
      </c>
      <c r="H922" s="2200">
        <f t="shared" si="127"/>
        <v>99.987168749999995</v>
      </c>
      <c r="I922" s="2201">
        <f t="shared" si="126"/>
        <v>101.99898179201416</v>
      </c>
      <c r="J922" s="1866">
        <v>470532.55</v>
      </c>
    </row>
    <row r="923" spans="1:10" s="98" customFormat="1" ht="12" customHeight="1" x14ac:dyDescent="0.2">
      <c r="A923" s="2481"/>
      <c r="B923" s="1532" t="s">
        <v>2584</v>
      </c>
      <c r="C923" s="1864">
        <v>0</v>
      </c>
      <c r="D923" s="1864">
        <v>0</v>
      </c>
      <c r="E923" s="993">
        <v>2896.86</v>
      </c>
      <c r="F923" s="1864"/>
      <c r="G923" s="2200">
        <v>0</v>
      </c>
      <c r="H923" s="2200">
        <v>0</v>
      </c>
      <c r="I923" s="2201">
        <v>0</v>
      </c>
      <c r="J923" s="29">
        <v>0</v>
      </c>
    </row>
    <row r="924" spans="1:10" s="98" customFormat="1" ht="12" customHeight="1" x14ac:dyDescent="0.2">
      <c r="A924" s="2482"/>
      <c r="B924" s="1536"/>
      <c r="C924" s="762"/>
      <c r="D924" s="762"/>
      <c r="E924" s="1341"/>
      <c r="F924" s="2037"/>
      <c r="G924" s="2037"/>
      <c r="H924" s="2037"/>
      <c r="I924" s="762"/>
      <c r="J924" s="29"/>
    </row>
    <row r="925" spans="1:10" s="98" customFormat="1" ht="26.25" x14ac:dyDescent="0.4">
      <c r="A925" s="2189"/>
      <c r="B925" s="1539" t="s">
        <v>55</v>
      </c>
      <c r="C925" s="2483">
        <f>SUM(C274+C383+C575+C578+C585+C594+C598+C601+C690+C694+C716+C725+C757+C763+C787+C890+C900)</f>
        <v>1121493640</v>
      </c>
      <c r="D925" s="2483">
        <f>SUM(D274+D383+D575+D578+D585+D594+D598+D601+D690+D694+D716+D725+D757+D763+D787+D890+D900)</f>
        <v>1167372172.45</v>
      </c>
      <c r="E925" s="2483">
        <v>1075863537.9300001</v>
      </c>
      <c r="F925" s="2484">
        <f>SUM(E274,F383,E575,E578,E585,E594,E598,E601,E690,E694,E716,E725,E757,E763,E787,E890,E900)</f>
        <v>1075863537.9300001</v>
      </c>
      <c r="G925" s="2485">
        <f t="shared" si="125"/>
        <v>95.931309778092015</v>
      </c>
      <c r="H925" s="2485">
        <f t="shared" si="127"/>
        <v>92.161143063060351</v>
      </c>
      <c r="I925" s="2485">
        <f t="shared" si="126"/>
        <v>120.01113209922607</v>
      </c>
      <c r="J925" s="1866">
        <v>896469785.01999998</v>
      </c>
    </row>
    <row r="926" spans="1:10" ht="12.75" customHeight="1" x14ac:dyDescent="0.2">
      <c r="B926" s="1542"/>
    </row>
    <row r="927" spans="1:10" ht="12.75" customHeight="1" x14ac:dyDescent="0.35">
      <c r="B927" s="1543"/>
    </row>
    <row r="928" spans="1:10" s="98" customFormat="1" ht="12.75" customHeight="1" x14ac:dyDescent="0.35">
      <c r="A928" s="1"/>
      <c r="B928" s="1543"/>
      <c r="E928" s="29"/>
      <c r="F928" s="1"/>
      <c r="G928" s="1"/>
      <c r="H928" s="1"/>
      <c r="J928" s="29"/>
    </row>
    <row r="929" spans="1:10" s="98" customFormat="1" x14ac:dyDescent="0.2">
      <c r="A929" s="1"/>
      <c r="B929" s="564"/>
      <c r="C929" s="88"/>
      <c r="D929" s="88"/>
      <c r="E929" s="88"/>
      <c r="F929" s="88"/>
      <c r="G929" s="88"/>
      <c r="H929" s="88"/>
      <c r="I929" s="88"/>
      <c r="J929" s="29"/>
    </row>
    <row r="930" spans="1:10" x14ac:dyDescent="0.2">
      <c r="D930" s="29"/>
    </row>
    <row r="931" spans="1:10" x14ac:dyDescent="0.2">
      <c r="D931" s="29"/>
    </row>
  </sheetData>
  <sheetProtection selectLockedCells="1" selectUnlockedCells="1"/>
  <autoFilter ref="I1:I933"/>
  <printOptions horizontalCentered="1"/>
  <pageMargins left="3.937007874015748E-2" right="3.937007874015748E-2" top="0.51181102362204722" bottom="0.51181102362204722" header="0.31496062992125984" footer="0.31496062992125984"/>
  <pageSetup paperSize="9" scale="64" firstPageNumber="0" fitToHeight="0" orientation="landscape" r:id="rId1"/>
  <headerFooter>
    <oddFooter>&amp;C&amp;P</oddFooter>
  </headerFooter>
  <rowBreaks count="2" manualBreakCount="2">
    <brk id="30" max="16383" man="1"/>
    <brk id="272" max="16383" man="1"/>
  </rowBreaks>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22"/>
  </sheetPr>
  <dimension ref="A1:BHA920"/>
  <sheetViews>
    <sheetView zoomScale="110" workbookViewId="0">
      <selection activeCell="B924" sqref="B924"/>
    </sheetView>
  </sheetViews>
  <sheetFormatPr defaultColWidth="9.5703125" defaultRowHeight="12.75" x14ac:dyDescent="0.2"/>
  <cols>
    <col min="1" max="1" width="12" style="1" customWidth="1"/>
    <col min="2" max="2" width="91.85546875" style="1" customWidth="1"/>
    <col min="3" max="5" width="26.85546875" style="1" customWidth="1"/>
    <col min="6" max="6" width="22" style="1" hidden="1" customWidth="1"/>
    <col min="7" max="8" width="10.5703125" style="1" customWidth="1"/>
    <col min="9" max="9" width="12.140625" style="1" customWidth="1"/>
    <col min="10" max="10" width="19.28515625" style="29" customWidth="1"/>
    <col min="11" max="16384" width="9.5703125" style="1"/>
  </cols>
  <sheetData>
    <row r="1" spans="1:10" ht="67.5" customHeight="1" x14ac:dyDescent="0.2">
      <c r="A1" s="566" t="s">
        <v>2585</v>
      </c>
      <c r="B1" s="2153" t="s">
        <v>2586</v>
      </c>
      <c r="C1" s="575" t="s">
        <v>2116</v>
      </c>
      <c r="D1" s="575" t="s">
        <v>2970</v>
      </c>
      <c r="E1" s="1594" t="s">
        <v>3042</v>
      </c>
      <c r="F1" s="2154" t="s">
        <v>2590</v>
      </c>
      <c r="G1" s="1594" t="s">
        <v>2591</v>
      </c>
      <c r="H1" s="1594" t="s">
        <v>2592</v>
      </c>
      <c r="I1" s="1594" t="s">
        <v>2593</v>
      </c>
      <c r="J1" s="2155" t="s">
        <v>3043</v>
      </c>
    </row>
    <row r="2" spans="1:10" ht="24" customHeight="1" x14ac:dyDescent="0.3">
      <c r="A2" s="2156"/>
      <c r="B2" s="1597" t="s">
        <v>56</v>
      </c>
      <c r="C2" s="1600"/>
      <c r="D2" s="1600"/>
      <c r="E2" s="1599"/>
      <c r="F2" s="966"/>
      <c r="G2" s="966"/>
      <c r="H2" s="966"/>
      <c r="I2" s="1600"/>
    </row>
    <row r="3" spans="1:10" s="98" customFormat="1" ht="24" customHeight="1" x14ac:dyDescent="0.25">
      <c r="A3" s="2157"/>
      <c r="B3" s="1602" t="s">
        <v>57</v>
      </c>
      <c r="C3" s="1603">
        <f t="shared" ref="C3:D3" si="0">C32</f>
        <v>570976355.83999991</v>
      </c>
      <c r="D3" s="1603">
        <f t="shared" si="0"/>
        <v>598627727.23000002</v>
      </c>
      <c r="E3" s="1603"/>
      <c r="F3" s="2158"/>
      <c r="G3" s="1603"/>
      <c r="H3" s="1603"/>
      <c r="I3" s="1603"/>
      <c r="J3" s="29"/>
    </row>
    <row r="4" spans="1:10" s="98" customFormat="1" ht="24" customHeight="1" x14ac:dyDescent="0.25">
      <c r="A4" s="2159"/>
      <c r="B4" s="1601" t="s">
        <v>10</v>
      </c>
      <c r="C4" s="1605">
        <f t="shared" ref="C4:D4" si="1">C65</f>
        <v>172178289.50999999</v>
      </c>
      <c r="D4" s="1605">
        <f t="shared" si="1"/>
        <v>175650933.67000002</v>
      </c>
      <c r="E4" s="1605"/>
      <c r="F4" s="2160"/>
      <c r="G4" s="1605"/>
      <c r="H4" s="1605"/>
      <c r="I4" s="1605"/>
      <c r="J4" s="29"/>
    </row>
    <row r="5" spans="1:10" s="98" customFormat="1" ht="24" customHeight="1" x14ac:dyDescent="0.25">
      <c r="A5" s="2161"/>
      <c r="B5" s="1601" t="s">
        <v>11</v>
      </c>
      <c r="C5" s="1605">
        <f t="shared" ref="C5:D5" si="2">C167</f>
        <v>45747371</v>
      </c>
      <c r="D5" s="1605">
        <f t="shared" si="2"/>
        <v>24498887</v>
      </c>
      <c r="E5" s="1605"/>
      <c r="F5" s="2160"/>
      <c r="G5" s="1605"/>
      <c r="H5" s="1605"/>
      <c r="I5" s="1605"/>
      <c r="J5" s="29"/>
    </row>
    <row r="6" spans="1:10" s="98" customFormat="1" ht="24" customHeight="1" x14ac:dyDescent="0.25">
      <c r="A6" s="2161"/>
      <c r="B6" s="1601" t="s">
        <v>196</v>
      </c>
      <c r="C6" s="1607">
        <f t="shared" ref="C6:D6" si="3">C185</f>
        <v>91705431.088</v>
      </c>
      <c r="D6" s="1607">
        <f t="shared" si="3"/>
        <v>106175900.37</v>
      </c>
      <c r="E6" s="1607"/>
      <c r="F6" s="1864"/>
      <c r="G6" s="1607"/>
      <c r="H6" s="1607"/>
      <c r="I6" s="1607"/>
      <c r="J6" s="29"/>
    </row>
    <row r="7" spans="1:10" s="98" customFormat="1" ht="24" customHeight="1" x14ac:dyDescent="0.3">
      <c r="A7" s="2162"/>
      <c r="B7" s="1609" t="s">
        <v>13</v>
      </c>
      <c r="C7" s="1610">
        <f>C255</f>
        <v>880607447.43799996</v>
      </c>
      <c r="D7" s="1610">
        <f>D255</f>
        <v>904953448.2700001</v>
      </c>
      <c r="E7" s="1610"/>
      <c r="F7" s="2163"/>
      <c r="G7" s="1610"/>
      <c r="H7" s="1610"/>
      <c r="I7" s="1610"/>
      <c r="J7" s="29"/>
    </row>
    <row r="8" spans="1:10" s="98" customFormat="1" ht="24" customHeight="1" x14ac:dyDescent="0.25">
      <c r="A8" s="2164"/>
      <c r="B8" s="1612" t="s">
        <v>14</v>
      </c>
      <c r="C8" s="1613">
        <f t="shared" ref="C8:D8" si="4">C257</f>
        <v>240886192.56</v>
      </c>
      <c r="D8" s="1613">
        <f t="shared" si="4"/>
        <v>262407060.73000002</v>
      </c>
      <c r="E8" s="1613"/>
      <c r="F8" s="2165"/>
      <c r="G8" s="1613"/>
      <c r="H8" s="1613"/>
      <c r="I8" s="1613"/>
      <c r="J8" s="29"/>
    </row>
    <row r="9" spans="1:10" s="85" customFormat="1" ht="24" customHeight="1" x14ac:dyDescent="0.4">
      <c r="A9" s="2166"/>
      <c r="B9" s="612" t="s">
        <v>15</v>
      </c>
      <c r="C9" s="1614">
        <f t="shared" ref="C9:D9" si="5">C264</f>
        <v>1121493639.9979999</v>
      </c>
      <c r="D9" s="1614">
        <f t="shared" si="5"/>
        <v>1167360509</v>
      </c>
      <c r="E9" s="1614"/>
      <c r="F9" s="2167"/>
      <c r="G9" s="1614"/>
      <c r="H9" s="1614"/>
      <c r="I9" s="1614"/>
      <c r="J9" s="29"/>
    </row>
    <row r="10" spans="1:10" s="98" customFormat="1" ht="24" customHeight="1" x14ac:dyDescent="0.3">
      <c r="A10" s="2168"/>
      <c r="B10" s="1597" t="s">
        <v>257</v>
      </c>
      <c r="C10" s="1620"/>
      <c r="D10" s="1620"/>
      <c r="E10" s="1618"/>
      <c r="F10" s="2156"/>
      <c r="G10" s="2169"/>
      <c r="H10" s="2169"/>
      <c r="I10" s="2170"/>
      <c r="J10" s="2542"/>
    </row>
    <row r="11" spans="1:10" s="1622" customFormat="1" ht="24" customHeight="1" x14ac:dyDescent="0.25">
      <c r="A11" s="2171"/>
      <c r="B11" s="1467" t="s">
        <v>17</v>
      </c>
      <c r="C11" s="1624">
        <f>C30-C12</f>
        <v>796898130</v>
      </c>
      <c r="D11" s="1624">
        <f>D30-D12</f>
        <v>842764999</v>
      </c>
      <c r="E11" s="1624"/>
      <c r="F11" s="2172"/>
      <c r="G11" s="2173"/>
      <c r="H11" s="2174"/>
      <c r="I11" s="2174"/>
      <c r="J11" s="2175">
        <v>361323057.18000001</v>
      </c>
    </row>
    <row r="12" spans="1:10" s="1622" customFormat="1" ht="24" customHeight="1" x14ac:dyDescent="0.25">
      <c r="A12" s="2171"/>
      <c r="B12" s="1467" t="s">
        <v>18</v>
      </c>
      <c r="C12" s="1629">
        <v>324595510</v>
      </c>
      <c r="D12" s="1629">
        <v>324595510</v>
      </c>
      <c r="E12" s="1627"/>
      <c r="F12" s="2176"/>
      <c r="G12" s="2173"/>
      <c r="H12" s="2174"/>
      <c r="I12" s="2174"/>
      <c r="J12" s="2175">
        <v>37715335.43</v>
      </c>
    </row>
    <row r="13" spans="1:10" s="12" customFormat="1" ht="24" customHeight="1" x14ac:dyDescent="0.25">
      <c r="A13" s="2177"/>
      <c r="B13" s="1601" t="s">
        <v>258</v>
      </c>
      <c r="C13" s="1605">
        <f t="shared" ref="C13:D13" si="6">C266</f>
        <v>79616000</v>
      </c>
      <c r="D13" s="1605">
        <f t="shared" si="6"/>
        <v>80837664.640000001</v>
      </c>
      <c r="E13" s="1605"/>
      <c r="F13" s="2178"/>
      <c r="G13" s="2179"/>
      <c r="H13" s="2179"/>
      <c r="I13" s="2179"/>
      <c r="J13" s="29"/>
    </row>
    <row r="14" spans="1:10" s="12" customFormat="1" ht="24" customHeight="1" x14ac:dyDescent="0.25">
      <c r="A14" s="2177"/>
      <c r="B14" s="1601" t="s">
        <v>1031</v>
      </c>
      <c r="C14" s="1605">
        <f t="shared" ref="C14:D14" si="7">C374</f>
        <v>323192700</v>
      </c>
      <c r="D14" s="1605">
        <f t="shared" si="7"/>
        <v>282833099</v>
      </c>
      <c r="E14" s="1605"/>
      <c r="F14" s="2178"/>
      <c r="G14" s="1605"/>
      <c r="H14" s="1605"/>
      <c r="I14" s="1605"/>
      <c r="J14" s="29"/>
    </row>
    <row r="15" spans="1:10" s="12" customFormat="1" ht="24" customHeight="1" x14ac:dyDescent="0.25">
      <c r="A15" s="2180"/>
      <c r="B15" s="1632" t="s">
        <v>31</v>
      </c>
      <c r="C15" s="1633">
        <f t="shared" ref="C15:D15" si="8">C566</f>
        <v>15000</v>
      </c>
      <c r="D15" s="1633">
        <f t="shared" si="8"/>
        <v>15000</v>
      </c>
      <c r="E15" s="1633"/>
      <c r="F15" s="2181"/>
      <c r="G15" s="1633"/>
      <c r="H15" s="1633"/>
      <c r="I15" s="1633"/>
      <c r="J15" s="29"/>
    </row>
    <row r="16" spans="1:10" s="1634" customFormat="1" ht="24" customHeight="1" x14ac:dyDescent="0.25">
      <c r="A16" s="1605"/>
      <c r="B16" s="1607" t="s">
        <v>1032</v>
      </c>
      <c r="C16" s="1633">
        <f t="shared" ref="C16:D16" si="9">C569</f>
        <v>17594633</v>
      </c>
      <c r="D16" s="1633">
        <f t="shared" si="9"/>
        <v>18152198</v>
      </c>
      <c r="E16" s="1633"/>
      <c r="F16" s="2181"/>
      <c r="G16" s="1633"/>
      <c r="H16" s="1633"/>
      <c r="I16" s="1633"/>
      <c r="J16" s="29"/>
    </row>
    <row r="17" spans="1:241" s="1635" customFormat="1" ht="24" customHeight="1" x14ac:dyDescent="0.25">
      <c r="A17" s="2180"/>
      <c r="B17" s="1632" t="s">
        <v>33</v>
      </c>
      <c r="C17" s="1633">
        <f t="shared" ref="C17:D17" si="10">C576</f>
        <v>11914064</v>
      </c>
      <c r="D17" s="1633">
        <f t="shared" si="10"/>
        <v>11914064</v>
      </c>
      <c r="E17" s="1633"/>
      <c r="F17" s="2181"/>
      <c r="G17" s="1633"/>
      <c r="H17" s="1633"/>
      <c r="I17" s="1633"/>
      <c r="J17" s="29"/>
    </row>
    <row r="18" spans="1:241" s="1635" customFormat="1" ht="24" customHeight="1" x14ac:dyDescent="0.25">
      <c r="A18" s="2182"/>
      <c r="B18" s="1601" t="s">
        <v>34</v>
      </c>
      <c r="C18" s="1605">
        <f t="shared" ref="C18:D18" si="11">C585</f>
        <v>162000</v>
      </c>
      <c r="D18" s="1605">
        <f t="shared" si="11"/>
        <v>162000</v>
      </c>
      <c r="E18" s="1605"/>
      <c r="F18" s="2160"/>
      <c r="G18" s="1605"/>
      <c r="H18" s="1605"/>
      <c r="I18" s="1605"/>
      <c r="J18" s="29"/>
    </row>
    <row r="19" spans="1:241" s="1635" customFormat="1" ht="24" customHeight="1" x14ac:dyDescent="0.25">
      <c r="A19" s="2180"/>
      <c r="B19" s="1601" t="s">
        <v>630</v>
      </c>
      <c r="C19" s="1605">
        <f t="shared" ref="C19:D19" si="12">C589</f>
        <v>500000</v>
      </c>
      <c r="D19" s="1605">
        <f t="shared" si="12"/>
        <v>500000</v>
      </c>
      <c r="E19" s="1605"/>
      <c r="F19" s="2160"/>
      <c r="G19" s="1605"/>
      <c r="H19" s="1605"/>
      <c r="I19" s="1605"/>
      <c r="J19" s="29"/>
    </row>
    <row r="20" spans="1:241" s="1637" customFormat="1" ht="24" customHeight="1" x14ac:dyDescent="0.25">
      <c r="A20" s="2183"/>
      <c r="B20" s="1638" t="s">
        <v>36</v>
      </c>
      <c r="C20" s="1607">
        <f t="shared" ref="C20:D20" si="13">C592</f>
        <v>125656247</v>
      </c>
      <c r="D20" s="1607">
        <f t="shared" si="13"/>
        <v>143447432.22</v>
      </c>
      <c r="E20" s="1607"/>
      <c r="F20" s="1864"/>
      <c r="G20" s="1607"/>
      <c r="H20" s="1607"/>
      <c r="I20" s="1607"/>
      <c r="J20" s="2184"/>
    </row>
    <row r="21" spans="1:241" s="12" customFormat="1" ht="24" customHeight="1" x14ac:dyDescent="0.25">
      <c r="A21" s="2157"/>
      <c r="B21" s="1601" t="s">
        <v>716</v>
      </c>
      <c r="C21" s="1633">
        <f t="shared" ref="C21:D21" si="14">C681</f>
        <v>30378980</v>
      </c>
      <c r="D21" s="1633">
        <f t="shared" si="14"/>
        <v>31548124.350000001</v>
      </c>
      <c r="E21" s="1633"/>
      <c r="F21" s="2181"/>
      <c r="G21" s="1633"/>
      <c r="H21" s="1633"/>
      <c r="I21" s="1633"/>
      <c r="J21" s="29"/>
    </row>
    <row r="22" spans="1:241" s="12" customFormat="1" ht="24" customHeight="1" x14ac:dyDescent="0.25">
      <c r="A22" s="2157"/>
      <c r="B22" s="1601" t="s">
        <v>719</v>
      </c>
      <c r="C22" s="1605">
        <f t="shared" ref="C22:D22" si="15">C685</f>
        <v>37939410</v>
      </c>
      <c r="D22" s="1605">
        <f t="shared" si="15"/>
        <v>35738416.399999999</v>
      </c>
      <c r="E22" s="1605"/>
      <c r="F22" s="2160"/>
      <c r="G22" s="1605"/>
      <c r="H22" s="1605"/>
      <c r="I22" s="1605"/>
      <c r="J22" s="29"/>
    </row>
    <row r="23" spans="1:241" s="12" customFormat="1" ht="24" customHeight="1" x14ac:dyDescent="0.25">
      <c r="A23" s="2157"/>
      <c r="B23" s="1601" t="s">
        <v>735</v>
      </c>
      <c r="C23" s="1603">
        <f t="shared" ref="C23:D23" si="16">C707</f>
        <v>190047550</v>
      </c>
      <c r="D23" s="1603">
        <f t="shared" si="16"/>
        <v>190893593</v>
      </c>
      <c r="E23" s="1603"/>
      <c r="F23" s="2158"/>
      <c r="G23" s="1603"/>
      <c r="H23" s="1603"/>
      <c r="I23" s="1603"/>
      <c r="J23" s="29"/>
    </row>
    <row r="24" spans="1:241" s="12" customFormat="1" ht="24" customHeight="1" x14ac:dyDescent="0.25">
      <c r="A24" s="2157"/>
      <c r="B24" s="1601" t="s">
        <v>43</v>
      </c>
      <c r="C24" s="1603">
        <f t="shared" ref="C24:D24" si="17">C716</f>
        <v>16959056</v>
      </c>
      <c r="D24" s="1603">
        <f t="shared" si="17"/>
        <v>18156526</v>
      </c>
      <c r="E24" s="1603"/>
      <c r="F24" s="2158"/>
      <c r="G24" s="1603"/>
      <c r="H24" s="1603"/>
      <c r="I24" s="1603"/>
      <c r="J24" s="29"/>
    </row>
    <row r="25" spans="1:241" s="12" customFormat="1" ht="24" customHeight="1" x14ac:dyDescent="0.25">
      <c r="A25" s="2183"/>
      <c r="B25" s="1632" t="s">
        <v>777</v>
      </c>
      <c r="C25" s="1633">
        <f t="shared" ref="C25:D25" si="18">C747</f>
        <v>18612000</v>
      </c>
      <c r="D25" s="1633">
        <f t="shared" si="18"/>
        <v>19169000</v>
      </c>
      <c r="E25" s="1633"/>
      <c r="F25" s="2181"/>
      <c r="G25" s="1633"/>
      <c r="H25" s="1633"/>
      <c r="I25" s="1633"/>
      <c r="J25" s="29"/>
    </row>
    <row r="26" spans="1:241" s="12" customFormat="1" ht="24" customHeight="1" x14ac:dyDescent="0.25">
      <c r="A26" s="2157"/>
      <c r="B26" s="1601" t="s">
        <v>2117</v>
      </c>
      <c r="C26" s="1633">
        <f t="shared" ref="C26:D26" si="19">C753</f>
        <v>72242000</v>
      </c>
      <c r="D26" s="1633">
        <f t="shared" si="19"/>
        <v>72703526.5</v>
      </c>
      <c r="E26" s="1633"/>
      <c r="F26" s="2181"/>
      <c r="G26" s="1633"/>
      <c r="H26" s="1633"/>
      <c r="I26" s="1633"/>
      <c r="J26" s="29"/>
    </row>
    <row r="27" spans="1:241" s="12" customFormat="1" ht="24" customHeight="1" x14ac:dyDescent="0.25">
      <c r="A27" s="2185"/>
      <c r="B27" s="1632" t="s">
        <v>803</v>
      </c>
      <c r="C27" s="1633">
        <f t="shared" ref="C27:D27" si="20">C777</f>
        <v>130474000</v>
      </c>
      <c r="D27" s="1633">
        <f t="shared" si="20"/>
        <v>139851683.86000001</v>
      </c>
      <c r="E27" s="1633"/>
      <c r="F27" s="2186"/>
      <c r="G27" s="1633"/>
      <c r="H27" s="1633"/>
      <c r="I27" s="1633"/>
      <c r="J27" s="88"/>
    </row>
    <row r="28" spans="1:241" s="1640" customFormat="1" ht="24" customHeight="1" x14ac:dyDescent="0.25">
      <c r="A28" s="2157"/>
      <c r="B28" s="1601" t="s">
        <v>52</v>
      </c>
      <c r="C28" s="1633">
        <f t="shared" ref="C28:D28" si="21">C879</f>
        <v>290000</v>
      </c>
      <c r="D28" s="1633">
        <f t="shared" si="21"/>
        <v>290000</v>
      </c>
      <c r="E28" s="1633"/>
      <c r="F28" s="2181"/>
      <c r="G28" s="1633"/>
      <c r="H28" s="1633"/>
      <c r="I28" s="1633"/>
      <c r="J28" s="2047"/>
      <c r="IA28" s="1635"/>
      <c r="IB28" s="1635"/>
      <c r="IC28" s="1635"/>
      <c r="ID28" s="1635"/>
      <c r="IE28" s="1635"/>
      <c r="IF28" s="1635"/>
      <c r="IG28" s="1635"/>
    </row>
    <row r="29" spans="1:241" s="1635" customFormat="1" ht="24" customHeight="1" x14ac:dyDescent="0.25">
      <c r="A29" s="2187"/>
      <c r="B29" s="1612" t="s">
        <v>54</v>
      </c>
      <c r="C29" s="1642">
        <f t="shared" ref="C29:D29" si="22">C889</f>
        <v>65900000</v>
      </c>
      <c r="D29" s="1642">
        <f t="shared" si="22"/>
        <v>121148181.03</v>
      </c>
      <c r="E29" s="1641"/>
      <c r="F29" s="2188"/>
      <c r="G29" s="1641"/>
      <c r="H29" s="1641"/>
      <c r="I29" s="1641"/>
      <c r="J29" s="29"/>
    </row>
    <row r="30" spans="1:241" s="98" customFormat="1" ht="24" customHeight="1" x14ac:dyDescent="0.35">
      <c r="A30" s="2189"/>
      <c r="B30" s="691" t="s">
        <v>55</v>
      </c>
      <c r="C30" s="2190">
        <f t="shared" ref="C30:D30" si="23">C914</f>
        <v>1121493640</v>
      </c>
      <c r="D30" s="2190">
        <f t="shared" si="23"/>
        <v>1167360509</v>
      </c>
      <c r="E30" s="1644"/>
      <c r="F30" s="2191"/>
      <c r="G30" s="1644"/>
      <c r="H30" s="1644"/>
      <c r="I30" s="2192"/>
      <c r="J30" s="29"/>
    </row>
    <row r="31" spans="1:241" ht="30" customHeight="1" x14ac:dyDescent="0.3">
      <c r="A31" s="2193"/>
      <c r="B31" s="951" t="s">
        <v>2118</v>
      </c>
      <c r="C31" s="1650"/>
      <c r="D31" s="1650"/>
      <c r="E31" s="1649"/>
      <c r="F31" s="582"/>
      <c r="G31" s="582"/>
      <c r="H31" s="582"/>
      <c r="I31" s="1650"/>
    </row>
    <row r="32" spans="1:241" s="98" customFormat="1" ht="30" customHeight="1" x14ac:dyDescent="0.25">
      <c r="A32" s="2194"/>
      <c r="B32" s="2195" t="s">
        <v>57</v>
      </c>
      <c r="C32" s="1654">
        <f>SUM(C33:C44,C48:C53,C60:C63)</f>
        <v>570976355.83999991</v>
      </c>
      <c r="D32" s="1654">
        <f>SUM(D33:D44,D48:D53,D60:D63)</f>
        <v>598627727.23000002</v>
      </c>
      <c r="E32" s="1653"/>
      <c r="F32" s="2196"/>
      <c r="G32" s="1654"/>
      <c r="H32" s="1654"/>
      <c r="I32" s="1654"/>
      <c r="J32" s="29">
        <v>563957194.54999995</v>
      </c>
    </row>
    <row r="33" spans="1:10" s="98" customFormat="1" ht="30" customHeight="1" x14ac:dyDescent="0.2">
      <c r="A33" s="2197">
        <v>1111</v>
      </c>
      <c r="B33" s="709" t="s">
        <v>2119</v>
      </c>
      <c r="C33" s="1656">
        <f>(54100000*0.155174/100)*1000</f>
        <v>83949134</v>
      </c>
      <c r="D33" s="1656">
        <f>(54100000*0.155174/100)*1000</f>
        <v>83949134</v>
      </c>
      <c r="E33" s="1656"/>
      <c r="F33" s="2198"/>
      <c r="G33" s="1657"/>
      <c r="H33" s="1657"/>
      <c r="I33" s="1656"/>
      <c r="J33" s="29">
        <v>77613831.209999993</v>
      </c>
    </row>
    <row r="34" spans="1:10" s="98" customFormat="1" ht="30" customHeight="1" x14ac:dyDescent="0.2">
      <c r="A34" s="2199">
        <v>1111</v>
      </c>
      <c r="B34" s="717" t="s">
        <v>1047</v>
      </c>
      <c r="C34" s="1662">
        <f>(3400000*0.263492/100)*1000</f>
        <v>8958728.0000000019</v>
      </c>
      <c r="D34" s="1662">
        <f>(3400000*0.263492/100)*1000</f>
        <v>8958728.0000000019</v>
      </c>
      <c r="E34" s="1662"/>
      <c r="F34" s="2200"/>
      <c r="G34" s="1663"/>
      <c r="H34" s="1663"/>
      <c r="I34" s="1662"/>
      <c r="J34" s="29">
        <v>7916058.8399999999</v>
      </c>
    </row>
    <row r="35" spans="1:10" s="98" customFormat="1" ht="30" customHeight="1" x14ac:dyDescent="0.2">
      <c r="A35" s="2199">
        <v>1112</v>
      </c>
      <c r="B35" s="717" t="s">
        <v>2120</v>
      </c>
      <c r="C35" s="1667">
        <f>(4600000*0.155174/100)*1000-1138004</f>
        <v>6000000</v>
      </c>
      <c r="D35" s="1667">
        <f>(4600000*0.155174/100)*1000-1138004</f>
        <v>6000000</v>
      </c>
      <c r="E35" s="1667"/>
      <c r="F35" s="2200"/>
      <c r="G35" s="1663"/>
      <c r="H35" s="1663"/>
      <c r="I35" s="1662"/>
      <c r="J35" s="29">
        <v>5864660.9900000002</v>
      </c>
    </row>
    <row r="36" spans="1:10" s="98" customFormat="1" ht="30" customHeight="1" x14ac:dyDescent="0.2">
      <c r="A36" s="2199">
        <v>1113</v>
      </c>
      <c r="B36" s="717" t="s">
        <v>1049</v>
      </c>
      <c r="C36" s="1667">
        <f>(9700000*0.155174/100)*1000</f>
        <v>15051878</v>
      </c>
      <c r="D36" s="1667">
        <f>(9700000*0.155174/100)*1000</f>
        <v>15051878</v>
      </c>
      <c r="E36" s="1667"/>
      <c r="F36" s="2200"/>
      <c r="G36" s="1663"/>
      <c r="H36" s="1663"/>
      <c r="I36" s="1662"/>
      <c r="J36" s="29">
        <v>18237393.98</v>
      </c>
    </row>
    <row r="37" spans="1:10" s="98" customFormat="1" ht="30" customHeight="1" x14ac:dyDescent="0.2">
      <c r="A37" s="2199">
        <v>1121</v>
      </c>
      <c r="B37" s="717" t="s">
        <v>2121</v>
      </c>
      <c r="C37" s="1667">
        <v>119018458</v>
      </c>
      <c r="D37" s="1667">
        <f>119018458-2000000</f>
        <v>117018458</v>
      </c>
      <c r="E37" s="1667"/>
      <c r="F37" s="2201"/>
      <c r="G37" s="1663"/>
      <c r="H37" s="1663"/>
      <c r="I37" s="1662"/>
      <c r="J37" s="29">
        <v>112940693.47</v>
      </c>
    </row>
    <row r="38" spans="1:10" s="98" customFormat="1" ht="30" customHeight="1" x14ac:dyDescent="0.2">
      <c r="A38" s="2199">
        <v>1122</v>
      </c>
      <c r="B38" s="725" t="s">
        <v>1051</v>
      </c>
      <c r="C38" s="734">
        <v>30000000</v>
      </c>
      <c r="D38" s="734">
        <f>30000000+25564110</f>
        <v>55564110</v>
      </c>
      <c r="E38" s="734"/>
      <c r="F38" s="894"/>
      <c r="G38" s="1663"/>
      <c r="H38" s="1663"/>
      <c r="I38" s="1662"/>
      <c r="J38" s="1866">
        <v>46435050</v>
      </c>
    </row>
    <row r="39" spans="1:10" s="98" customFormat="1" ht="30" customHeight="1" x14ac:dyDescent="0.2">
      <c r="A39" s="2199">
        <v>1211</v>
      </c>
      <c r="B39" s="717" t="s">
        <v>1052</v>
      </c>
      <c r="C39" s="1667">
        <f>(150600000*0.155174/100)*1000</f>
        <v>233692044.00000003</v>
      </c>
      <c r="D39" s="1667">
        <f>(150600000*0.155174/100)*1000</f>
        <v>233692044.00000003</v>
      </c>
      <c r="E39" s="1672"/>
      <c r="F39" s="2202"/>
      <c r="G39" s="1663"/>
      <c r="H39" s="1663"/>
      <c r="I39" s="1662"/>
      <c r="J39" s="29">
        <v>226775145.27000001</v>
      </c>
    </row>
    <row r="40" spans="1:10" s="98" customFormat="1" ht="30" customHeight="1" x14ac:dyDescent="0.2">
      <c r="A40" s="2199">
        <v>1334</v>
      </c>
      <c r="B40" s="725" t="s">
        <v>1053</v>
      </c>
      <c r="C40" s="746">
        <v>50000</v>
      </c>
      <c r="D40" s="746">
        <v>50000</v>
      </c>
      <c r="E40" s="972"/>
      <c r="F40" s="968"/>
      <c r="G40" s="1663"/>
      <c r="H40" s="1663"/>
      <c r="I40" s="1662"/>
      <c r="J40" s="1866">
        <v>29834.3</v>
      </c>
    </row>
    <row r="41" spans="1:10" s="98" customFormat="1" ht="30" customHeight="1" x14ac:dyDescent="0.2">
      <c r="A41" s="2199">
        <v>1335</v>
      </c>
      <c r="B41" s="717" t="s">
        <v>1054</v>
      </c>
      <c r="C41" s="746">
        <v>2000</v>
      </c>
      <c r="D41" s="746">
        <v>2000</v>
      </c>
      <c r="E41" s="972"/>
      <c r="F41" s="968"/>
      <c r="G41" s="1663"/>
      <c r="H41" s="1663"/>
      <c r="I41" s="1662"/>
      <c r="J41" s="29">
        <v>2133.88</v>
      </c>
    </row>
    <row r="42" spans="1:10" s="98" customFormat="1" ht="30" customHeight="1" x14ac:dyDescent="0.2">
      <c r="A42" s="2199">
        <v>1336</v>
      </c>
      <c r="B42" s="717" t="s">
        <v>1055</v>
      </c>
      <c r="C42" s="746">
        <v>0</v>
      </c>
      <c r="D42" s="746">
        <v>32200</v>
      </c>
      <c r="E42" s="972"/>
      <c r="F42" s="968"/>
      <c r="G42" s="1663"/>
      <c r="H42" s="1663"/>
      <c r="I42" s="1662"/>
      <c r="J42" s="29">
        <v>32200</v>
      </c>
    </row>
    <row r="43" spans="1:10" s="98" customFormat="1" ht="30" customHeight="1" x14ac:dyDescent="0.2">
      <c r="A43" s="2199">
        <v>1341</v>
      </c>
      <c r="B43" s="717" t="s">
        <v>1056</v>
      </c>
      <c r="C43" s="734">
        <v>650000</v>
      </c>
      <c r="D43" s="734">
        <v>650000</v>
      </c>
      <c r="E43" s="972"/>
      <c r="F43" s="968"/>
      <c r="G43" s="1663"/>
      <c r="H43" s="1663"/>
      <c r="I43" s="1662"/>
      <c r="J43" s="29">
        <v>665796.48</v>
      </c>
    </row>
    <row r="44" spans="1:10" s="98" customFormat="1" ht="30" customHeight="1" x14ac:dyDescent="0.2">
      <c r="A44" s="2199">
        <v>1343</v>
      </c>
      <c r="B44" s="717" t="s">
        <v>1057</v>
      </c>
      <c r="C44" s="1678">
        <f t="shared" ref="C44:D44" si="24">SUM(C45:C47)</f>
        <v>495000</v>
      </c>
      <c r="D44" s="1678">
        <f t="shared" si="24"/>
        <v>735000</v>
      </c>
      <c r="E44" s="1678"/>
      <c r="F44" s="2203"/>
      <c r="G44" s="1663"/>
      <c r="H44" s="1663"/>
      <c r="I44" s="1662"/>
      <c r="J44" s="29">
        <v>493944</v>
      </c>
    </row>
    <row r="45" spans="1:10" ht="30" customHeight="1" x14ac:dyDescent="0.2">
      <c r="A45" s="2204"/>
      <c r="B45" s="737" t="s">
        <v>1059</v>
      </c>
      <c r="C45" s="767">
        <v>320000</v>
      </c>
      <c r="D45" s="767">
        <v>320000</v>
      </c>
      <c r="E45" s="968"/>
      <c r="F45" s="968"/>
      <c r="G45" s="2200"/>
      <c r="H45" s="2200"/>
      <c r="I45" s="2201"/>
      <c r="J45" s="29">
        <v>266863</v>
      </c>
    </row>
    <row r="46" spans="1:10" ht="30" customHeight="1" x14ac:dyDescent="0.2">
      <c r="A46" s="2205"/>
      <c r="B46" s="737" t="s">
        <v>1060</v>
      </c>
      <c r="C46" s="767">
        <v>90000</v>
      </c>
      <c r="D46" s="767">
        <f>90000+240000</f>
        <v>330000</v>
      </c>
      <c r="E46" s="968"/>
      <c r="F46" s="968"/>
      <c r="G46" s="2200"/>
      <c r="H46" s="2200"/>
      <c r="I46" s="2201"/>
      <c r="J46" s="29">
        <v>142697</v>
      </c>
    </row>
    <row r="47" spans="1:10" ht="30" customHeight="1" x14ac:dyDescent="0.2">
      <c r="A47" s="2205"/>
      <c r="B47" s="737" t="s">
        <v>1061</v>
      </c>
      <c r="C47" s="767">
        <v>85000</v>
      </c>
      <c r="D47" s="767">
        <v>85000</v>
      </c>
      <c r="E47" s="968"/>
      <c r="F47" s="968"/>
      <c r="G47" s="2200"/>
      <c r="H47" s="2200"/>
      <c r="I47" s="2201"/>
      <c r="J47" s="29">
        <v>84384</v>
      </c>
    </row>
    <row r="48" spans="1:10" ht="30" customHeight="1" x14ac:dyDescent="0.2">
      <c r="A48" s="2206">
        <v>1345</v>
      </c>
      <c r="B48" s="725" t="s">
        <v>1062</v>
      </c>
      <c r="C48" s="746">
        <v>17500000</v>
      </c>
      <c r="D48" s="746">
        <v>17500000</v>
      </c>
      <c r="E48" s="1840"/>
      <c r="F48" s="970"/>
      <c r="G48" s="1663"/>
      <c r="H48" s="1663"/>
      <c r="I48" s="1662"/>
      <c r="J48" s="1866">
        <v>17385568.390000001</v>
      </c>
    </row>
    <row r="49" spans="1:1561" s="98" customFormat="1" ht="30" customHeight="1" x14ac:dyDescent="0.2">
      <c r="A49" s="2199">
        <v>1346</v>
      </c>
      <c r="B49" s="725" t="s">
        <v>1063</v>
      </c>
      <c r="C49" s="746">
        <v>180000</v>
      </c>
      <c r="D49" s="746">
        <v>180000</v>
      </c>
      <c r="E49" s="2207"/>
      <c r="F49" s="970"/>
      <c r="G49" s="1663"/>
      <c r="H49" s="1663"/>
      <c r="I49" s="1662"/>
      <c r="J49" s="1866">
        <v>257000</v>
      </c>
    </row>
    <row r="50" spans="1:1561" s="98" customFormat="1" ht="30" customHeight="1" x14ac:dyDescent="0.2">
      <c r="A50" s="2199">
        <v>1353</v>
      </c>
      <c r="B50" s="717" t="s">
        <v>1064</v>
      </c>
      <c r="C50" s="746">
        <v>750000</v>
      </c>
      <c r="D50" s="746">
        <v>750000</v>
      </c>
      <c r="E50" s="2208"/>
      <c r="F50" s="968"/>
      <c r="G50" s="1663"/>
      <c r="H50" s="1663"/>
      <c r="I50" s="1662"/>
      <c r="J50" s="29">
        <v>1013400</v>
      </c>
    </row>
    <row r="51" spans="1:1561" s="98" customFormat="1" ht="30" customHeight="1" x14ac:dyDescent="0.2">
      <c r="A51" s="2199">
        <v>1356</v>
      </c>
      <c r="B51" s="717" t="s">
        <v>1065</v>
      </c>
      <c r="C51" s="734">
        <v>242547.84</v>
      </c>
      <c r="D51" s="734">
        <v>242547.84</v>
      </c>
      <c r="E51" s="972"/>
      <c r="F51" s="968"/>
      <c r="G51" s="1663"/>
      <c r="H51" s="1663"/>
      <c r="I51" s="1662"/>
      <c r="J51" s="29">
        <v>242547.84</v>
      </c>
    </row>
    <row r="52" spans="1:1561" s="98" customFormat="1" ht="30" customHeight="1" x14ac:dyDescent="0.2">
      <c r="A52" s="2199">
        <v>1359</v>
      </c>
      <c r="B52" s="717" t="s">
        <v>1066</v>
      </c>
      <c r="C52" s="734">
        <v>0</v>
      </c>
      <c r="D52" s="734">
        <v>0</v>
      </c>
      <c r="E52" s="972"/>
      <c r="F52" s="968"/>
      <c r="G52" s="1663"/>
      <c r="H52" s="1663"/>
      <c r="I52" s="1662"/>
      <c r="J52" s="29">
        <v>0</v>
      </c>
    </row>
    <row r="53" spans="1:1561" s="98" customFormat="1" ht="30" customHeight="1" x14ac:dyDescent="0.2">
      <c r="A53" s="2199">
        <v>1361</v>
      </c>
      <c r="B53" s="717" t="s">
        <v>1067</v>
      </c>
      <c r="C53" s="1678">
        <f>SUM(C54:C59)</f>
        <v>9395000</v>
      </c>
      <c r="D53" s="1678">
        <f>SUM(D54:D59)</f>
        <v>10759600</v>
      </c>
      <c r="E53" s="1678"/>
      <c r="F53" s="2203"/>
      <c r="G53" s="1663"/>
      <c r="H53" s="1663"/>
      <c r="I53" s="1662"/>
      <c r="J53" s="29">
        <v>11578050.380000001</v>
      </c>
    </row>
    <row r="54" spans="1:1561" ht="30" customHeight="1" x14ac:dyDescent="0.2">
      <c r="A54" s="2205"/>
      <c r="B54" s="737" t="s">
        <v>1068</v>
      </c>
      <c r="C54" s="767">
        <v>5600000</v>
      </c>
      <c r="D54" s="767">
        <f>5600000+1150000</f>
        <v>6750000</v>
      </c>
      <c r="E54" s="968"/>
      <c r="F54" s="968"/>
      <c r="G54" s="2200"/>
      <c r="H54" s="2200"/>
      <c r="I54" s="2201"/>
      <c r="J54" s="29">
        <v>6832240</v>
      </c>
    </row>
    <row r="55" spans="1:1561" ht="30" customHeight="1" x14ac:dyDescent="0.2">
      <c r="A55" s="2209"/>
      <c r="B55" s="749" t="s">
        <v>1070</v>
      </c>
      <c r="C55" s="767">
        <v>450000</v>
      </c>
      <c r="D55" s="767">
        <f>450000</f>
        <v>450000</v>
      </c>
      <c r="E55" s="968"/>
      <c r="F55" s="968"/>
      <c r="G55" s="2200"/>
      <c r="H55" s="2200"/>
      <c r="I55" s="2201"/>
      <c r="J55" s="1866">
        <v>476560</v>
      </c>
    </row>
    <row r="56" spans="1:1561" ht="30" customHeight="1" x14ac:dyDescent="0.2">
      <c r="A56" s="2205"/>
      <c r="B56" s="737" t="s">
        <v>1071</v>
      </c>
      <c r="C56" s="767">
        <v>1000000</v>
      </c>
      <c r="D56" s="767">
        <v>1000000</v>
      </c>
      <c r="E56" s="968"/>
      <c r="F56" s="968"/>
      <c r="G56" s="2200"/>
      <c r="H56" s="2200"/>
      <c r="I56" s="2201"/>
      <c r="J56" s="29">
        <v>1257500</v>
      </c>
    </row>
    <row r="57" spans="1:1561" s="126" customFormat="1" ht="30" customHeight="1" x14ac:dyDescent="0.2">
      <c r="A57" s="2209"/>
      <c r="B57" s="788" t="s">
        <v>2122</v>
      </c>
      <c r="C57" s="772">
        <v>2153000</v>
      </c>
      <c r="D57" s="772">
        <v>2153000</v>
      </c>
      <c r="E57" s="968"/>
      <c r="F57" s="968"/>
      <c r="G57" s="2200"/>
      <c r="H57" s="2200"/>
      <c r="I57" s="2201"/>
      <c r="J57" s="1866">
        <v>2689700.38</v>
      </c>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c r="AW57" s="1"/>
      <c r="AX57" s="1"/>
      <c r="AY57" s="1"/>
      <c r="AZ57" s="1"/>
      <c r="BA57" s="1"/>
      <c r="BB57" s="1"/>
      <c r="BC57" s="1"/>
      <c r="BD57" s="1"/>
      <c r="BE57" s="1"/>
      <c r="BF57" s="1"/>
      <c r="BG57" s="1"/>
      <c r="BH57" s="1"/>
      <c r="BI57" s="1"/>
      <c r="BJ57" s="1"/>
      <c r="BK57" s="1"/>
      <c r="BL57" s="1"/>
      <c r="BM57" s="1"/>
      <c r="BN57" s="1"/>
      <c r="BO57" s="1"/>
      <c r="BP57" s="1"/>
      <c r="BQ57" s="1"/>
      <c r="BR57" s="1"/>
      <c r="BS57" s="1"/>
      <c r="BT57" s="1"/>
      <c r="BU57" s="1"/>
      <c r="BV57" s="1"/>
      <c r="BW57" s="1"/>
      <c r="BX57" s="1"/>
      <c r="BY57" s="1"/>
      <c r="BZ57" s="1"/>
      <c r="CA57" s="1"/>
      <c r="CB57" s="1"/>
      <c r="CC57" s="1"/>
      <c r="CD57" s="1"/>
      <c r="CE57" s="1"/>
      <c r="CF57" s="1"/>
      <c r="CG57" s="1"/>
      <c r="CH57" s="1"/>
      <c r="CI57" s="1"/>
      <c r="CJ57" s="1"/>
      <c r="CK57" s="1"/>
      <c r="CL57" s="1"/>
      <c r="CM57" s="1"/>
      <c r="CN57" s="1"/>
      <c r="CO57" s="1"/>
      <c r="CP57" s="1"/>
      <c r="CQ57" s="1"/>
      <c r="CR57" s="1"/>
      <c r="CS57" s="1"/>
      <c r="CT57" s="1"/>
      <c r="CU57" s="1"/>
      <c r="CV57" s="1"/>
      <c r="CW57" s="1"/>
      <c r="CX57" s="1"/>
      <c r="CY57" s="1"/>
      <c r="CZ57" s="1"/>
      <c r="DA57" s="1"/>
      <c r="DB57" s="1"/>
      <c r="DC57" s="1"/>
      <c r="DD57" s="1"/>
      <c r="DE57" s="1"/>
      <c r="DF57" s="1"/>
      <c r="DG57" s="1"/>
      <c r="DH57" s="1"/>
      <c r="DI57" s="1"/>
      <c r="DJ57" s="1"/>
      <c r="DK57" s="1"/>
      <c r="DL57" s="1"/>
      <c r="DM57" s="1"/>
      <c r="DN57" s="1"/>
      <c r="DO57" s="1"/>
      <c r="DP57" s="1"/>
      <c r="DQ57" s="1"/>
      <c r="DR57" s="1"/>
      <c r="DS57" s="1"/>
      <c r="DT57" s="1"/>
      <c r="DU57" s="1"/>
      <c r="DV57" s="1"/>
      <c r="DW57" s="1"/>
      <c r="DX57" s="1"/>
      <c r="DY57" s="1"/>
      <c r="DZ57" s="1"/>
      <c r="EA57" s="1"/>
      <c r="EB57" s="1"/>
      <c r="EC57" s="1"/>
      <c r="ED57" s="1"/>
      <c r="EE57" s="1"/>
      <c r="EF57" s="1"/>
      <c r="EG57" s="1"/>
      <c r="EH57" s="1"/>
      <c r="EI57" s="1"/>
      <c r="EJ57" s="1"/>
      <c r="EK57" s="1"/>
      <c r="EL57" s="1"/>
      <c r="EM57" s="1"/>
      <c r="EN57" s="1"/>
      <c r="EO57" s="1"/>
      <c r="EP57" s="1"/>
      <c r="EQ57" s="1"/>
      <c r="ER57" s="1"/>
      <c r="ES57" s="1"/>
      <c r="ET57" s="1"/>
      <c r="EU57" s="1"/>
      <c r="EV57" s="1"/>
      <c r="EW57" s="1"/>
      <c r="EX57" s="1"/>
      <c r="EY57" s="1"/>
      <c r="EZ57" s="1"/>
      <c r="FA57" s="1"/>
      <c r="FB57" s="1"/>
      <c r="FC57" s="1"/>
      <c r="FD57" s="1"/>
      <c r="FE57" s="1"/>
      <c r="FF57" s="1"/>
      <c r="FG57" s="1"/>
      <c r="FH57" s="1"/>
      <c r="FI57" s="1"/>
      <c r="FJ57" s="1"/>
      <c r="FK57" s="1"/>
      <c r="FL57" s="1"/>
      <c r="FM57" s="1"/>
      <c r="FN57" s="1"/>
      <c r="FO57" s="1"/>
      <c r="FP57" s="1"/>
      <c r="FQ57" s="1"/>
      <c r="FR57" s="1"/>
      <c r="FS57" s="1"/>
      <c r="FT57" s="1"/>
      <c r="FU57" s="1"/>
      <c r="FV57" s="1"/>
      <c r="FW57" s="1"/>
      <c r="FX57" s="1"/>
      <c r="FY57" s="1"/>
      <c r="FZ57" s="1"/>
      <c r="GA57" s="1"/>
      <c r="GB57" s="1"/>
      <c r="GC57" s="1"/>
      <c r="GD57" s="1"/>
      <c r="GE57" s="1"/>
      <c r="GF57" s="1"/>
      <c r="GG57" s="1"/>
      <c r="GH57" s="1"/>
      <c r="GI57" s="1"/>
      <c r="GJ57" s="1"/>
      <c r="GK57" s="1"/>
      <c r="GL57" s="1"/>
      <c r="GM57" s="1"/>
      <c r="GN57" s="1"/>
      <c r="GO57" s="1"/>
      <c r="GP57" s="1"/>
      <c r="GQ57" s="1"/>
      <c r="GR57" s="1"/>
      <c r="GS57" s="1"/>
      <c r="GT57" s="1"/>
      <c r="GU57" s="1"/>
      <c r="GV57" s="1"/>
      <c r="GW57" s="1"/>
      <c r="GX57" s="1"/>
      <c r="GY57" s="1"/>
      <c r="GZ57" s="1"/>
      <c r="HA57" s="1"/>
      <c r="HB57" s="1"/>
      <c r="HC57" s="1"/>
      <c r="HD57" s="1"/>
      <c r="HE57" s="1"/>
      <c r="HF57" s="1"/>
      <c r="HG57" s="1"/>
      <c r="HH57" s="1"/>
      <c r="HI57" s="1"/>
      <c r="HJ57" s="1"/>
      <c r="HK57" s="1"/>
      <c r="HL57" s="1"/>
      <c r="HM57" s="1"/>
      <c r="HN57" s="1"/>
      <c r="HO57" s="1"/>
      <c r="HP57" s="1"/>
      <c r="HQ57" s="1"/>
      <c r="HR57" s="1"/>
      <c r="HS57" s="1"/>
      <c r="HT57" s="1"/>
      <c r="HU57" s="1"/>
      <c r="HV57" s="1"/>
      <c r="HW57" s="1"/>
      <c r="HX57" s="1"/>
      <c r="HY57" s="1"/>
      <c r="HZ57" s="1"/>
      <c r="IA57" s="1"/>
      <c r="IB57" s="1"/>
      <c r="IC57" s="1"/>
      <c r="ID57" s="1"/>
      <c r="IE57" s="1"/>
      <c r="IF57" s="1"/>
      <c r="IG57" s="1"/>
      <c r="IH57" s="1"/>
      <c r="II57" s="1"/>
      <c r="IJ57" s="1"/>
      <c r="IK57" s="1"/>
      <c r="IL57" s="1"/>
      <c r="IM57" s="1"/>
      <c r="IN57" s="1"/>
      <c r="IO57" s="1"/>
      <c r="IP57" s="1"/>
      <c r="IQ57" s="1"/>
      <c r="IR57" s="1"/>
      <c r="IS57" s="1"/>
      <c r="IT57" s="1"/>
      <c r="IU57" s="1"/>
      <c r="IV57" s="1"/>
      <c r="IW57" s="1"/>
      <c r="IX57" s="1"/>
      <c r="IY57" s="1"/>
      <c r="IZ57" s="1"/>
      <c r="JA57" s="1"/>
      <c r="JB57" s="1"/>
      <c r="JC57" s="1"/>
      <c r="JD57" s="1"/>
      <c r="JE57" s="1"/>
      <c r="JF57" s="1"/>
      <c r="JG57" s="1"/>
      <c r="JH57" s="1"/>
      <c r="JI57" s="1"/>
      <c r="JJ57" s="1"/>
      <c r="JK57" s="1"/>
      <c r="JL57" s="1"/>
      <c r="JM57" s="1"/>
      <c r="JN57" s="1"/>
      <c r="JO57" s="1"/>
      <c r="JP57" s="1"/>
      <c r="JQ57" s="1"/>
      <c r="JR57" s="1"/>
      <c r="JS57" s="1"/>
      <c r="JT57" s="1"/>
      <c r="JU57" s="1"/>
      <c r="JV57" s="1"/>
      <c r="JW57" s="1"/>
      <c r="JX57" s="1"/>
      <c r="JY57" s="1"/>
      <c r="JZ57" s="1"/>
      <c r="KA57" s="1"/>
      <c r="KB57" s="1"/>
      <c r="KC57" s="1"/>
      <c r="KD57" s="1"/>
      <c r="KE57" s="1"/>
      <c r="KF57" s="1"/>
      <c r="KG57" s="1"/>
      <c r="KH57" s="1"/>
      <c r="KI57" s="1"/>
      <c r="KJ57" s="1"/>
      <c r="KK57" s="1"/>
      <c r="KL57" s="1"/>
      <c r="KM57" s="1"/>
      <c r="KN57" s="1"/>
      <c r="KO57" s="1"/>
      <c r="KP57" s="1"/>
      <c r="KQ57" s="1"/>
      <c r="KR57" s="1"/>
      <c r="KS57" s="1"/>
      <c r="KT57" s="1"/>
      <c r="KU57" s="1"/>
      <c r="KV57" s="1"/>
      <c r="KW57" s="1"/>
      <c r="KX57" s="1"/>
      <c r="KY57" s="1"/>
      <c r="KZ57" s="1"/>
      <c r="LA57" s="1"/>
      <c r="LB57" s="1"/>
      <c r="LC57" s="1"/>
      <c r="LD57" s="1"/>
      <c r="LE57" s="1"/>
      <c r="LF57" s="1"/>
      <c r="LG57" s="1"/>
      <c r="LH57" s="1"/>
      <c r="LI57" s="1"/>
      <c r="LJ57" s="1"/>
      <c r="LK57" s="1"/>
      <c r="LL57" s="1"/>
      <c r="LM57" s="1"/>
      <c r="LN57" s="1"/>
      <c r="LO57" s="1"/>
      <c r="LP57" s="1"/>
      <c r="LQ57" s="1"/>
      <c r="LR57" s="1"/>
      <c r="LS57" s="1"/>
      <c r="LT57" s="1"/>
      <c r="LU57" s="1"/>
      <c r="LV57" s="1"/>
      <c r="LW57" s="1"/>
      <c r="LX57" s="1"/>
      <c r="LY57" s="1"/>
      <c r="LZ57" s="1"/>
      <c r="MA57" s="1"/>
      <c r="MB57" s="1"/>
      <c r="MC57" s="1"/>
      <c r="MD57" s="1"/>
      <c r="ME57" s="1"/>
      <c r="MF57" s="1"/>
      <c r="MG57" s="1"/>
      <c r="MH57" s="1"/>
      <c r="MI57" s="1"/>
      <c r="MJ57" s="1"/>
      <c r="MK57" s="1"/>
      <c r="ML57" s="1"/>
      <c r="MM57" s="1"/>
      <c r="MN57" s="1"/>
      <c r="MO57" s="1"/>
      <c r="MP57" s="1"/>
      <c r="MQ57" s="1"/>
      <c r="MR57" s="1"/>
      <c r="MS57" s="1"/>
      <c r="MT57" s="1"/>
      <c r="MU57" s="1"/>
      <c r="MV57" s="1"/>
      <c r="MW57" s="1"/>
      <c r="MX57" s="1"/>
      <c r="MY57" s="1"/>
      <c r="MZ57" s="1"/>
      <c r="NA57" s="1"/>
      <c r="NB57" s="1"/>
      <c r="NC57" s="1"/>
      <c r="ND57" s="1"/>
      <c r="NE57" s="1"/>
      <c r="NF57" s="1"/>
      <c r="NG57" s="1"/>
      <c r="NH57" s="1"/>
      <c r="NI57" s="1"/>
      <c r="NJ57" s="1"/>
      <c r="NK57" s="1"/>
      <c r="NL57" s="1"/>
      <c r="NM57" s="1"/>
      <c r="NN57" s="1"/>
      <c r="NO57" s="1"/>
      <c r="NP57" s="1"/>
      <c r="NQ57" s="1"/>
      <c r="NR57" s="1"/>
      <c r="NS57" s="1"/>
      <c r="NT57" s="1"/>
      <c r="NU57" s="1"/>
      <c r="NV57" s="1"/>
      <c r="NW57" s="1"/>
      <c r="NX57" s="1"/>
      <c r="NY57" s="1"/>
      <c r="NZ57" s="1"/>
      <c r="OA57" s="1"/>
      <c r="OB57" s="1"/>
      <c r="OC57" s="1"/>
      <c r="OD57" s="1"/>
      <c r="OE57" s="1"/>
      <c r="OF57" s="1"/>
      <c r="OG57" s="1"/>
      <c r="OH57" s="1"/>
      <c r="OI57" s="1"/>
      <c r="OJ57" s="1"/>
      <c r="OK57" s="1"/>
      <c r="OL57" s="1"/>
      <c r="OM57" s="1"/>
      <c r="ON57" s="1"/>
      <c r="OO57" s="1"/>
      <c r="OP57" s="1"/>
      <c r="OQ57" s="1"/>
      <c r="OR57" s="1"/>
      <c r="OS57" s="1"/>
      <c r="OT57" s="1"/>
      <c r="OU57" s="1"/>
      <c r="OV57" s="1"/>
      <c r="OW57" s="1"/>
      <c r="OX57" s="1"/>
      <c r="OY57" s="1"/>
      <c r="OZ57" s="1"/>
      <c r="PA57" s="1"/>
      <c r="PB57" s="1"/>
      <c r="PC57" s="1"/>
      <c r="PD57" s="1"/>
      <c r="PE57" s="1"/>
      <c r="PF57" s="1"/>
      <c r="PG57" s="1"/>
      <c r="PH57" s="1"/>
      <c r="PI57" s="1"/>
      <c r="PJ57" s="1"/>
      <c r="PK57" s="1"/>
      <c r="PL57" s="1"/>
      <c r="PM57" s="1"/>
      <c r="PN57" s="1"/>
      <c r="PO57" s="1"/>
      <c r="PP57" s="1"/>
      <c r="PQ57" s="1"/>
      <c r="PR57" s="1"/>
      <c r="PS57" s="1"/>
      <c r="PT57" s="1"/>
      <c r="PU57" s="1"/>
      <c r="PV57" s="1"/>
      <c r="PW57" s="1"/>
      <c r="PX57" s="1"/>
      <c r="PY57" s="1"/>
      <c r="PZ57" s="1"/>
      <c r="QA57" s="1"/>
      <c r="QB57" s="1"/>
      <c r="QC57" s="1"/>
      <c r="QD57" s="1"/>
      <c r="QE57" s="1"/>
      <c r="QF57" s="1"/>
      <c r="QG57" s="1"/>
      <c r="QH57" s="1"/>
      <c r="QI57" s="1"/>
      <c r="QJ57" s="1"/>
      <c r="QK57" s="1"/>
      <c r="QL57" s="1"/>
      <c r="QM57" s="1"/>
      <c r="QN57" s="1"/>
      <c r="QO57" s="1"/>
      <c r="QP57" s="1"/>
      <c r="QQ57" s="1"/>
      <c r="QR57" s="1"/>
      <c r="QS57" s="1"/>
      <c r="QT57" s="1"/>
      <c r="QU57" s="1"/>
      <c r="QV57" s="1"/>
      <c r="QW57" s="1"/>
      <c r="QX57" s="1"/>
      <c r="QY57" s="1"/>
      <c r="QZ57" s="1"/>
      <c r="RA57" s="1"/>
      <c r="RB57" s="1"/>
      <c r="RC57" s="1"/>
      <c r="RD57" s="1"/>
      <c r="RE57" s="1"/>
      <c r="RF57" s="1"/>
      <c r="RG57" s="1"/>
      <c r="RH57" s="1"/>
      <c r="RI57" s="1"/>
      <c r="RJ57" s="1"/>
      <c r="RK57" s="1"/>
      <c r="RL57" s="1"/>
      <c r="RM57" s="1"/>
      <c r="RN57" s="1"/>
      <c r="RO57" s="1"/>
      <c r="RP57" s="1"/>
      <c r="RQ57" s="1"/>
      <c r="RR57" s="1"/>
      <c r="RS57" s="1"/>
      <c r="RT57" s="1"/>
      <c r="RU57" s="1"/>
      <c r="RV57" s="1"/>
      <c r="RW57" s="1"/>
      <c r="RX57" s="1"/>
      <c r="RY57" s="1"/>
      <c r="RZ57" s="1"/>
      <c r="SA57" s="1"/>
      <c r="SB57" s="1"/>
      <c r="SC57" s="1"/>
      <c r="SD57" s="1"/>
      <c r="SE57" s="1"/>
      <c r="SF57" s="1"/>
      <c r="SG57" s="1"/>
      <c r="SH57" s="1"/>
      <c r="SI57" s="1"/>
      <c r="SJ57" s="1"/>
      <c r="SK57" s="1"/>
      <c r="SL57" s="1"/>
      <c r="SM57" s="1"/>
      <c r="SN57" s="1"/>
      <c r="SO57" s="1"/>
      <c r="SP57" s="1"/>
      <c r="SQ57" s="1"/>
      <c r="SR57" s="1"/>
      <c r="SS57" s="1"/>
      <c r="ST57" s="1"/>
      <c r="SU57" s="1"/>
      <c r="SV57" s="1"/>
      <c r="SW57" s="1"/>
      <c r="SX57" s="1"/>
      <c r="SY57" s="1"/>
      <c r="SZ57" s="1"/>
      <c r="TA57" s="1"/>
      <c r="TB57" s="1"/>
      <c r="TC57" s="1"/>
      <c r="TD57" s="1"/>
      <c r="TE57" s="1"/>
      <c r="TF57" s="1"/>
      <c r="TG57" s="1"/>
      <c r="TH57" s="1"/>
      <c r="TI57" s="1"/>
      <c r="TJ57" s="1"/>
      <c r="TK57" s="1"/>
      <c r="TL57" s="1"/>
      <c r="TM57" s="1"/>
      <c r="TN57" s="1"/>
      <c r="TO57" s="1"/>
      <c r="TP57" s="1"/>
      <c r="TQ57" s="1"/>
      <c r="TR57" s="1"/>
      <c r="TS57" s="1"/>
      <c r="TT57" s="1"/>
      <c r="TU57" s="1"/>
      <c r="TV57" s="1"/>
      <c r="TW57" s="1"/>
      <c r="TX57" s="1"/>
      <c r="TY57" s="1"/>
      <c r="TZ57" s="1"/>
      <c r="UA57" s="1"/>
      <c r="UB57" s="1"/>
      <c r="UC57" s="1"/>
      <c r="UD57" s="1"/>
      <c r="UE57" s="1"/>
      <c r="UF57" s="1"/>
      <c r="UG57" s="1"/>
      <c r="UH57" s="1"/>
      <c r="UI57" s="1"/>
      <c r="UJ57" s="1"/>
      <c r="UK57" s="1"/>
      <c r="UL57" s="1"/>
      <c r="UM57" s="1"/>
      <c r="UN57" s="1"/>
      <c r="UO57" s="1"/>
      <c r="UP57" s="1"/>
      <c r="UQ57" s="1"/>
      <c r="UR57" s="1"/>
      <c r="US57" s="1"/>
      <c r="UT57" s="1"/>
      <c r="UU57" s="1"/>
      <c r="UV57" s="1"/>
      <c r="UW57" s="1"/>
      <c r="UX57" s="1"/>
      <c r="UY57" s="1"/>
      <c r="UZ57" s="1"/>
      <c r="VA57" s="1"/>
      <c r="VB57" s="1"/>
      <c r="VC57" s="1"/>
      <c r="VD57" s="1"/>
      <c r="VE57" s="1"/>
      <c r="VF57" s="1"/>
      <c r="VG57" s="1"/>
      <c r="VH57" s="1"/>
      <c r="VI57" s="1"/>
      <c r="VJ57" s="1"/>
      <c r="VK57" s="1"/>
      <c r="VL57" s="1"/>
      <c r="VM57" s="1"/>
      <c r="VN57" s="1"/>
      <c r="VO57" s="1"/>
      <c r="VP57" s="1"/>
      <c r="VQ57" s="1"/>
      <c r="VR57" s="1"/>
      <c r="VS57" s="1"/>
      <c r="VT57" s="1"/>
      <c r="VU57" s="1"/>
      <c r="VV57" s="1"/>
      <c r="VW57" s="1"/>
      <c r="VX57" s="1"/>
      <c r="VY57" s="1"/>
      <c r="VZ57" s="1"/>
      <c r="WA57" s="1"/>
      <c r="WB57" s="1"/>
      <c r="WC57" s="1"/>
      <c r="WD57" s="1"/>
      <c r="WE57" s="1"/>
      <c r="WF57" s="1"/>
      <c r="WG57" s="1"/>
      <c r="WH57" s="1"/>
      <c r="WI57" s="1"/>
      <c r="WJ57" s="1"/>
      <c r="WK57" s="1"/>
      <c r="WL57" s="1"/>
      <c r="WM57" s="1"/>
      <c r="WN57" s="1"/>
      <c r="WO57" s="1"/>
      <c r="WP57" s="1"/>
      <c r="WQ57" s="1"/>
      <c r="WR57" s="1"/>
      <c r="WS57" s="1"/>
      <c r="WT57" s="1"/>
      <c r="WU57" s="1"/>
      <c r="WV57" s="1"/>
      <c r="WW57" s="1"/>
      <c r="WX57" s="1"/>
      <c r="WY57" s="1"/>
      <c r="WZ57" s="1"/>
      <c r="XA57" s="1"/>
      <c r="XB57" s="1"/>
      <c r="XC57" s="1"/>
      <c r="XD57" s="1"/>
      <c r="XE57" s="1"/>
      <c r="XF57" s="1"/>
      <c r="XG57" s="1"/>
      <c r="XH57" s="1"/>
      <c r="XI57" s="1"/>
      <c r="XJ57" s="1"/>
      <c r="XK57" s="1"/>
      <c r="XL57" s="1"/>
      <c r="XM57" s="1"/>
      <c r="XN57" s="1"/>
      <c r="XO57" s="1"/>
      <c r="XP57" s="1"/>
      <c r="XQ57" s="1"/>
      <c r="XR57" s="1"/>
      <c r="XS57" s="1"/>
      <c r="XT57" s="1"/>
      <c r="XU57" s="1"/>
      <c r="XV57" s="1"/>
      <c r="XW57" s="1"/>
      <c r="XX57" s="1"/>
      <c r="XY57" s="1"/>
      <c r="XZ57" s="1"/>
      <c r="YA57" s="1"/>
      <c r="YB57" s="1"/>
      <c r="YC57" s="1"/>
      <c r="YD57" s="1"/>
      <c r="YE57" s="1"/>
      <c r="YF57" s="1"/>
      <c r="YG57" s="1"/>
      <c r="YH57" s="1"/>
      <c r="YI57" s="1"/>
      <c r="YJ57" s="1"/>
      <c r="YK57" s="1"/>
      <c r="YL57" s="1"/>
      <c r="YM57" s="1"/>
      <c r="YN57" s="1"/>
      <c r="YO57" s="1"/>
      <c r="YP57" s="1"/>
      <c r="YQ57" s="1"/>
      <c r="YR57" s="1"/>
      <c r="YS57" s="1"/>
      <c r="YT57" s="1"/>
      <c r="YU57" s="1"/>
      <c r="YV57" s="1"/>
      <c r="YW57" s="1"/>
      <c r="YX57" s="1"/>
      <c r="YY57" s="1"/>
      <c r="YZ57" s="1"/>
      <c r="ZA57" s="1"/>
      <c r="ZB57" s="1"/>
      <c r="ZC57" s="1"/>
      <c r="ZD57" s="1"/>
      <c r="ZE57" s="1"/>
      <c r="ZF57" s="1"/>
      <c r="ZG57" s="1"/>
      <c r="ZH57" s="1"/>
      <c r="ZI57" s="1"/>
      <c r="ZJ57" s="1"/>
      <c r="ZK57" s="1"/>
      <c r="ZL57" s="1"/>
      <c r="ZM57" s="1"/>
      <c r="ZN57" s="1"/>
      <c r="ZO57" s="1"/>
      <c r="ZP57" s="1"/>
      <c r="ZQ57" s="1"/>
      <c r="ZR57" s="1"/>
      <c r="ZS57" s="1"/>
      <c r="ZT57" s="1"/>
      <c r="ZU57" s="1"/>
      <c r="ZV57" s="1"/>
      <c r="ZW57" s="1"/>
      <c r="ZX57" s="1"/>
      <c r="ZY57" s="1"/>
      <c r="ZZ57" s="1"/>
      <c r="AAA57" s="1"/>
      <c r="AAB57" s="1"/>
      <c r="AAC57" s="1"/>
      <c r="AAD57" s="1"/>
      <c r="AAE57" s="1"/>
      <c r="AAF57" s="1"/>
      <c r="AAG57" s="1"/>
      <c r="AAH57" s="1"/>
      <c r="AAI57" s="1"/>
      <c r="AAJ57" s="1"/>
      <c r="AAK57" s="1"/>
      <c r="AAL57" s="1"/>
      <c r="AAM57" s="1"/>
      <c r="AAN57" s="1"/>
      <c r="AAO57" s="1"/>
      <c r="AAP57" s="1"/>
      <c r="AAQ57" s="1"/>
      <c r="AAR57" s="1"/>
      <c r="AAS57" s="1"/>
      <c r="AAT57" s="1"/>
      <c r="AAU57" s="1"/>
      <c r="AAV57" s="1"/>
      <c r="AAW57" s="1"/>
      <c r="AAX57" s="1"/>
      <c r="AAY57" s="1"/>
      <c r="AAZ57" s="1"/>
      <c r="ABA57" s="1"/>
      <c r="ABB57" s="1"/>
      <c r="ABC57" s="1"/>
      <c r="ABD57" s="1"/>
      <c r="ABE57" s="1"/>
      <c r="ABF57" s="1"/>
      <c r="ABG57" s="1"/>
      <c r="ABH57" s="1"/>
      <c r="ABI57" s="1"/>
      <c r="ABJ57" s="1"/>
      <c r="ABK57" s="1"/>
      <c r="ABL57" s="1"/>
      <c r="ABM57" s="1"/>
      <c r="ABN57" s="1"/>
      <c r="ABO57" s="1"/>
      <c r="ABP57" s="1"/>
      <c r="ABQ57" s="1"/>
      <c r="ABR57" s="1"/>
      <c r="ABS57" s="1"/>
      <c r="ABT57" s="1"/>
      <c r="ABU57" s="1"/>
      <c r="ABV57" s="1"/>
      <c r="ABW57" s="1"/>
      <c r="ABX57" s="1"/>
      <c r="ABY57" s="1"/>
      <c r="ABZ57" s="1"/>
      <c r="ACA57" s="1"/>
      <c r="ACB57" s="1"/>
      <c r="ACC57" s="1"/>
      <c r="ACD57" s="1"/>
      <c r="ACE57" s="1"/>
      <c r="ACF57" s="1"/>
      <c r="ACG57" s="1"/>
      <c r="ACH57" s="1"/>
      <c r="ACI57" s="1"/>
      <c r="ACJ57" s="1"/>
      <c r="ACK57" s="1"/>
      <c r="ACL57" s="1"/>
      <c r="ACM57" s="1"/>
      <c r="ACN57" s="1"/>
      <c r="ACO57" s="1"/>
      <c r="ACP57" s="1"/>
      <c r="ACQ57" s="1"/>
      <c r="ACR57" s="1"/>
      <c r="ACS57" s="1"/>
      <c r="ACT57" s="1"/>
      <c r="ACU57" s="1"/>
      <c r="ACV57" s="1"/>
      <c r="ACW57" s="1"/>
      <c r="ACX57" s="1"/>
      <c r="ACY57" s="1"/>
      <c r="ACZ57" s="1"/>
      <c r="ADA57" s="1"/>
      <c r="ADB57" s="1"/>
      <c r="ADC57" s="1"/>
      <c r="ADD57" s="1"/>
      <c r="ADE57" s="1"/>
      <c r="ADF57" s="1"/>
      <c r="ADG57" s="1"/>
      <c r="ADH57" s="1"/>
      <c r="ADI57" s="1"/>
      <c r="ADJ57" s="1"/>
      <c r="ADK57" s="1"/>
      <c r="ADL57" s="1"/>
      <c r="ADM57" s="1"/>
      <c r="ADN57" s="1"/>
      <c r="ADO57" s="1"/>
      <c r="ADP57" s="1"/>
      <c r="ADQ57" s="1"/>
      <c r="ADR57" s="1"/>
      <c r="ADS57" s="1"/>
      <c r="ADT57" s="1"/>
      <c r="ADU57" s="1"/>
      <c r="ADV57" s="1"/>
      <c r="ADW57" s="1"/>
      <c r="ADX57" s="1"/>
      <c r="ADY57" s="1"/>
      <c r="ADZ57" s="1"/>
      <c r="AEA57" s="1"/>
      <c r="AEB57" s="1"/>
      <c r="AEC57" s="1"/>
      <c r="AED57" s="1"/>
      <c r="AEE57" s="1"/>
      <c r="AEF57" s="1"/>
      <c r="AEG57" s="1"/>
      <c r="AEH57" s="1"/>
      <c r="AEI57" s="1"/>
      <c r="AEJ57" s="1"/>
      <c r="AEK57" s="1"/>
      <c r="AEL57" s="1"/>
      <c r="AEM57" s="1"/>
      <c r="AEN57" s="1"/>
      <c r="AEO57" s="1"/>
      <c r="AEP57" s="1"/>
      <c r="AEQ57" s="1"/>
      <c r="AER57" s="1"/>
      <c r="AES57" s="1"/>
      <c r="AET57" s="1"/>
      <c r="AEU57" s="1"/>
      <c r="AEV57" s="1"/>
      <c r="AEW57" s="1"/>
      <c r="AEX57" s="1"/>
      <c r="AEY57" s="1"/>
      <c r="AEZ57" s="1"/>
      <c r="AFA57" s="1"/>
      <c r="AFB57" s="1"/>
      <c r="AFC57" s="1"/>
      <c r="AFD57" s="1"/>
      <c r="AFE57" s="1"/>
      <c r="AFF57" s="1"/>
      <c r="AFG57" s="1"/>
      <c r="AFH57" s="1"/>
      <c r="AFI57" s="1"/>
      <c r="AFJ57" s="1"/>
      <c r="AFK57" s="1"/>
      <c r="AFL57" s="1"/>
      <c r="AFM57" s="1"/>
      <c r="AFN57" s="1"/>
      <c r="AFO57" s="1"/>
      <c r="AFP57" s="1"/>
      <c r="AFQ57" s="1"/>
      <c r="AFR57" s="1"/>
      <c r="AFS57" s="1"/>
      <c r="AFT57" s="1"/>
      <c r="AFU57" s="1"/>
      <c r="AFV57" s="1"/>
      <c r="AFW57" s="1"/>
      <c r="AFX57" s="1"/>
      <c r="AFY57" s="1"/>
      <c r="AFZ57" s="1"/>
      <c r="AGA57" s="1"/>
      <c r="AGB57" s="1"/>
      <c r="AGC57" s="1"/>
      <c r="AGD57" s="1"/>
      <c r="AGE57" s="1"/>
      <c r="AGF57" s="1"/>
      <c r="AGG57" s="1"/>
      <c r="AGH57" s="1"/>
      <c r="AGI57" s="1"/>
      <c r="AGJ57" s="1"/>
      <c r="AGK57" s="1"/>
      <c r="AGL57" s="1"/>
      <c r="AGM57" s="1"/>
      <c r="AGN57" s="1"/>
      <c r="AGO57" s="1"/>
      <c r="AGP57" s="1"/>
      <c r="AGQ57" s="1"/>
      <c r="AGR57" s="1"/>
      <c r="AGS57" s="1"/>
      <c r="AGT57" s="1"/>
      <c r="AGU57" s="1"/>
      <c r="AGV57" s="1"/>
      <c r="AGW57" s="1"/>
      <c r="AGX57" s="1"/>
      <c r="AGY57" s="1"/>
      <c r="AGZ57" s="1"/>
      <c r="AHA57" s="1"/>
      <c r="AHB57" s="1"/>
      <c r="AHC57" s="1"/>
      <c r="AHD57" s="1"/>
      <c r="AHE57" s="1"/>
      <c r="AHF57" s="1"/>
      <c r="AHG57" s="1"/>
      <c r="AHH57" s="1"/>
      <c r="AHI57" s="1"/>
      <c r="AHJ57" s="1"/>
      <c r="AHK57" s="1"/>
      <c r="AHL57" s="1"/>
      <c r="AHM57" s="1"/>
      <c r="AHN57" s="1"/>
      <c r="AHO57" s="1"/>
      <c r="AHP57" s="1"/>
      <c r="AHQ57" s="1"/>
      <c r="AHR57" s="1"/>
      <c r="AHS57" s="1"/>
      <c r="AHT57" s="1"/>
      <c r="AHU57" s="1"/>
      <c r="AHV57" s="1"/>
      <c r="AHW57" s="1"/>
      <c r="AHX57" s="1"/>
      <c r="AHY57" s="1"/>
      <c r="AHZ57" s="1"/>
      <c r="AIA57" s="1"/>
      <c r="AIB57" s="1"/>
      <c r="AIC57" s="1"/>
      <c r="AID57" s="1"/>
      <c r="AIE57" s="1"/>
      <c r="AIF57" s="1"/>
      <c r="AIG57" s="1"/>
      <c r="AIH57" s="1"/>
      <c r="AII57" s="1"/>
      <c r="AIJ57" s="1"/>
      <c r="AIK57" s="1"/>
      <c r="AIL57" s="1"/>
      <c r="AIM57" s="1"/>
      <c r="AIN57" s="1"/>
      <c r="AIO57" s="1"/>
      <c r="AIP57" s="1"/>
      <c r="AIQ57" s="1"/>
      <c r="AIR57" s="1"/>
      <c r="AIS57" s="1"/>
      <c r="AIT57" s="1"/>
      <c r="AIU57" s="1"/>
      <c r="AIV57" s="1"/>
      <c r="AIW57" s="1"/>
      <c r="AIX57" s="1"/>
      <c r="AIY57" s="1"/>
      <c r="AIZ57" s="1"/>
      <c r="AJA57" s="1"/>
      <c r="AJB57" s="1"/>
      <c r="AJC57" s="1"/>
      <c r="AJD57" s="1"/>
      <c r="AJE57" s="1"/>
      <c r="AJF57" s="1"/>
      <c r="AJG57" s="1"/>
      <c r="AJH57" s="1"/>
      <c r="AJI57" s="1"/>
      <c r="AJJ57" s="1"/>
      <c r="AJK57" s="1"/>
      <c r="AJL57" s="1"/>
      <c r="AJM57" s="1"/>
      <c r="AJN57" s="1"/>
      <c r="AJO57" s="1"/>
      <c r="AJP57" s="1"/>
      <c r="AJQ57" s="1"/>
      <c r="AJR57" s="1"/>
      <c r="AJS57" s="1"/>
      <c r="AJT57" s="1"/>
      <c r="AJU57" s="1"/>
      <c r="AJV57" s="1"/>
      <c r="AJW57" s="1"/>
      <c r="AJX57" s="1"/>
      <c r="AJY57" s="1"/>
      <c r="AJZ57" s="1"/>
      <c r="AKA57" s="1"/>
      <c r="AKB57" s="1"/>
      <c r="AKC57" s="1"/>
      <c r="AKD57" s="1"/>
      <c r="AKE57" s="1"/>
      <c r="AKF57" s="1"/>
      <c r="AKG57" s="1"/>
      <c r="AKH57" s="1"/>
      <c r="AKI57" s="1"/>
      <c r="AKJ57" s="1"/>
      <c r="AKK57" s="1"/>
      <c r="AKL57" s="1"/>
      <c r="AKM57" s="1"/>
      <c r="AKN57" s="1"/>
      <c r="AKO57" s="1"/>
      <c r="AKP57" s="1"/>
      <c r="AKQ57" s="1"/>
      <c r="AKR57" s="1"/>
      <c r="AKS57" s="1"/>
      <c r="AKT57" s="1"/>
      <c r="AKU57" s="1"/>
      <c r="AKV57" s="1"/>
      <c r="AKW57" s="1"/>
      <c r="AKX57" s="1"/>
      <c r="AKY57" s="1"/>
      <c r="AKZ57" s="1"/>
      <c r="ALA57" s="1"/>
      <c r="ALB57" s="1"/>
      <c r="ALC57" s="1"/>
      <c r="ALD57" s="1"/>
      <c r="ALE57" s="1"/>
      <c r="ALF57" s="1"/>
      <c r="ALG57" s="1"/>
      <c r="ALH57" s="1"/>
      <c r="ALI57" s="1"/>
      <c r="ALJ57" s="1"/>
      <c r="ALK57" s="1"/>
      <c r="ALL57" s="1"/>
      <c r="ALM57" s="1"/>
      <c r="ALN57" s="1"/>
      <c r="ALO57" s="1"/>
      <c r="ALP57" s="1"/>
      <c r="ALQ57" s="1"/>
      <c r="ALR57" s="1"/>
      <c r="ALS57" s="1"/>
      <c r="ALT57" s="1"/>
      <c r="ALU57" s="1"/>
      <c r="ALV57" s="1"/>
      <c r="ALW57" s="1"/>
      <c r="ALX57" s="1"/>
      <c r="ALY57" s="1"/>
      <c r="ALZ57" s="1"/>
      <c r="AMA57" s="1"/>
      <c r="AMB57" s="1"/>
      <c r="AMC57" s="1"/>
      <c r="AMD57" s="1"/>
      <c r="AME57" s="1"/>
      <c r="AMF57" s="1"/>
      <c r="AMG57" s="1"/>
      <c r="AMH57" s="1"/>
      <c r="AMI57" s="1"/>
      <c r="AMJ57" s="1"/>
      <c r="AMK57" s="1"/>
      <c r="AML57" s="1"/>
      <c r="AMM57" s="1"/>
      <c r="AMN57" s="1"/>
      <c r="AMO57" s="1"/>
      <c r="AMP57" s="1"/>
      <c r="AMQ57" s="1"/>
      <c r="AMR57" s="1"/>
      <c r="AMS57" s="1"/>
      <c r="AMT57" s="1"/>
      <c r="AMU57" s="1"/>
      <c r="AMV57" s="1"/>
      <c r="AMW57" s="1"/>
      <c r="AMX57" s="1"/>
      <c r="AMY57" s="1"/>
      <c r="AMZ57" s="1"/>
      <c r="ANA57" s="1"/>
      <c r="ANB57" s="1"/>
      <c r="ANC57" s="1"/>
      <c r="AND57" s="1"/>
      <c r="ANE57" s="1"/>
      <c r="ANF57" s="1"/>
      <c r="ANG57" s="1"/>
      <c r="ANH57" s="1"/>
      <c r="ANI57" s="1"/>
      <c r="ANJ57" s="1"/>
      <c r="ANK57" s="1"/>
      <c r="ANL57" s="1"/>
      <c r="ANM57" s="1"/>
      <c r="ANN57" s="1"/>
      <c r="ANO57" s="1"/>
      <c r="ANP57" s="1"/>
      <c r="ANQ57" s="1"/>
      <c r="ANR57" s="1"/>
      <c r="ANS57" s="1"/>
      <c r="ANT57" s="1"/>
      <c r="ANU57" s="1"/>
      <c r="ANV57" s="1"/>
      <c r="ANW57" s="1"/>
      <c r="ANX57" s="1"/>
      <c r="ANY57" s="1"/>
      <c r="ANZ57" s="1"/>
      <c r="AOA57" s="1"/>
      <c r="AOB57" s="1"/>
      <c r="AOC57" s="1"/>
      <c r="AOD57" s="1"/>
      <c r="AOE57" s="1"/>
      <c r="AOF57" s="1"/>
      <c r="AOG57" s="1"/>
      <c r="AOH57" s="1"/>
      <c r="AOI57" s="1"/>
      <c r="AOJ57" s="1"/>
      <c r="AOK57" s="1"/>
      <c r="AOL57" s="1"/>
      <c r="AOM57" s="1"/>
      <c r="AON57" s="1"/>
      <c r="AOO57" s="1"/>
      <c r="AOP57" s="1"/>
      <c r="AOQ57" s="1"/>
      <c r="AOR57" s="1"/>
      <c r="AOS57" s="1"/>
      <c r="AOT57" s="1"/>
      <c r="AOU57" s="1"/>
      <c r="AOV57" s="1"/>
      <c r="AOW57" s="1"/>
      <c r="AOX57" s="1"/>
      <c r="AOY57" s="1"/>
      <c r="AOZ57" s="1"/>
      <c r="APA57" s="1"/>
      <c r="APB57" s="1"/>
      <c r="APC57" s="1"/>
      <c r="APD57" s="1"/>
      <c r="APE57" s="1"/>
      <c r="APF57" s="1"/>
      <c r="APG57" s="1"/>
      <c r="APH57" s="1"/>
      <c r="API57" s="1"/>
      <c r="APJ57" s="1"/>
      <c r="APK57" s="1"/>
      <c r="APL57" s="1"/>
      <c r="APM57" s="1"/>
      <c r="APN57" s="1"/>
      <c r="APO57" s="1"/>
      <c r="APP57" s="1"/>
      <c r="APQ57" s="1"/>
      <c r="APR57" s="1"/>
      <c r="APS57" s="1"/>
      <c r="APT57" s="1"/>
      <c r="APU57" s="1"/>
      <c r="APV57" s="1"/>
      <c r="APW57" s="1"/>
      <c r="APX57" s="1"/>
      <c r="APY57" s="1"/>
      <c r="APZ57" s="1"/>
      <c r="AQA57" s="1"/>
      <c r="AQB57" s="1"/>
      <c r="AQC57" s="1"/>
      <c r="AQD57" s="1"/>
      <c r="AQE57" s="1"/>
      <c r="AQF57" s="1"/>
      <c r="AQG57" s="1"/>
      <c r="AQH57" s="1"/>
      <c r="AQI57" s="1"/>
      <c r="AQJ57" s="1"/>
      <c r="AQK57" s="1"/>
      <c r="AQL57" s="1"/>
      <c r="AQM57" s="1"/>
      <c r="AQN57" s="1"/>
      <c r="AQO57" s="1"/>
      <c r="AQP57" s="1"/>
      <c r="AQQ57" s="1"/>
      <c r="AQR57" s="1"/>
      <c r="AQS57" s="1"/>
      <c r="AQT57" s="1"/>
      <c r="AQU57" s="1"/>
      <c r="AQV57" s="1"/>
      <c r="AQW57" s="1"/>
      <c r="AQX57" s="1"/>
      <c r="AQY57" s="1"/>
      <c r="AQZ57" s="1"/>
      <c r="ARA57" s="1"/>
      <c r="ARB57" s="1"/>
      <c r="ARC57" s="1"/>
      <c r="ARD57" s="1"/>
      <c r="ARE57" s="1"/>
      <c r="ARF57" s="1"/>
      <c r="ARG57" s="1"/>
      <c r="ARH57" s="1"/>
      <c r="ARI57" s="1"/>
      <c r="ARJ57" s="1"/>
      <c r="ARK57" s="1"/>
      <c r="ARL57" s="1"/>
      <c r="ARM57" s="1"/>
      <c r="ARN57" s="1"/>
      <c r="ARO57" s="1"/>
      <c r="ARP57" s="1"/>
      <c r="ARQ57" s="1"/>
      <c r="ARR57" s="1"/>
      <c r="ARS57" s="1"/>
      <c r="ART57" s="1"/>
      <c r="ARU57" s="1"/>
      <c r="ARV57" s="1"/>
      <c r="ARW57" s="1"/>
      <c r="ARX57" s="1"/>
      <c r="ARY57" s="1"/>
      <c r="ARZ57" s="1"/>
      <c r="ASA57" s="1"/>
      <c r="ASB57" s="1"/>
      <c r="ASC57" s="1"/>
      <c r="ASD57" s="1"/>
      <c r="ASE57" s="1"/>
      <c r="ASF57" s="1"/>
      <c r="ASG57" s="1"/>
      <c r="ASH57" s="1"/>
      <c r="ASI57" s="1"/>
      <c r="ASJ57" s="1"/>
      <c r="ASK57" s="1"/>
      <c r="ASL57" s="1"/>
      <c r="ASM57" s="1"/>
      <c r="ASN57" s="1"/>
      <c r="ASO57" s="1"/>
      <c r="ASP57" s="1"/>
      <c r="ASQ57" s="1"/>
      <c r="ASR57" s="1"/>
      <c r="ASS57" s="1"/>
      <c r="AST57" s="1"/>
      <c r="ASU57" s="1"/>
      <c r="ASV57" s="1"/>
      <c r="ASW57" s="1"/>
      <c r="ASX57" s="1"/>
      <c r="ASY57" s="1"/>
      <c r="ASZ57" s="1"/>
      <c r="ATA57" s="1"/>
      <c r="ATB57" s="1"/>
      <c r="ATC57" s="1"/>
      <c r="ATD57" s="1"/>
      <c r="ATE57" s="1"/>
      <c r="ATF57" s="1"/>
      <c r="ATG57" s="1"/>
      <c r="ATH57" s="1"/>
      <c r="ATI57" s="1"/>
      <c r="ATJ57" s="1"/>
      <c r="ATK57" s="1"/>
      <c r="ATL57" s="1"/>
      <c r="ATM57" s="1"/>
      <c r="ATN57" s="1"/>
      <c r="ATO57" s="1"/>
      <c r="ATP57" s="1"/>
      <c r="ATQ57" s="1"/>
      <c r="ATR57" s="1"/>
      <c r="ATS57" s="1"/>
      <c r="ATT57" s="1"/>
      <c r="ATU57" s="1"/>
      <c r="ATV57" s="1"/>
      <c r="ATW57" s="1"/>
      <c r="ATX57" s="1"/>
      <c r="ATY57" s="1"/>
      <c r="ATZ57" s="1"/>
      <c r="AUA57" s="1"/>
      <c r="AUB57" s="1"/>
      <c r="AUC57" s="1"/>
      <c r="AUD57" s="1"/>
      <c r="AUE57" s="1"/>
      <c r="AUF57" s="1"/>
      <c r="AUG57" s="1"/>
      <c r="AUH57" s="1"/>
      <c r="AUI57" s="1"/>
      <c r="AUJ57" s="1"/>
      <c r="AUK57" s="1"/>
      <c r="AUL57" s="1"/>
      <c r="AUM57" s="1"/>
      <c r="AUN57" s="1"/>
      <c r="AUO57" s="1"/>
      <c r="AUP57" s="1"/>
      <c r="AUQ57" s="1"/>
      <c r="AUR57" s="1"/>
      <c r="AUS57" s="1"/>
      <c r="AUT57" s="1"/>
      <c r="AUU57" s="1"/>
      <c r="AUV57" s="1"/>
      <c r="AUW57" s="1"/>
      <c r="AUX57" s="1"/>
      <c r="AUY57" s="1"/>
      <c r="AUZ57" s="1"/>
      <c r="AVA57" s="1"/>
      <c r="AVB57" s="1"/>
      <c r="AVC57" s="1"/>
      <c r="AVD57" s="1"/>
      <c r="AVE57" s="1"/>
      <c r="AVF57" s="1"/>
      <c r="AVG57" s="1"/>
      <c r="AVH57" s="1"/>
      <c r="AVI57" s="1"/>
      <c r="AVJ57" s="1"/>
      <c r="AVK57" s="1"/>
      <c r="AVL57" s="1"/>
      <c r="AVM57" s="1"/>
      <c r="AVN57" s="1"/>
      <c r="AVO57" s="1"/>
      <c r="AVP57" s="1"/>
      <c r="AVQ57" s="1"/>
      <c r="AVR57" s="1"/>
      <c r="AVS57" s="1"/>
      <c r="AVT57" s="1"/>
      <c r="AVU57" s="1"/>
      <c r="AVV57" s="1"/>
      <c r="AVW57" s="1"/>
      <c r="AVX57" s="1"/>
      <c r="AVY57" s="1"/>
      <c r="AVZ57" s="1"/>
      <c r="AWA57" s="1"/>
      <c r="AWB57" s="1"/>
      <c r="AWC57" s="1"/>
      <c r="AWD57" s="1"/>
      <c r="AWE57" s="1"/>
      <c r="AWF57" s="1"/>
      <c r="AWG57" s="1"/>
      <c r="AWH57" s="1"/>
      <c r="AWI57" s="1"/>
      <c r="AWJ57" s="1"/>
      <c r="AWK57" s="1"/>
      <c r="AWL57" s="1"/>
      <c r="AWM57" s="1"/>
      <c r="AWN57" s="1"/>
      <c r="AWO57" s="1"/>
      <c r="AWP57" s="1"/>
      <c r="AWQ57" s="1"/>
      <c r="AWR57" s="1"/>
      <c r="AWS57" s="1"/>
      <c r="AWT57" s="1"/>
      <c r="AWU57" s="1"/>
      <c r="AWV57" s="1"/>
      <c r="AWW57" s="1"/>
      <c r="AWX57" s="1"/>
      <c r="AWY57" s="1"/>
      <c r="AWZ57" s="1"/>
      <c r="AXA57" s="1"/>
      <c r="AXB57" s="1"/>
      <c r="AXC57" s="1"/>
      <c r="AXD57" s="1"/>
      <c r="AXE57" s="1"/>
      <c r="AXF57" s="1"/>
      <c r="AXG57" s="1"/>
      <c r="AXH57" s="1"/>
      <c r="AXI57" s="1"/>
      <c r="AXJ57" s="1"/>
      <c r="AXK57" s="1"/>
      <c r="AXL57" s="1"/>
      <c r="AXM57" s="1"/>
      <c r="AXN57" s="1"/>
      <c r="AXO57" s="1"/>
      <c r="AXP57" s="1"/>
      <c r="AXQ57" s="1"/>
      <c r="AXR57" s="1"/>
      <c r="AXS57" s="1"/>
      <c r="AXT57" s="1"/>
      <c r="AXU57" s="1"/>
      <c r="AXV57" s="1"/>
      <c r="AXW57" s="1"/>
      <c r="AXX57" s="1"/>
      <c r="AXY57" s="1"/>
      <c r="AXZ57" s="1"/>
      <c r="AYA57" s="1"/>
      <c r="AYB57" s="1"/>
      <c r="AYC57" s="1"/>
      <c r="AYD57" s="1"/>
      <c r="AYE57" s="1"/>
      <c r="AYF57" s="1"/>
      <c r="AYG57" s="1"/>
      <c r="AYH57" s="1"/>
      <c r="AYI57" s="1"/>
      <c r="AYJ57" s="1"/>
      <c r="AYK57" s="1"/>
      <c r="AYL57" s="1"/>
      <c r="AYM57" s="1"/>
      <c r="AYN57" s="1"/>
      <c r="AYO57" s="1"/>
      <c r="AYP57" s="1"/>
      <c r="AYQ57" s="1"/>
      <c r="AYR57" s="1"/>
      <c r="AYS57" s="1"/>
      <c r="AYT57" s="1"/>
      <c r="AYU57" s="1"/>
      <c r="AYV57" s="1"/>
      <c r="AYW57" s="1"/>
      <c r="AYX57" s="1"/>
      <c r="AYY57" s="1"/>
      <c r="AYZ57" s="1"/>
      <c r="AZA57" s="1"/>
      <c r="AZB57" s="1"/>
      <c r="AZC57" s="1"/>
      <c r="AZD57" s="1"/>
      <c r="AZE57" s="1"/>
      <c r="AZF57" s="1"/>
      <c r="AZG57" s="1"/>
      <c r="AZH57" s="1"/>
      <c r="AZI57" s="1"/>
      <c r="AZJ57" s="1"/>
      <c r="AZK57" s="1"/>
      <c r="AZL57" s="1"/>
      <c r="AZM57" s="1"/>
      <c r="AZN57" s="1"/>
      <c r="AZO57" s="1"/>
      <c r="AZP57" s="1"/>
      <c r="AZQ57" s="1"/>
      <c r="AZR57" s="1"/>
      <c r="AZS57" s="1"/>
      <c r="AZT57" s="1"/>
      <c r="AZU57" s="1"/>
      <c r="AZV57" s="1"/>
      <c r="AZW57" s="1"/>
      <c r="AZX57" s="1"/>
      <c r="AZY57" s="1"/>
      <c r="AZZ57" s="1"/>
      <c r="BAA57" s="1"/>
      <c r="BAB57" s="1"/>
      <c r="BAC57" s="1"/>
      <c r="BAD57" s="1"/>
      <c r="BAE57" s="1"/>
      <c r="BAF57" s="1"/>
      <c r="BAG57" s="1"/>
      <c r="BAH57" s="1"/>
      <c r="BAI57" s="1"/>
      <c r="BAJ57" s="1"/>
      <c r="BAK57" s="1"/>
      <c r="BAL57" s="1"/>
      <c r="BAM57" s="1"/>
      <c r="BAN57" s="1"/>
      <c r="BAO57" s="1"/>
      <c r="BAP57" s="1"/>
      <c r="BAQ57" s="1"/>
      <c r="BAR57" s="1"/>
      <c r="BAS57" s="1"/>
      <c r="BAT57" s="1"/>
      <c r="BAU57" s="1"/>
      <c r="BAV57" s="1"/>
      <c r="BAW57" s="1"/>
      <c r="BAX57" s="1"/>
      <c r="BAY57" s="1"/>
      <c r="BAZ57" s="1"/>
      <c r="BBA57" s="1"/>
      <c r="BBB57" s="1"/>
      <c r="BBC57" s="1"/>
      <c r="BBD57" s="1"/>
      <c r="BBE57" s="1"/>
      <c r="BBF57" s="1"/>
      <c r="BBG57" s="1"/>
      <c r="BBH57" s="1"/>
      <c r="BBI57" s="1"/>
      <c r="BBJ57" s="1"/>
      <c r="BBK57" s="1"/>
      <c r="BBL57" s="1"/>
      <c r="BBM57" s="1"/>
      <c r="BBN57" s="1"/>
      <c r="BBO57" s="1"/>
      <c r="BBP57" s="1"/>
      <c r="BBQ57" s="1"/>
      <c r="BBR57" s="1"/>
      <c r="BBS57" s="1"/>
      <c r="BBT57" s="1"/>
      <c r="BBU57" s="1"/>
      <c r="BBV57" s="1"/>
      <c r="BBW57" s="1"/>
      <c r="BBX57" s="1"/>
      <c r="BBY57" s="1"/>
      <c r="BBZ57" s="1"/>
      <c r="BCA57" s="1"/>
      <c r="BCB57" s="1"/>
      <c r="BCC57" s="1"/>
      <c r="BCD57" s="1"/>
      <c r="BCE57" s="1"/>
      <c r="BCF57" s="1"/>
      <c r="BCG57" s="1"/>
      <c r="BCH57" s="1"/>
      <c r="BCI57" s="1"/>
      <c r="BCJ57" s="1"/>
      <c r="BCK57" s="1"/>
      <c r="BCL57" s="1"/>
      <c r="BCM57" s="1"/>
      <c r="BCN57" s="1"/>
      <c r="BCO57" s="1"/>
      <c r="BCP57" s="1"/>
      <c r="BCQ57" s="1"/>
      <c r="BCR57" s="1"/>
      <c r="BCS57" s="1"/>
      <c r="BCT57" s="1"/>
      <c r="BCU57" s="1"/>
      <c r="BCV57" s="1"/>
      <c r="BCW57" s="1"/>
      <c r="BCX57" s="1"/>
      <c r="BCY57" s="1"/>
      <c r="BCZ57" s="1"/>
      <c r="BDA57" s="1"/>
      <c r="BDB57" s="1"/>
      <c r="BDC57" s="1"/>
      <c r="BDD57" s="1"/>
      <c r="BDE57" s="1"/>
      <c r="BDF57" s="1"/>
      <c r="BDG57" s="1"/>
      <c r="BDH57" s="1"/>
      <c r="BDI57" s="1"/>
      <c r="BDJ57" s="1"/>
      <c r="BDK57" s="1"/>
      <c r="BDL57" s="1"/>
      <c r="BDM57" s="1"/>
      <c r="BDN57" s="1"/>
      <c r="BDO57" s="1"/>
      <c r="BDP57" s="1"/>
      <c r="BDQ57" s="1"/>
      <c r="BDR57" s="1"/>
      <c r="BDS57" s="1"/>
      <c r="BDT57" s="1"/>
      <c r="BDU57" s="1"/>
      <c r="BDV57" s="1"/>
      <c r="BDW57" s="1"/>
      <c r="BDX57" s="1"/>
      <c r="BDY57" s="1"/>
      <c r="BDZ57" s="1"/>
      <c r="BEA57" s="1"/>
      <c r="BEB57" s="1"/>
      <c r="BEC57" s="1"/>
      <c r="BED57" s="1"/>
      <c r="BEE57" s="1"/>
      <c r="BEF57" s="1"/>
      <c r="BEG57" s="1"/>
      <c r="BEH57" s="1"/>
      <c r="BEI57" s="1"/>
      <c r="BEJ57" s="1"/>
      <c r="BEK57" s="1"/>
      <c r="BEL57" s="1"/>
      <c r="BEM57" s="1"/>
      <c r="BEN57" s="1"/>
      <c r="BEO57" s="1"/>
      <c r="BEP57" s="1"/>
      <c r="BEQ57" s="1"/>
      <c r="BER57" s="1"/>
      <c r="BES57" s="1"/>
      <c r="BET57" s="1"/>
      <c r="BEU57" s="1"/>
      <c r="BEV57" s="1"/>
      <c r="BEW57" s="1"/>
      <c r="BEX57" s="1"/>
      <c r="BEY57" s="1"/>
      <c r="BEZ57" s="1"/>
      <c r="BFA57" s="1"/>
      <c r="BFB57" s="1"/>
      <c r="BFC57" s="1"/>
      <c r="BFD57" s="1"/>
      <c r="BFE57" s="1"/>
      <c r="BFF57" s="1"/>
      <c r="BFG57" s="1"/>
      <c r="BFH57" s="1"/>
      <c r="BFI57" s="1"/>
      <c r="BFJ57" s="1"/>
      <c r="BFK57" s="1"/>
      <c r="BFL57" s="1"/>
      <c r="BFM57" s="1"/>
      <c r="BFN57" s="1"/>
      <c r="BFO57" s="1"/>
      <c r="BFP57" s="1"/>
      <c r="BFQ57" s="1"/>
      <c r="BFR57" s="1"/>
      <c r="BFS57" s="1"/>
      <c r="BFT57" s="1"/>
      <c r="BFU57" s="1"/>
      <c r="BFV57" s="1"/>
      <c r="BFW57" s="1"/>
      <c r="BFX57" s="1"/>
      <c r="BFY57" s="1"/>
      <c r="BFZ57" s="1"/>
      <c r="BGA57" s="1"/>
      <c r="BGB57" s="1"/>
      <c r="BGC57" s="1"/>
      <c r="BGD57" s="1"/>
      <c r="BGE57" s="1"/>
      <c r="BGF57" s="1"/>
      <c r="BGG57" s="1"/>
      <c r="BGH57" s="1"/>
      <c r="BGI57" s="1"/>
      <c r="BGJ57" s="1"/>
      <c r="BGK57" s="1"/>
      <c r="BGL57" s="1"/>
      <c r="BGM57" s="1"/>
      <c r="BGN57" s="1"/>
      <c r="BGO57" s="1"/>
      <c r="BGP57" s="1"/>
      <c r="BGQ57" s="1"/>
      <c r="BGR57" s="1"/>
      <c r="BGS57" s="1"/>
      <c r="BGT57" s="1"/>
      <c r="BGU57" s="1"/>
      <c r="BGV57" s="1"/>
      <c r="BGW57" s="1"/>
      <c r="BGX57" s="1"/>
      <c r="BGY57" s="1"/>
      <c r="BGZ57" s="1"/>
      <c r="BHA57" s="1"/>
    </row>
    <row r="58" spans="1:1561" ht="30" customHeight="1" x14ac:dyDescent="0.2">
      <c r="A58" s="2209"/>
      <c r="B58" s="737" t="s">
        <v>1074</v>
      </c>
      <c r="C58" s="772">
        <v>185000</v>
      </c>
      <c r="D58" s="772">
        <f>185000+214600</f>
        <v>399600</v>
      </c>
      <c r="E58" s="968"/>
      <c r="F58" s="968"/>
      <c r="G58" s="2200"/>
      <c r="H58" s="2200"/>
      <c r="I58" s="2201"/>
      <c r="J58" s="29">
        <v>310350</v>
      </c>
    </row>
    <row r="59" spans="1:1561" ht="30" customHeight="1" x14ac:dyDescent="0.2">
      <c r="A59" s="2209"/>
      <c r="B59" s="737" t="s">
        <v>1076</v>
      </c>
      <c r="C59" s="767">
        <v>7000</v>
      </c>
      <c r="D59" s="767">
        <v>7000</v>
      </c>
      <c r="E59" s="968"/>
      <c r="F59" s="968"/>
      <c r="G59" s="2200"/>
      <c r="H59" s="2200"/>
      <c r="I59" s="2201"/>
      <c r="J59" s="29">
        <v>11700</v>
      </c>
    </row>
    <row r="60" spans="1:1561" ht="30" customHeight="1" x14ac:dyDescent="0.2">
      <c r="A60" s="2199">
        <v>1385</v>
      </c>
      <c r="B60" s="717" t="s">
        <v>3168</v>
      </c>
      <c r="C60" s="1690">
        <v>0</v>
      </c>
      <c r="D60" s="1690">
        <v>500461.39</v>
      </c>
      <c r="E60" s="746"/>
      <c r="F60" s="2211"/>
      <c r="G60" s="1663"/>
      <c r="H60" s="1663"/>
      <c r="I60" s="1662"/>
      <c r="J60" s="29">
        <v>6000000</v>
      </c>
    </row>
    <row r="61" spans="1:1561" ht="30" customHeight="1" x14ac:dyDescent="0.2">
      <c r="A61" s="2199">
        <v>1386</v>
      </c>
      <c r="B61" s="717" t="s">
        <v>2128</v>
      </c>
      <c r="C61" s="1666">
        <v>3200000</v>
      </c>
      <c r="D61" s="1666">
        <f>3200000+1300000</f>
        <v>4500000</v>
      </c>
      <c r="E61" s="746"/>
      <c r="F61" s="2212"/>
      <c r="G61" s="1663"/>
      <c r="H61" s="1663"/>
      <c r="I61" s="1662"/>
      <c r="J61" s="29">
        <v>2641146.7000000002</v>
      </c>
    </row>
    <row r="62" spans="1:1561" ht="30" customHeight="1" x14ac:dyDescent="0.2">
      <c r="A62" s="2199">
        <v>1387</v>
      </c>
      <c r="B62" s="717" t="s">
        <v>1084</v>
      </c>
      <c r="C62" s="746">
        <f>3700000+1600000</f>
        <v>5300000</v>
      </c>
      <c r="D62" s="746">
        <f>3700000+1600000+650000</f>
        <v>5950000</v>
      </c>
      <c r="E62" s="746"/>
      <c r="F62" s="2213"/>
      <c r="G62" s="1663"/>
      <c r="H62" s="1663"/>
      <c r="I62" s="1662"/>
      <c r="J62" s="29">
        <v>4218074.7</v>
      </c>
    </row>
    <row r="63" spans="1:1561" s="98" customFormat="1" ht="30" customHeight="1" x14ac:dyDescent="0.2">
      <c r="A63" s="2199">
        <v>1511</v>
      </c>
      <c r="B63" s="717" t="s">
        <v>1087</v>
      </c>
      <c r="C63" s="734">
        <v>36541566</v>
      </c>
      <c r="D63" s="734">
        <v>36541566</v>
      </c>
      <c r="E63" s="783"/>
      <c r="F63" s="2213"/>
      <c r="G63" s="1663"/>
      <c r="H63" s="1663"/>
      <c r="I63" s="1662"/>
      <c r="J63" s="29">
        <v>22498311.84</v>
      </c>
    </row>
    <row r="64" spans="1:1561" s="98" customFormat="1" ht="30" customHeight="1" x14ac:dyDescent="0.2">
      <c r="A64" s="2214"/>
      <c r="B64" s="757"/>
      <c r="C64" s="1694"/>
      <c r="D64" s="1694"/>
      <c r="E64" s="869"/>
      <c r="F64" s="2215"/>
      <c r="G64" s="2200"/>
      <c r="H64" s="2200"/>
      <c r="I64" s="1662"/>
      <c r="J64" s="29"/>
    </row>
    <row r="65" spans="1:10" s="98" customFormat="1" ht="30" customHeight="1" x14ac:dyDescent="0.25">
      <c r="A65" s="2216"/>
      <c r="B65" s="2217" t="s">
        <v>10</v>
      </c>
      <c r="C65" s="1696">
        <f>SUM(C66,C77:C81,C93:C95,C112:C112,C128:C131,C149:C150)</f>
        <v>172178289.50999999</v>
      </c>
      <c r="D65" s="1696">
        <f>SUM(D66,D77:D81,D93:D95,D112:D112,D128:D131,D149:D150)</f>
        <v>175650933.67000002</v>
      </c>
      <c r="E65" s="593"/>
      <c r="F65" s="2218"/>
      <c r="G65" s="1654"/>
      <c r="H65" s="1654"/>
      <c r="I65" s="1654"/>
      <c r="J65" s="29">
        <v>290543202.69</v>
      </c>
    </row>
    <row r="66" spans="1:10" s="98" customFormat="1" ht="30" customHeight="1" x14ac:dyDescent="0.2">
      <c r="A66" s="2219">
        <v>2111</v>
      </c>
      <c r="B66" s="1698" t="s">
        <v>1088</v>
      </c>
      <c r="C66" s="1700">
        <f>SUM(C67:C76)</f>
        <v>18422000</v>
      </c>
      <c r="D66" s="1700">
        <f>SUM(D67:D76)</f>
        <v>20132434</v>
      </c>
      <c r="E66" s="844"/>
      <c r="F66" s="2220"/>
      <c r="G66" s="1663"/>
      <c r="H66" s="1663"/>
      <c r="I66" s="1662"/>
      <c r="J66" s="29">
        <v>22469478.949999999</v>
      </c>
    </row>
    <row r="67" spans="1:10" ht="30" customHeight="1" x14ac:dyDescent="0.2">
      <c r="A67" s="2221"/>
      <c r="B67" s="776" t="s">
        <v>1090</v>
      </c>
      <c r="C67" s="1706">
        <v>800000</v>
      </c>
      <c r="D67" s="1706">
        <v>800000</v>
      </c>
      <c r="E67" s="767"/>
      <c r="F67" s="854"/>
      <c r="G67" s="2200"/>
      <c r="H67" s="2200"/>
      <c r="I67" s="2201"/>
      <c r="J67" s="29">
        <v>855249.74</v>
      </c>
    </row>
    <row r="68" spans="1:10" s="29" customFormat="1" ht="30" customHeight="1" x14ac:dyDescent="0.2">
      <c r="A68" s="2222"/>
      <c r="B68" s="1710" t="s">
        <v>1091</v>
      </c>
      <c r="C68" s="1711">
        <v>1340000</v>
      </c>
      <c r="D68" s="1711">
        <v>1340000</v>
      </c>
      <c r="E68" s="767"/>
      <c r="F68" s="854"/>
      <c r="G68" s="2200"/>
      <c r="H68" s="2200"/>
      <c r="I68" s="2201"/>
      <c r="J68" s="29">
        <v>1501529.5</v>
      </c>
    </row>
    <row r="69" spans="1:10" ht="30" customHeight="1" x14ac:dyDescent="0.2">
      <c r="A69" s="2223"/>
      <c r="B69" s="776" t="s">
        <v>1092</v>
      </c>
      <c r="C69" s="1714">
        <v>0</v>
      </c>
      <c r="D69" s="1714">
        <f>10000+10000</f>
        <v>20000</v>
      </c>
      <c r="E69" s="767"/>
      <c r="F69" s="1682"/>
      <c r="G69" s="2200"/>
      <c r="H69" s="2200"/>
      <c r="I69" s="2201"/>
      <c r="J69" s="29">
        <v>23500</v>
      </c>
    </row>
    <row r="70" spans="1:10" ht="30" customHeight="1" x14ac:dyDescent="0.2">
      <c r="A70" s="2223"/>
      <c r="B70" s="776" t="s">
        <v>1094</v>
      </c>
      <c r="C70" s="1893">
        <v>7120000</v>
      </c>
      <c r="D70" s="1893">
        <v>7120000</v>
      </c>
      <c r="E70" s="738"/>
      <c r="F70" s="1077"/>
      <c r="G70" s="2200"/>
      <c r="H70" s="2200"/>
      <c r="I70" s="2201"/>
      <c r="J70" s="29">
        <v>10015475.33</v>
      </c>
    </row>
    <row r="71" spans="1:10" ht="30" customHeight="1" x14ac:dyDescent="0.2">
      <c r="A71" s="2223"/>
      <c r="B71" s="776" t="s">
        <v>1095</v>
      </c>
      <c r="C71" s="1893">
        <v>1961000</v>
      </c>
      <c r="D71" s="1893">
        <v>1961000</v>
      </c>
      <c r="E71" s="738"/>
      <c r="F71" s="1077"/>
      <c r="G71" s="2200"/>
      <c r="H71" s="2200"/>
      <c r="I71" s="2201"/>
      <c r="J71" s="29">
        <v>2320641.83</v>
      </c>
    </row>
    <row r="72" spans="1:10" ht="30" customHeight="1" x14ac:dyDescent="0.2">
      <c r="A72" s="2223"/>
      <c r="B72" s="776" t="s">
        <v>1096</v>
      </c>
      <c r="C72" s="1893">
        <v>2940000</v>
      </c>
      <c r="D72" s="1893">
        <v>2940000</v>
      </c>
      <c r="E72" s="738"/>
      <c r="F72" s="1077"/>
      <c r="G72" s="2200"/>
      <c r="H72" s="2200"/>
      <c r="I72" s="2201"/>
      <c r="J72" s="29">
        <v>1982632.55</v>
      </c>
    </row>
    <row r="73" spans="1:10" ht="30" customHeight="1" x14ac:dyDescent="0.2">
      <c r="A73" s="2223"/>
      <c r="B73" s="776" t="s">
        <v>1171</v>
      </c>
      <c r="C73" s="1893">
        <v>0</v>
      </c>
      <c r="D73" s="1893">
        <f>1690434</f>
        <v>1690434</v>
      </c>
      <c r="E73" s="738"/>
      <c r="F73" s="1077"/>
      <c r="G73" s="2200"/>
      <c r="H73" s="2200"/>
      <c r="I73" s="2201"/>
      <c r="J73" s="29">
        <v>1516816</v>
      </c>
    </row>
    <row r="74" spans="1:10" ht="30" customHeight="1" x14ac:dyDescent="0.2">
      <c r="A74" s="2223"/>
      <c r="B74" s="776" t="s">
        <v>1097</v>
      </c>
      <c r="C74" s="1893">
        <v>4200000</v>
      </c>
      <c r="D74" s="1893">
        <v>4200000</v>
      </c>
      <c r="E74" s="738"/>
      <c r="F74" s="1077"/>
      <c r="G74" s="2200"/>
      <c r="H74" s="2200"/>
      <c r="I74" s="2201"/>
      <c r="J74" s="29">
        <v>4189057</v>
      </c>
    </row>
    <row r="75" spans="1:10" ht="30" customHeight="1" x14ac:dyDescent="0.2">
      <c r="A75" s="2223"/>
      <c r="B75" s="776" t="s">
        <v>1098</v>
      </c>
      <c r="C75" s="2224">
        <v>60000</v>
      </c>
      <c r="D75" s="2224">
        <v>60000</v>
      </c>
      <c r="E75" s="738"/>
      <c r="F75" s="1077"/>
      <c r="G75" s="2200"/>
      <c r="H75" s="2200"/>
      <c r="I75" s="2201"/>
      <c r="J75" s="29">
        <v>63000</v>
      </c>
    </row>
    <row r="76" spans="1:10" ht="30" customHeight="1" x14ac:dyDescent="0.2">
      <c r="A76" s="2223"/>
      <c r="B76" s="776" t="s">
        <v>1099</v>
      </c>
      <c r="C76" s="2225">
        <v>1000</v>
      </c>
      <c r="D76" s="2225">
        <v>1000</v>
      </c>
      <c r="E76" s="738"/>
      <c r="F76" s="742"/>
      <c r="G76" s="2200"/>
      <c r="H76" s="2200"/>
      <c r="I76" s="2201"/>
      <c r="J76" s="29">
        <v>917</v>
      </c>
    </row>
    <row r="77" spans="1:10" s="98" customFormat="1" ht="30" customHeight="1" x14ac:dyDescent="0.2">
      <c r="A77" s="2221">
        <v>2119</v>
      </c>
      <c r="B77" s="2226" t="s">
        <v>2131</v>
      </c>
      <c r="C77" s="2227">
        <v>1500000</v>
      </c>
      <c r="D77" s="2227">
        <f>1500000-1000000</f>
        <v>500000</v>
      </c>
      <c r="E77" s="726"/>
      <c r="F77" s="750"/>
      <c r="G77" s="1663"/>
      <c r="H77" s="1663"/>
      <c r="I77" s="1662"/>
      <c r="J77" s="29">
        <v>278721.08</v>
      </c>
    </row>
    <row r="78" spans="1:10" s="98" customFormat="1" ht="30" customHeight="1" x14ac:dyDescent="0.2">
      <c r="A78" s="2221">
        <v>2122</v>
      </c>
      <c r="B78" s="771" t="s">
        <v>2132</v>
      </c>
      <c r="C78" s="2228">
        <v>4810518</v>
      </c>
      <c r="D78" s="2228">
        <f>4810518+99036+145092-10990+(545328.75+160990)+54671.25+51162+13641</f>
        <v>5869449</v>
      </c>
      <c r="E78" s="2229"/>
      <c r="F78" s="2230"/>
      <c r="G78" s="1663"/>
      <c r="H78" s="1663"/>
      <c r="I78" s="1662"/>
      <c r="J78" s="29">
        <v>6392568.0599999996</v>
      </c>
    </row>
    <row r="79" spans="1:10" s="98" customFormat="1" ht="30" customHeight="1" x14ac:dyDescent="0.2">
      <c r="A79" s="771">
        <v>2123</v>
      </c>
      <c r="B79" s="787" t="s">
        <v>3169</v>
      </c>
      <c r="C79" s="1724">
        <v>0</v>
      </c>
      <c r="D79" s="1724">
        <v>52000</v>
      </c>
      <c r="E79" s="2229"/>
      <c r="F79" s="2230"/>
      <c r="G79" s="719"/>
      <c r="H79" s="2577"/>
      <c r="I79" s="2578"/>
      <c r="J79" s="29">
        <v>88500</v>
      </c>
    </row>
    <row r="80" spans="1:10" s="98" customFormat="1" ht="30" customHeight="1" x14ac:dyDescent="0.2">
      <c r="A80" s="2221">
        <v>2131</v>
      </c>
      <c r="B80" s="2226" t="s">
        <v>1102</v>
      </c>
      <c r="C80" s="2227">
        <v>1000000</v>
      </c>
      <c r="D80" s="2227">
        <v>1000000</v>
      </c>
      <c r="E80" s="726"/>
      <c r="F80" s="750"/>
      <c r="G80" s="1663"/>
      <c r="H80" s="1663"/>
      <c r="I80" s="1662"/>
      <c r="J80" s="29">
        <v>1603325.72</v>
      </c>
    </row>
    <row r="81" spans="1:10" s="98" customFormat="1" ht="30" customHeight="1" x14ac:dyDescent="0.2">
      <c r="A81" s="2221">
        <v>2132</v>
      </c>
      <c r="B81" s="771" t="s">
        <v>2133</v>
      </c>
      <c r="C81" s="755">
        <f>SUM(C82:C92)</f>
        <v>109394000</v>
      </c>
      <c r="D81" s="755">
        <f>SUM(D82:D92)</f>
        <v>109394000</v>
      </c>
      <c r="E81" s="726"/>
      <c r="F81" s="750"/>
      <c r="G81" s="1663"/>
      <c r="H81" s="1663"/>
      <c r="I81" s="1662"/>
      <c r="J81" s="29">
        <v>117486796.47</v>
      </c>
    </row>
    <row r="82" spans="1:10" ht="30" customHeight="1" x14ac:dyDescent="0.2">
      <c r="A82" s="2223"/>
      <c r="B82" s="776" t="s">
        <v>1104</v>
      </c>
      <c r="C82" s="2231">
        <v>810000</v>
      </c>
      <c r="D82" s="2231">
        <v>810000</v>
      </c>
      <c r="E82" s="750"/>
      <c r="F82" s="750"/>
      <c r="G82" s="2200"/>
      <c r="H82" s="2200"/>
      <c r="I82" s="2201"/>
      <c r="J82" s="29">
        <v>875364</v>
      </c>
    </row>
    <row r="83" spans="1:10" ht="30" customHeight="1" x14ac:dyDescent="0.2">
      <c r="A83" s="2223"/>
      <c r="B83" s="776" t="s">
        <v>1105</v>
      </c>
      <c r="C83" s="1702">
        <v>7000</v>
      </c>
      <c r="D83" s="1702">
        <v>7000</v>
      </c>
      <c r="E83" s="750"/>
      <c r="F83" s="750"/>
      <c r="G83" s="2200"/>
      <c r="H83" s="2200"/>
      <c r="I83" s="2201"/>
      <c r="J83" s="29">
        <v>20078</v>
      </c>
    </row>
    <row r="84" spans="1:10" ht="30" customHeight="1" x14ac:dyDescent="0.2">
      <c r="A84" s="2223"/>
      <c r="B84" s="776" t="s">
        <v>1106</v>
      </c>
      <c r="C84" s="1702">
        <v>600000</v>
      </c>
      <c r="D84" s="1702">
        <v>600000</v>
      </c>
      <c r="E84" s="750"/>
      <c r="F84" s="750"/>
      <c r="G84" s="2200"/>
      <c r="H84" s="2200"/>
      <c r="I84" s="2201"/>
      <c r="J84" s="29">
        <v>1149333.1000000001</v>
      </c>
    </row>
    <row r="85" spans="1:10" ht="30" customHeight="1" x14ac:dyDescent="0.2">
      <c r="A85" s="2223"/>
      <c r="B85" s="776" t="s">
        <v>1107</v>
      </c>
      <c r="C85" s="1893">
        <v>350000</v>
      </c>
      <c r="D85" s="1893">
        <v>350000</v>
      </c>
      <c r="E85" s="738"/>
      <c r="F85" s="1045"/>
      <c r="G85" s="2200"/>
      <c r="H85" s="2200"/>
      <c r="I85" s="2201"/>
      <c r="J85" s="29">
        <v>345109.16</v>
      </c>
    </row>
    <row r="86" spans="1:10" ht="30" customHeight="1" x14ac:dyDescent="0.2">
      <c r="A86" s="2223"/>
      <c r="B86" s="2232" t="s">
        <v>1108</v>
      </c>
      <c r="C86" s="1893">
        <v>77480000</v>
      </c>
      <c r="D86" s="1893">
        <v>77480000</v>
      </c>
      <c r="E86" s="738"/>
      <c r="F86" s="1077"/>
      <c r="G86" s="2200"/>
      <c r="H86" s="2200"/>
      <c r="I86" s="2201"/>
      <c r="J86" s="29">
        <v>82521332.579999998</v>
      </c>
    </row>
    <row r="87" spans="1:10" ht="30" customHeight="1" x14ac:dyDescent="0.2">
      <c r="A87" s="2223"/>
      <c r="B87" s="2232" t="s">
        <v>1109</v>
      </c>
      <c r="C87" s="2225">
        <v>121000</v>
      </c>
      <c r="D87" s="2225">
        <v>121000</v>
      </c>
      <c r="E87" s="738"/>
      <c r="F87" s="742"/>
      <c r="G87" s="2200"/>
      <c r="H87" s="2200"/>
      <c r="I87" s="2201"/>
      <c r="J87" s="29">
        <v>127330.69</v>
      </c>
    </row>
    <row r="88" spans="1:10" ht="30" customHeight="1" x14ac:dyDescent="0.2">
      <c r="A88" s="2223"/>
      <c r="B88" s="2233" t="s">
        <v>2135</v>
      </c>
      <c r="C88" s="2234">
        <v>17481000</v>
      </c>
      <c r="D88" s="2234">
        <v>17481000</v>
      </c>
      <c r="E88" s="738"/>
      <c r="F88" s="2235"/>
      <c r="G88" s="2200"/>
      <c r="H88" s="2200"/>
      <c r="I88" s="2201"/>
      <c r="J88" s="1866">
        <v>20077884.649999999</v>
      </c>
    </row>
    <row r="89" spans="1:10" ht="30" customHeight="1" x14ac:dyDescent="0.2">
      <c r="A89" s="2223"/>
      <c r="B89" s="776" t="s">
        <v>1112</v>
      </c>
      <c r="C89" s="1893">
        <v>12000000</v>
      </c>
      <c r="D89" s="1893">
        <v>12000000</v>
      </c>
      <c r="E89" s="738"/>
      <c r="F89" s="1946"/>
      <c r="G89" s="2200"/>
      <c r="H89" s="2200"/>
      <c r="I89" s="2201"/>
      <c r="J89" s="29">
        <v>11789333</v>
      </c>
    </row>
    <row r="90" spans="1:10" ht="30" customHeight="1" x14ac:dyDescent="0.2">
      <c r="A90" s="2223"/>
      <c r="B90" s="776" t="s">
        <v>2136</v>
      </c>
      <c r="C90" s="2224">
        <v>500000</v>
      </c>
      <c r="D90" s="2224">
        <v>500000</v>
      </c>
      <c r="E90" s="738"/>
      <c r="F90" s="1946"/>
      <c r="G90" s="2200"/>
      <c r="H90" s="2200"/>
      <c r="I90" s="2201"/>
      <c r="J90" s="29">
        <v>391845.17</v>
      </c>
    </row>
    <row r="91" spans="1:10" ht="30" customHeight="1" x14ac:dyDescent="0.2">
      <c r="A91" s="2223"/>
      <c r="B91" s="776" t="s">
        <v>1113</v>
      </c>
      <c r="C91" s="2224">
        <v>20000</v>
      </c>
      <c r="D91" s="2224">
        <v>20000</v>
      </c>
      <c r="E91" s="738"/>
      <c r="F91" s="740"/>
      <c r="G91" s="2200"/>
      <c r="H91" s="2200"/>
      <c r="I91" s="2201"/>
      <c r="J91" s="29">
        <v>27100</v>
      </c>
    </row>
    <row r="92" spans="1:10" ht="30" customHeight="1" x14ac:dyDescent="0.2">
      <c r="A92" s="2236"/>
      <c r="B92" s="790" t="s">
        <v>2137</v>
      </c>
      <c r="C92" s="1717">
        <v>25000</v>
      </c>
      <c r="D92" s="1717">
        <v>25000</v>
      </c>
      <c r="E92" s="767"/>
      <c r="F92" s="1681"/>
      <c r="G92" s="2200"/>
      <c r="H92" s="2200"/>
      <c r="I92" s="2201"/>
      <c r="J92" s="29">
        <v>36038</v>
      </c>
    </row>
    <row r="93" spans="1:10" s="98" customFormat="1" ht="30" customHeight="1" x14ac:dyDescent="0.2">
      <c r="A93" s="2237">
        <v>2141</v>
      </c>
      <c r="B93" s="791" t="s">
        <v>118</v>
      </c>
      <c r="C93" s="1689">
        <v>2000000</v>
      </c>
      <c r="D93" s="1689">
        <f>2000000+300000+335000+10000+1213288.24+230000</f>
        <v>4088288.24</v>
      </c>
      <c r="E93" s="746"/>
      <c r="F93" s="1681"/>
      <c r="G93" s="1663"/>
      <c r="H93" s="1663"/>
      <c r="I93" s="1662"/>
      <c r="J93" s="29">
        <v>2789316.83</v>
      </c>
    </row>
    <row r="94" spans="1:10" s="98" customFormat="1" ht="30" customHeight="1" x14ac:dyDescent="0.2">
      <c r="A94" s="2237">
        <v>2149</v>
      </c>
      <c r="B94" s="791" t="s">
        <v>2604</v>
      </c>
      <c r="C94" s="1689">
        <v>0</v>
      </c>
      <c r="D94" s="1689">
        <f>1700000+106250</f>
        <v>1806250</v>
      </c>
      <c r="E94" s="746"/>
      <c r="F94" s="1681"/>
      <c r="G94" s="1663"/>
      <c r="H94" s="1663"/>
      <c r="I94" s="1662"/>
      <c r="J94" s="29">
        <v>0</v>
      </c>
    </row>
    <row r="95" spans="1:10" s="98" customFormat="1" ht="30" customHeight="1" x14ac:dyDescent="0.2">
      <c r="A95" s="2237">
        <v>2212</v>
      </c>
      <c r="B95" s="791" t="s">
        <v>2138</v>
      </c>
      <c r="C95" s="783">
        <f>SUM(C96:C111)</f>
        <v>18832000</v>
      </c>
      <c r="D95" s="783">
        <f>SUM(D96:D111)</f>
        <v>20879538.219999999</v>
      </c>
      <c r="E95" s="734"/>
      <c r="F95" s="772"/>
      <c r="G95" s="1663"/>
      <c r="H95" s="1663"/>
      <c r="I95" s="1662"/>
      <c r="J95" s="29">
        <v>21738246.41</v>
      </c>
    </row>
    <row r="96" spans="1:10" ht="30" customHeight="1" x14ac:dyDescent="0.2">
      <c r="A96" s="2238"/>
      <c r="B96" s="790" t="s">
        <v>1117</v>
      </c>
      <c r="C96" s="1711">
        <v>20000</v>
      </c>
      <c r="D96" s="1711">
        <v>20000</v>
      </c>
      <c r="E96" s="767"/>
      <c r="F96" s="1681"/>
      <c r="G96" s="2200"/>
      <c r="H96" s="2200"/>
      <c r="I96" s="2201"/>
      <c r="J96" s="29">
        <v>20000</v>
      </c>
    </row>
    <row r="97" spans="1:10" ht="30" customHeight="1" x14ac:dyDescent="0.2">
      <c r="A97" s="2223"/>
      <c r="B97" s="776" t="s">
        <v>121</v>
      </c>
      <c r="C97" s="2225">
        <v>50000</v>
      </c>
      <c r="D97" s="2225">
        <v>50000</v>
      </c>
      <c r="E97" s="738"/>
      <c r="F97" s="742"/>
      <c r="G97" s="2200"/>
      <c r="H97" s="2200"/>
      <c r="I97" s="2201"/>
      <c r="J97" s="29">
        <v>61400</v>
      </c>
    </row>
    <row r="98" spans="1:10" ht="30" customHeight="1" x14ac:dyDescent="0.2">
      <c r="A98" s="2223"/>
      <c r="B98" s="776" t="s">
        <v>3049</v>
      </c>
      <c r="C98" s="2239">
        <v>0</v>
      </c>
      <c r="D98" s="2239">
        <f>10000+69477.18+234649.25+(-234649.25-41297.2-15590-12589.98)</f>
        <v>10000</v>
      </c>
      <c r="E98" s="1316"/>
      <c r="F98" s="1316"/>
      <c r="G98" s="2200"/>
      <c r="H98" s="2200"/>
      <c r="I98" s="2201"/>
      <c r="J98" s="29">
        <v>0</v>
      </c>
    </row>
    <row r="99" spans="1:10" ht="30" customHeight="1" x14ac:dyDescent="0.2">
      <c r="A99" s="2223"/>
      <c r="B99" s="776" t="s">
        <v>1119</v>
      </c>
      <c r="C99" s="2240">
        <v>2500000</v>
      </c>
      <c r="D99" s="2240">
        <v>2500000</v>
      </c>
      <c r="E99" s="2241"/>
      <c r="F99" s="2150"/>
      <c r="G99" s="2200"/>
      <c r="H99" s="2200"/>
      <c r="I99" s="2201"/>
      <c r="J99" s="29">
        <v>2475942.41</v>
      </c>
    </row>
    <row r="100" spans="1:10" ht="30" customHeight="1" x14ac:dyDescent="0.2">
      <c r="A100" s="2236"/>
      <c r="B100" s="790" t="s">
        <v>2140</v>
      </c>
      <c r="C100" s="1711">
        <v>15000000</v>
      </c>
      <c r="D100" s="1711">
        <v>15000000</v>
      </c>
      <c r="E100" s="793"/>
      <c r="F100" s="1681"/>
      <c r="G100" s="2200"/>
      <c r="H100" s="2200"/>
      <c r="I100" s="2201"/>
      <c r="J100" s="29">
        <v>16598394.039999999</v>
      </c>
    </row>
    <row r="101" spans="1:10" ht="30" customHeight="1" x14ac:dyDescent="0.2">
      <c r="A101" s="2223"/>
      <c r="B101" s="1034" t="s">
        <v>1121</v>
      </c>
      <c r="C101" s="1893">
        <v>150000</v>
      </c>
      <c r="D101" s="1893">
        <v>150000</v>
      </c>
      <c r="E101" s="2241"/>
      <c r="F101" s="740"/>
      <c r="G101" s="2200"/>
      <c r="H101" s="2200"/>
      <c r="I101" s="2201"/>
      <c r="J101" s="29">
        <v>39500</v>
      </c>
    </row>
    <row r="102" spans="1:10" ht="30" customHeight="1" x14ac:dyDescent="0.2">
      <c r="A102" s="2223"/>
      <c r="B102" s="776" t="s">
        <v>3170</v>
      </c>
      <c r="C102" s="1893">
        <v>0</v>
      </c>
      <c r="D102" s="1893">
        <f>139959.54-139959.54</f>
        <v>0</v>
      </c>
      <c r="E102" s="738"/>
      <c r="F102" s="740"/>
      <c r="G102" s="2200"/>
      <c r="H102" s="2200"/>
      <c r="I102" s="2201"/>
      <c r="J102" s="29">
        <v>0</v>
      </c>
    </row>
    <row r="103" spans="1:10" ht="30" customHeight="1" x14ac:dyDescent="0.2">
      <c r="A103" s="2223"/>
      <c r="B103" s="776" t="s">
        <v>3171</v>
      </c>
      <c r="C103" s="1893">
        <v>0</v>
      </c>
      <c r="D103" s="1893">
        <f>465000+671703.9+(-671703.9-465000)</f>
        <v>0</v>
      </c>
      <c r="E103" s="738"/>
      <c r="F103" s="740"/>
      <c r="G103" s="2200"/>
      <c r="H103" s="2200"/>
      <c r="I103" s="2201"/>
      <c r="J103" s="29">
        <v>0</v>
      </c>
    </row>
    <row r="104" spans="1:10" ht="30" customHeight="1" x14ac:dyDescent="0.2">
      <c r="A104" s="2223"/>
      <c r="B104" s="776" t="s">
        <v>3051</v>
      </c>
      <c r="C104" s="1893">
        <v>50000</v>
      </c>
      <c r="D104" s="1893">
        <f>50000+5747.5</f>
        <v>55747.5</v>
      </c>
      <c r="E104" s="738"/>
      <c r="F104" s="740"/>
      <c r="G104" s="2200"/>
      <c r="H104" s="2200"/>
      <c r="I104" s="2201"/>
      <c r="J104" s="29">
        <v>1000</v>
      </c>
    </row>
    <row r="105" spans="1:10" ht="30" customHeight="1" x14ac:dyDescent="0.2">
      <c r="A105" s="2223"/>
      <c r="B105" s="776" t="s">
        <v>1123</v>
      </c>
      <c r="C105" s="1893">
        <v>50000</v>
      </c>
      <c r="D105" s="1893">
        <v>50000</v>
      </c>
      <c r="E105" s="738"/>
      <c r="F105" s="740"/>
      <c r="G105" s="2200"/>
      <c r="H105" s="2200"/>
      <c r="I105" s="2201"/>
      <c r="J105" s="29">
        <v>0</v>
      </c>
    </row>
    <row r="106" spans="1:10" ht="30" customHeight="1" x14ac:dyDescent="0.2">
      <c r="A106" s="2223"/>
      <c r="B106" s="776" t="s">
        <v>3172</v>
      </c>
      <c r="C106" s="1893">
        <v>0</v>
      </c>
      <c r="D106" s="1893">
        <f>50000-50000</f>
        <v>0</v>
      </c>
      <c r="E106" s="738"/>
      <c r="F106" s="740"/>
      <c r="G106" s="2200"/>
      <c r="H106" s="2200"/>
      <c r="I106" s="2201"/>
      <c r="J106" s="29">
        <v>0</v>
      </c>
    </row>
    <row r="107" spans="1:10" ht="30" customHeight="1" x14ac:dyDescent="0.2">
      <c r="A107" s="2223"/>
      <c r="B107" s="776" t="s">
        <v>1124</v>
      </c>
      <c r="C107" s="1893">
        <v>650000</v>
      </c>
      <c r="D107" s="1893">
        <v>650000</v>
      </c>
      <c r="E107" s="738"/>
      <c r="F107" s="740"/>
      <c r="G107" s="2200"/>
      <c r="H107" s="2200"/>
      <c r="I107" s="2201"/>
      <c r="J107" s="29">
        <v>750269.47</v>
      </c>
    </row>
    <row r="108" spans="1:10" ht="30" customHeight="1" x14ac:dyDescent="0.2">
      <c r="A108" s="2223"/>
      <c r="B108" s="776" t="s">
        <v>1125</v>
      </c>
      <c r="C108" s="2225">
        <v>350000</v>
      </c>
      <c r="D108" s="2225">
        <v>350000</v>
      </c>
      <c r="E108" s="738"/>
      <c r="F108" s="742"/>
      <c r="G108" s="2200"/>
      <c r="H108" s="2200"/>
      <c r="I108" s="2201"/>
      <c r="J108" s="29">
        <v>349432.77</v>
      </c>
    </row>
    <row r="109" spans="1:10" ht="30" customHeight="1" x14ac:dyDescent="0.2">
      <c r="A109" s="2242"/>
      <c r="B109" s="776" t="s">
        <v>2142</v>
      </c>
      <c r="C109" s="1448">
        <v>12000</v>
      </c>
      <c r="D109" s="1448">
        <v>12000</v>
      </c>
      <c r="E109" s="750"/>
      <c r="F109" s="750"/>
      <c r="G109" s="2200"/>
      <c r="H109" s="2200"/>
      <c r="I109" s="2201"/>
      <c r="J109" s="29">
        <v>14050</v>
      </c>
    </row>
    <row r="110" spans="1:10" ht="30" customHeight="1" x14ac:dyDescent="0.2">
      <c r="A110" s="2242"/>
      <c r="B110" s="776" t="s">
        <v>2143</v>
      </c>
      <c r="C110" s="1702">
        <v>0</v>
      </c>
      <c r="D110" s="1702">
        <v>0</v>
      </c>
      <c r="E110" s="738"/>
      <c r="F110" s="738"/>
      <c r="G110" s="2200"/>
      <c r="H110" s="2200"/>
      <c r="I110" s="2201"/>
      <c r="J110" s="29">
        <v>97800</v>
      </c>
    </row>
    <row r="111" spans="1:10" ht="30" customHeight="1" x14ac:dyDescent="0.2">
      <c r="A111" s="2242"/>
      <c r="B111" s="776" t="s">
        <v>3055</v>
      </c>
      <c r="C111" s="1702">
        <v>0</v>
      </c>
      <c r="D111" s="1702">
        <f>(139959.54+671703.9+382500+465000+234649.25+41297.2+15590+50000+12589.98+18500.85)</f>
        <v>2031790.72</v>
      </c>
      <c r="E111" s="738"/>
      <c r="F111" s="738"/>
      <c r="G111" s="2200"/>
      <c r="H111" s="2200"/>
      <c r="I111" s="2201"/>
      <c r="J111" s="29">
        <v>1099458.78</v>
      </c>
    </row>
    <row r="112" spans="1:10" ht="30" customHeight="1" x14ac:dyDescent="0.2">
      <c r="A112" s="2221">
        <v>2229</v>
      </c>
      <c r="B112" s="771" t="s">
        <v>2144</v>
      </c>
      <c r="C112" s="755">
        <f>SUM(C113:C124)</f>
        <v>0</v>
      </c>
      <c r="D112" s="755">
        <f>SUM(D113:D128)</f>
        <v>6300306.21</v>
      </c>
      <c r="E112" s="726"/>
      <c r="F112" s="1710"/>
      <c r="G112" s="1663"/>
      <c r="H112" s="1663"/>
      <c r="I112" s="1662"/>
      <c r="J112" s="29">
        <v>9238459.3399999999</v>
      </c>
    </row>
    <row r="113" spans="1:10" s="2" customFormat="1" ht="30" customHeight="1" x14ac:dyDescent="0.2">
      <c r="A113" s="2243"/>
      <c r="B113" s="1034" t="s">
        <v>2609</v>
      </c>
      <c r="C113" s="2244">
        <v>0</v>
      </c>
      <c r="D113" s="2244">
        <v>700000</v>
      </c>
      <c r="E113" s="738"/>
      <c r="F113" s="738"/>
      <c r="G113" s="2200"/>
      <c r="H113" s="2200"/>
      <c r="I113" s="2201"/>
      <c r="J113" s="88">
        <v>1600000</v>
      </c>
    </row>
    <row r="114" spans="1:10" s="2" customFormat="1" ht="30" customHeight="1" x14ac:dyDescent="0.2">
      <c r="A114" s="2243"/>
      <c r="B114" s="1034" t="s">
        <v>2610</v>
      </c>
      <c r="C114" s="2245">
        <v>0</v>
      </c>
      <c r="D114" s="2245">
        <v>463363</v>
      </c>
      <c r="E114" s="738"/>
      <c r="F114" s="738"/>
      <c r="G114" s="2200"/>
      <c r="H114" s="2200"/>
      <c r="I114" s="2201"/>
      <c r="J114" s="88">
        <v>0</v>
      </c>
    </row>
    <row r="115" spans="1:10" ht="30" customHeight="1" x14ac:dyDescent="0.2">
      <c r="A115" s="2223"/>
      <c r="B115" s="776" t="s">
        <v>2611</v>
      </c>
      <c r="C115" s="1893">
        <v>0</v>
      </c>
      <c r="D115" s="1893">
        <f>62538.16</f>
        <v>62538.16</v>
      </c>
      <c r="E115" s="738"/>
      <c r="F115" s="738"/>
      <c r="G115" s="2200"/>
      <c r="H115" s="2200"/>
      <c r="I115" s="2201"/>
      <c r="J115" s="29">
        <v>302785.09999999998</v>
      </c>
    </row>
    <row r="116" spans="1:10" ht="30" customHeight="1" x14ac:dyDescent="0.2">
      <c r="A116" s="2223"/>
      <c r="B116" s="776" t="s">
        <v>2612</v>
      </c>
      <c r="C116" s="1893">
        <v>0</v>
      </c>
      <c r="D116" s="1893">
        <v>129480.7</v>
      </c>
      <c r="E116" s="738"/>
      <c r="F116" s="738"/>
      <c r="G116" s="2200"/>
      <c r="H116" s="2200"/>
      <c r="I116" s="2201"/>
      <c r="J116" s="29">
        <v>0</v>
      </c>
    </row>
    <row r="117" spans="1:10" ht="30" customHeight="1" x14ac:dyDescent="0.2">
      <c r="A117" s="2223"/>
      <c r="B117" s="776" t="s">
        <v>3173</v>
      </c>
      <c r="C117" s="1893">
        <v>0</v>
      </c>
      <c r="D117" s="1893">
        <f>(252863.08+834018.92)</f>
        <v>1086882</v>
      </c>
      <c r="E117" s="738"/>
      <c r="F117" s="738"/>
      <c r="G117" s="2200"/>
      <c r="H117" s="2200"/>
      <c r="I117" s="2201"/>
      <c r="J117" s="29">
        <v>0</v>
      </c>
    </row>
    <row r="118" spans="1:10" ht="30" customHeight="1" x14ac:dyDescent="0.2">
      <c r="A118" s="2223"/>
      <c r="B118" s="776" t="s">
        <v>3057</v>
      </c>
      <c r="C118" s="1893">
        <v>0</v>
      </c>
      <c r="D118" s="1893">
        <f>(6450.7+58056.3)</f>
        <v>64507</v>
      </c>
      <c r="E118" s="738"/>
      <c r="F118" s="738"/>
      <c r="G118" s="2200"/>
      <c r="H118" s="2200"/>
      <c r="I118" s="2201"/>
      <c r="J118" s="29">
        <v>0</v>
      </c>
    </row>
    <row r="119" spans="1:10" ht="30" customHeight="1" x14ac:dyDescent="0.2">
      <c r="A119" s="2223"/>
      <c r="B119" s="776" t="s">
        <v>2613</v>
      </c>
      <c r="C119" s="2224">
        <v>0</v>
      </c>
      <c r="D119" s="2224">
        <v>169544.53</v>
      </c>
      <c r="E119" s="738"/>
      <c r="F119" s="738"/>
      <c r="G119" s="2200"/>
      <c r="H119" s="2200"/>
      <c r="I119" s="2201"/>
      <c r="J119" s="29">
        <v>236709.36</v>
      </c>
    </row>
    <row r="120" spans="1:10" ht="30" customHeight="1" x14ac:dyDescent="0.2">
      <c r="A120" s="2223"/>
      <c r="B120" s="776" t="s">
        <v>2614</v>
      </c>
      <c r="C120" s="2224">
        <v>0</v>
      </c>
      <c r="D120" s="2224">
        <v>70270.33</v>
      </c>
      <c r="E120" s="738"/>
      <c r="F120" s="738"/>
      <c r="G120" s="2200"/>
      <c r="H120" s="2200"/>
      <c r="I120" s="2201"/>
      <c r="J120" s="29">
        <v>159713.54999999999</v>
      </c>
    </row>
    <row r="121" spans="1:10" ht="30" customHeight="1" x14ac:dyDescent="0.2">
      <c r="A121" s="2223"/>
      <c r="B121" s="776" t="s">
        <v>2615</v>
      </c>
      <c r="C121" s="2224">
        <v>0</v>
      </c>
      <c r="D121" s="2224">
        <v>2743942.28</v>
      </c>
      <c r="E121" s="738"/>
      <c r="F121" s="738"/>
      <c r="G121" s="2200"/>
      <c r="H121" s="2200"/>
      <c r="I121" s="2201"/>
      <c r="J121" s="29">
        <v>4226272.84</v>
      </c>
    </row>
    <row r="122" spans="1:10" ht="30" customHeight="1" x14ac:dyDescent="0.2">
      <c r="A122" s="2223"/>
      <c r="B122" s="776" t="s">
        <v>2616</v>
      </c>
      <c r="C122" s="2224">
        <v>0</v>
      </c>
      <c r="D122" s="2224">
        <f>(37912.8+6500+455819.41)+30000</f>
        <v>530232.21</v>
      </c>
      <c r="E122" s="738"/>
      <c r="F122" s="1946"/>
      <c r="G122" s="2200"/>
      <c r="H122" s="2200"/>
      <c r="I122" s="2201"/>
      <c r="J122" s="29">
        <v>1279850</v>
      </c>
    </row>
    <row r="123" spans="1:10" ht="30" customHeight="1" x14ac:dyDescent="0.2">
      <c r="A123" s="2223"/>
      <c r="B123" s="776" t="s">
        <v>2617</v>
      </c>
      <c r="C123" s="2224">
        <v>0</v>
      </c>
      <c r="D123" s="2224">
        <f>23725+4745+40000+10000+10000+17245+60000</f>
        <v>165715</v>
      </c>
      <c r="E123" s="738"/>
      <c r="F123" s="1946"/>
      <c r="G123" s="2200"/>
      <c r="H123" s="2200"/>
      <c r="I123" s="2201"/>
      <c r="J123" s="29">
        <v>25251</v>
      </c>
    </row>
    <row r="124" spans="1:10" s="2" customFormat="1" ht="30" customHeight="1" x14ac:dyDescent="0.2">
      <c r="A124" s="2243"/>
      <c r="B124" s="2246" t="s">
        <v>2618</v>
      </c>
      <c r="C124" s="2247">
        <v>0</v>
      </c>
      <c r="D124" s="2247">
        <v>0</v>
      </c>
      <c r="E124" s="1040"/>
      <c r="F124" s="1077"/>
      <c r="G124" s="2200"/>
      <c r="H124" s="2200"/>
      <c r="I124" s="2201"/>
      <c r="J124" s="88">
        <v>0</v>
      </c>
    </row>
    <row r="125" spans="1:10" s="2" customFormat="1" ht="30" customHeight="1" x14ac:dyDescent="0.2">
      <c r="A125" s="2243"/>
      <c r="B125" s="1751" t="s">
        <v>2619</v>
      </c>
      <c r="C125" s="2248">
        <v>0</v>
      </c>
      <c r="D125" s="2248">
        <f>(913.14+3011.86)</f>
        <v>3925</v>
      </c>
      <c r="E125" s="2248"/>
      <c r="F125" s="2248"/>
      <c r="G125" s="2200"/>
      <c r="H125" s="2200"/>
      <c r="I125" s="2201"/>
      <c r="J125" s="88">
        <v>0</v>
      </c>
    </row>
    <row r="126" spans="1:10" s="2" customFormat="1" ht="30" customHeight="1" x14ac:dyDescent="0.2">
      <c r="A126" s="2243"/>
      <c r="B126" s="1751" t="s">
        <v>3174</v>
      </c>
      <c r="C126" s="2248">
        <v>0</v>
      </c>
      <c r="D126" s="2248">
        <f>(24701.86+81474.14)</f>
        <v>106176</v>
      </c>
      <c r="E126" s="2248"/>
      <c r="F126" s="2248"/>
      <c r="G126" s="2200"/>
      <c r="H126" s="2200"/>
      <c r="I126" s="2201"/>
      <c r="J126" s="88">
        <v>0</v>
      </c>
    </row>
    <row r="127" spans="1:10" s="2" customFormat="1" ht="30" customHeight="1" x14ac:dyDescent="0.2">
      <c r="A127" s="2243"/>
      <c r="B127" s="1751" t="s">
        <v>2620</v>
      </c>
      <c r="C127" s="2248">
        <v>0</v>
      </c>
      <c r="D127" s="2248">
        <v>3730</v>
      </c>
      <c r="E127" s="2248"/>
      <c r="F127" s="2249"/>
      <c r="G127" s="2200"/>
      <c r="H127" s="2200"/>
      <c r="I127" s="2201"/>
      <c r="J127" s="88">
        <v>0</v>
      </c>
    </row>
    <row r="128" spans="1:10" ht="30" customHeight="1" x14ac:dyDescent="0.2">
      <c r="A128" s="2221">
        <v>2310</v>
      </c>
      <c r="B128" s="1701" t="s">
        <v>2157</v>
      </c>
      <c r="C128" s="2250">
        <v>0</v>
      </c>
      <c r="D128" s="2250">
        <v>0</v>
      </c>
      <c r="E128" s="2251"/>
      <c r="F128" s="2032"/>
      <c r="G128" s="1663"/>
      <c r="H128" s="1663"/>
      <c r="I128" s="1662"/>
      <c r="J128" s="29">
        <v>6675</v>
      </c>
    </row>
    <row r="129" spans="1:10" ht="30" customHeight="1" x14ac:dyDescent="0.2">
      <c r="A129" s="2221">
        <v>2321</v>
      </c>
      <c r="B129" s="771" t="s">
        <v>2158</v>
      </c>
      <c r="C129" s="2250">
        <v>100000</v>
      </c>
      <c r="D129" s="2250">
        <f>100000+10000+150000-10000+30000</f>
        <v>280000</v>
      </c>
      <c r="E129" s="2251"/>
      <c r="F129" s="2252"/>
      <c r="G129" s="1663"/>
      <c r="H129" s="1663"/>
      <c r="I129" s="1662"/>
      <c r="J129" s="29">
        <v>105000</v>
      </c>
    </row>
    <row r="130" spans="1:10" ht="30" customHeight="1" x14ac:dyDescent="0.2">
      <c r="A130" s="2221">
        <v>2322</v>
      </c>
      <c r="B130" s="771" t="s">
        <v>2159</v>
      </c>
      <c r="C130" s="2228">
        <f>50000+50000</f>
        <v>100000</v>
      </c>
      <c r="D130" s="2228">
        <f>(50000+50000)+240187+155473</f>
        <v>495660</v>
      </c>
      <c r="E130" s="731"/>
      <c r="F130" s="1234"/>
      <c r="G130" s="1663"/>
      <c r="H130" s="1663"/>
      <c r="I130" s="1662"/>
      <c r="J130" s="29">
        <v>1110514</v>
      </c>
    </row>
    <row r="131" spans="1:10" s="98" customFormat="1" ht="30" customHeight="1" x14ac:dyDescent="0.2">
      <c r="A131" s="2221">
        <v>2324</v>
      </c>
      <c r="B131" s="771" t="s">
        <v>2160</v>
      </c>
      <c r="C131" s="755">
        <f>SUM(C132:C148)</f>
        <v>3572000</v>
      </c>
      <c r="D131" s="755">
        <f>SUM(D132:D148)</f>
        <v>3587000</v>
      </c>
      <c r="E131" s="726"/>
      <c r="F131" s="750"/>
      <c r="G131" s="1663"/>
      <c r="H131" s="1663"/>
      <c r="I131" s="1662"/>
      <c r="J131" s="29">
        <v>7994381.25</v>
      </c>
    </row>
    <row r="132" spans="1:10" s="98" customFormat="1" ht="30" customHeight="1" x14ac:dyDescent="0.2">
      <c r="A132" s="2204"/>
      <c r="B132" s="1034" t="s">
        <v>2622</v>
      </c>
      <c r="C132" s="2247">
        <v>0</v>
      </c>
      <c r="D132" s="2247">
        <v>0</v>
      </c>
      <c r="E132" s="738"/>
      <c r="F132" s="1864"/>
      <c r="G132" s="2200"/>
      <c r="H132" s="2200"/>
      <c r="I132" s="2201"/>
      <c r="J132" s="29">
        <v>0</v>
      </c>
    </row>
    <row r="133" spans="1:10" s="98" customFormat="1" ht="30" customHeight="1" x14ac:dyDescent="0.2">
      <c r="A133" s="2204"/>
      <c r="B133" s="1034" t="s">
        <v>1146</v>
      </c>
      <c r="C133" s="2247">
        <v>12000</v>
      </c>
      <c r="D133" s="2247">
        <v>12000</v>
      </c>
      <c r="E133" s="738"/>
      <c r="F133" s="1864"/>
      <c r="G133" s="2200"/>
      <c r="H133" s="2200"/>
      <c r="I133" s="2201"/>
      <c r="J133" s="29">
        <v>5188.8</v>
      </c>
    </row>
    <row r="134" spans="1:10" s="98" customFormat="1" ht="30" customHeight="1" x14ac:dyDescent="0.2">
      <c r="A134" s="2221"/>
      <c r="B134" s="1034" t="s">
        <v>1148</v>
      </c>
      <c r="C134" s="1702">
        <v>30000</v>
      </c>
      <c r="D134" s="1702">
        <v>30000</v>
      </c>
      <c r="E134" s="738"/>
      <c r="F134" s="738"/>
      <c r="G134" s="2200"/>
      <c r="H134" s="2200"/>
      <c r="I134" s="2201"/>
      <c r="J134" s="29">
        <v>34500</v>
      </c>
    </row>
    <row r="135" spans="1:10" s="98" customFormat="1" ht="30" customHeight="1" x14ac:dyDescent="0.2">
      <c r="A135" s="2221"/>
      <c r="B135" s="1034" t="s">
        <v>2161</v>
      </c>
      <c r="C135" s="2247">
        <v>0</v>
      </c>
      <c r="D135" s="2247">
        <v>15000</v>
      </c>
      <c r="E135" s="738"/>
      <c r="F135" s="1864"/>
      <c r="G135" s="2200"/>
      <c r="H135" s="2200"/>
      <c r="I135" s="2201"/>
      <c r="J135" s="29">
        <v>1000</v>
      </c>
    </row>
    <row r="136" spans="1:10" s="98" customFormat="1" ht="30" customHeight="1" x14ac:dyDescent="0.2">
      <c r="A136" s="2221"/>
      <c r="B136" s="1034" t="s">
        <v>1149</v>
      </c>
      <c r="C136" s="2247">
        <v>100000</v>
      </c>
      <c r="D136" s="2247">
        <v>100000</v>
      </c>
      <c r="E136" s="738"/>
      <c r="F136" s="1864"/>
      <c r="G136" s="2200"/>
      <c r="H136" s="2200"/>
      <c r="I136" s="2201"/>
      <c r="J136" s="29">
        <v>148172.59</v>
      </c>
    </row>
    <row r="137" spans="1:10" s="98" customFormat="1" ht="30" customHeight="1" x14ac:dyDescent="0.2">
      <c r="A137" s="2221"/>
      <c r="B137" s="1034" t="s">
        <v>2623</v>
      </c>
      <c r="C137" s="1893">
        <v>0</v>
      </c>
      <c r="D137" s="1893">
        <v>0</v>
      </c>
      <c r="E137" s="738"/>
      <c r="F137" s="1864"/>
      <c r="G137" s="2200"/>
      <c r="H137" s="2200"/>
      <c r="I137" s="2201"/>
      <c r="J137" s="29">
        <v>0</v>
      </c>
    </row>
    <row r="138" spans="1:10" s="98" customFormat="1" ht="30" customHeight="1" x14ac:dyDescent="0.2">
      <c r="A138" s="2221"/>
      <c r="B138" s="1034" t="s">
        <v>1150</v>
      </c>
      <c r="C138" s="1893">
        <v>300000</v>
      </c>
      <c r="D138" s="1893">
        <v>300000</v>
      </c>
      <c r="E138" s="738"/>
      <c r="F138" s="1864"/>
      <c r="G138" s="2200"/>
      <c r="H138" s="2200"/>
      <c r="I138" s="2201"/>
      <c r="J138" s="29">
        <v>726480.46</v>
      </c>
    </row>
    <row r="139" spans="1:10" s="98" customFormat="1" ht="30" customHeight="1" x14ac:dyDescent="0.2">
      <c r="A139" s="2221"/>
      <c r="B139" s="1034" t="s">
        <v>1151</v>
      </c>
      <c r="C139" s="2253">
        <v>15000</v>
      </c>
      <c r="D139" s="2253">
        <v>15000</v>
      </c>
      <c r="E139" s="738"/>
      <c r="F139" s="1234"/>
      <c r="G139" s="2200"/>
      <c r="H139" s="2200"/>
      <c r="I139" s="2201"/>
      <c r="J139" s="29">
        <v>62320.63</v>
      </c>
    </row>
    <row r="140" spans="1:10" s="98" customFormat="1" ht="30" customHeight="1" x14ac:dyDescent="0.2">
      <c r="A140" s="2221"/>
      <c r="B140" s="1034" t="s">
        <v>2162</v>
      </c>
      <c r="C140" s="2231">
        <v>0</v>
      </c>
      <c r="D140" s="2231">
        <v>0</v>
      </c>
      <c r="E140" s="2254"/>
      <c r="F140" s="2255"/>
      <c r="G140" s="2200"/>
      <c r="H140" s="2200"/>
      <c r="I140" s="2201"/>
      <c r="J140" s="29">
        <v>0</v>
      </c>
    </row>
    <row r="141" spans="1:10" s="98" customFormat="1" ht="30" customHeight="1" x14ac:dyDescent="0.2">
      <c r="A141" s="2221"/>
      <c r="B141" s="1034" t="s">
        <v>2624</v>
      </c>
      <c r="C141" s="2244">
        <v>0</v>
      </c>
      <c r="D141" s="2244">
        <v>0</v>
      </c>
      <c r="E141" s="738"/>
      <c r="F141" s="1232"/>
      <c r="G141" s="2200"/>
      <c r="H141" s="2200"/>
      <c r="I141" s="2201"/>
      <c r="J141" s="29">
        <v>0</v>
      </c>
    </row>
    <row r="142" spans="1:10" ht="30" customHeight="1" x14ac:dyDescent="0.2">
      <c r="A142" s="2256"/>
      <c r="B142" s="2257" t="s">
        <v>1154</v>
      </c>
      <c r="C142" s="2247">
        <v>2000</v>
      </c>
      <c r="D142" s="2247">
        <v>2000</v>
      </c>
      <c r="E142" s="738"/>
      <c r="F142" s="1864"/>
      <c r="G142" s="2200"/>
      <c r="H142" s="2200"/>
      <c r="I142" s="2201"/>
      <c r="J142" s="29">
        <v>664</v>
      </c>
    </row>
    <row r="143" spans="1:10" s="158" customFormat="1" ht="30" customHeight="1" x14ac:dyDescent="0.2">
      <c r="A143" s="2236"/>
      <c r="B143" s="790" t="s">
        <v>2164</v>
      </c>
      <c r="C143" s="1770">
        <v>3000000</v>
      </c>
      <c r="D143" s="1770">
        <v>3000000</v>
      </c>
      <c r="E143" s="767"/>
      <c r="F143" s="854"/>
      <c r="G143" s="2200"/>
      <c r="H143" s="2200"/>
      <c r="I143" s="2201"/>
      <c r="J143" s="1866">
        <v>6563919.1699999999</v>
      </c>
    </row>
    <row r="144" spans="1:10" s="158" customFormat="1" ht="30" customHeight="1" x14ac:dyDescent="0.2">
      <c r="A144" s="2236"/>
      <c r="B144" s="790" t="s">
        <v>1157</v>
      </c>
      <c r="C144" s="1770">
        <v>0</v>
      </c>
      <c r="D144" s="1770">
        <v>0</v>
      </c>
      <c r="E144" s="767"/>
      <c r="F144" s="854"/>
      <c r="G144" s="2200"/>
      <c r="H144" s="2200"/>
      <c r="I144" s="2201"/>
      <c r="J144" s="1866">
        <v>16394</v>
      </c>
    </row>
    <row r="145" spans="1:10" s="158" customFormat="1" ht="30" customHeight="1" x14ac:dyDescent="0.2">
      <c r="A145" s="2236"/>
      <c r="B145" s="790" t="s">
        <v>1158</v>
      </c>
      <c r="C145" s="1770">
        <v>3000</v>
      </c>
      <c r="D145" s="1770">
        <v>3000</v>
      </c>
      <c r="E145" s="767"/>
      <c r="F145" s="854"/>
      <c r="G145" s="2200"/>
      <c r="H145" s="2200"/>
      <c r="I145" s="2201"/>
      <c r="J145" s="1866">
        <v>3775</v>
      </c>
    </row>
    <row r="146" spans="1:10" s="158" customFormat="1" ht="30" customHeight="1" x14ac:dyDescent="0.2">
      <c r="A146" s="2223"/>
      <c r="B146" s="776" t="s">
        <v>1159</v>
      </c>
      <c r="C146" s="2258">
        <v>60000</v>
      </c>
      <c r="D146" s="2258">
        <v>60000</v>
      </c>
      <c r="E146" s="738"/>
      <c r="F146" s="1077"/>
      <c r="G146" s="2200"/>
      <c r="H146" s="2200"/>
      <c r="I146" s="2201"/>
      <c r="J146" s="1866">
        <v>59023.97</v>
      </c>
    </row>
    <row r="147" spans="1:10" s="158" customFormat="1" ht="30" customHeight="1" x14ac:dyDescent="0.2">
      <c r="A147" s="2223"/>
      <c r="B147" s="776" t="s">
        <v>1160</v>
      </c>
      <c r="C147" s="2258">
        <v>0</v>
      </c>
      <c r="D147" s="2258">
        <v>0</v>
      </c>
      <c r="E147" s="738"/>
      <c r="F147" s="1077"/>
      <c r="G147" s="2200"/>
      <c r="H147" s="2200"/>
      <c r="I147" s="2201"/>
      <c r="J147" s="1866">
        <v>12108.27</v>
      </c>
    </row>
    <row r="148" spans="1:10" s="158" customFormat="1" ht="30" customHeight="1" x14ac:dyDescent="0.2">
      <c r="A148" s="2204"/>
      <c r="B148" s="776" t="s">
        <v>1162</v>
      </c>
      <c r="C148" s="2259">
        <v>50000</v>
      </c>
      <c r="D148" s="2259">
        <v>50000</v>
      </c>
      <c r="E148" s="738"/>
      <c r="F148" s="1077"/>
      <c r="G148" s="2200"/>
      <c r="H148" s="2200"/>
      <c r="I148" s="2201"/>
      <c r="J148" s="1866">
        <v>61324.480000000003</v>
      </c>
    </row>
    <row r="149" spans="1:10" s="158" customFormat="1" ht="30" customHeight="1" x14ac:dyDescent="0.2">
      <c r="A149" s="2199">
        <v>2328</v>
      </c>
      <c r="B149" s="2226" t="s">
        <v>1167</v>
      </c>
      <c r="C149" s="1956">
        <v>0</v>
      </c>
      <c r="D149" s="1956">
        <v>0</v>
      </c>
      <c r="E149" s="726"/>
      <c r="F149" s="750"/>
      <c r="G149" s="1663"/>
      <c r="H149" s="1663"/>
      <c r="I149" s="1662"/>
      <c r="J149" s="1866">
        <v>14919.83</v>
      </c>
    </row>
    <row r="150" spans="1:10" s="98" customFormat="1" ht="30" customHeight="1" x14ac:dyDescent="0.2">
      <c r="A150" s="2221">
        <v>2329</v>
      </c>
      <c r="B150" s="771" t="s">
        <v>164</v>
      </c>
      <c r="C150" s="755">
        <f>SUM(C151:C165)</f>
        <v>12447771.50999999</v>
      </c>
      <c r="D150" s="755">
        <f>SUM(D151:D165)</f>
        <v>1266007.9999999907</v>
      </c>
      <c r="E150" s="726"/>
      <c r="F150" s="750"/>
      <c r="G150" s="1663"/>
      <c r="H150" s="1663"/>
      <c r="I150" s="1662"/>
      <c r="J150" s="29">
        <v>99226299.75</v>
      </c>
    </row>
    <row r="151" spans="1:10" s="98" customFormat="1" ht="30" customHeight="1" x14ac:dyDescent="0.2">
      <c r="A151" s="2221"/>
      <c r="B151" s="1034" t="s">
        <v>1168</v>
      </c>
      <c r="C151" s="2253">
        <v>200000</v>
      </c>
      <c r="D151" s="2253">
        <f>200000-200000</f>
        <v>0</v>
      </c>
      <c r="E151" s="738"/>
      <c r="F151" s="1234"/>
      <c r="G151" s="2200"/>
      <c r="H151" s="2200"/>
      <c r="I151" s="2201"/>
      <c r="J151" s="29">
        <v>0</v>
      </c>
    </row>
    <row r="152" spans="1:10" ht="30" customHeight="1" x14ac:dyDescent="0.2">
      <c r="A152" s="2223"/>
      <c r="B152" s="776" t="s">
        <v>1169</v>
      </c>
      <c r="C152" s="1702">
        <v>5000</v>
      </c>
      <c r="D152" s="1702">
        <v>5000</v>
      </c>
      <c r="E152" s="2254"/>
      <c r="F152" s="2255"/>
      <c r="G152" s="2200"/>
      <c r="H152" s="2200"/>
      <c r="I152" s="2201"/>
      <c r="J152" s="29">
        <v>0</v>
      </c>
    </row>
    <row r="153" spans="1:10" ht="30" customHeight="1" x14ac:dyDescent="0.2">
      <c r="A153" s="2223"/>
      <c r="B153" s="776" t="s">
        <v>2166</v>
      </c>
      <c r="C153" s="2244">
        <v>280000</v>
      </c>
      <c r="D153" s="2244">
        <v>280000</v>
      </c>
      <c r="E153" s="738"/>
      <c r="F153" s="1232"/>
      <c r="G153" s="2200"/>
      <c r="H153" s="2200"/>
      <c r="I153" s="2201"/>
      <c r="J153" s="29">
        <v>294500</v>
      </c>
    </row>
    <row r="154" spans="1:10" ht="30" customHeight="1" x14ac:dyDescent="0.2">
      <c r="A154" s="2223"/>
      <c r="B154" s="776" t="s">
        <v>1170</v>
      </c>
      <c r="C154" s="2247">
        <v>500000</v>
      </c>
      <c r="D154" s="2247">
        <v>500000</v>
      </c>
      <c r="E154" s="738"/>
      <c r="F154" s="1864"/>
      <c r="G154" s="2200"/>
      <c r="H154" s="2200"/>
      <c r="I154" s="2201"/>
      <c r="J154" s="29">
        <v>833347.09</v>
      </c>
    </row>
    <row r="155" spans="1:10" ht="30" customHeight="1" x14ac:dyDescent="0.2">
      <c r="A155" s="2223"/>
      <c r="B155" s="776" t="s">
        <v>2167</v>
      </c>
      <c r="C155" s="2245">
        <v>220000</v>
      </c>
      <c r="D155" s="2245">
        <v>220000</v>
      </c>
      <c r="E155" s="738"/>
      <c r="F155" s="1864"/>
      <c r="G155" s="2200"/>
      <c r="H155" s="2200"/>
      <c r="I155" s="2201"/>
      <c r="J155" s="29">
        <v>887.06</v>
      </c>
    </row>
    <row r="156" spans="1:10" ht="30" customHeight="1" x14ac:dyDescent="0.2">
      <c r="A156" s="2223"/>
      <c r="B156" s="776" t="s">
        <v>2168</v>
      </c>
      <c r="C156" s="2253">
        <v>0</v>
      </c>
      <c r="D156" s="2253">
        <v>0</v>
      </c>
      <c r="E156" s="738"/>
      <c r="F156" s="1234"/>
      <c r="G156" s="2200"/>
      <c r="H156" s="2200"/>
      <c r="I156" s="2201"/>
      <c r="J156" s="29">
        <v>144481.67000000001</v>
      </c>
    </row>
    <row r="157" spans="1:10" ht="30" customHeight="1" x14ac:dyDescent="0.2">
      <c r="A157" s="2223"/>
      <c r="B157" s="776" t="s">
        <v>1173</v>
      </c>
      <c r="C157" s="2231">
        <v>70000</v>
      </c>
      <c r="D157" s="2231">
        <v>70000</v>
      </c>
      <c r="E157" s="738"/>
      <c r="F157" s="1441"/>
      <c r="G157" s="2200"/>
      <c r="H157" s="2200"/>
      <c r="I157" s="2201"/>
      <c r="J157" s="29">
        <v>120477.3</v>
      </c>
    </row>
    <row r="158" spans="1:10" ht="30" customHeight="1" x14ac:dyDescent="0.2">
      <c r="A158" s="2223"/>
      <c r="B158" s="776" t="s">
        <v>2170</v>
      </c>
      <c r="C158" s="2231">
        <v>40000</v>
      </c>
      <c r="D158" s="2231">
        <v>40000</v>
      </c>
      <c r="E158" s="2254"/>
      <c r="F158" s="2255"/>
      <c r="G158" s="2200"/>
      <c r="H158" s="2200"/>
      <c r="I158" s="2201"/>
      <c r="J158" s="29">
        <v>45360</v>
      </c>
    </row>
    <row r="159" spans="1:10" ht="30" customHeight="1" x14ac:dyDescent="0.2">
      <c r="A159" s="2223"/>
      <c r="B159" s="776" t="s">
        <v>3070</v>
      </c>
      <c r="C159" s="2231">
        <v>0</v>
      </c>
      <c r="D159" s="2231">
        <v>151008</v>
      </c>
      <c r="E159" s="2254"/>
      <c r="F159" s="2255"/>
      <c r="G159" s="2200"/>
      <c r="H159" s="2200"/>
      <c r="I159" s="2201"/>
      <c r="J159" s="29">
        <v>0</v>
      </c>
    </row>
    <row r="160" spans="1:10" ht="30" customHeight="1" x14ac:dyDescent="0.2">
      <c r="A160" s="2223"/>
      <c r="B160" s="2232" t="s">
        <v>2972</v>
      </c>
      <c r="C160" s="2260">
        <v>5000000</v>
      </c>
      <c r="D160" s="2260">
        <f>5000000-5000000</f>
        <v>0</v>
      </c>
      <c r="E160" s="738"/>
      <c r="F160" s="1045"/>
      <c r="G160" s="2200"/>
      <c r="H160" s="2200"/>
      <c r="I160" s="2201"/>
      <c r="J160" s="1866">
        <v>0</v>
      </c>
    </row>
    <row r="161" spans="1:10" ht="30" customHeight="1" x14ac:dyDescent="0.2">
      <c r="A161" s="2204"/>
      <c r="B161" s="2232" t="s">
        <v>3175</v>
      </c>
      <c r="C161" s="2234">
        <v>0</v>
      </c>
      <c r="D161" s="2234">
        <v>0</v>
      </c>
      <c r="E161" s="738"/>
      <c r="F161" s="2042"/>
      <c r="G161" s="2200"/>
      <c r="H161" s="2200"/>
      <c r="I161" s="2201"/>
      <c r="J161" s="29">
        <v>1616</v>
      </c>
    </row>
    <row r="162" spans="1:10" ht="30" customHeight="1" x14ac:dyDescent="0.2">
      <c r="A162" s="2223"/>
      <c r="B162" s="776" t="s">
        <v>1183</v>
      </c>
      <c r="C162" s="1893">
        <v>0</v>
      </c>
      <c r="D162" s="1893">
        <v>0</v>
      </c>
      <c r="E162" s="1809"/>
      <c r="F162" s="740"/>
      <c r="G162" s="2200"/>
      <c r="H162" s="2200"/>
      <c r="I162" s="2201"/>
      <c r="J162" s="29">
        <v>58309.18</v>
      </c>
    </row>
    <row r="163" spans="1:10" ht="30" customHeight="1" x14ac:dyDescent="0.2">
      <c r="A163" s="2261"/>
      <c r="B163" s="2262" t="s">
        <v>3074</v>
      </c>
      <c r="C163" s="2259">
        <v>500000</v>
      </c>
      <c r="D163" s="2259">
        <f t="shared" ref="D163:D164" si="25">500000-500000</f>
        <v>0</v>
      </c>
      <c r="E163" s="738"/>
      <c r="F163" s="1809"/>
      <c r="G163" s="2200"/>
      <c r="H163" s="2200"/>
      <c r="I163" s="2201"/>
      <c r="J163" s="1866">
        <v>0</v>
      </c>
    </row>
    <row r="164" spans="1:10" ht="30" customHeight="1" x14ac:dyDescent="0.2">
      <c r="A164" s="2263"/>
      <c r="B164" s="1529" t="s">
        <v>2174</v>
      </c>
      <c r="C164" s="1893">
        <v>500000</v>
      </c>
      <c r="D164" s="1893">
        <f t="shared" si="25"/>
        <v>0</v>
      </c>
      <c r="E164" s="1077"/>
      <c r="F164" s="1946"/>
      <c r="G164" s="2200"/>
      <c r="H164" s="2200"/>
      <c r="I164" s="2201"/>
      <c r="J164" s="29">
        <v>0</v>
      </c>
    </row>
    <row r="165" spans="1:10" ht="30" customHeight="1" x14ac:dyDescent="0.2">
      <c r="A165" s="2263"/>
      <c r="B165" s="1529" t="s">
        <v>2175</v>
      </c>
      <c r="C165" s="1702">
        <f>102867431.07+200.98-97734860.54</f>
        <v>5132771.5099999905</v>
      </c>
      <c r="D165" s="1702">
        <f>102867431.07+200.98-97734860.54-5132771.51</f>
        <v>-9.3132257461547852E-9</v>
      </c>
      <c r="E165" s="1077"/>
      <c r="F165" s="1077"/>
      <c r="G165" s="2200"/>
      <c r="H165" s="2200"/>
      <c r="I165" s="2201"/>
      <c r="J165" s="29">
        <v>97724250.450000003</v>
      </c>
    </row>
    <row r="166" spans="1:10" ht="30" customHeight="1" x14ac:dyDescent="0.2">
      <c r="A166" s="2264"/>
      <c r="B166" s="2265"/>
      <c r="C166" s="2266"/>
      <c r="D166" s="2266"/>
      <c r="E166" s="1048"/>
      <c r="F166" s="945"/>
      <c r="G166" s="945"/>
      <c r="H166" s="2267"/>
      <c r="I166" s="2037"/>
    </row>
    <row r="167" spans="1:10" s="98" customFormat="1" ht="30" customHeight="1" x14ac:dyDescent="0.25">
      <c r="A167" s="2216"/>
      <c r="B167" s="2268" t="s">
        <v>11</v>
      </c>
      <c r="C167" s="652">
        <f>SUM(C168:C170,C176:C176:C177,C183)</f>
        <v>45747371</v>
      </c>
      <c r="D167" s="652">
        <f>SUM(D168:D170,D176:D176:D177,D183)</f>
        <v>24498887</v>
      </c>
      <c r="E167" s="2269"/>
      <c r="F167" s="2270"/>
      <c r="G167" s="1654"/>
      <c r="H167" s="1654"/>
      <c r="I167" s="1654"/>
      <c r="J167" s="29">
        <v>109636687.27</v>
      </c>
    </row>
    <row r="168" spans="1:10" s="98" customFormat="1" ht="30" customHeight="1" x14ac:dyDescent="0.2">
      <c r="A168" s="2219">
        <v>3111</v>
      </c>
      <c r="B168" s="1208" t="s">
        <v>2636</v>
      </c>
      <c r="C168" s="765">
        <v>2300000</v>
      </c>
      <c r="D168" s="765">
        <f>2300000+5889660</f>
        <v>8189660</v>
      </c>
      <c r="E168" s="1880"/>
      <c r="F168" s="2271"/>
      <c r="G168" s="1663"/>
      <c r="H168" s="1663"/>
      <c r="I168" s="1662"/>
      <c r="J168" s="29">
        <v>106007013.31999999</v>
      </c>
    </row>
    <row r="169" spans="1:10" s="98" customFormat="1" ht="30" customHeight="1" x14ac:dyDescent="0.2">
      <c r="A169" s="2219">
        <v>3111</v>
      </c>
      <c r="B169" s="1208" t="s">
        <v>1189</v>
      </c>
      <c r="C169" s="731">
        <v>600000</v>
      </c>
      <c r="D169" s="731">
        <f>600000+5424450</f>
        <v>6024450</v>
      </c>
      <c r="E169" s="1084"/>
      <c r="F169" s="2271"/>
      <c r="G169" s="1663"/>
      <c r="H169" s="1663"/>
      <c r="I169" s="1662"/>
      <c r="J169" s="29">
        <v>224360</v>
      </c>
    </row>
    <row r="170" spans="1:10" s="98" customFormat="1" ht="30" customHeight="1" x14ac:dyDescent="0.2">
      <c r="A170" s="2221">
        <v>3112</v>
      </c>
      <c r="B170" s="717" t="s">
        <v>2177</v>
      </c>
      <c r="C170" s="726">
        <f>SUM(C171:C175)</f>
        <v>33309049</v>
      </c>
      <c r="D170" s="726">
        <f>SUM(D171:D175)</f>
        <v>10234777</v>
      </c>
      <c r="E170" s="726"/>
      <c r="F170" s="1030"/>
      <c r="G170" s="1663"/>
      <c r="H170" s="1663"/>
      <c r="I170" s="1662"/>
      <c r="J170" s="29">
        <v>1097520</v>
      </c>
    </row>
    <row r="171" spans="1:10" s="98" customFormat="1" ht="30" customHeight="1" x14ac:dyDescent="0.2">
      <c r="A171" s="2221"/>
      <c r="B171" s="1530" t="s">
        <v>2637</v>
      </c>
      <c r="C171" s="2150">
        <v>2975049</v>
      </c>
      <c r="D171" s="2150">
        <f>2975049-2975049</f>
        <v>0</v>
      </c>
      <c r="E171" s="750"/>
      <c r="F171" s="2272"/>
      <c r="G171" s="2200"/>
      <c r="H171" s="2200"/>
      <c r="I171" s="2201"/>
      <c r="J171" s="29">
        <v>0</v>
      </c>
    </row>
    <row r="172" spans="1:10" s="98" customFormat="1" ht="30" customHeight="1" x14ac:dyDescent="0.2">
      <c r="A172" s="2221"/>
      <c r="B172" s="1530" t="s">
        <v>2638</v>
      </c>
      <c r="C172" s="1946">
        <v>5455000</v>
      </c>
      <c r="D172" s="1946">
        <f>5455000+748448</f>
        <v>6203448</v>
      </c>
      <c r="E172" s="738"/>
      <c r="F172" s="747"/>
      <c r="G172" s="2200"/>
      <c r="H172" s="2200"/>
      <c r="I172" s="2201"/>
      <c r="J172" s="29">
        <v>0</v>
      </c>
    </row>
    <row r="173" spans="1:10" s="98" customFormat="1" ht="30" customHeight="1" x14ac:dyDescent="0.2">
      <c r="A173" s="2221"/>
      <c r="B173" s="1530" t="s">
        <v>2639</v>
      </c>
      <c r="C173" s="740">
        <v>3969000</v>
      </c>
      <c r="D173" s="740">
        <f>3969000+62329</f>
        <v>4031329</v>
      </c>
      <c r="E173" s="738"/>
      <c r="F173" s="747"/>
      <c r="G173" s="2200"/>
      <c r="H173" s="2200"/>
      <c r="I173" s="2201"/>
      <c r="J173" s="29">
        <v>0</v>
      </c>
    </row>
    <row r="174" spans="1:10" s="98" customFormat="1" ht="30" customHeight="1" x14ac:dyDescent="0.2">
      <c r="A174" s="2221"/>
      <c r="B174" s="1530" t="s">
        <v>2640</v>
      </c>
      <c r="C174" s="740">
        <v>20300000</v>
      </c>
      <c r="D174" s="740">
        <f>20300000-20300000</f>
        <v>0</v>
      </c>
      <c r="E174" s="738"/>
      <c r="F174" s="1330"/>
      <c r="G174" s="2200"/>
      <c r="H174" s="2200"/>
      <c r="I174" s="2201"/>
      <c r="J174" s="29">
        <v>0</v>
      </c>
    </row>
    <row r="175" spans="1:10" s="98" customFormat="1" ht="30" customHeight="1" x14ac:dyDescent="0.2">
      <c r="A175" s="2221"/>
      <c r="B175" s="1530" t="s">
        <v>2641</v>
      </c>
      <c r="C175" s="740">
        <v>610000</v>
      </c>
      <c r="D175" s="740">
        <f>610000-610000</f>
        <v>0</v>
      </c>
      <c r="E175" s="738"/>
      <c r="F175" s="1330"/>
      <c r="G175" s="2200"/>
      <c r="H175" s="2200"/>
      <c r="I175" s="2201"/>
      <c r="J175" s="29">
        <v>0</v>
      </c>
    </row>
    <row r="176" spans="1:10" s="98" customFormat="1" ht="30" customHeight="1" x14ac:dyDescent="0.2">
      <c r="A176" s="2221">
        <v>3113</v>
      </c>
      <c r="B176" s="717" t="s">
        <v>2181</v>
      </c>
      <c r="C176" s="730">
        <v>50000</v>
      </c>
      <c r="D176" s="730">
        <v>50000</v>
      </c>
      <c r="E176" s="731"/>
      <c r="F176" s="740"/>
      <c r="G176" s="1663"/>
      <c r="H176" s="1663"/>
      <c r="I176" s="1662"/>
      <c r="J176" s="29">
        <v>69300</v>
      </c>
    </row>
    <row r="177" spans="1:10" s="98" customFormat="1" ht="30" customHeight="1" x14ac:dyDescent="0.2">
      <c r="A177" s="2221">
        <v>3129</v>
      </c>
      <c r="B177" s="717" t="s">
        <v>191</v>
      </c>
      <c r="C177" s="726">
        <f>SUM(C178:C182)</f>
        <v>9488322</v>
      </c>
      <c r="D177" s="726">
        <f>SUM(D178:D182)</f>
        <v>0</v>
      </c>
      <c r="E177" s="726"/>
      <c r="F177" s="1030"/>
      <c r="G177" s="1663"/>
      <c r="H177" s="1663"/>
      <c r="I177" s="1662"/>
      <c r="J177" s="29">
        <v>0</v>
      </c>
    </row>
    <row r="178" spans="1:10" s="98" customFormat="1" ht="30" customHeight="1" x14ac:dyDescent="0.2">
      <c r="A178" s="2273"/>
      <c r="B178" s="809" t="s">
        <v>2182</v>
      </c>
      <c r="C178" s="1900">
        <v>2499999</v>
      </c>
      <c r="D178" s="1900">
        <f>2499999-2499999</f>
        <v>0</v>
      </c>
      <c r="E178" s="1077"/>
      <c r="F178" s="733"/>
      <c r="G178" s="2200"/>
      <c r="H178" s="2200"/>
      <c r="I178" s="2201"/>
      <c r="J178" s="29">
        <v>0</v>
      </c>
    </row>
    <row r="179" spans="1:10" s="98" customFormat="1" ht="30" customHeight="1" x14ac:dyDescent="0.2">
      <c r="A179" s="2274"/>
      <c r="B179" s="809" t="s">
        <v>2183</v>
      </c>
      <c r="C179" s="1900">
        <v>1356601</v>
      </c>
      <c r="D179" s="1900">
        <f>1356601-1356601</f>
        <v>0</v>
      </c>
      <c r="E179" s="1077"/>
      <c r="F179" s="733"/>
      <c r="G179" s="2200"/>
      <c r="H179" s="2200"/>
      <c r="I179" s="2201"/>
      <c r="J179" s="29">
        <v>0</v>
      </c>
    </row>
    <row r="180" spans="1:10" s="98" customFormat="1" ht="30" customHeight="1" x14ac:dyDescent="0.2">
      <c r="A180" s="2275"/>
      <c r="B180" s="809" t="s">
        <v>2184</v>
      </c>
      <c r="C180" s="1900">
        <v>168585</v>
      </c>
      <c r="D180" s="1900">
        <f>168585-168585</f>
        <v>0</v>
      </c>
      <c r="E180" s="1077"/>
      <c r="F180" s="733"/>
      <c r="G180" s="2200"/>
      <c r="H180" s="2200"/>
      <c r="I180" s="2201"/>
      <c r="J180" s="29">
        <v>0</v>
      </c>
    </row>
    <row r="181" spans="1:10" s="98" customFormat="1" ht="30" customHeight="1" x14ac:dyDescent="0.2">
      <c r="A181" s="2273"/>
      <c r="B181" s="809" t="s">
        <v>2185</v>
      </c>
      <c r="C181" s="1900">
        <v>5312129</v>
      </c>
      <c r="D181" s="1900">
        <f>5312129-5312129</f>
        <v>0</v>
      </c>
      <c r="E181" s="1077"/>
      <c r="F181" s="733"/>
      <c r="G181" s="2200"/>
      <c r="H181" s="2200"/>
      <c r="I181" s="2201"/>
      <c r="J181" s="29">
        <v>0</v>
      </c>
    </row>
    <row r="182" spans="1:10" s="98" customFormat="1" ht="30" customHeight="1" x14ac:dyDescent="0.2">
      <c r="A182" s="2273"/>
      <c r="B182" s="158" t="s">
        <v>2186</v>
      </c>
      <c r="C182" s="1900">
        <v>151008</v>
      </c>
      <c r="D182" s="1900">
        <f>151008-151008</f>
        <v>0</v>
      </c>
      <c r="E182" s="1077"/>
      <c r="F182" s="733"/>
      <c r="G182" s="2200"/>
      <c r="H182" s="2200"/>
      <c r="I182" s="2201"/>
      <c r="J182" s="29">
        <v>0</v>
      </c>
    </row>
    <row r="183" spans="1:10" s="98" customFormat="1" ht="30" customHeight="1" x14ac:dyDescent="0.2">
      <c r="A183" s="2276">
        <v>3202</v>
      </c>
      <c r="B183" s="2277" t="s">
        <v>3075</v>
      </c>
      <c r="C183" s="1666">
        <v>0</v>
      </c>
      <c r="D183" s="1666">
        <v>0</v>
      </c>
      <c r="E183" s="1671"/>
      <c r="F183" s="1666"/>
      <c r="G183" s="1663"/>
      <c r="H183" s="1663"/>
      <c r="I183" s="1662"/>
      <c r="J183" s="29">
        <v>0</v>
      </c>
    </row>
    <row r="184" spans="1:10" s="98" customFormat="1" ht="30" customHeight="1" x14ac:dyDescent="0.2">
      <c r="A184" s="2278"/>
      <c r="B184" s="2279"/>
      <c r="C184" s="2280"/>
      <c r="D184" s="2280"/>
      <c r="E184" s="1508"/>
      <c r="F184" s="2281"/>
      <c r="G184" s="2281"/>
      <c r="H184" s="2281"/>
      <c r="I184" s="2280"/>
      <c r="J184" s="29"/>
    </row>
    <row r="185" spans="1:10" s="98" customFormat="1" ht="30" customHeight="1" x14ac:dyDescent="0.25">
      <c r="A185" s="2282"/>
      <c r="B185" s="2283" t="s">
        <v>196</v>
      </c>
      <c r="C185" s="637">
        <f>SUM(C186,C188,C189,C193,C213,C222,C236,C239:C239,C241,C250)</f>
        <v>91705431.088</v>
      </c>
      <c r="D185" s="637">
        <f>SUM(D186,D188,D189,D193,D213,D222,D236,D239:D239,D241,D250)</f>
        <v>106175900.37</v>
      </c>
      <c r="E185" s="637"/>
      <c r="F185" s="2284"/>
      <c r="G185" s="1654"/>
      <c r="H185" s="1654"/>
      <c r="I185" s="1654"/>
      <c r="J185" s="29">
        <v>116246413.66</v>
      </c>
    </row>
    <row r="186" spans="1:10" s="98" customFormat="1" ht="30" customHeight="1" x14ac:dyDescent="0.2">
      <c r="A186" s="2285">
        <v>4111</v>
      </c>
      <c r="B186" s="875" t="s">
        <v>197</v>
      </c>
      <c r="C186" s="876">
        <f>SUM(C187:C187)</f>
        <v>0</v>
      </c>
      <c r="D186" s="876">
        <f>SUM(D187:D187)</f>
        <v>735000</v>
      </c>
      <c r="E186" s="876"/>
      <c r="F186" s="2286"/>
      <c r="G186" s="1663"/>
      <c r="H186" s="1663"/>
      <c r="I186" s="1662"/>
      <c r="J186" s="29">
        <v>1561612.64</v>
      </c>
    </row>
    <row r="187" spans="1:10" s="98" customFormat="1" ht="30" customHeight="1" x14ac:dyDescent="0.2">
      <c r="A187" s="2287"/>
      <c r="B187" s="878" t="s">
        <v>2644</v>
      </c>
      <c r="C187" s="853">
        <v>0</v>
      </c>
      <c r="D187" s="853">
        <f>500000+(-500000+735000)</f>
        <v>735000</v>
      </c>
      <c r="E187" s="879"/>
      <c r="F187" s="879"/>
      <c r="G187" s="2200"/>
      <c r="H187" s="2200"/>
      <c r="I187" s="2201"/>
      <c r="J187" s="29">
        <v>0</v>
      </c>
    </row>
    <row r="188" spans="1:10" ht="30" customHeight="1" x14ac:dyDescent="0.2">
      <c r="A188" s="2288">
        <v>4112</v>
      </c>
      <c r="B188" s="843" t="s">
        <v>1219</v>
      </c>
      <c r="C188" s="746">
        <f>(1016932+736317+467712+420864+713728+43008+4253687+8154340+23444493+795804+17710+1525000+1296966+241392+782383+86001+2624+348336+27880+12045)-22</f>
        <v>44387200</v>
      </c>
      <c r="D188" s="746">
        <f>((1016932+736317+467712+420864+713728+43008+4253687+8154340+23444493+795804+17710+1525000+1296966+241392+782383+86001+2624+348336+27880+12045)-22)-432200</f>
        <v>43955000</v>
      </c>
      <c r="E188" s="746"/>
      <c r="F188" s="767"/>
      <c r="G188" s="1663"/>
      <c r="H188" s="1663"/>
      <c r="I188" s="1662"/>
      <c r="J188" s="1866">
        <v>44387200</v>
      </c>
    </row>
    <row r="189" spans="1:10" ht="30" customHeight="1" x14ac:dyDescent="0.2">
      <c r="A189" s="2288">
        <v>4113</v>
      </c>
      <c r="B189" s="843" t="s">
        <v>2194</v>
      </c>
      <c r="C189" s="746">
        <f>SUM(C190:C192)</f>
        <v>55091.756999999998</v>
      </c>
      <c r="D189" s="746">
        <f>SUM(D190:D192)</f>
        <v>591255.29999999993</v>
      </c>
      <c r="E189" s="746"/>
      <c r="F189" s="767"/>
      <c r="G189" s="1663"/>
      <c r="H189" s="1663"/>
      <c r="I189" s="1662"/>
      <c r="J189" s="29">
        <v>0</v>
      </c>
    </row>
    <row r="190" spans="1:10" ht="30" customHeight="1" x14ac:dyDescent="0.2">
      <c r="A190" s="2288"/>
      <c r="B190" s="1423" t="s">
        <v>2645</v>
      </c>
      <c r="C190" s="1734">
        <v>55091.756999999998</v>
      </c>
      <c r="D190" s="1734">
        <v>49994.720000000001</v>
      </c>
      <c r="E190" s="767"/>
      <c r="F190" s="1803"/>
      <c r="G190" s="2200"/>
      <c r="H190" s="2200"/>
      <c r="I190" s="2201"/>
      <c r="J190" s="29">
        <v>0</v>
      </c>
    </row>
    <row r="191" spans="1:10" ht="30" customHeight="1" x14ac:dyDescent="0.2">
      <c r="A191" s="2288"/>
      <c r="B191" s="1423" t="s">
        <v>2646</v>
      </c>
      <c r="C191" s="2289">
        <v>0</v>
      </c>
      <c r="D191" s="2289">
        <f>440000-40000</f>
        <v>400000</v>
      </c>
      <c r="E191" s="767"/>
      <c r="F191" s="1803"/>
      <c r="G191" s="2200"/>
      <c r="H191" s="2200"/>
      <c r="I191" s="2201"/>
      <c r="J191" s="29">
        <v>0</v>
      </c>
    </row>
    <row r="192" spans="1:10" ht="30" customHeight="1" x14ac:dyDescent="0.2">
      <c r="A192" s="2288"/>
      <c r="B192" s="1423" t="s">
        <v>2647</v>
      </c>
      <c r="C192" s="2289">
        <v>0</v>
      </c>
      <c r="D192" s="2289">
        <f>(91819.4+49441.18)</f>
        <v>141260.57999999999</v>
      </c>
      <c r="E192" s="767"/>
      <c r="F192" s="1803"/>
      <c r="G192" s="2200"/>
      <c r="H192" s="2200"/>
      <c r="I192" s="2201"/>
      <c r="J192" s="29">
        <v>0</v>
      </c>
    </row>
    <row r="193" spans="1:10" s="98" customFormat="1" ht="30" customHeight="1" x14ac:dyDescent="0.2">
      <c r="A193" s="2237">
        <v>4116</v>
      </c>
      <c r="B193" s="787" t="s">
        <v>201</v>
      </c>
      <c r="C193" s="734">
        <f>SUM(C194:C212)</f>
        <v>9290603</v>
      </c>
      <c r="D193" s="734">
        <f>SUM(D194:D212)</f>
        <v>24308664.229999997</v>
      </c>
      <c r="E193" s="734"/>
      <c r="F193" s="772"/>
      <c r="G193" s="1663"/>
      <c r="H193" s="1663"/>
      <c r="I193" s="1662"/>
      <c r="J193" s="29">
        <v>15785593.689999999</v>
      </c>
    </row>
    <row r="194" spans="1:10" ht="30" customHeight="1" x14ac:dyDescent="0.2">
      <c r="A194" s="2290"/>
      <c r="B194" s="789" t="s">
        <v>2196</v>
      </c>
      <c r="C194" s="767">
        <v>1067803</v>
      </c>
      <c r="D194" s="767">
        <f>1067803-17245</f>
        <v>1050558</v>
      </c>
      <c r="E194" s="767"/>
      <c r="F194" s="767"/>
      <c r="G194" s="2200"/>
      <c r="H194" s="2200"/>
      <c r="I194" s="2201"/>
      <c r="J194" s="29">
        <v>1067803</v>
      </c>
    </row>
    <row r="195" spans="1:10" ht="30" customHeight="1" x14ac:dyDescent="0.2">
      <c r="A195" s="2290"/>
      <c r="B195" s="789" t="s">
        <v>1231</v>
      </c>
      <c r="C195" s="767">
        <v>8122800</v>
      </c>
      <c r="D195" s="767">
        <f>8122800+294000</f>
        <v>8416800</v>
      </c>
      <c r="E195" s="767"/>
      <c r="F195" s="767"/>
      <c r="G195" s="2200"/>
      <c r="H195" s="2200"/>
      <c r="I195" s="2201"/>
      <c r="J195" s="29">
        <v>8122800</v>
      </c>
    </row>
    <row r="196" spans="1:10" ht="30" customHeight="1" x14ac:dyDescent="0.2">
      <c r="A196" s="2290"/>
      <c r="B196" s="789" t="s">
        <v>3077</v>
      </c>
      <c r="C196" s="767">
        <v>0</v>
      </c>
      <c r="D196" s="767">
        <v>995434.77</v>
      </c>
      <c r="E196" s="767"/>
      <c r="F196" s="767"/>
      <c r="G196" s="2200"/>
      <c r="H196" s="2200"/>
      <c r="I196" s="2201"/>
      <c r="J196" s="29">
        <v>510867.8</v>
      </c>
    </row>
    <row r="197" spans="1:10" s="2" customFormat="1" ht="30" customHeight="1" x14ac:dyDescent="0.2">
      <c r="A197" s="2299"/>
      <c r="B197" s="903" t="s">
        <v>3078</v>
      </c>
      <c r="C197" s="1800">
        <v>0</v>
      </c>
      <c r="D197" s="1800">
        <v>1563852.31</v>
      </c>
      <c r="E197" s="772"/>
      <c r="F197" s="1676"/>
      <c r="G197" s="2200"/>
      <c r="H197" s="2200"/>
      <c r="I197" s="2201"/>
      <c r="J197" s="88">
        <v>0</v>
      </c>
    </row>
    <row r="198" spans="1:10" s="2" customFormat="1" ht="30" customHeight="1" x14ac:dyDescent="0.2">
      <c r="A198" s="2299"/>
      <c r="B198" s="903" t="s">
        <v>3079</v>
      </c>
      <c r="C198" s="1800">
        <v>0</v>
      </c>
      <c r="D198" s="1800">
        <f>207366+117914</f>
        <v>325280</v>
      </c>
      <c r="E198" s="772"/>
      <c r="F198" s="1676"/>
      <c r="G198" s="2200"/>
      <c r="H198" s="2200"/>
      <c r="I198" s="2201"/>
      <c r="J198" s="88">
        <v>0</v>
      </c>
    </row>
    <row r="199" spans="1:10" s="2" customFormat="1" ht="30" customHeight="1" x14ac:dyDescent="0.2">
      <c r="A199" s="2299"/>
      <c r="B199" s="903" t="s">
        <v>3080</v>
      </c>
      <c r="C199" s="1800">
        <v>0</v>
      </c>
      <c r="D199" s="1800">
        <v>115881</v>
      </c>
      <c r="E199" s="772"/>
      <c r="F199" s="1676"/>
      <c r="G199" s="2200"/>
      <c r="H199" s="2200"/>
      <c r="I199" s="2201"/>
      <c r="J199" s="88">
        <v>0</v>
      </c>
    </row>
    <row r="200" spans="1:10" s="98" customFormat="1" ht="30" customHeight="1" x14ac:dyDescent="0.2">
      <c r="A200" s="2290"/>
      <c r="B200" s="796" t="s">
        <v>3081</v>
      </c>
      <c r="C200" s="1703">
        <v>0</v>
      </c>
      <c r="D200" s="1703">
        <v>472672.5</v>
      </c>
      <c r="E200" s="767"/>
      <c r="F200" s="1676"/>
      <c r="G200" s="2200"/>
      <c r="H200" s="2200"/>
      <c r="I200" s="2201"/>
      <c r="J200" s="29">
        <v>0</v>
      </c>
    </row>
    <row r="201" spans="1:10" s="98" customFormat="1" ht="30" customHeight="1" x14ac:dyDescent="0.2">
      <c r="A201" s="2290"/>
      <c r="B201" s="796" t="s">
        <v>2651</v>
      </c>
      <c r="C201" s="1813">
        <v>0</v>
      </c>
      <c r="D201" s="1813">
        <v>71563.929999999993</v>
      </c>
      <c r="E201" s="767"/>
      <c r="F201" s="1813"/>
      <c r="G201" s="2200"/>
      <c r="H201" s="2200"/>
      <c r="I201" s="2201"/>
      <c r="J201" s="29">
        <v>0</v>
      </c>
    </row>
    <row r="202" spans="1:10" s="98" customFormat="1" ht="30" customHeight="1" x14ac:dyDescent="0.2">
      <c r="A202" s="2290"/>
      <c r="B202" s="796" t="s">
        <v>3082</v>
      </c>
      <c r="C202" s="879">
        <v>0</v>
      </c>
      <c r="D202" s="879">
        <v>483823</v>
      </c>
      <c r="E202" s="767"/>
      <c r="F202" s="909"/>
      <c r="G202" s="2200"/>
      <c r="H202" s="2200"/>
      <c r="I202" s="2201"/>
      <c r="J202" s="29">
        <v>0</v>
      </c>
    </row>
    <row r="203" spans="1:10" s="98" customFormat="1" ht="30" customHeight="1" x14ac:dyDescent="0.2">
      <c r="A203" s="2290"/>
      <c r="B203" s="796" t="s">
        <v>2200</v>
      </c>
      <c r="C203" s="767">
        <v>100000</v>
      </c>
      <c r="D203" s="767">
        <f>100000-74277</f>
        <v>25723</v>
      </c>
      <c r="E203" s="767"/>
      <c r="F203" s="1676"/>
      <c r="G203" s="2200"/>
      <c r="H203" s="2200"/>
      <c r="I203" s="2201"/>
      <c r="J203" s="29">
        <v>0</v>
      </c>
    </row>
    <row r="204" spans="1:10" s="98" customFormat="1" ht="30" customHeight="1" x14ac:dyDescent="0.2">
      <c r="A204" s="2290"/>
      <c r="B204" s="796" t="s">
        <v>2652</v>
      </c>
      <c r="C204" s="767">
        <v>0</v>
      </c>
      <c r="D204" s="767">
        <f>(117955.01+495553.09)</f>
        <v>613508.1</v>
      </c>
      <c r="E204" s="767"/>
      <c r="F204" s="1676"/>
      <c r="G204" s="2200"/>
      <c r="H204" s="2200"/>
      <c r="I204" s="2201"/>
      <c r="J204" s="29">
        <v>0</v>
      </c>
    </row>
    <row r="205" spans="1:10" s="98" customFormat="1" ht="30" customHeight="1" x14ac:dyDescent="0.2">
      <c r="A205" s="2290"/>
      <c r="B205" s="796" t="s">
        <v>2975</v>
      </c>
      <c r="C205" s="767">
        <v>0</v>
      </c>
      <c r="D205" s="767">
        <f>(138438.27+581607.57)</f>
        <v>720045.84</v>
      </c>
      <c r="E205" s="767"/>
      <c r="F205" s="1676"/>
      <c r="G205" s="2200"/>
      <c r="H205" s="2200"/>
      <c r="I205" s="2201"/>
      <c r="J205" s="29">
        <v>0</v>
      </c>
    </row>
    <row r="206" spans="1:10" s="98" customFormat="1" ht="30" customHeight="1" x14ac:dyDescent="0.2">
      <c r="A206" s="2290"/>
      <c r="B206" s="796" t="s">
        <v>2654</v>
      </c>
      <c r="C206" s="767">
        <v>0</v>
      </c>
      <c r="D206" s="767">
        <f>(108476.76+455733)</f>
        <v>564209.76</v>
      </c>
      <c r="E206" s="767"/>
      <c r="F206" s="1676"/>
      <c r="G206" s="2200"/>
      <c r="H206" s="2200"/>
      <c r="I206" s="2201"/>
      <c r="J206" s="29">
        <v>0</v>
      </c>
    </row>
    <row r="207" spans="1:10" s="98" customFormat="1" ht="30" customHeight="1" x14ac:dyDescent="0.2">
      <c r="A207" s="2290"/>
      <c r="B207" s="796" t="s">
        <v>3083</v>
      </c>
      <c r="C207" s="767">
        <v>0</v>
      </c>
      <c r="D207" s="767">
        <f>(348577.29+1464444.5)</f>
        <v>1813021.79</v>
      </c>
      <c r="E207" s="767"/>
      <c r="F207" s="1676"/>
      <c r="G207" s="2200"/>
      <c r="H207" s="2200"/>
      <c r="I207" s="2201"/>
      <c r="J207" s="29">
        <v>0</v>
      </c>
    </row>
    <row r="208" spans="1:10" s="98" customFormat="1" ht="30" customHeight="1" x14ac:dyDescent="0.2">
      <c r="A208" s="2290"/>
      <c r="B208" s="796" t="s">
        <v>3084</v>
      </c>
      <c r="C208" s="767">
        <v>0</v>
      </c>
      <c r="D208" s="767">
        <f>(291991.6+1226716.4)</f>
        <v>1518708</v>
      </c>
      <c r="E208" s="767"/>
      <c r="F208" s="1676"/>
      <c r="G208" s="2200"/>
      <c r="H208" s="2200"/>
      <c r="I208" s="2201"/>
      <c r="J208" s="29">
        <v>0</v>
      </c>
    </row>
    <row r="209" spans="1:10" s="98" customFormat="1" ht="30" customHeight="1" x14ac:dyDescent="0.2">
      <c r="A209" s="2290"/>
      <c r="B209" s="796" t="s">
        <v>3085</v>
      </c>
      <c r="C209" s="767">
        <v>0</v>
      </c>
      <c r="D209" s="767">
        <f>(269533.32+1132364.58)</f>
        <v>1401897.9000000001</v>
      </c>
      <c r="E209" s="767"/>
      <c r="F209" s="1676"/>
      <c r="G209" s="2200"/>
      <c r="H209" s="2200"/>
      <c r="I209" s="2201"/>
      <c r="J209" s="29">
        <v>0</v>
      </c>
    </row>
    <row r="210" spans="1:10" s="98" customFormat="1" ht="30" customHeight="1" x14ac:dyDescent="0.2">
      <c r="A210" s="2290"/>
      <c r="B210" s="796" t="s">
        <v>2655</v>
      </c>
      <c r="C210" s="767">
        <v>0</v>
      </c>
      <c r="D210" s="767">
        <f>(280004.26+1176355.23)</f>
        <v>1456359.49</v>
      </c>
      <c r="E210" s="767"/>
      <c r="F210" s="1676"/>
      <c r="G210" s="2200"/>
      <c r="H210" s="2200"/>
      <c r="I210" s="2201"/>
      <c r="J210" s="29">
        <v>0</v>
      </c>
    </row>
    <row r="211" spans="1:10" s="98" customFormat="1" ht="30" customHeight="1" x14ac:dyDescent="0.2">
      <c r="A211" s="2290"/>
      <c r="B211" s="796" t="s">
        <v>3086</v>
      </c>
      <c r="C211" s="767">
        <v>0</v>
      </c>
      <c r="D211" s="767">
        <f>(198862.55+835462.29)</f>
        <v>1034324.8400000001</v>
      </c>
      <c r="E211" s="767"/>
      <c r="F211" s="1676"/>
      <c r="G211" s="2200"/>
      <c r="H211" s="2200"/>
      <c r="I211" s="2201"/>
      <c r="J211" s="29">
        <v>0</v>
      </c>
    </row>
    <row r="212" spans="1:10" s="98" customFormat="1" ht="30" customHeight="1" x14ac:dyDescent="0.2">
      <c r="A212" s="2290"/>
      <c r="B212" s="796" t="s">
        <v>3176</v>
      </c>
      <c r="C212" s="767">
        <v>0</v>
      </c>
      <c r="D212" s="767">
        <f>(1341000+324000)</f>
        <v>1665000</v>
      </c>
      <c r="E212" s="767"/>
      <c r="F212" s="1676"/>
      <c r="G212" s="2200"/>
      <c r="H212" s="2200"/>
      <c r="I212" s="2201"/>
      <c r="J212" s="29">
        <v>920000</v>
      </c>
    </row>
    <row r="213" spans="1:10" ht="30" customHeight="1" x14ac:dyDescent="0.2">
      <c r="A213" s="2237">
        <v>4121</v>
      </c>
      <c r="B213" s="787" t="s">
        <v>213</v>
      </c>
      <c r="C213" s="734">
        <f>SUM(C214:C221)</f>
        <v>3641716.8</v>
      </c>
      <c r="D213" s="734">
        <f>SUM(D214:D221)</f>
        <v>3493461.8</v>
      </c>
      <c r="E213" s="734"/>
      <c r="F213" s="893"/>
      <c r="G213" s="1663"/>
      <c r="H213" s="1663"/>
      <c r="I213" s="1662"/>
      <c r="J213" s="29">
        <v>3546238.74</v>
      </c>
    </row>
    <row r="214" spans="1:10" ht="30" customHeight="1" x14ac:dyDescent="0.2">
      <c r="A214" s="2237"/>
      <c r="B214" s="796" t="s">
        <v>1247</v>
      </c>
      <c r="C214" s="1734">
        <v>500000</v>
      </c>
      <c r="D214" s="1734">
        <f>500000-35000</f>
        <v>465000</v>
      </c>
      <c r="E214" s="767"/>
      <c r="F214" s="1796"/>
      <c r="G214" s="2200"/>
      <c r="H214" s="2200"/>
      <c r="I214" s="2201"/>
      <c r="J214" s="29">
        <v>427500</v>
      </c>
    </row>
    <row r="215" spans="1:10" ht="30" customHeight="1" x14ac:dyDescent="0.2">
      <c r="A215" s="2237"/>
      <c r="B215" s="796" t="s">
        <v>1248</v>
      </c>
      <c r="C215" s="1716">
        <v>3000</v>
      </c>
      <c r="D215" s="1716">
        <f>3000+5019</f>
        <v>8019</v>
      </c>
      <c r="E215" s="767"/>
      <c r="F215" s="1795"/>
      <c r="G215" s="2200"/>
      <c r="H215" s="2200"/>
      <c r="I215" s="2201"/>
      <c r="J215" s="29">
        <v>1869</v>
      </c>
    </row>
    <row r="216" spans="1:10" ht="30" customHeight="1" x14ac:dyDescent="0.2">
      <c r="A216" s="2221"/>
      <c r="B216" s="1035" t="s">
        <v>1249</v>
      </c>
      <c r="C216" s="2291">
        <v>1465013</v>
      </c>
      <c r="D216" s="2291">
        <f>1465013-31600</f>
        <v>1433413</v>
      </c>
      <c r="E216" s="738"/>
      <c r="F216" s="2291"/>
      <c r="G216" s="2200"/>
      <c r="H216" s="2200"/>
      <c r="I216" s="2201"/>
      <c r="J216" s="29">
        <v>1375732</v>
      </c>
    </row>
    <row r="217" spans="1:10" ht="30" customHeight="1" x14ac:dyDescent="0.2">
      <c r="A217" s="2221"/>
      <c r="B217" s="1035" t="s">
        <v>1250</v>
      </c>
      <c r="C217" s="2291">
        <v>1086156</v>
      </c>
      <c r="D217" s="2291">
        <f>1086156-91374</f>
        <v>994782</v>
      </c>
      <c r="E217" s="738"/>
      <c r="F217" s="2291"/>
      <c r="G217" s="2200"/>
      <c r="H217" s="2200"/>
      <c r="I217" s="2201"/>
      <c r="J217" s="29">
        <v>998061</v>
      </c>
    </row>
    <row r="218" spans="1:10" ht="30" customHeight="1" x14ac:dyDescent="0.2">
      <c r="A218" s="2221"/>
      <c r="B218" s="1035" t="s">
        <v>1251</v>
      </c>
      <c r="C218" s="2291">
        <v>258394</v>
      </c>
      <c r="D218" s="2291">
        <v>258394</v>
      </c>
      <c r="E218" s="738"/>
      <c r="F218" s="2291"/>
      <c r="G218" s="2200"/>
      <c r="H218" s="2200"/>
      <c r="I218" s="2201"/>
      <c r="J218" s="29">
        <v>354926</v>
      </c>
    </row>
    <row r="219" spans="1:10" ht="30" customHeight="1" x14ac:dyDescent="0.2">
      <c r="A219" s="2221"/>
      <c r="B219" s="1035" t="s">
        <v>1252</v>
      </c>
      <c r="C219" s="738">
        <v>328853.8</v>
      </c>
      <c r="D219" s="738">
        <v>328853.8</v>
      </c>
      <c r="E219" s="750"/>
      <c r="F219" s="1030"/>
      <c r="G219" s="2200"/>
      <c r="H219" s="2200"/>
      <c r="I219" s="2201"/>
      <c r="J219" s="29">
        <v>307340</v>
      </c>
    </row>
    <row r="220" spans="1:10" ht="30" customHeight="1" x14ac:dyDescent="0.2">
      <c r="A220" s="2221"/>
      <c r="B220" s="1035" t="s">
        <v>1253</v>
      </c>
      <c r="C220" s="738">
        <v>300</v>
      </c>
      <c r="D220" s="738">
        <f>300-300</f>
        <v>0</v>
      </c>
      <c r="E220" s="750"/>
      <c r="F220" s="738"/>
      <c r="G220" s="2200"/>
      <c r="H220" s="2200"/>
      <c r="I220" s="2201"/>
      <c r="J220" s="29">
        <v>450</v>
      </c>
    </row>
    <row r="221" spans="1:10" ht="30" customHeight="1" x14ac:dyDescent="0.2">
      <c r="A221" s="2221"/>
      <c r="B221" s="1035" t="s">
        <v>2201</v>
      </c>
      <c r="C221" s="742">
        <v>0</v>
      </c>
      <c r="D221" s="742">
        <v>5000</v>
      </c>
      <c r="E221" s="750"/>
      <c r="F221" s="2292"/>
      <c r="G221" s="2200"/>
      <c r="H221" s="2200"/>
      <c r="I221" s="1662"/>
      <c r="J221" s="29">
        <v>9000</v>
      </c>
    </row>
    <row r="222" spans="1:10" ht="30" customHeight="1" x14ac:dyDescent="0.2">
      <c r="A222" s="2221">
        <v>4122</v>
      </c>
      <c r="B222" s="725" t="s">
        <v>221</v>
      </c>
      <c r="C222" s="726">
        <f>SUM(C223:C235)</f>
        <v>80000</v>
      </c>
      <c r="D222" s="726">
        <f>SUM(D223:D235)</f>
        <v>12182367.550000001</v>
      </c>
      <c r="E222" s="726"/>
      <c r="F222" s="1030"/>
      <c r="G222" s="1663"/>
      <c r="H222" s="1663"/>
      <c r="I222" s="1662"/>
      <c r="J222" s="29">
        <v>12402579</v>
      </c>
    </row>
    <row r="223" spans="1:10" s="98" customFormat="1" ht="30" customHeight="1" x14ac:dyDescent="0.2">
      <c r="A223" s="2293"/>
      <c r="B223" s="2294" t="s">
        <v>2660</v>
      </c>
      <c r="C223" s="1232">
        <v>0</v>
      </c>
      <c r="D223" s="1232">
        <v>110000</v>
      </c>
      <c r="E223" s="738"/>
      <c r="F223" s="2295"/>
      <c r="G223" s="2200"/>
      <c r="H223" s="2200"/>
      <c r="I223" s="2201"/>
      <c r="J223" s="29">
        <v>0</v>
      </c>
    </row>
    <row r="224" spans="1:10" s="98" customFormat="1" ht="30" customHeight="1" x14ac:dyDescent="0.2">
      <c r="A224" s="2293"/>
      <c r="B224" s="2294" t="s">
        <v>1262</v>
      </c>
      <c r="C224" s="1232">
        <v>0</v>
      </c>
      <c r="D224" s="1232">
        <f>4737000</f>
        <v>4737000</v>
      </c>
      <c r="E224" s="738"/>
      <c r="F224" s="2295"/>
      <c r="G224" s="2200"/>
      <c r="H224" s="2200"/>
      <c r="I224" s="2201"/>
      <c r="J224" s="29">
        <v>4743000</v>
      </c>
    </row>
    <row r="225" spans="1:10" s="98" customFormat="1" ht="30" customHeight="1" x14ac:dyDescent="0.2">
      <c r="A225" s="2293"/>
      <c r="B225" s="2294" t="s">
        <v>2203</v>
      </c>
      <c r="C225" s="1900">
        <v>80000</v>
      </c>
      <c r="D225" s="1900">
        <v>80000</v>
      </c>
      <c r="E225" s="738"/>
      <c r="F225" s="733"/>
      <c r="G225" s="2200"/>
      <c r="H225" s="2200"/>
      <c r="I225" s="2201"/>
      <c r="J225" s="29">
        <v>80000</v>
      </c>
    </row>
    <row r="226" spans="1:10" s="98" customFormat="1" ht="30" customHeight="1" x14ac:dyDescent="0.2">
      <c r="A226" s="2293"/>
      <c r="B226" s="2294" t="s">
        <v>2661</v>
      </c>
      <c r="C226" s="1900">
        <v>0</v>
      </c>
      <c r="D226" s="1900">
        <v>140000</v>
      </c>
      <c r="E226" s="738"/>
      <c r="F226" s="733"/>
      <c r="G226" s="2200"/>
      <c r="H226" s="2200"/>
      <c r="I226" s="2201"/>
      <c r="J226" s="29">
        <v>0</v>
      </c>
    </row>
    <row r="227" spans="1:10" s="98" customFormat="1" ht="30" customHeight="1" x14ac:dyDescent="0.2">
      <c r="A227" s="2293"/>
      <c r="B227" s="2294" t="s">
        <v>3088</v>
      </c>
      <c r="C227" s="1900">
        <v>0</v>
      </c>
      <c r="D227" s="1900">
        <v>10000</v>
      </c>
      <c r="E227" s="738"/>
      <c r="F227" s="733"/>
      <c r="G227" s="2200"/>
      <c r="H227" s="2200"/>
      <c r="I227" s="2201"/>
      <c r="J227" s="29">
        <v>0</v>
      </c>
    </row>
    <row r="228" spans="1:10" s="98" customFormat="1" ht="30" customHeight="1" x14ac:dyDescent="0.2">
      <c r="A228" s="2273"/>
      <c r="B228" s="2294" t="s">
        <v>2204</v>
      </c>
      <c r="C228" s="1900">
        <v>0</v>
      </c>
      <c r="D228" s="1900">
        <v>239800</v>
      </c>
      <c r="E228" s="738"/>
      <c r="F228" s="733"/>
      <c r="G228" s="2200"/>
      <c r="H228" s="2200"/>
      <c r="I228" s="2201"/>
      <c r="J228" s="29">
        <v>210200</v>
      </c>
    </row>
    <row r="229" spans="1:10" s="98" customFormat="1" ht="30" customHeight="1" x14ac:dyDescent="0.2">
      <c r="A229" s="2293"/>
      <c r="B229" s="2294" t="s">
        <v>2205</v>
      </c>
      <c r="C229" s="1900">
        <v>0</v>
      </c>
      <c r="D229" s="1900">
        <f>(12834+115506)+(-9659.6-86936.4)+(14076+126684)</f>
        <v>172504</v>
      </c>
      <c r="E229" s="738"/>
      <c r="F229" s="733"/>
      <c r="G229" s="2200"/>
      <c r="H229" s="2200"/>
      <c r="I229" s="2201"/>
      <c r="J229" s="29">
        <v>149498</v>
      </c>
    </row>
    <row r="230" spans="1:10" s="98" customFormat="1" ht="30" customHeight="1" x14ac:dyDescent="0.2">
      <c r="A230" s="2290"/>
      <c r="B230" s="896" t="s">
        <v>2206</v>
      </c>
      <c r="C230" s="1800">
        <v>0</v>
      </c>
      <c r="D230" s="1800">
        <f>(9850+88650)+(-7511.7-67605.3)+(9418.5+84766.5)</f>
        <v>117568</v>
      </c>
      <c r="E230" s="767"/>
      <c r="F230" s="1676"/>
      <c r="G230" s="2200"/>
      <c r="H230" s="2200"/>
      <c r="I230" s="2201"/>
      <c r="J230" s="29">
        <v>131328</v>
      </c>
    </row>
    <row r="231" spans="1:10" s="98" customFormat="1" ht="30" customHeight="1" x14ac:dyDescent="0.2">
      <c r="A231" s="2290"/>
      <c r="B231" s="896" t="s">
        <v>2207</v>
      </c>
      <c r="C231" s="1800">
        <v>0</v>
      </c>
      <c r="D231" s="1800">
        <f>(17098.2+153883.8)+(-17098.2-153883.8)+(34051.5+306463.5)</f>
        <v>340515</v>
      </c>
      <c r="E231" s="767"/>
      <c r="F231" s="1676"/>
      <c r="G231" s="2200"/>
      <c r="H231" s="2200"/>
      <c r="I231" s="2201"/>
      <c r="J231" s="29">
        <v>194148</v>
      </c>
    </row>
    <row r="232" spans="1:10" s="98" customFormat="1" ht="30" customHeight="1" x14ac:dyDescent="0.2">
      <c r="A232" s="2290"/>
      <c r="B232" s="896" t="s">
        <v>2208</v>
      </c>
      <c r="C232" s="1703">
        <v>0</v>
      </c>
      <c r="D232" s="1703">
        <f>(9159.75+82437.75)+(-6672.7-60054.3)+(31360.5+282244.5)</f>
        <v>338475.5</v>
      </c>
      <c r="E232" s="767"/>
      <c r="F232" s="1676"/>
      <c r="G232" s="2200"/>
      <c r="H232" s="2200"/>
      <c r="I232" s="2201"/>
      <c r="J232" s="29">
        <v>112237.5</v>
      </c>
    </row>
    <row r="233" spans="1:10" s="98" customFormat="1" ht="30" customHeight="1" x14ac:dyDescent="0.2">
      <c r="A233" s="2290"/>
      <c r="B233" s="896" t="s">
        <v>2209</v>
      </c>
      <c r="C233" s="1800">
        <v>0</v>
      </c>
      <c r="D233" s="1800">
        <f>(11663.45+104971.05)+(-7299.9-65699.1)+(24290.45+113643)+(-24290.45+12627)+(-24290.45+12627)</f>
        <v>158242.04999999999</v>
      </c>
      <c r="E233" s="854"/>
      <c r="F233" s="1676"/>
      <c r="G233" s="2200"/>
      <c r="H233" s="2200"/>
      <c r="I233" s="2201"/>
      <c r="J233" s="29">
        <v>116634.5</v>
      </c>
    </row>
    <row r="234" spans="1:10" ht="30" customHeight="1" x14ac:dyDescent="0.2">
      <c r="A234" s="2296"/>
      <c r="B234" s="809" t="s">
        <v>3089</v>
      </c>
      <c r="C234" s="1800">
        <v>0</v>
      </c>
      <c r="D234" s="1800">
        <f>169263</f>
        <v>169263</v>
      </c>
      <c r="E234" s="854"/>
      <c r="F234" s="1783"/>
      <c r="G234" s="2200"/>
      <c r="H234" s="2200"/>
      <c r="I234" s="2201"/>
      <c r="J234" s="29">
        <v>170400</v>
      </c>
    </row>
    <row r="235" spans="1:10" ht="30" customHeight="1" x14ac:dyDescent="0.2">
      <c r="A235" s="2296"/>
      <c r="B235" s="809" t="s">
        <v>2210</v>
      </c>
      <c r="C235" s="1800">
        <v>0</v>
      </c>
      <c r="D235" s="1800">
        <f>4631000+938000</f>
        <v>5569000</v>
      </c>
      <c r="E235" s="854"/>
      <c r="F235" s="1783"/>
      <c r="G235" s="2200"/>
      <c r="H235" s="2200"/>
      <c r="I235" s="2201"/>
      <c r="J235" s="29">
        <v>5014000</v>
      </c>
    </row>
    <row r="236" spans="1:10" s="98" customFormat="1" ht="30" customHeight="1" x14ac:dyDescent="0.2">
      <c r="A236" s="2297">
        <v>4134</v>
      </c>
      <c r="B236" s="787" t="s">
        <v>1273</v>
      </c>
      <c r="C236" s="746">
        <f>SUM(C237:C238)</f>
        <v>7800000</v>
      </c>
      <c r="D236" s="746">
        <f>SUM(D237:D238)</f>
        <v>7800000</v>
      </c>
      <c r="E236" s="746"/>
      <c r="F236" s="767"/>
      <c r="G236" s="1663"/>
      <c r="H236" s="1663"/>
      <c r="I236" s="1662"/>
      <c r="J236" s="29">
        <v>6735923</v>
      </c>
    </row>
    <row r="237" spans="1:10" s="98" customFormat="1" ht="30" customHeight="1" x14ac:dyDescent="0.2">
      <c r="A237" s="2298"/>
      <c r="B237" s="796" t="s">
        <v>1275</v>
      </c>
      <c r="C237" s="853">
        <v>7800000</v>
      </c>
      <c r="D237" s="853">
        <v>7800000</v>
      </c>
      <c r="E237" s="772"/>
      <c r="F237" s="1676"/>
      <c r="G237" s="2200"/>
      <c r="H237" s="2200"/>
      <c r="I237" s="2201"/>
      <c r="J237" s="29">
        <v>6000000</v>
      </c>
    </row>
    <row r="238" spans="1:10" s="98" customFormat="1" ht="30" customHeight="1" x14ac:dyDescent="0.2">
      <c r="A238" s="2298"/>
      <c r="B238" s="796" t="s">
        <v>3177</v>
      </c>
      <c r="C238" s="853">
        <v>0</v>
      </c>
      <c r="D238" s="853">
        <v>0</v>
      </c>
      <c r="E238" s="772"/>
      <c r="F238" s="1676"/>
      <c r="G238" s="2200"/>
      <c r="H238" s="2200"/>
      <c r="I238" s="2201"/>
      <c r="J238" s="29">
        <v>735923</v>
      </c>
    </row>
    <row r="239" spans="1:10" s="98" customFormat="1" ht="30" customHeight="1" x14ac:dyDescent="0.2">
      <c r="A239" s="2237">
        <v>4213</v>
      </c>
      <c r="B239" s="787" t="s">
        <v>1279</v>
      </c>
      <c r="C239" s="734">
        <f>SUM(C240:C240)</f>
        <v>1101835.091</v>
      </c>
      <c r="D239" s="734">
        <f>SUM(D240:D240)</f>
        <v>999894.81</v>
      </c>
      <c r="E239" s="734"/>
      <c r="F239" s="772"/>
      <c r="G239" s="1663"/>
      <c r="H239" s="1663"/>
      <c r="I239" s="1662"/>
      <c r="J239" s="29">
        <v>1089981.05</v>
      </c>
    </row>
    <row r="240" spans="1:10" s="2" customFormat="1" ht="30" customHeight="1" x14ac:dyDescent="0.2">
      <c r="A240" s="2299"/>
      <c r="B240" s="1423" t="s">
        <v>2213</v>
      </c>
      <c r="C240" s="1763">
        <v>1101835.091</v>
      </c>
      <c r="D240" s="1763">
        <f>1101835.09-1101835.09+999894.81</f>
        <v>999894.81</v>
      </c>
      <c r="E240" s="772"/>
      <c r="F240" s="1811"/>
      <c r="G240" s="2200"/>
      <c r="H240" s="2200"/>
      <c r="I240" s="2201"/>
      <c r="J240" s="88">
        <v>0</v>
      </c>
    </row>
    <row r="241" spans="1:10" s="98" customFormat="1" ht="30" customHeight="1" x14ac:dyDescent="0.2">
      <c r="A241" s="2237">
        <v>4216</v>
      </c>
      <c r="B241" s="843" t="s">
        <v>234</v>
      </c>
      <c r="C241" s="904">
        <f>SUM(C242:C249)</f>
        <v>24669004.440000001</v>
      </c>
      <c r="D241" s="904">
        <f>SUM(D242:D249)</f>
        <v>11650256.68</v>
      </c>
      <c r="E241" s="904"/>
      <c r="F241" s="2300"/>
      <c r="G241" s="1663"/>
      <c r="H241" s="1663"/>
      <c r="I241" s="1662"/>
      <c r="J241" s="29">
        <v>29002821.16</v>
      </c>
    </row>
    <row r="242" spans="1:10" s="98" customFormat="1" ht="30" customHeight="1" x14ac:dyDescent="0.2">
      <c r="A242" s="2301"/>
      <c r="B242" s="1018" t="s">
        <v>2663</v>
      </c>
      <c r="C242" s="1703">
        <v>13964800</v>
      </c>
      <c r="D242" s="1703">
        <f>13964800-13964800</f>
        <v>0</v>
      </c>
      <c r="E242" s="767"/>
      <c r="F242" s="1676"/>
      <c r="G242" s="2200"/>
      <c r="H242" s="2200"/>
      <c r="I242" s="2201"/>
      <c r="J242" s="29">
        <v>0</v>
      </c>
    </row>
    <row r="243" spans="1:10" s="98" customFormat="1" ht="30" customHeight="1" x14ac:dyDescent="0.2">
      <c r="A243" s="2290"/>
      <c r="B243" s="1018" t="s">
        <v>2664</v>
      </c>
      <c r="C243" s="1703">
        <v>8886847</v>
      </c>
      <c r="D243" s="1703">
        <f>8886847-8886847</f>
        <v>0</v>
      </c>
      <c r="E243" s="767"/>
      <c r="F243" s="1676"/>
      <c r="G243" s="2200"/>
      <c r="H243" s="2200"/>
      <c r="I243" s="2201"/>
      <c r="J243" s="29">
        <v>0</v>
      </c>
    </row>
    <row r="244" spans="1:10" s="2" customFormat="1" ht="30" customHeight="1" x14ac:dyDescent="0.2">
      <c r="A244" s="2299"/>
      <c r="B244" s="903" t="s">
        <v>3178</v>
      </c>
      <c r="C244" s="1800">
        <v>1817357.44</v>
      </c>
      <c r="D244" s="1800">
        <f>1817357.44-1817357.44</f>
        <v>0</v>
      </c>
      <c r="E244" s="772"/>
      <c r="F244" s="1676"/>
      <c r="G244" s="2200"/>
      <c r="H244" s="2200"/>
      <c r="I244" s="2201"/>
      <c r="J244" s="88">
        <v>0</v>
      </c>
    </row>
    <row r="245" spans="1:10" s="2" customFormat="1" ht="30" customHeight="1" x14ac:dyDescent="0.2">
      <c r="A245" s="2299"/>
      <c r="B245" s="903" t="s">
        <v>3179</v>
      </c>
      <c r="C245" s="1800">
        <v>0</v>
      </c>
      <c r="D245" s="1800">
        <v>196649.72</v>
      </c>
      <c r="E245" s="772"/>
      <c r="F245" s="1676"/>
      <c r="G245" s="2200"/>
      <c r="H245" s="2200"/>
      <c r="I245" s="2201"/>
      <c r="J245" s="88">
        <v>0</v>
      </c>
    </row>
    <row r="246" spans="1:10" s="2" customFormat="1" ht="30" customHeight="1" x14ac:dyDescent="0.2">
      <c r="A246" s="2299"/>
      <c r="B246" s="903" t="s">
        <v>3092</v>
      </c>
      <c r="C246" s="1800">
        <v>0</v>
      </c>
      <c r="D246" s="1800">
        <v>8820238.6199999992</v>
      </c>
      <c r="E246" s="772"/>
      <c r="F246" s="1676"/>
      <c r="G246" s="2200"/>
      <c r="H246" s="2200"/>
      <c r="I246" s="2201"/>
      <c r="J246" s="88">
        <v>0</v>
      </c>
    </row>
    <row r="247" spans="1:10" s="98" customFormat="1" ht="30" customHeight="1" x14ac:dyDescent="0.2">
      <c r="A247" s="2290"/>
      <c r="B247" s="1018" t="s">
        <v>2666</v>
      </c>
      <c r="C247" s="1703">
        <v>0</v>
      </c>
      <c r="D247" s="1703">
        <v>1571026.45</v>
      </c>
      <c r="E247" s="767"/>
      <c r="F247" s="1676"/>
      <c r="G247" s="2200"/>
      <c r="H247" s="2200"/>
      <c r="I247" s="2201"/>
      <c r="J247" s="29">
        <v>0</v>
      </c>
    </row>
    <row r="248" spans="1:10" s="98" customFormat="1" ht="30" customHeight="1" x14ac:dyDescent="0.2">
      <c r="A248" s="2302"/>
      <c r="B248" s="796" t="s">
        <v>2667</v>
      </c>
      <c r="C248" s="1813">
        <v>0</v>
      </c>
      <c r="D248" s="1813">
        <v>1022341.89</v>
      </c>
      <c r="E248" s="767"/>
      <c r="F248" s="1813"/>
      <c r="G248" s="2200"/>
      <c r="H248" s="2200"/>
      <c r="I248" s="2201"/>
      <c r="J248" s="29">
        <v>0</v>
      </c>
    </row>
    <row r="249" spans="1:10" s="98" customFormat="1" ht="30" customHeight="1" x14ac:dyDescent="0.2">
      <c r="A249" s="2303"/>
      <c r="B249" s="901" t="s">
        <v>2668</v>
      </c>
      <c r="C249" s="772">
        <v>0</v>
      </c>
      <c r="D249" s="772">
        <f>40000</f>
        <v>40000</v>
      </c>
      <c r="E249" s="767"/>
      <c r="F249" s="893"/>
      <c r="G249" s="2200"/>
      <c r="H249" s="2200"/>
      <c r="I249" s="2201"/>
      <c r="J249" s="29">
        <v>0</v>
      </c>
    </row>
    <row r="250" spans="1:10" s="98" customFormat="1" ht="30" customHeight="1" x14ac:dyDescent="0.2">
      <c r="A250" s="2237">
        <v>4222</v>
      </c>
      <c r="B250" s="782" t="s">
        <v>245</v>
      </c>
      <c r="C250" s="904">
        <f>SUM(C251:C253)</f>
        <v>679980</v>
      </c>
      <c r="D250" s="904">
        <f>SUM(D251:D253)</f>
        <v>460000</v>
      </c>
      <c r="E250" s="904"/>
      <c r="F250" s="2300"/>
      <c r="G250" s="1663"/>
      <c r="H250" s="1663"/>
      <c r="I250" s="1662"/>
      <c r="J250" s="29">
        <v>1500911</v>
      </c>
    </row>
    <row r="251" spans="1:10" s="98" customFormat="1" ht="30" customHeight="1" x14ac:dyDescent="0.2">
      <c r="A251" s="2290"/>
      <c r="B251" s="824" t="s">
        <v>2669</v>
      </c>
      <c r="C251" s="1800">
        <v>300000</v>
      </c>
      <c r="D251" s="1800">
        <f>300000-140000</f>
        <v>160000</v>
      </c>
      <c r="E251" s="767"/>
      <c r="F251" s="1676"/>
      <c r="G251" s="2200"/>
      <c r="H251" s="2200"/>
      <c r="I251" s="2201"/>
      <c r="J251" s="29">
        <v>300000</v>
      </c>
    </row>
    <row r="252" spans="1:10" s="98" customFormat="1" ht="30" customHeight="1" x14ac:dyDescent="0.2">
      <c r="A252" s="2304"/>
      <c r="B252" s="907" t="s">
        <v>1300</v>
      </c>
      <c r="C252" s="1800">
        <v>79980</v>
      </c>
      <c r="D252" s="1800">
        <f>79980-79980</f>
        <v>0</v>
      </c>
      <c r="E252" s="767"/>
      <c r="F252" s="1676"/>
      <c r="G252" s="2200"/>
      <c r="H252" s="2200"/>
      <c r="I252" s="2201"/>
      <c r="J252" s="29">
        <v>0</v>
      </c>
    </row>
    <row r="253" spans="1:10" s="98" customFormat="1" ht="30" customHeight="1" x14ac:dyDescent="0.2">
      <c r="A253" s="2276"/>
      <c r="B253" s="1077" t="s">
        <v>2224</v>
      </c>
      <c r="C253" s="1703">
        <v>300000</v>
      </c>
      <c r="D253" s="1703">
        <v>300000</v>
      </c>
      <c r="E253" s="1800"/>
      <c r="F253" s="1703"/>
      <c r="G253" s="2200"/>
      <c r="H253" s="2200"/>
      <c r="I253" s="2201"/>
      <c r="J253" s="29">
        <v>1200000</v>
      </c>
    </row>
    <row r="254" spans="1:10" s="98" customFormat="1" ht="30" customHeight="1" x14ac:dyDescent="0.2">
      <c r="A254" s="2305"/>
      <c r="B254" s="913"/>
      <c r="C254" s="1802"/>
      <c r="D254" s="1802"/>
      <c r="E254" s="833"/>
      <c r="F254" s="1682"/>
      <c r="G254" s="1682"/>
      <c r="H254" s="1682"/>
      <c r="I254" s="1802"/>
      <c r="J254" s="29"/>
    </row>
    <row r="255" spans="1:10" s="98" customFormat="1" ht="30" customHeight="1" x14ac:dyDescent="0.3">
      <c r="A255" s="2306"/>
      <c r="B255" s="916" t="s">
        <v>13</v>
      </c>
      <c r="C255" s="917">
        <f>SUM(C32+C65+C167+C185)</f>
        <v>880607447.43799996</v>
      </c>
      <c r="D255" s="917">
        <f>SUM(D32+D65+D167+D185)</f>
        <v>904953448.2700001</v>
      </c>
      <c r="E255" s="917"/>
      <c r="F255" s="2307"/>
      <c r="G255" s="949"/>
      <c r="H255" s="949"/>
      <c r="I255" s="949"/>
      <c r="J255" s="29">
        <v>1080383498.1700001</v>
      </c>
    </row>
    <row r="256" spans="1:10" s="98" customFormat="1" ht="30" customHeight="1" x14ac:dyDescent="0.25">
      <c r="A256" s="2308"/>
      <c r="B256" s="919"/>
      <c r="C256" s="1674"/>
      <c r="D256" s="1674"/>
      <c r="E256" s="920"/>
      <c r="F256" s="1682"/>
      <c r="G256" s="1682"/>
      <c r="H256" s="1682"/>
      <c r="I256" s="1674"/>
      <c r="J256" s="29"/>
    </row>
    <row r="257" spans="1:10" s="98" customFormat="1" ht="30" customHeight="1" x14ac:dyDescent="0.25">
      <c r="A257" s="2309"/>
      <c r="B257" s="2310" t="s">
        <v>14</v>
      </c>
      <c r="C257" s="608">
        <f>SUM(C258:C260)</f>
        <v>240886192.56</v>
      </c>
      <c r="D257" s="608">
        <f>SUM(D258:D260)</f>
        <v>262407060.73000002</v>
      </c>
      <c r="E257" s="608"/>
      <c r="F257" s="2311"/>
      <c r="G257" s="1654"/>
      <c r="H257" s="1654"/>
      <c r="I257" s="1654"/>
      <c r="J257" s="29">
        <v>-183913713.15000001</v>
      </c>
    </row>
    <row r="258" spans="1:10" ht="30" customHeight="1" x14ac:dyDescent="0.2">
      <c r="A258" s="2288">
        <v>8115</v>
      </c>
      <c r="B258" s="926" t="s">
        <v>2225</v>
      </c>
      <c r="C258" s="1815">
        <f>248167864.56-615000</f>
        <v>247552864.56</v>
      </c>
      <c r="D258" s="1815">
        <f>248167864.56-615000+21520868.17</f>
        <v>269073732.73000002</v>
      </c>
      <c r="E258" s="882"/>
      <c r="F258" s="2312"/>
      <c r="G258" s="1663"/>
      <c r="H258" s="1663"/>
      <c r="I258" s="1662"/>
      <c r="J258" s="1866">
        <v>175027502.22999999</v>
      </c>
    </row>
    <row r="259" spans="1:10" ht="30" customHeight="1" x14ac:dyDescent="0.2">
      <c r="A259" s="2288">
        <v>8124</v>
      </c>
      <c r="B259" s="928" t="s">
        <v>1304</v>
      </c>
      <c r="C259" s="746">
        <f>-(555556*12)</f>
        <v>-6666672</v>
      </c>
      <c r="D259" s="746">
        <f>-(555556*12)</f>
        <v>-6666672</v>
      </c>
      <c r="E259" s="882"/>
      <c r="F259" s="767"/>
      <c r="G259" s="1663"/>
      <c r="H259" s="1663"/>
      <c r="I259" s="1662"/>
      <c r="J259" s="29">
        <v>-6666672</v>
      </c>
    </row>
    <row r="260" spans="1:10" s="235" customFormat="1" ht="30" customHeight="1" x14ac:dyDescent="0.4">
      <c r="A260" s="2237">
        <v>8901</v>
      </c>
      <c r="B260" s="782" t="s">
        <v>254</v>
      </c>
      <c r="C260" s="734">
        <f t="shared" ref="C260:D260" si="26">SUM(C261:C262)</f>
        <v>0</v>
      </c>
      <c r="D260" s="734">
        <f t="shared" si="26"/>
        <v>0</v>
      </c>
      <c r="E260" s="998"/>
      <c r="F260" s="893"/>
      <c r="G260" s="1663"/>
      <c r="H260" s="1663"/>
      <c r="I260" s="1662"/>
      <c r="J260" s="1866">
        <v>85503.99</v>
      </c>
    </row>
    <row r="261" spans="1:10" s="236" customFormat="1" ht="30" customHeight="1" x14ac:dyDescent="0.35">
      <c r="A261" s="2313"/>
      <c r="B261" s="933" t="s">
        <v>3093</v>
      </c>
      <c r="C261" s="854">
        <v>0</v>
      </c>
      <c r="D261" s="854">
        <v>0</v>
      </c>
      <c r="E261" s="993"/>
      <c r="F261" s="1805"/>
      <c r="G261" s="2200"/>
      <c r="H261" s="2200"/>
      <c r="I261" s="2201"/>
      <c r="J261" s="32">
        <v>85503.99</v>
      </c>
    </row>
    <row r="262" spans="1:10" s="236" customFormat="1" ht="30" customHeight="1" x14ac:dyDescent="0.35">
      <c r="A262" s="2313"/>
      <c r="B262" s="933" t="s">
        <v>2672</v>
      </c>
      <c r="C262" s="854">
        <v>0</v>
      </c>
      <c r="D262" s="854">
        <v>0</v>
      </c>
      <c r="E262" s="993"/>
      <c r="F262" s="854"/>
      <c r="G262" s="2200"/>
      <c r="H262" s="2200"/>
      <c r="I262" s="2201"/>
      <c r="J262" s="88"/>
    </row>
    <row r="263" spans="1:10" ht="30" customHeight="1" x14ac:dyDescent="0.2">
      <c r="A263" s="2314"/>
      <c r="B263" s="939"/>
      <c r="C263" s="1793"/>
      <c r="D263" s="1793"/>
      <c r="E263" s="1821"/>
      <c r="F263" s="1793"/>
      <c r="G263" s="1793"/>
      <c r="H263" s="1793"/>
      <c r="I263" s="1793"/>
    </row>
    <row r="264" spans="1:10" s="85" customFormat="1" ht="30" customHeight="1" x14ac:dyDescent="0.4">
      <c r="A264" s="2315"/>
      <c r="B264" s="947" t="s">
        <v>15</v>
      </c>
      <c r="C264" s="2316">
        <f>SUM(C255+C257)</f>
        <v>1121493639.9979999</v>
      </c>
      <c r="D264" s="2316">
        <f>SUM(D255+D257)</f>
        <v>1167360509</v>
      </c>
      <c r="E264" s="2316"/>
      <c r="F264" s="2317"/>
      <c r="G264" s="2318"/>
      <c r="H264" s="2318"/>
      <c r="I264" s="2318"/>
      <c r="J264" s="29">
        <v>896469785.01999998</v>
      </c>
    </row>
    <row r="265" spans="1:10" s="98" customFormat="1" ht="30" customHeight="1" x14ac:dyDescent="0.3">
      <c r="A265" s="2319"/>
      <c r="B265" s="951" t="s">
        <v>2228</v>
      </c>
      <c r="C265" s="1674"/>
      <c r="D265" s="1674"/>
      <c r="E265" s="952"/>
      <c r="F265" s="1682"/>
      <c r="G265" s="1682"/>
      <c r="H265" s="1682"/>
      <c r="I265" s="1674"/>
      <c r="J265" s="29"/>
    </row>
    <row r="266" spans="1:10" ht="30" customHeight="1" x14ac:dyDescent="0.3">
      <c r="A266" s="2320"/>
      <c r="B266" s="951" t="s">
        <v>258</v>
      </c>
      <c r="C266" s="2321">
        <f>C267+C282+C310+C319</f>
        <v>79616000</v>
      </c>
      <c r="D266" s="2321">
        <f>D267+D282+D310+D319</f>
        <v>80837664.640000001</v>
      </c>
      <c r="E266" s="2321"/>
      <c r="F266" s="2322"/>
      <c r="G266" s="949"/>
      <c r="H266" s="949"/>
      <c r="I266" s="949"/>
      <c r="J266" s="29">
        <v>76227711.599999994</v>
      </c>
    </row>
    <row r="267" spans="1:10" s="19" customFormat="1" ht="30" customHeight="1" x14ac:dyDescent="0.25">
      <c r="A267" s="2323"/>
      <c r="B267" s="959" t="s">
        <v>259</v>
      </c>
      <c r="C267" s="960">
        <f>SUM(C268+C273+C279)</f>
        <v>5835000</v>
      </c>
      <c r="D267" s="960">
        <f>SUM(D268+D273+D279)</f>
        <v>6935000</v>
      </c>
      <c r="E267" s="960"/>
      <c r="F267" s="2324"/>
      <c r="G267" s="2325"/>
      <c r="H267" s="2325"/>
      <c r="I267" s="2325"/>
      <c r="J267" s="29">
        <v>2525121.67</v>
      </c>
    </row>
    <row r="268" spans="1:10" ht="30" customHeight="1" x14ac:dyDescent="0.2">
      <c r="A268" s="2326">
        <v>2310</v>
      </c>
      <c r="B268" s="963" t="s">
        <v>1307</v>
      </c>
      <c r="C268" s="964">
        <f>SUM(C269:C272)</f>
        <v>265000</v>
      </c>
      <c r="D268" s="964">
        <f>SUM(D269:D272)</f>
        <v>282000</v>
      </c>
      <c r="E268" s="964"/>
      <c r="F268" s="2327"/>
      <c r="G268" s="1663"/>
      <c r="H268" s="1663"/>
      <c r="I268" s="1662"/>
      <c r="J268" s="29">
        <v>0</v>
      </c>
    </row>
    <row r="269" spans="1:10" ht="30" customHeight="1" x14ac:dyDescent="0.2">
      <c r="A269" s="2328" t="s">
        <v>261</v>
      </c>
      <c r="B269" s="778" t="s">
        <v>262</v>
      </c>
      <c r="C269" s="1828">
        <v>15000</v>
      </c>
      <c r="D269" s="1828">
        <f>15000-15000</f>
        <v>0</v>
      </c>
      <c r="E269" s="968"/>
      <c r="F269" s="2329"/>
      <c r="G269" s="2200"/>
      <c r="H269" s="2200"/>
      <c r="I269" s="2201"/>
      <c r="J269" s="29">
        <v>0</v>
      </c>
    </row>
    <row r="270" spans="1:10" ht="30" customHeight="1" x14ac:dyDescent="0.2">
      <c r="A270" s="2328" t="s">
        <v>263</v>
      </c>
      <c r="B270" s="778" t="s">
        <v>2229</v>
      </c>
      <c r="C270" s="767">
        <v>50000</v>
      </c>
      <c r="D270" s="767">
        <f>50000+174082.7-43000</f>
        <v>181082.7</v>
      </c>
      <c r="E270" s="968"/>
      <c r="F270" s="2330"/>
      <c r="G270" s="2200"/>
      <c r="H270" s="2200"/>
      <c r="I270" s="2201"/>
      <c r="J270" s="29">
        <v>0</v>
      </c>
    </row>
    <row r="271" spans="1:10" ht="30" customHeight="1" x14ac:dyDescent="0.2">
      <c r="A271" s="2328" t="s">
        <v>265</v>
      </c>
      <c r="B271" s="778" t="s">
        <v>2230</v>
      </c>
      <c r="C271" s="767">
        <v>200000</v>
      </c>
      <c r="D271" s="767">
        <f>200000-174082.7-25000</f>
        <v>917.29999999998836</v>
      </c>
      <c r="E271" s="970"/>
      <c r="F271" s="2331"/>
      <c r="G271" s="2200"/>
      <c r="H271" s="2200"/>
      <c r="I271" s="2201"/>
      <c r="J271" s="29">
        <v>0</v>
      </c>
    </row>
    <row r="272" spans="1:10" ht="30" customHeight="1" x14ac:dyDescent="0.2">
      <c r="A272" s="2328" t="s">
        <v>3095</v>
      </c>
      <c r="B272" s="778" t="s">
        <v>3180</v>
      </c>
      <c r="C272" s="767">
        <v>0</v>
      </c>
      <c r="D272" s="767">
        <f>83000+17000</f>
        <v>100000</v>
      </c>
      <c r="E272" s="970"/>
      <c r="F272" s="2331"/>
      <c r="G272" s="2200"/>
      <c r="H272" s="2200"/>
      <c r="I272" s="2201"/>
      <c r="J272" s="29">
        <v>0</v>
      </c>
    </row>
    <row r="273" spans="1:11" ht="30" customHeight="1" x14ac:dyDescent="0.2">
      <c r="A273" s="2237">
        <v>2321</v>
      </c>
      <c r="B273" s="787" t="s">
        <v>1314</v>
      </c>
      <c r="C273" s="734">
        <f t="shared" ref="C273:D273" si="27">SUM(C274:C278)</f>
        <v>5410000</v>
      </c>
      <c r="D273" s="734">
        <f t="shared" si="27"/>
        <v>6493000</v>
      </c>
      <c r="E273" s="734"/>
      <c r="F273" s="772"/>
      <c r="G273" s="1663"/>
      <c r="H273" s="1663"/>
      <c r="I273" s="1662"/>
      <c r="J273" s="29">
        <v>2299986.89</v>
      </c>
    </row>
    <row r="274" spans="1:11" ht="30" customHeight="1" x14ac:dyDescent="0.2">
      <c r="A274" s="2328" t="s">
        <v>268</v>
      </c>
      <c r="B274" s="778" t="s">
        <v>269</v>
      </c>
      <c r="C274" s="767">
        <v>300000</v>
      </c>
      <c r="D274" s="767">
        <v>300000</v>
      </c>
      <c r="E274" s="968"/>
      <c r="F274" s="2330"/>
      <c r="G274" s="2200"/>
      <c r="H274" s="2200"/>
      <c r="I274" s="2201"/>
      <c r="J274" s="29">
        <v>273924</v>
      </c>
    </row>
    <row r="275" spans="1:11" s="2" customFormat="1" ht="30" customHeight="1" x14ac:dyDescent="0.2">
      <c r="A275" s="2328" t="s">
        <v>270</v>
      </c>
      <c r="B275" s="778" t="s">
        <v>2231</v>
      </c>
      <c r="C275" s="1835">
        <v>910000</v>
      </c>
      <c r="D275" s="767">
        <f>910000+699259+195569.92+669420.4+400000</f>
        <v>2874249.32</v>
      </c>
      <c r="E275" s="968"/>
      <c r="F275" s="2330"/>
      <c r="G275" s="2200"/>
      <c r="H275" s="2200"/>
      <c r="I275" s="2201"/>
      <c r="J275" s="88">
        <v>574616.26</v>
      </c>
    </row>
    <row r="276" spans="1:11" ht="30" customHeight="1" x14ac:dyDescent="0.2">
      <c r="A276" s="2332" t="s">
        <v>272</v>
      </c>
      <c r="B276" s="818" t="s">
        <v>1316</v>
      </c>
      <c r="C276" s="820">
        <v>3000000</v>
      </c>
      <c r="D276" s="820">
        <f>3000000-699259-195569.92-669420.4+200000+700000-17000</f>
        <v>2318750.6800000002</v>
      </c>
      <c r="E276" s="934"/>
      <c r="F276" s="1839"/>
      <c r="G276" s="2200"/>
      <c r="H276" s="2200"/>
      <c r="I276" s="2201"/>
      <c r="J276" s="29">
        <v>1451446.63</v>
      </c>
    </row>
    <row r="277" spans="1:11" ht="30" customHeight="1" x14ac:dyDescent="0.2">
      <c r="A277" s="2333" t="s">
        <v>417</v>
      </c>
      <c r="B277" s="1039" t="s">
        <v>2673</v>
      </c>
      <c r="C277" s="854">
        <v>1000000</v>
      </c>
      <c r="D277" s="854">
        <v>1000000</v>
      </c>
      <c r="E277" s="1730"/>
      <c r="F277" s="779"/>
      <c r="G277" s="2200"/>
      <c r="H277" s="2200"/>
      <c r="I277" s="2201"/>
      <c r="J277" s="29">
        <v>0</v>
      </c>
    </row>
    <row r="278" spans="1:11" ht="30" customHeight="1" x14ac:dyDescent="0.2">
      <c r="A278" s="2328" t="s">
        <v>272</v>
      </c>
      <c r="B278" s="789" t="s">
        <v>1317</v>
      </c>
      <c r="C278" s="767">
        <v>200000</v>
      </c>
      <c r="D278" s="767">
        <f>200000-200000</f>
        <v>0</v>
      </c>
      <c r="E278" s="968"/>
      <c r="F278" s="2330"/>
      <c r="G278" s="2200"/>
      <c r="H278" s="2200"/>
      <c r="I278" s="2201"/>
      <c r="J278" s="29">
        <v>0</v>
      </c>
    </row>
    <row r="279" spans="1:11" ht="30" customHeight="1" x14ac:dyDescent="0.2">
      <c r="A279" s="2288">
        <v>2333</v>
      </c>
      <c r="B279" s="973" t="s">
        <v>1318</v>
      </c>
      <c r="C279" s="974">
        <f t="shared" ref="C279:D279" si="28">SUM(C280:C281)</f>
        <v>160000</v>
      </c>
      <c r="D279" s="974">
        <f t="shared" si="28"/>
        <v>160000</v>
      </c>
      <c r="E279" s="974"/>
      <c r="F279" s="820"/>
      <c r="G279" s="1663"/>
      <c r="H279" s="1663"/>
      <c r="I279" s="1662"/>
      <c r="J279" s="29">
        <v>225134.78</v>
      </c>
    </row>
    <row r="280" spans="1:11" ht="30" customHeight="1" x14ac:dyDescent="0.2">
      <c r="A280" s="2328" t="s">
        <v>276</v>
      </c>
      <c r="B280" s="778" t="s">
        <v>1319</v>
      </c>
      <c r="C280" s="767">
        <v>80000</v>
      </c>
      <c r="D280" s="767">
        <v>80000</v>
      </c>
      <c r="E280" s="968"/>
      <c r="F280" s="2330"/>
      <c r="G280" s="2200"/>
      <c r="H280" s="2200"/>
      <c r="I280" s="2201"/>
      <c r="J280" s="29">
        <v>225134.78</v>
      </c>
    </row>
    <row r="281" spans="1:11" ht="30" customHeight="1" x14ac:dyDescent="0.2">
      <c r="A281" s="2328" t="s">
        <v>278</v>
      </c>
      <c r="B281" s="778" t="s">
        <v>2233</v>
      </c>
      <c r="C281" s="779">
        <v>80000</v>
      </c>
      <c r="D281" s="779">
        <v>80000</v>
      </c>
      <c r="E281" s="935"/>
      <c r="F281" s="2334"/>
      <c r="G281" s="2200"/>
      <c r="H281" s="2200"/>
      <c r="I281" s="2201"/>
      <c r="J281" s="29">
        <v>0</v>
      </c>
    </row>
    <row r="282" spans="1:11" s="98" customFormat="1" ht="30" customHeight="1" x14ac:dyDescent="0.25">
      <c r="A282" s="2335"/>
      <c r="B282" s="925" t="s">
        <v>279</v>
      </c>
      <c r="C282" s="981">
        <f>SUM(C283+C294+C303)</f>
        <v>40696000</v>
      </c>
      <c r="D282" s="981">
        <f>SUM(D283+D294+D303)</f>
        <v>39760815</v>
      </c>
      <c r="E282" s="981"/>
      <c r="F282" s="2336"/>
      <c r="G282" s="2325"/>
      <c r="H282" s="2325"/>
      <c r="I282" s="2325"/>
      <c r="J282" s="29">
        <v>48956913.299999997</v>
      </c>
    </row>
    <row r="283" spans="1:11" s="98" customFormat="1" ht="30" customHeight="1" x14ac:dyDescent="0.2">
      <c r="A283" s="2337">
        <v>2212</v>
      </c>
      <c r="B283" s="963" t="s">
        <v>1321</v>
      </c>
      <c r="C283" s="984">
        <f>SUM(C284,C287:C293)</f>
        <v>34970000</v>
      </c>
      <c r="D283" s="984">
        <f>SUM(D284,D287:D293)</f>
        <v>35277296</v>
      </c>
      <c r="E283" s="984"/>
      <c r="F283" s="2338"/>
      <c r="G283" s="1663"/>
      <c r="H283" s="1663"/>
      <c r="I283" s="1662"/>
      <c r="J283" s="29">
        <v>45142716.450000003</v>
      </c>
    </row>
    <row r="284" spans="1:11" s="2" customFormat="1" ht="30" customHeight="1" x14ac:dyDescent="0.2">
      <c r="A284" s="2299"/>
      <c r="B284" s="889" t="s">
        <v>2245</v>
      </c>
      <c r="C284" s="772">
        <f>SUM(C285:C286)</f>
        <v>0</v>
      </c>
      <c r="D284" s="772">
        <f>SUM(D285:D286)</f>
        <v>398937</v>
      </c>
      <c r="E284" s="772"/>
      <c r="F284" s="772"/>
      <c r="G284" s="2200"/>
      <c r="H284" s="2200"/>
      <c r="I284" s="2201"/>
      <c r="J284" s="88">
        <v>163350</v>
      </c>
    </row>
    <row r="285" spans="1:11" s="98" customFormat="1" ht="30" customHeight="1" x14ac:dyDescent="0.2">
      <c r="A285" s="2339" t="s">
        <v>1338</v>
      </c>
      <c r="B285" s="737" t="s">
        <v>2244</v>
      </c>
      <c r="C285" s="738">
        <v>0</v>
      </c>
      <c r="D285" s="738">
        <v>98736</v>
      </c>
      <c r="E285" s="2340"/>
      <c r="F285" s="2341"/>
      <c r="G285" s="2200"/>
      <c r="H285" s="2200"/>
      <c r="I285" s="2201"/>
      <c r="J285" s="29">
        <v>163350</v>
      </c>
    </row>
    <row r="286" spans="1:11" s="98" customFormat="1" ht="30" customHeight="1" x14ac:dyDescent="0.2">
      <c r="A286" s="2339" t="s">
        <v>1340</v>
      </c>
      <c r="B286" s="737" t="s">
        <v>3181</v>
      </c>
      <c r="C286" s="738">
        <v>0</v>
      </c>
      <c r="D286" s="738">
        <v>300201</v>
      </c>
      <c r="E286" s="2340"/>
      <c r="F286" s="2341"/>
      <c r="G286" s="2200"/>
      <c r="H286" s="2200"/>
      <c r="I286" s="2201"/>
      <c r="J286" s="29">
        <v>0</v>
      </c>
    </row>
    <row r="287" spans="1:11" s="98" customFormat="1" ht="30" customHeight="1" x14ac:dyDescent="0.2">
      <c r="A287" s="2339" t="s">
        <v>286</v>
      </c>
      <c r="B287" s="737" t="s">
        <v>2675</v>
      </c>
      <c r="C287" s="738">
        <v>4800000</v>
      </c>
      <c r="D287" s="738">
        <f>4800000+700000</f>
        <v>5500000</v>
      </c>
      <c r="E287" s="1709"/>
      <c r="F287" s="1710"/>
      <c r="G287" s="2200"/>
      <c r="H287" s="2200"/>
      <c r="I287" s="2201"/>
      <c r="J287" s="29">
        <v>3800000</v>
      </c>
    </row>
    <row r="288" spans="1:11" s="98" customFormat="1" ht="30" customHeight="1" x14ac:dyDescent="0.2">
      <c r="A288" s="2339" t="s">
        <v>286</v>
      </c>
      <c r="B288" s="737" t="s">
        <v>2676</v>
      </c>
      <c r="C288" s="738">
        <v>24500000</v>
      </c>
      <c r="D288" s="738">
        <f>24500000-500000</f>
        <v>24000000</v>
      </c>
      <c r="E288" s="1709"/>
      <c r="F288" s="1710"/>
      <c r="G288" s="2200"/>
      <c r="H288" s="2200"/>
      <c r="I288" s="2201"/>
      <c r="J288" s="29">
        <v>22841680</v>
      </c>
      <c r="K288" s="1245"/>
    </row>
    <row r="289" spans="1:11" s="98" customFormat="1" ht="30" customHeight="1" x14ac:dyDescent="0.2">
      <c r="A289" s="2339" t="s">
        <v>2239</v>
      </c>
      <c r="B289" s="737" t="s">
        <v>2677</v>
      </c>
      <c r="C289" s="738">
        <v>20000</v>
      </c>
      <c r="D289" s="738">
        <f>20000+18732.1</f>
        <v>38732.1</v>
      </c>
      <c r="E289" s="1709"/>
      <c r="F289" s="1710"/>
      <c r="G289" s="2200"/>
      <c r="H289" s="2200"/>
      <c r="I289" s="2201"/>
      <c r="J289" s="29">
        <v>17472</v>
      </c>
    </row>
    <row r="290" spans="1:11" s="98" customFormat="1" ht="30" customHeight="1" x14ac:dyDescent="0.2">
      <c r="A290" s="2339" t="s">
        <v>291</v>
      </c>
      <c r="B290" s="2342" t="s">
        <v>3098</v>
      </c>
      <c r="C290" s="738">
        <v>3000000</v>
      </c>
      <c r="D290" s="738">
        <f>3000000-98736+107296-300201+88267.9</f>
        <v>2796626.9</v>
      </c>
      <c r="E290" s="1709"/>
      <c r="F290" s="1710"/>
      <c r="G290" s="2200"/>
      <c r="H290" s="2200"/>
      <c r="I290" s="2201"/>
      <c r="J290" s="1866">
        <v>3117952.58</v>
      </c>
    </row>
    <row r="291" spans="1:11" s="98" customFormat="1" ht="30" customHeight="1" x14ac:dyDescent="0.2">
      <c r="A291" s="2339" t="s">
        <v>293</v>
      </c>
      <c r="B291" s="737" t="s">
        <v>2680</v>
      </c>
      <c r="C291" s="2241">
        <v>500000</v>
      </c>
      <c r="D291" s="2241">
        <f>500000-18732.1-393000-88267.9</f>
        <v>0</v>
      </c>
      <c r="E291" s="2343"/>
      <c r="F291" s="2235"/>
      <c r="G291" s="2200"/>
      <c r="H291" s="2200"/>
      <c r="I291" s="2201"/>
      <c r="J291" s="29">
        <v>1010945.48</v>
      </c>
      <c r="K291" s="1846"/>
    </row>
    <row r="292" spans="1:11" s="98" customFormat="1" ht="30" customHeight="1" x14ac:dyDescent="0.2">
      <c r="A292" s="2339" t="s">
        <v>1330</v>
      </c>
      <c r="B292" s="737" t="s">
        <v>2679</v>
      </c>
      <c r="C292" s="2241">
        <v>1700000</v>
      </c>
      <c r="D292" s="2241">
        <f>1700000+370000+13752.93+393000</f>
        <v>2476752.9299999997</v>
      </c>
      <c r="E292" s="1709"/>
      <c r="F292" s="1710"/>
      <c r="G292" s="2200"/>
      <c r="H292" s="2200"/>
      <c r="I292" s="2201"/>
      <c r="J292" s="29">
        <v>1116241.07</v>
      </c>
      <c r="K292" s="1846"/>
    </row>
    <row r="293" spans="1:11" s="98" customFormat="1" ht="30" customHeight="1" x14ac:dyDescent="0.2">
      <c r="A293" s="2339" t="s">
        <v>1334</v>
      </c>
      <c r="B293" s="1035" t="s">
        <v>2681</v>
      </c>
      <c r="C293" s="2241">
        <v>450000</v>
      </c>
      <c r="D293" s="2241">
        <f>450000-370000-13752.93</f>
        <v>66247.070000000007</v>
      </c>
      <c r="E293" s="2340"/>
      <c r="F293" s="2341"/>
      <c r="G293" s="2200"/>
      <c r="H293" s="2200"/>
      <c r="I293" s="2201"/>
      <c r="J293" s="29">
        <v>979182.5</v>
      </c>
    </row>
    <row r="294" spans="1:11" s="98" customFormat="1" ht="30" customHeight="1" x14ac:dyDescent="0.2">
      <c r="A294" s="2221">
        <v>2219</v>
      </c>
      <c r="B294" s="717" t="s">
        <v>1342</v>
      </c>
      <c r="C294" s="726">
        <f>SUM(C295+C301+C302+C300)</f>
        <v>5260000</v>
      </c>
      <c r="D294" s="726">
        <f>SUM(D295+D301+D302+D300)</f>
        <v>3260000</v>
      </c>
      <c r="E294" s="726"/>
      <c r="F294" s="750"/>
      <c r="G294" s="1663"/>
      <c r="H294" s="1663"/>
      <c r="I294" s="1662"/>
      <c r="J294" s="29">
        <v>3782065.3</v>
      </c>
    </row>
    <row r="295" spans="1:11" s="98" customFormat="1" ht="30" customHeight="1" x14ac:dyDescent="0.2">
      <c r="A295" s="2299"/>
      <c r="B295" s="889" t="s">
        <v>2245</v>
      </c>
      <c r="C295" s="772">
        <f>SUM(C298:C299)</f>
        <v>150000</v>
      </c>
      <c r="D295" s="772">
        <f>SUM(D296:D299)</f>
        <v>330055.08</v>
      </c>
      <c r="E295" s="772"/>
      <c r="F295" s="772"/>
      <c r="G295" s="2200"/>
      <c r="H295" s="2200"/>
      <c r="I295" s="2201"/>
      <c r="J295" s="29">
        <v>1755857.31</v>
      </c>
    </row>
    <row r="296" spans="1:11" s="98" customFormat="1" ht="30" customHeight="1" x14ac:dyDescent="0.2">
      <c r="A296" s="2328" t="s">
        <v>2682</v>
      </c>
      <c r="B296" s="778" t="s">
        <v>2683</v>
      </c>
      <c r="C296" s="767">
        <v>0</v>
      </c>
      <c r="D296" s="767">
        <v>90212.58</v>
      </c>
      <c r="E296" s="990"/>
      <c r="F296" s="794"/>
      <c r="G296" s="2200"/>
      <c r="H296" s="2200"/>
      <c r="I296" s="2201"/>
      <c r="J296" s="29">
        <v>0</v>
      </c>
    </row>
    <row r="297" spans="1:11" s="98" customFormat="1" ht="30" customHeight="1" x14ac:dyDescent="0.2">
      <c r="A297" s="2328" t="s">
        <v>2682</v>
      </c>
      <c r="B297" s="778" t="s">
        <v>3182</v>
      </c>
      <c r="C297" s="767">
        <v>0</v>
      </c>
      <c r="D297" s="767">
        <v>59895</v>
      </c>
      <c r="E297" s="990"/>
      <c r="F297" s="794"/>
      <c r="G297" s="2200"/>
      <c r="H297" s="2200"/>
      <c r="I297" s="2201"/>
      <c r="J297" s="29">
        <v>0</v>
      </c>
    </row>
    <row r="298" spans="1:11" s="98" customFormat="1" ht="30" customHeight="1" x14ac:dyDescent="0.2">
      <c r="A298" s="2328" t="s">
        <v>477</v>
      </c>
      <c r="B298" s="778" t="s">
        <v>1347</v>
      </c>
      <c r="C298" s="767">
        <v>0</v>
      </c>
      <c r="D298" s="767">
        <v>29947.5</v>
      </c>
      <c r="E298" s="990"/>
      <c r="F298" s="794"/>
      <c r="G298" s="2200"/>
      <c r="H298" s="2200"/>
      <c r="I298" s="2201"/>
      <c r="J298" s="29">
        <v>613421.77</v>
      </c>
    </row>
    <row r="299" spans="1:11" s="98" customFormat="1" ht="30" customHeight="1" x14ac:dyDescent="0.2">
      <c r="A299" s="2328" t="s">
        <v>501</v>
      </c>
      <c r="B299" s="778" t="s">
        <v>1350</v>
      </c>
      <c r="C299" s="767">
        <v>150000</v>
      </c>
      <c r="D299" s="767">
        <v>150000</v>
      </c>
      <c r="E299" s="990"/>
      <c r="F299" s="794"/>
      <c r="G299" s="2200"/>
      <c r="H299" s="2200"/>
      <c r="I299" s="2201"/>
      <c r="J299" s="29">
        <v>60198</v>
      </c>
    </row>
    <row r="300" spans="1:11" s="98" customFormat="1" ht="30" customHeight="1" x14ac:dyDescent="0.2">
      <c r="A300" s="2328" t="s">
        <v>1351</v>
      </c>
      <c r="B300" s="778" t="s">
        <v>2684</v>
      </c>
      <c r="C300" s="767">
        <v>10000</v>
      </c>
      <c r="D300" s="767">
        <v>10000</v>
      </c>
      <c r="E300" s="990"/>
      <c r="F300" s="794"/>
      <c r="G300" s="2200"/>
      <c r="H300" s="2200"/>
      <c r="I300" s="2201"/>
      <c r="J300" s="29">
        <v>0</v>
      </c>
    </row>
    <row r="301" spans="1:11" ht="30" customHeight="1" x14ac:dyDescent="0.2">
      <c r="A301" s="2344" t="s">
        <v>299</v>
      </c>
      <c r="B301" s="824" t="s">
        <v>2685</v>
      </c>
      <c r="C301" s="1828">
        <v>100000</v>
      </c>
      <c r="D301" s="1828">
        <v>100000</v>
      </c>
      <c r="E301" s="990"/>
      <c r="F301" s="794"/>
      <c r="G301" s="2200"/>
      <c r="H301" s="2200"/>
      <c r="I301" s="2201"/>
      <c r="J301" s="29">
        <v>2996.58</v>
      </c>
    </row>
    <row r="302" spans="1:11" s="2" customFormat="1" ht="30" customHeight="1" x14ac:dyDescent="0.2">
      <c r="A302" s="2345" t="s">
        <v>301</v>
      </c>
      <c r="B302" s="1847" t="s">
        <v>3100</v>
      </c>
      <c r="C302" s="793">
        <v>5000000</v>
      </c>
      <c r="D302" s="793">
        <f>5000000-29947.5-90212.58-2000000-59895</f>
        <v>2819944.92</v>
      </c>
      <c r="E302" s="893"/>
      <c r="F302" s="772"/>
      <c r="G302" s="2200"/>
      <c r="H302" s="2200"/>
      <c r="I302" s="2201"/>
      <c r="J302" s="32">
        <v>2023211.41</v>
      </c>
    </row>
    <row r="303" spans="1:11" ht="30" customHeight="1" x14ac:dyDescent="0.2">
      <c r="A303" s="2237">
        <v>2221</v>
      </c>
      <c r="B303" s="787" t="s">
        <v>1355</v>
      </c>
      <c r="C303" s="734">
        <f t="shared" ref="C303:D303" si="29">SUM(C304:C309)</f>
        <v>466000</v>
      </c>
      <c r="D303" s="734">
        <f t="shared" si="29"/>
        <v>1223519</v>
      </c>
      <c r="E303" s="734"/>
      <c r="F303" s="772"/>
      <c r="G303" s="1663"/>
      <c r="H303" s="1663"/>
      <c r="I303" s="1662"/>
      <c r="J303" s="29">
        <v>32131.55</v>
      </c>
    </row>
    <row r="304" spans="1:11" ht="30" customHeight="1" x14ac:dyDescent="0.2">
      <c r="A304" s="2328" t="s">
        <v>1356</v>
      </c>
      <c r="B304" s="889" t="s">
        <v>2250</v>
      </c>
      <c r="C304" s="767">
        <v>200000</v>
      </c>
      <c r="D304" s="767">
        <v>200000</v>
      </c>
      <c r="E304" s="892"/>
      <c r="F304" s="856"/>
      <c r="G304" s="2200"/>
      <c r="H304" s="2200"/>
      <c r="I304" s="2201"/>
      <c r="J304" s="29">
        <v>0</v>
      </c>
    </row>
    <row r="305" spans="1:10" ht="30" customHeight="1" x14ac:dyDescent="0.2">
      <c r="A305" s="2339" t="s">
        <v>1356</v>
      </c>
      <c r="B305" s="1112" t="s">
        <v>2687</v>
      </c>
      <c r="C305" s="1077">
        <v>0</v>
      </c>
      <c r="D305" s="1077">
        <v>19312.5</v>
      </c>
      <c r="E305" s="1077"/>
      <c r="F305" s="1076"/>
      <c r="G305" s="2200"/>
      <c r="H305" s="2200"/>
      <c r="I305" s="2201"/>
      <c r="J305" s="29">
        <v>0</v>
      </c>
    </row>
    <row r="306" spans="1:10" ht="30" customHeight="1" x14ac:dyDescent="0.2">
      <c r="A306" s="2339" t="s">
        <v>2688</v>
      </c>
      <c r="B306" s="1112" t="s">
        <v>2689</v>
      </c>
      <c r="C306" s="1077">
        <v>0</v>
      </c>
      <c r="D306" s="1077">
        <f>250000+500000</f>
        <v>750000</v>
      </c>
      <c r="E306" s="1077"/>
      <c r="F306" s="1077"/>
      <c r="G306" s="2200"/>
      <c r="H306" s="2200"/>
      <c r="I306" s="2201"/>
      <c r="J306" s="29">
        <v>0</v>
      </c>
    </row>
    <row r="307" spans="1:10" ht="30" customHeight="1" x14ac:dyDescent="0.2">
      <c r="A307" s="2328" t="s">
        <v>2251</v>
      </c>
      <c r="B307" s="2348" t="s">
        <v>2690</v>
      </c>
      <c r="C307" s="890">
        <v>16000</v>
      </c>
      <c r="D307" s="890">
        <v>16000</v>
      </c>
      <c r="E307" s="890"/>
      <c r="F307" s="779"/>
      <c r="G307" s="2200"/>
      <c r="H307" s="2200"/>
      <c r="I307" s="2201"/>
      <c r="J307" s="29">
        <v>16044.6</v>
      </c>
    </row>
    <row r="308" spans="1:10" ht="30" customHeight="1" x14ac:dyDescent="0.2">
      <c r="A308" s="2347" t="s">
        <v>308</v>
      </c>
      <c r="B308" s="889" t="s">
        <v>2691</v>
      </c>
      <c r="C308" s="767">
        <v>100000</v>
      </c>
      <c r="D308" s="767">
        <f>100000-19312.5</f>
        <v>80687.5</v>
      </c>
      <c r="E308" s="893"/>
      <c r="F308" s="772"/>
      <c r="G308" s="2200"/>
      <c r="H308" s="2200"/>
      <c r="I308" s="2201"/>
      <c r="J308" s="29">
        <v>43955.4</v>
      </c>
    </row>
    <row r="309" spans="1:10" ht="30" customHeight="1" x14ac:dyDescent="0.2">
      <c r="A309" s="2347" t="s">
        <v>310</v>
      </c>
      <c r="B309" s="889" t="s">
        <v>2692</v>
      </c>
      <c r="C309" s="767">
        <v>150000</v>
      </c>
      <c r="D309" s="767">
        <f>150000+7519</f>
        <v>157519</v>
      </c>
      <c r="E309" s="892"/>
      <c r="F309" s="856"/>
      <c r="G309" s="2200"/>
      <c r="H309" s="2200"/>
      <c r="I309" s="2201"/>
      <c r="J309" s="29">
        <v>16086.95</v>
      </c>
    </row>
    <row r="310" spans="1:10" ht="30" customHeight="1" x14ac:dyDescent="0.25">
      <c r="A310" s="2335"/>
      <c r="B310" s="925" t="s">
        <v>312</v>
      </c>
      <c r="C310" s="1002">
        <f t="shared" ref="C310:D310" si="30">C311</f>
        <v>5120000</v>
      </c>
      <c r="D310" s="1002">
        <f t="shared" si="30"/>
        <v>4940773.82</v>
      </c>
      <c r="E310" s="1002"/>
      <c r="F310" s="2349"/>
      <c r="G310" s="2325"/>
      <c r="H310" s="2325"/>
      <c r="I310" s="2325"/>
      <c r="J310" s="29">
        <v>744161.72</v>
      </c>
    </row>
    <row r="311" spans="1:10" ht="30" customHeight="1" x14ac:dyDescent="0.2">
      <c r="A311" s="2326">
        <v>3639</v>
      </c>
      <c r="B311" s="963" t="s">
        <v>313</v>
      </c>
      <c r="C311" s="984">
        <f>SUM(C312:C318)</f>
        <v>5120000</v>
      </c>
      <c r="D311" s="984">
        <f>SUM(D312:D318)</f>
        <v>4940773.82</v>
      </c>
      <c r="E311" s="984"/>
      <c r="F311" s="2338"/>
      <c r="G311" s="1663"/>
      <c r="H311" s="1663"/>
      <c r="I311" s="1662"/>
      <c r="J311" s="29">
        <v>744161.72</v>
      </c>
    </row>
    <row r="312" spans="1:10" ht="30" customHeight="1" x14ac:dyDescent="0.2">
      <c r="A312" s="2328" t="s">
        <v>314</v>
      </c>
      <c r="B312" s="1852" t="s">
        <v>3101</v>
      </c>
      <c r="C312" s="767">
        <v>4400000</v>
      </c>
      <c r="D312" s="767">
        <f>4400000+3375008.64-3554234.82+160000</f>
        <v>4380773.82</v>
      </c>
      <c r="E312" s="990"/>
      <c r="F312" s="794"/>
      <c r="G312" s="2200"/>
      <c r="H312" s="2200"/>
      <c r="I312" s="2201"/>
      <c r="J312" s="29">
        <v>306435</v>
      </c>
    </row>
    <row r="313" spans="1:10" ht="30" customHeight="1" x14ac:dyDescent="0.2">
      <c r="A313" s="2332" t="s">
        <v>316</v>
      </c>
      <c r="B313" s="818" t="s">
        <v>2694</v>
      </c>
      <c r="C313" s="820">
        <v>40000</v>
      </c>
      <c r="D313" s="820">
        <v>40000</v>
      </c>
      <c r="E313" s="829"/>
      <c r="F313" s="829"/>
      <c r="G313" s="2200"/>
      <c r="H313" s="2200"/>
      <c r="I313" s="2201"/>
      <c r="J313" s="29">
        <v>3630</v>
      </c>
    </row>
    <row r="314" spans="1:10" ht="30" customHeight="1" x14ac:dyDescent="0.2">
      <c r="A314" s="2350" t="s">
        <v>316</v>
      </c>
      <c r="B314" s="939" t="s">
        <v>2695</v>
      </c>
      <c r="C314" s="890">
        <v>30000</v>
      </c>
      <c r="D314" s="890">
        <v>30000</v>
      </c>
      <c r="E314" s="1011"/>
      <c r="F314" s="891"/>
      <c r="G314" s="2200"/>
      <c r="H314" s="2200"/>
      <c r="I314" s="2201"/>
      <c r="J314" s="29">
        <v>14969.57</v>
      </c>
    </row>
    <row r="315" spans="1:10" ht="30" customHeight="1" x14ac:dyDescent="0.2">
      <c r="A315" s="2328" t="s">
        <v>325</v>
      </c>
      <c r="B315" s="778" t="s">
        <v>2696</v>
      </c>
      <c r="C315" s="767">
        <v>200000</v>
      </c>
      <c r="D315" s="767">
        <f>200000+66512.1-75000</f>
        <v>191512.09999999998</v>
      </c>
      <c r="E315" s="893"/>
      <c r="F315" s="772"/>
      <c r="G315" s="2200"/>
      <c r="H315" s="2200"/>
      <c r="I315" s="2201"/>
      <c r="J315" s="29">
        <v>111472.5</v>
      </c>
    </row>
    <row r="316" spans="1:10" ht="30" customHeight="1" x14ac:dyDescent="0.2">
      <c r="A316" s="2328" t="s">
        <v>321</v>
      </c>
      <c r="B316" s="778" t="s">
        <v>2697</v>
      </c>
      <c r="C316" s="767">
        <v>150000</v>
      </c>
      <c r="D316" s="767">
        <v>150000</v>
      </c>
      <c r="E316" s="893"/>
      <c r="F316" s="772"/>
      <c r="G316" s="2200"/>
      <c r="H316" s="2200"/>
      <c r="I316" s="2201"/>
      <c r="J316" s="29">
        <v>141233.75</v>
      </c>
    </row>
    <row r="317" spans="1:10" ht="30" customHeight="1" x14ac:dyDescent="0.2">
      <c r="A317" s="2328" t="s">
        <v>323</v>
      </c>
      <c r="B317" s="778" t="s">
        <v>2698</v>
      </c>
      <c r="C317" s="767">
        <v>210000</v>
      </c>
      <c r="D317" s="767">
        <f>210000-66512.1-60000</f>
        <v>83487.899999999994</v>
      </c>
      <c r="E317" s="893"/>
      <c r="F317" s="772"/>
      <c r="G317" s="2200"/>
      <c r="H317" s="2200"/>
      <c r="I317" s="2201"/>
      <c r="J317" s="29">
        <v>126352.9</v>
      </c>
    </row>
    <row r="318" spans="1:10" ht="30" customHeight="1" x14ac:dyDescent="0.2">
      <c r="A318" s="2347" t="s">
        <v>333</v>
      </c>
      <c r="B318" s="1012" t="s">
        <v>2699</v>
      </c>
      <c r="C318" s="767">
        <v>90000</v>
      </c>
      <c r="D318" s="767">
        <f>90000-25000</f>
        <v>65000</v>
      </c>
      <c r="E318" s="893"/>
      <c r="F318" s="772"/>
      <c r="G318" s="2200"/>
      <c r="H318" s="2200"/>
      <c r="I318" s="2201"/>
      <c r="J318" s="29">
        <v>40068</v>
      </c>
    </row>
    <row r="319" spans="1:10" ht="30" customHeight="1" x14ac:dyDescent="0.25">
      <c r="A319" s="2335"/>
      <c r="B319" s="925" t="s">
        <v>335</v>
      </c>
      <c r="C319" s="1013">
        <f>SUM(C320+C328+C325+C339+C343+C351+C364+C367+C370)</f>
        <v>27965000</v>
      </c>
      <c r="D319" s="1013">
        <f>SUM(D320+D328+D325+D339+D343+D351+D364+D367+D370)</f>
        <v>29201075.82</v>
      </c>
      <c r="E319" s="1013"/>
      <c r="F319" s="2351"/>
      <c r="G319" s="2325"/>
      <c r="H319" s="2325"/>
      <c r="I319" s="2325"/>
      <c r="J319" s="29">
        <v>24001514.91</v>
      </c>
    </row>
    <row r="320" spans="1:10" ht="30" customHeight="1" x14ac:dyDescent="0.2">
      <c r="A320" s="2326">
        <v>3341</v>
      </c>
      <c r="B320" s="963" t="s">
        <v>1363</v>
      </c>
      <c r="C320" s="844">
        <f t="shared" ref="C320:D320" si="31">SUM(C321:C324)</f>
        <v>1205000</v>
      </c>
      <c r="D320" s="844">
        <f t="shared" si="31"/>
        <v>705000</v>
      </c>
      <c r="E320" s="844"/>
      <c r="F320" s="2220"/>
      <c r="G320" s="1663"/>
      <c r="H320" s="1663"/>
      <c r="I320" s="1662"/>
      <c r="J320" s="29">
        <v>2953291.52</v>
      </c>
    </row>
    <row r="321" spans="1:11" ht="30" customHeight="1" x14ac:dyDescent="0.2">
      <c r="A321" s="2328" t="s">
        <v>337</v>
      </c>
      <c r="B321" s="796" t="s">
        <v>2700</v>
      </c>
      <c r="C321" s="1828">
        <v>300000</v>
      </c>
      <c r="D321" s="1828">
        <v>300000</v>
      </c>
      <c r="E321" s="990"/>
      <c r="F321" s="794"/>
      <c r="G321" s="2200"/>
      <c r="H321" s="2200"/>
      <c r="I321" s="2201"/>
      <c r="J321" s="29">
        <v>19612.89</v>
      </c>
    </row>
    <row r="322" spans="1:11" ht="30" customHeight="1" x14ac:dyDescent="0.2">
      <c r="A322" s="2328" t="s">
        <v>339</v>
      </c>
      <c r="B322" s="796" t="s">
        <v>2701</v>
      </c>
      <c r="C322" s="1828">
        <v>5000</v>
      </c>
      <c r="D322" s="1828">
        <v>5000</v>
      </c>
      <c r="E322" s="990"/>
      <c r="F322" s="794"/>
      <c r="G322" s="2200"/>
      <c r="H322" s="2200"/>
      <c r="I322" s="2201"/>
      <c r="J322" s="29">
        <v>6230</v>
      </c>
    </row>
    <row r="323" spans="1:11" ht="30" customHeight="1" x14ac:dyDescent="0.2">
      <c r="A323" s="2328" t="s">
        <v>2256</v>
      </c>
      <c r="B323" s="901" t="s">
        <v>2257</v>
      </c>
      <c r="C323" s="1828">
        <v>300000</v>
      </c>
      <c r="D323" s="1828">
        <v>300000</v>
      </c>
      <c r="E323" s="990"/>
      <c r="F323" s="794"/>
      <c r="G323" s="2200"/>
      <c r="H323" s="2200"/>
      <c r="I323" s="2201"/>
      <c r="J323" s="29">
        <v>368194.4</v>
      </c>
    </row>
    <row r="324" spans="1:11" ht="30" customHeight="1" x14ac:dyDescent="0.2">
      <c r="A324" s="2328" t="s">
        <v>1365</v>
      </c>
      <c r="B324" s="1852" t="s">
        <v>2258</v>
      </c>
      <c r="C324" s="1828">
        <v>600000</v>
      </c>
      <c r="D324" s="1828">
        <f>600000-500000</f>
        <v>100000</v>
      </c>
      <c r="E324" s="794"/>
      <c r="F324" s="794"/>
      <c r="G324" s="2200"/>
      <c r="H324" s="2200"/>
      <c r="I324" s="2201"/>
      <c r="J324" s="29">
        <v>2401693.9500000002</v>
      </c>
    </row>
    <row r="325" spans="1:11" ht="30" customHeight="1" x14ac:dyDescent="0.2">
      <c r="A325" s="2288">
        <v>3412</v>
      </c>
      <c r="B325" s="787" t="s">
        <v>2264</v>
      </c>
      <c r="C325" s="785">
        <f>SUM(C326:C327)</f>
        <v>150000</v>
      </c>
      <c r="D325" s="785">
        <f>SUM(D326:D327)</f>
        <v>0</v>
      </c>
      <c r="E325" s="734"/>
      <c r="F325" s="772"/>
      <c r="G325" s="1663"/>
      <c r="H325" s="1663"/>
      <c r="I325" s="1662"/>
      <c r="J325" s="29">
        <v>36251.599999999999</v>
      </c>
    </row>
    <row r="326" spans="1:11" ht="30" customHeight="1" x14ac:dyDescent="0.2">
      <c r="A326" s="2328" t="s">
        <v>2265</v>
      </c>
      <c r="B326" s="1018" t="s">
        <v>2703</v>
      </c>
      <c r="C326" s="1828">
        <v>50000</v>
      </c>
      <c r="D326" s="1828">
        <f>50000-50000</f>
        <v>0</v>
      </c>
      <c r="E326" s="990"/>
      <c r="F326" s="794"/>
      <c r="G326" s="2200"/>
      <c r="H326" s="2200"/>
      <c r="I326" s="2201"/>
      <c r="J326" s="29">
        <v>36251.599999999999</v>
      </c>
    </row>
    <row r="327" spans="1:11" ht="30" customHeight="1" x14ac:dyDescent="0.2">
      <c r="A327" s="2328" t="s">
        <v>2267</v>
      </c>
      <c r="B327" s="1018" t="s">
        <v>2704</v>
      </c>
      <c r="C327" s="1828">
        <v>100000</v>
      </c>
      <c r="D327" s="1828">
        <f>100000-100000</f>
        <v>0</v>
      </c>
      <c r="E327" s="990"/>
      <c r="F327" s="794"/>
      <c r="G327" s="2200"/>
      <c r="H327" s="2200"/>
      <c r="I327" s="2201"/>
      <c r="J327" s="29">
        <v>0</v>
      </c>
    </row>
    <row r="328" spans="1:11" ht="30" customHeight="1" x14ac:dyDescent="0.2">
      <c r="A328" s="2288">
        <v>3421</v>
      </c>
      <c r="B328" s="787" t="s">
        <v>1368</v>
      </c>
      <c r="C328" s="785">
        <f>SUM(C329:C338)</f>
        <v>3970000</v>
      </c>
      <c r="D328" s="785">
        <f>SUM(D329:D338)</f>
        <v>4235000</v>
      </c>
      <c r="E328" s="734"/>
      <c r="F328" s="772"/>
      <c r="G328" s="1663"/>
      <c r="H328" s="1663"/>
      <c r="I328" s="1662"/>
      <c r="J328" s="29">
        <v>1778369.15</v>
      </c>
    </row>
    <row r="329" spans="1:11" ht="30" customHeight="1" x14ac:dyDescent="0.2">
      <c r="A329" s="2328" t="s">
        <v>350</v>
      </c>
      <c r="B329" s="1017" t="s">
        <v>2705</v>
      </c>
      <c r="C329" s="1856">
        <v>550000</v>
      </c>
      <c r="D329" s="1856">
        <v>550000</v>
      </c>
      <c r="E329" s="990"/>
      <c r="F329" s="794"/>
      <c r="G329" s="2200"/>
      <c r="H329" s="2200"/>
      <c r="I329" s="2201"/>
      <c r="J329" s="29">
        <v>524940</v>
      </c>
    </row>
    <row r="330" spans="1:11" ht="30" customHeight="1" x14ac:dyDescent="0.2">
      <c r="A330" s="2328" t="s">
        <v>342</v>
      </c>
      <c r="B330" s="1018" t="s">
        <v>2706</v>
      </c>
      <c r="C330" s="1828">
        <v>300000</v>
      </c>
      <c r="D330" s="1828">
        <f>300000-99920</f>
        <v>200080</v>
      </c>
      <c r="E330" s="990"/>
      <c r="F330" s="794"/>
      <c r="G330" s="2200"/>
      <c r="H330" s="2200"/>
      <c r="I330" s="2201"/>
      <c r="J330" s="29">
        <v>0</v>
      </c>
    </row>
    <row r="331" spans="1:11" ht="30" customHeight="1" x14ac:dyDescent="0.2">
      <c r="A331" s="2328" t="s">
        <v>344</v>
      </c>
      <c r="B331" s="1018" t="s">
        <v>2707</v>
      </c>
      <c r="C331" s="1828">
        <v>20000</v>
      </c>
      <c r="D331" s="1828">
        <f>20000</f>
        <v>20000</v>
      </c>
      <c r="E331" s="990"/>
      <c r="F331" s="794"/>
      <c r="G331" s="2200"/>
      <c r="H331" s="2200"/>
      <c r="I331" s="2201"/>
      <c r="J331" s="29">
        <v>0</v>
      </c>
    </row>
    <row r="332" spans="1:11" ht="30" customHeight="1" x14ac:dyDescent="0.2">
      <c r="A332" s="2328" t="s">
        <v>346</v>
      </c>
      <c r="B332" s="1018" t="s">
        <v>2708</v>
      </c>
      <c r="C332" s="1828">
        <v>100000</v>
      </c>
      <c r="D332" s="1828">
        <f>100000+199650</f>
        <v>299650</v>
      </c>
      <c r="E332" s="990"/>
      <c r="F332" s="794"/>
      <c r="G332" s="2200"/>
      <c r="H332" s="2200"/>
      <c r="I332" s="2201"/>
      <c r="J332" s="29">
        <v>73419</v>
      </c>
      <c r="K332" s="1858"/>
    </row>
    <row r="333" spans="1:11" ht="30" customHeight="1" x14ac:dyDescent="0.2">
      <c r="A333" s="2328" t="s">
        <v>348</v>
      </c>
      <c r="B333" s="1017" t="s">
        <v>3103</v>
      </c>
      <c r="C333" s="1828">
        <v>2500000</v>
      </c>
      <c r="D333" s="1828">
        <f>2500000-96485.4-199650-460000-96600-244650+150000+115000</f>
        <v>1667614.6</v>
      </c>
      <c r="E333" s="990"/>
      <c r="F333" s="794"/>
      <c r="G333" s="2200"/>
      <c r="H333" s="2200"/>
      <c r="I333" s="2201"/>
      <c r="J333" s="29">
        <v>1055268.83</v>
      </c>
    </row>
    <row r="334" spans="1:11" ht="30" customHeight="1" x14ac:dyDescent="0.2">
      <c r="A334" s="2328" t="s">
        <v>1374</v>
      </c>
      <c r="B334" s="1859" t="s">
        <v>3104</v>
      </c>
      <c r="C334" s="1828">
        <v>500000</v>
      </c>
      <c r="D334" s="1828">
        <f>500000</f>
        <v>500000</v>
      </c>
      <c r="E334" s="990"/>
      <c r="F334" s="794"/>
      <c r="G334" s="2200"/>
      <c r="H334" s="2200"/>
      <c r="I334" s="2201"/>
      <c r="J334" s="29">
        <v>0</v>
      </c>
      <c r="K334" s="1858"/>
    </row>
    <row r="335" spans="1:11" ht="30" customHeight="1" x14ac:dyDescent="0.2">
      <c r="A335" s="2328" t="s">
        <v>1374</v>
      </c>
      <c r="B335" s="1859" t="s">
        <v>3183</v>
      </c>
      <c r="C335" s="1828">
        <v>0</v>
      </c>
      <c r="D335" s="1828">
        <f>460000+96600</f>
        <v>556600</v>
      </c>
      <c r="E335" s="990"/>
      <c r="F335" s="794"/>
      <c r="G335" s="2200"/>
      <c r="H335" s="2200"/>
      <c r="I335" s="2201"/>
      <c r="J335" s="29">
        <v>0</v>
      </c>
      <c r="K335" s="1858"/>
    </row>
    <row r="336" spans="1:11" ht="30" customHeight="1" x14ac:dyDescent="0.2">
      <c r="A336" s="2328" t="s">
        <v>1374</v>
      </c>
      <c r="B336" s="1859" t="s">
        <v>3106</v>
      </c>
      <c r="C336" s="1828">
        <v>0</v>
      </c>
      <c r="D336" s="1828">
        <v>244650</v>
      </c>
      <c r="E336" s="990"/>
      <c r="F336" s="794"/>
      <c r="G336" s="2200"/>
      <c r="H336" s="2200"/>
      <c r="I336" s="2201"/>
      <c r="J336" s="29">
        <v>0</v>
      </c>
      <c r="K336" s="1858"/>
    </row>
    <row r="337" spans="1:11" ht="30" customHeight="1" x14ac:dyDescent="0.2">
      <c r="A337" s="2328" t="s">
        <v>1374</v>
      </c>
      <c r="B337" s="1859" t="s">
        <v>3108</v>
      </c>
      <c r="C337" s="1828">
        <v>0</v>
      </c>
      <c r="D337" s="1828">
        <v>99920</v>
      </c>
      <c r="E337" s="990"/>
      <c r="F337" s="794"/>
      <c r="G337" s="2200"/>
      <c r="H337" s="2200"/>
      <c r="I337" s="2201"/>
      <c r="J337" s="29">
        <v>0</v>
      </c>
      <c r="K337" s="1858"/>
    </row>
    <row r="338" spans="1:11" ht="30" customHeight="1" x14ac:dyDescent="0.2">
      <c r="A338" s="2328" t="s">
        <v>1374</v>
      </c>
      <c r="B338" s="1859" t="s">
        <v>2711</v>
      </c>
      <c r="C338" s="1828">
        <v>0</v>
      </c>
      <c r="D338" s="1828">
        <v>96485.4</v>
      </c>
      <c r="E338" s="990"/>
      <c r="F338" s="794"/>
      <c r="G338" s="2200"/>
      <c r="H338" s="2200"/>
      <c r="I338" s="2201"/>
      <c r="J338" s="29">
        <v>0</v>
      </c>
      <c r="K338" s="1858"/>
    </row>
    <row r="339" spans="1:11" ht="30" customHeight="1" x14ac:dyDescent="0.2">
      <c r="A339" s="2288">
        <v>3429</v>
      </c>
      <c r="B339" s="787" t="s">
        <v>2269</v>
      </c>
      <c r="C339" s="785">
        <f>SUM(C340:C342)</f>
        <v>140000</v>
      </c>
      <c r="D339" s="785">
        <f>SUM(D340:D342)</f>
        <v>25000</v>
      </c>
      <c r="E339" s="734"/>
      <c r="F339" s="772"/>
      <c r="G339" s="1663"/>
      <c r="H339" s="1663"/>
      <c r="I339" s="1662"/>
      <c r="J339" s="29">
        <v>327087.2</v>
      </c>
    </row>
    <row r="340" spans="1:11" ht="30" customHeight="1" x14ac:dyDescent="0.2">
      <c r="A340" s="2328" t="s">
        <v>2270</v>
      </c>
      <c r="B340" s="1018" t="s">
        <v>2712</v>
      </c>
      <c r="C340" s="1828">
        <v>20000</v>
      </c>
      <c r="D340" s="1828">
        <f t="shared" ref="D340:D341" si="32">20000-20000</f>
        <v>0</v>
      </c>
      <c r="E340" s="990"/>
      <c r="F340" s="794"/>
      <c r="G340" s="2200"/>
      <c r="H340" s="2200"/>
      <c r="I340" s="2201"/>
      <c r="J340" s="29">
        <v>0</v>
      </c>
    </row>
    <row r="341" spans="1:11" ht="30" customHeight="1" x14ac:dyDescent="0.2">
      <c r="A341" s="2328" t="s">
        <v>2272</v>
      </c>
      <c r="B341" s="1018" t="s">
        <v>2713</v>
      </c>
      <c r="C341" s="1828">
        <v>20000</v>
      </c>
      <c r="D341" s="1828">
        <f t="shared" si="32"/>
        <v>0</v>
      </c>
      <c r="E341" s="990"/>
      <c r="F341" s="794"/>
      <c r="G341" s="2200"/>
      <c r="H341" s="2200"/>
      <c r="I341" s="2201"/>
      <c r="J341" s="29">
        <v>0</v>
      </c>
    </row>
    <row r="342" spans="1:11" ht="30" customHeight="1" x14ac:dyDescent="0.2">
      <c r="A342" s="2328" t="s">
        <v>2274</v>
      </c>
      <c r="B342" s="1018" t="s">
        <v>2714</v>
      </c>
      <c r="C342" s="1828">
        <v>100000</v>
      </c>
      <c r="D342" s="1828">
        <f>100000-75000</f>
        <v>25000</v>
      </c>
      <c r="E342" s="990"/>
      <c r="F342" s="794"/>
      <c r="G342" s="2200"/>
      <c r="H342" s="2200"/>
      <c r="I342" s="2201"/>
      <c r="J342" s="29">
        <v>0</v>
      </c>
    </row>
    <row r="343" spans="1:11" ht="30" customHeight="1" x14ac:dyDescent="0.2">
      <c r="A343" s="2237">
        <v>3613</v>
      </c>
      <c r="B343" s="787" t="s">
        <v>1379</v>
      </c>
      <c r="C343" s="785">
        <f>SUM(C344:C350)</f>
        <v>2380000</v>
      </c>
      <c r="D343" s="785">
        <f>SUM(D344:D350)</f>
        <v>4984775.66</v>
      </c>
      <c r="E343" s="734"/>
      <c r="F343" s="772"/>
      <c r="G343" s="1663"/>
      <c r="H343" s="1663"/>
      <c r="I343" s="1662"/>
      <c r="J343" s="29">
        <v>2253791.16</v>
      </c>
    </row>
    <row r="344" spans="1:11" ht="30" customHeight="1" x14ac:dyDescent="0.2">
      <c r="A344" s="2347" t="s">
        <v>353</v>
      </c>
      <c r="B344" s="889" t="s">
        <v>2715</v>
      </c>
      <c r="C344" s="1828">
        <v>5000</v>
      </c>
      <c r="D344" s="1828">
        <v>5000</v>
      </c>
      <c r="E344" s="990"/>
      <c r="F344" s="794"/>
      <c r="G344" s="2200"/>
      <c r="H344" s="2200"/>
      <c r="I344" s="2201"/>
      <c r="J344" s="29">
        <v>0</v>
      </c>
    </row>
    <row r="345" spans="1:11" ht="30" customHeight="1" x14ac:dyDescent="0.2">
      <c r="A345" s="2347" t="s">
        <v>355</v>
      </c>
      <c r="B345" s="889" t="s">
        <v>2677</v>
      </c>
      <c r="C345" s="1828">
        <v>15000</v>
      </c>
      <c r="D345" s="1828">
        <v>15000</v>
      </c>
      <c r="E345" s="990"/>
      <c r="F345" s="794"/>
      <c r="G345" s="2200"/>
      <c r="H345" s="2200"/>
      <c r="I345" s="2201"/>
      <c r="J345" s="29">
        <v>0</v>
      </c>
    </row>
    <row r="346" spans="1:11" ht="30" customHeight="1" x14ac:dyDescent="0.2">
      <c r="A346" s="2347" t="s">
        <v>357</v>
      </c>
      <c r="B346" s="796" t="s">
        <v>3109</v>
      </c>
      <c r="C346" s="1828">
        <v>200000</v>
      </c>
      <c r="D346" s="1828">
        <v>200000</v>
      </c>
      <c r="E346" s="1023"/>
      <c r="F346" s="810"/>
      <c r="G346" s="2200"/>
      <c r="H346" s="2200"/>
      <c r="I346" s="2201"/>
      <c r="J346" s="29">
        <v>109342</v>
      </c>
    </row>
    <row r="347" spans="1:11" ht="30" customHeight="1" x14ac:dyDescent="0.2">
      <c r="A347" s="2347" t="s">
        <v>359</v>
      </c>
      <c r="B347" s="796" t="s">
        <v>3110</v>
      </c>
      <c r="C347" s="767">
        <v>560000</v>
      </c>
      <c r="D347" s="767">
        <v>560000</v>
      </c>
      <c r="E347" s="894"/>
      <c r="F347" s="767"/>
      <c r="G347" s="2200"/>
      <c r="H347" s="2200"/>
      <c r="I347" s="2201"/>
      <c r="J347" s="29">
        <v>666358.36</v>
      </c>
    </row>
    <row r="348" spans="1:11" ht="30" customHeight="1" x14ac:dyDescent="0.2">
      <c r="A348" s="2347" t="s">
        <v>361</v>
      </c>
      <c r="B348" s="796" t="s">
        <v>2718</v>
      </c>
      <c r="C348" s="767">
        <v>100000</v>
      </c>
      <c r="D348" s="767">
        <v>100000</v>
      </c>
      <c r="E348" s="894"/>
      <c r="F348" s="767"/>
      <c r="G348" s="2200"/>
      <c r="H348" s="2200"/>
      <c r="I348" s="2201"/>
      <c r="J348" s="29">
        <v>18522</v>
      </c>
    </row>
    <row r="349" spans="1:11" ht="30" customHeight="1" x14ac:dyDescent="0.2">
      <c r="A349" s="2347" t="s">
        <v>364</v>
      </c>
      <c r="B349" s="1860" t="s">
        <v>3111</v>
      </c>
      <c r="C349" s="767">
        <v>1500000</v>
      </c>
      <c r="D349" s="767">
        <f>1500000+226282-75741.16-1100000-143052.25</f>
        <v>407488.59000000008</v>
      </c>
      <c r="E349" s="894"/>
      <c r="F349" s="767"/>
      <c r="G349" s="2200"/>
      <c r="H349" s="2200"/>
      <c r="I349" s="2201"/>
      <c r="J349" s="1866">
        <v>1459568.8</v>
      </c>
    </row>
    <row r="350" spans="1:11" ht="30" customHeight="1" x14ac:dyDescent="0.2">
      <c r="A350" s="2347" t="s">
        <v>3112</v>
      </c>
      <c r="B350" s="1860" t="s">
        <v>3113</v>
      </c>
      <c r="C350" s="767">
        <v>0</v>
      </c>
      <c r="D350" s="767">
        <f>3554234.82+143052.25</f>
        <v>3697287.07</v>
      </c>
      <c r="E350" s="894"/>
      <c r="F350" s="767"/>
      <c r="G350" s="2200"/>
      <c r="H350" s="2200"/>
      <c r="I350" s="2201"/>
      <c r="J350" s="1866">
        <v>0</v>
      </c>
    </row>
    <row r="351" spans="1:11" ht="30" customHeight="1" x14ac:dyDescent="0.2">
      <c r="A351" s="2237">
        <v>3631</v>
      </c>
      <c r="B351" s="787" t="s">
        <v>1390</v>
      </c>
      <c r="C351" s="734">
        <f>SUM(C352:C356)</f>
        <v>15650000</v>
      </c>
      <c r="D351" s="734">
        <f>SUM(D352:D356)</f>
        <v>15651042</v>
      </c>
      <c r="E351" s="734"/>
      <c r="F351" s="772"/>
      <c r="G351" s="1663"/>
      <c r="H351" s="1663"/>
      <c r="I351" s="1662"/>
      <c r="J351" s="29">
        <v>13134941.279999999</v>
      </c>
    </row>
    <row r="352" spans="1:11" ht="30" customHeight="1" x14ac:dyDescent="0.2">
      <c r="A352" s="2328" t="s">
        <v>371</v>
      </c>
      <c r="B352" s="778" t="s">
        <v>2720</v>
      </c>
      <c r="C352" s="767">
        <v>5450000</v>
      </c>
      <c r="D352" s="767">
        <f>5450000+230000</f>
        <v>5680000</v>
      </c>
      <c r="E352" s="1023"/>
      <c r="F352" s="810"/>
      <c r="G352" s="2200"/>
      <c r="H352" s="2200"/>
      <c r="I352" s="2201"/>
      <c r="J352" s="29">
        <v>5225138</v>
      </c>
    </row>
    <row r="353" spans="1:10" ht="30" customHeight="1" x14ac:dyDescent="0.2">
      <c r="A353" s="2347" t="s">
        <v>367</v>
      </c>
      <c r="B353" s="778" t="s">
        <v>2718</v>
      </c>
      <c r="C353" s="767">
        <v>50000</v>
      </c>
      <c r="D353" s="767">
        <v>50000</v>
      </c>
      <c r="E353" s="893"/>
      <c r="F353" s="772"/>
      <c r="G353" s="2200"/>
      <c r="H353" s="2200"/>
      <c r="I353" s="2201"/>
      <c r="J353" s="29">
        <v>0</v>
      </c>
    </row>
    <row r="354" spans="1:10" ht="30" customHeight="1" x14ac:dyDescent="0.2">
      <c r="A354" s="2347" t="s">
        <v>3114</v>
      </c>
      <c r="B354" s="778" t="s">
        <v>3115</v>
      </c>
      <c r="C354" s="767">
        <v>1500000</v>
      </c>
      <c r="D354" s="767">
        <f>1500000+1042+360000</f>
        <v>1861042</v>
      </c>
      <c r="E354" s="893"/>
      <c r="F354" s="772"/>
      <c r="G354" s="2200"/>
      <c r="H354" s="2200"/>
      <c r="I354" s="2201"/>
      <c r="J354" s="29">
        <v>50059.040000000001</v>
      </c>
    </row>
    <row r="355" spans="1:10" ht="30" customHeight="1" x14ac:dyDescent="0.2">
      <c r="A355" s="2328" t="s">
        <v>373</v>
      </c>
      <c r="B355" s="778" t="s">
        <v>2722</v>
      </c>
      <c r="C355" s="767">
        <v>6300000</v>
      </c>
      <c r="D355" s="767">
        <v>6300000</v>
      </c>
      <c r="E355" s="1026"/>
      <c r="F355" s="767"/>
      <c r="G355" s="2200"/>
      <c r="H355" s="2200"/>
      <c r="I355" s="2201"/>
      <c r="J355" s="29">
        <v>6366883.1500000004</v>
      </c>
    </row>
    <row r="356" spans="1:10" ht="30" customHeight="1" x14ac:dyDescent="0.2">
      <c r="A356" s="2328"/>
      <c r="B356" s="889" t="s">
        <v>880</v>
      </c>
      <c r="C356" s="772">
        <f>SUM(C357:C363)</f>
        <v>2350000</v>
      </c>
      <c r="D356" s="772">
        <f>SUM(D357:D363)</f>
        <v>1760000</v>
      </c>
      <c r="E356" s="772"/>
      <c r="F356" s="772"/>
      <c r="G356" s="2200"/>
      <c r="H356" s="2200"/>
      <c r="I356" s="2201"/>
      <c r="J356" s="29">
        <v>1042861.09</v>
      </c>
    </row>
    <row r="357" spans="1:10" ht="30" customHeight="1" x14ac:dyDescent="0.2">
      <c r="A357" s="2328" t="s">
        <v>577</v>
      </c>
      <c r="B357" s="1018" t="s">
        <v>3116</v>
      </c>
      <c r="C357" s="767">
        <v>0</v>
      </c>
      <c r="D357" s="767">
        <v>121839.1</v>
      </c>
      <c r="E357" s="990"/>
      <c r="F357" s="794"/>
      <c r="G357" s="2200"/>
      <c r="H357" s="2200"/>
      <c r="I357" s="2201"/>
      <c r="J357" s="29">
        <v>26257</v>
      </c>
    </row>
    <row r="358" spans="1:10" ht="30" customHeight="1" x14ac:dyDescent="0.2">
      <c r="A358" s="2328" t="s">
        <v>579</v>
      </c>
      <c r="B358" s="1018" t="s">
        <v>3117</v>
      </c>
      <c r="C358" s="767">
        <v>0</v>
      </c>
      <c r="D358" s="767">
        <f>51619+340000</f>
        <v>391619</v>
      </c>
      <c r="E358" s="990"/>
      <c r="F358" s="794"/>
      <c r="G358" s="2200"/>
      <c r="H358" s="2200"/>
      <c r="I358" s="2201"/>
      <c r="J358" s="29">
        <v>0</v>
      </c>
    </row>
    <row r="359" spans="1:10" ht="30" customHeight="1" x14ac:dyDescent="0.2">
      <c r="A359" s="2328" t="s">
        <v>585</v>
      </c>
      <c r="B359" s="1018" t="s">
        <v>2723</v>
      </c>
      <c r="C359" s="767">
        <v>650000</v>
      </c>
      <c r="D359" s="767">
        <v>650000</v>
      </c>
      <c r="E359" s="990"/>
      <c r="F359" s="794"/>
      <c r="G359" s="2200"/>
      <c r="H359" s="2200"/>
      <c r="I359" s="2201"/>
      <c r="J359" s="29">
        <v>0</v>
      </c>
    </row>
    <row r="360" spans="1:10" ht="30" customHeight="1" x14ac:dyDescent="0.2">
      <c r="A360" s="2328" t="s">
        <v>1405</v>
      </c>
      <c r="B360" s="1018" t="s">
        <v>3184</v>
      </c>
      <c r="C360" s="767">
        <v>0</v>
      </c>
      <c r="D360" s="767">
        <v>10890</v>
      </c>
      <c r="E360" s="990"/>
      <c r="F360" s="794"/>
      <c r="G360" s="2200"/>
      <c r="H360" s="2200"/>
      <c r="I360" s="2201"/>
      <c r="J360" s="29">
        <v>78784</v>
      </c>
    </row>
    <row r="361" spans="1:10" ht="30" customHeight="1" x14ac:dyDescent="0.2">
      <c r="A361" s="2328" t="s">
        <v>2724</v>
      </c>
      <c r="B361" s="1018" t="s">
        <v>2725</v>
      </c>
      <c r="C361" s="767">
        <v>0</v>
      </c>
      <c r="D361" s="767">
        <v>40838</v>
      </c>
      <c r="E361" s="990"/>
      <c r="F361" s="794"/>
      <c r="G361" s="2200"/>
      <c r="H361" s="2200"/>
      <c r="I361" s="2201"/>
      <c r="J361" s="29">
        <v>0</v>
      </c>
    </row>
    <row r="362" spans="1:10" ht="30" customHeight="1" x14ac:dyDescent="0.2">
      <c r="A362" s="2352" t="s">
        <v>1759</v>
      </c>
      <c r="B362" s="809" t="s">
        <v>2726</v>
      </c>
      <c r="C362" s="1077">
        <v>700000</v>
      </c>
      <c r="D362" s="1077">
        <f>700000-700000</f>
        <v>0</v>
      </c>
      <c r="E362" s="1077"/>
      <c r="F362" s="1077"/>
      <c r="G362" s="2200"/>
      <c r="H362" s="2200"/>
      <c r="I362" s="2201"/>
      <c r="J362" s="29">
        <v>0</v>
      </c>
    </row>
    <row r="363" spans="1:10" s="98" customFormat="1" ht="30" customHeight="1" x14ac:dyDescent="0.2">
      <c r="A363" s="2339" t="s">
        <v>591</v>
      </c>
      <c r="B363" s="1029" t="s">
        <v>2727</v>
      </c>
      <c r="C363" s="738">
        <v>1000000</v>
      </c>
      <c r="D363" s="738">
        <f>1000000-40838-121839.1-51619-10890-230000</f>
        <v>544813.9</v>
      </c>
      <c r="E363" s="1031"/>
      <c r="F363" s="1032"/>
      <c r="G363" s="2200"/>
      <c r="H363" s="2200"/>
      <c r="I363" s="2201"/>
      <c r="J363" s="29">
        <v>0</v>
      </c>
    </row>
    <row r="364" spans="1:10" s="98" customFormat="1" ht="30" customHeight="1" x14ac:dyDescent="0.2">
      <c r="A364" s="2221">
        <v>3632</v>
      </c>
      <c r="B364" s="717" t="s">
        <v>2293</v>
      </c>
      <c r="C364" s="726">
        <f>SUM(C365,C366)</f>
        <v>4015000</v>
      </c>
      <c r="D364" s="726">
        <f>SUM(D365:D366)</f>
        <v>3069517</v>
      </c>
      <c r="E364" s="726"/>
      <c r="F364" s="750"/>
      <c r="G364" s="1663"/>
      <c r="H364" s="1663"/>
      <c r="I364" s="1662"/>
      <c r="J364" s="29">
        <v>2591329</v>
      </c>
    </row>
    <row r="365" spans="1:10" s="98" customFormat="1" ht="30" customHeight="1" x14ac:dyDescent="0.2">
      <c r="A365" s="2339" t="s">
        <v>383</v>
      </c>
      <c r="B365" s="737" t="s">
        <v>2728</v>
      </c>
      <c r="C365" s="1710">
        <f>50000+400000+245000+120000+3100000</f>
        <v>3915000</v>
      </c>
      <c r="D365" s="1710">
        <f>((50000+400000+245000+120000+3100000)+104517)+67000-500000-550000</f>
        <v>3036517</v>
      </c>
      <c r="E365" s="1710"/>
      <c r="F365" s="750"/>
      <c r="G365" s="2200"/>
      <c r="H365" s="2200"/>
      <c r="I365" s="2201"/>
      <c r="J365" s="29">
        <v>2400000</v>
      </c>
    </row>
    <row r="366" spans="1:10" s="98" customFormat="1" ht="30" customHeight="1" x14ac:dyDescent="0.2">
      <c r="A366" s="2339" t="s">
        <v>2729</v>
      </c>
      <c r="B366" s="737" t="s">
        <v>2730</v>
      </c>
      <c r="C366" s="738">
        <v>100000</v>
      </c>
      <c r="D366" s="738">
        <f>100000-67000</f>
        <v>33000</v>
      </c>
      <c r="E366" s="1030"/>
      <c r="F366" s="750"/>
      <c r="G366" s="2200"/>
      <c r="H366" s="2200"/>
      <c r="I366" s="2201"/>
      <c r="J366" s="29">
        <v>0</v>
      </c>
    </row>
    <row r="367" spans="1:10" s="98" customFormat="1" ht="30" customHeight="1" x14ac:dyDescent="0.2">
      <c r="A367" s="2221">
        <v>3639</v>
      </c>
      <c r="B367" s="717" t="s">
        <v>1418</v>
      </c>
      <c r="C367" s="726">
        <f>SUM(C368:C369)</f>
        <v>5000</v>
      </c>
      <c r="D367" s="726">
        <f>SUM(D368:D369)</f>
        <v>80741.16</v>
      </c>
      <c r="E367" s="726"/>
      <c r="F367" s="750"/>
      <c r="G367" s="1663"/>
      <c r="H367" s="1663"/>
      <c r="I367" s="1662"/>
      <c r="J367" s="29">
        <v>0</v>
      </c>
    </row>
    <row r="368" spans="1:10" s="98" customFormat="1" ht="30" customHeight="1" x14ac:dyDescent="0.2">
      <c r="A368" s="2353" t="s">
        <v>392</v>
      </c>
      <c r="B368" s="737" t="s">
        <v>2731</v>
      </c>
      <c r="C368" s="738">
        <v>5000</v>
      </c>
      <c r="D368" s="738">
        <v>5000</v>
      </c>
      <c r="E368" s="1030"/>
      <c r="F368" s="750"/>
      <c r="G368" s="2200"/>
      <c r="H368" s="2200"/>
      <c r="I368" s="2201"/>
      <c r="J368" s="29">
        <v>0</v>
      </c>
    </row>
    <row r="369" spans="1:10" s="98" customFormat="1" ht="30" customHeight="1" x14ac:dyDescent="0.2">
      <c r="A369" s="2353" t="s">
        <v>390</v>
      </c>
      <c r="B369" s="737" t="s">
        <v>3120</v>
      </c>
      <c r="C369" s="738">
        <v>0</v>
      </c>
      <c r="D369" s="738">
        <v>75741.16</v>
      </c>
      <c r="E369" s="1030"/>
      <c r="F369" s="750"/>
      <c r="G369" s="2200"/>
      <c r="H369" s="2200"/>
      <c r="I369" s="2201"/>
      <c r="J369" s="29">
        <v>0</v>
      </c>
    </row>
    <row r="370" spans="1:10" s="98" customFormat="1" ht="30" customHeight="1" x14ac:dyDescent="0.2">
      <c r="A370" s="2221">
        <v>3699</v>
      </c>
      <c r="B370" s="717" t="s">
        <v>1421</v>
      </c>
      <c r="C370" s="726">
        <f t="shared" ref="C370:D370" si="33">SUM(C371:C372)</f>
        <v>450000</v>
      </c>
      <c r="D370" s="726">
        <f t="shared" si="33"/>
        <v>450000</v>
      </c>
      <c r="E370" s="726"/>
      <c r="F370" s="750"/>
      <c r="G370" s="1663"/>
      <c r="H370" s="1663"/>
      <c r="I370" s="1662"/>
      <c r="J370" s="29">
        <v>27104</v>
      </c>
    </row>
    <row r="371" spans="1:10" s="98" customFormat="1" ht="30" customHeight="1" x14ac:dyDescent="0.2">
      <c r="A371" s="2354" t="s">
        <v>1422</v>
      </c>
      <c r="B371" s="1039" t="s">
        <v>3121</v>
      </c>
      <c r="C371" s="1271">
        <v>100000</v>
      </c>
      <c r="D371" s="1271">
        <v>100000</v>
      </c>
      <c r="E371" s="1041"/>
      <c r="F371" s="1042"/>
      <c r="G371" s="2200"/>
      <c r="H371" s="2200"/>
      <c r="I371" s="2201"/>
      <c r="J371" s="29">
        <v>0</v>
      </c>
    </row>
    <row r="372" spans="1:10" ht="30" customHeight="1" x14ac:dyDescent="0.2">
      <c r="A372" s="2355" t="s">
        <v>395</v>
      </c>
      <c r="B372" s="1044" t="s">
        <v>2733</v>
      </c>
      <c r="C372" s="1045">
        <v>350000</v>
      </c>
      <c r="D372" s="1045">
        <v>350000</v>
      </c>
      <c r="E372" s="1042"/>
      <c r="F372" s="1045"/>
      <c r="G372" s="2200"/>
      <c r="H372" s="2200"/>
      <c r="I372" s="2201"/>
      <c r="J372" s="29">
        <v>27104</v>
      </c>
    </row>
    <row r="373" spans="1:10" ht="30" customHeight="1" x14ac:dyDescent="0.2">
      <c r="A373" s="2333"/>
      <c r="B373" s="1039"/>
      <c r="C373" s="1040"/>
      <c r="D373" s="1040"/>
      <c r="E373" s="1040"/>
      <c r="F373" s="1040"/>
      <c r="G373" s="2356"/>
      <c r="H373" s="2356"/>
      <c r="I373" s="2357"/>
    </row>
    <row r="374" spans="1:10" ht="30" customHeight="1" x14ac:dyDescent="0.3">
      <c r="A374" s="2358"/>
      <c r="B374" s="1051" t="s">
        <v>1031</v>
      </c>
      <c r="C374" s="1052">
        <f>C375+C388+C444+C468+C480+C490+C495+C507+C546+C563</f>
        <v>323192700</v>
      </c>
      <c r="D374" s="1052">
        <f>D375+D388+D444+D468+D480+D490+D495+D507+D546+D563</f>
        <v>282833099</v>
      </c>
      <c r="E374" s="1052"/>
      <c r="F374" s="2359"/>
      <c r="G374" s="949"/>
      <c r="H374" s="949"/>
      <c r="I374" s="949"/>
      <c r="J374" s="29">
        <v>158267485.03</v>
      </c>
    </row>
    <row r="375" spans="1:10" s="98" customFormat="1" ht="30" customHeight="1" x14ac:dyDescent="0.25">
      <c r="A375" s="2360"/>
      <c r="B375" s="1054" t="s">
        <v>398</v>
      </c>
      <c r="C375" s="1055">
        <f t="shared" ref="C375:D375" si="34">SUM(C376+C380)</f>
        <v>9902000</v>
      </c>
      <c r="D375" s="1055">
        <f t="shared" si="34"/>
        <v>6705000</v>
      </c>
      <c r="E375" s="1055"/>
      <c r="F375" s="2361"/>
      <c r="G375" s="2325"/>
      <c r="H375" s="2325"/>
      <c r="I375" s="2325"/>
      <c r="J375" s="29">
        <v>374934.98</v>
      </c>
    </row>
    <row r="376" spans="1:10" s="98" customFormat="1" ht="30" customHeight="1" x14ac:dyDescent="0.2">
      <c r="A376" s="2362">
        <v>2310</v>
      </c>
      <c r="B376" s="2363" t="s">
        <v>1425</v>
      </c>
      <c r="C376" s="1138">
        <f t="shared" ref="C376:D376" si="35">SUM(C377:C379)</f>
        <v>4560000</v>
      </c>
      <c r="D376" s="1138">
        <f t="shared" si="35"/>
        <v>560000</v>
      </c>
      <c r="E376" s="1138"/>
      <c r="F376" s="2364"/>
      <c r="G376" s="1663"/>
      <c r="H376" s="1663"/>
      <c r="I376" s="1662"/>
      <c r="J376" s="29">
        <v>107690</v>
      </c>
    </row>
    <row r="377" spans="1:10" ht="30" customHeight="1" x14ac:dyDescent="0.2">
      <c r="A377" s="2352" t="s">
        <v>404</v>
      </c>
      <c r="B377" s="2365" t="s">
        <v>2734</v>
      </c>
      <c r="C377" s="1077">
        <v>5000</v>
      </c>
      <c r="D377" s="1077">
        <v>5000</v>
      </c>
      <c r="E377" s="2046"/>
      <c r="F377" s="1077"/>
      <c r="G377" s="2200"/>
      <c r="H377" s="2200"/>
      <c r="I377" s="2201"/>
      <c r="J377" s="29">
        <v>0</v>
      </c>
    </row>
    <row r="378" spans="1:10" ht="30" customHeight="1" x14ac:dyDescent="0.2">
      <c r="A378" s="2352" t="s">
        <v>1427</v>
      </c>
      <c r="B378" s="2365" t="s">
        <v>2049</v>
      </c>
      <c r="C378" s="1077">
        <v>5000</v>
      </c>
      <c r="D378" s="1077">
        <v>5000</v>
      </c>
      <c r="E378" s="2046"/>
      <c r="F378" s="1077"/>
      <c r="G378" s="2200"/>
      <c r="H378" s="2200"/>
      <c r="I378" s="2201"/>
      <c r="J378" s="29">
        <v>0</v>
      </c>
    </row>
    <row r="379" spans="1:10" ht="30" customHeight="1" x14ac:dyDescent="0.2">
      <c r="A379" s="2352" t="s">
        <v>2307</v>
      </c>
      <c r="B379" s="2365" t="s">
        <v>2735</v>
      </c>
      <c r="C379" s="1077">
        <v>4550000</v>
      </c>
      <c r="D379" s="1077">
        <f>4550000-4000000</f>
        <v>550000</v>
      </c>
      <c r="E379" s="2046"/>
      <c r="F379" s="1077"/>
      <c r="G379" s="2200"/>
      <c r="H379" s="2200"/>
      <c r="I379" s="2201"/>
      <c r="J379" s="29">
        <v>107690</v>
      </c>
    </row>
    <row r="380" spans="1:10" ht="30" customHeight="1" x14ac:dyDescent="0.2">
      <c r="A380" s="2296">
        <v>2321</v>
      </c>
      <c r="B380" s="2366" t="s">
        <v>1429</v>
      </c>
      <c r="C380" s="727">
        <f t="shared" ref="C380:D380" si="36">SUM(C381:C387)</f>
        <v>5342000</v>
      </c>
      <c r="D380" s="727">
        <f t="shared" si="36"/>
        <v>6145000</v>
      </c>
      <c r="E380" s="727"/>
      <c r="F380" s="2341"/>
      <c r="G380" s="1663"/>
      <c r="H380" s="1663"/>
      <c r="I380" s="1662"/>
      <c r="J380" s="29">
        <v>267244.98</v>
      </c>
    </row>
    <row r="381" spans="1:10" ht="30" customHeight="1" x14ac:dyDescent="0.2">
      <c r="A381" s="2352" t="s">
        <v>1430</v>
      </c>
      <c r="B381" s="2365" t="s">
        <v>2736</v>
      </c>
      <c r="C381" s="1077">
        <v>5000</v>
      </c>
      <c r="D381" s="1077">
        <v>5000</v>
      </c>
      <c r="E381" s="2046"/>
      <c r="F381" s="1077"/>
      <c r="G381" s="2200"/>
      <c r="H381" s="2200"/>
      <c r="I381" s="2201"/>
      <c r="J381" s="29">
        <v>0</v>
      </c>
    </row>
    <row r="382" spans="1:10" ht="30" customHeight="1" x14ac:dyDescent="0.2">
      <c r="A382" s="2352" t="s">
        <v>1432</v>
      </c>
      <c r="B382" s="2365" t="s">
        <v>2051</v>
      </c>
      <c r="C382" s="2341">
        <v>750000</v>
      </c>
      <c r="D382" s="2341">
        <f>750000-300000-80000-20000</f>
        <v>350000</v>
      </c>
      <c r="E382" s="2367"/>
      <c r="F382" s="2341"/>
      <c r="G382" s="2200"/>
      <c r="H382" s="2200"/>
      <c r="I382" s="2201"/>
      <c r="J382" s="29">
        <v>0</v>
      </c>
    </row>
    <row r="383" spans="1:10" ht="30" customHeight="1" x14ac:dyDescent="0.2">
      <c r="A383" s="2352" t="s">
        <v>1434</v>
      </c>
      <c r="B383" s="2365" t="s">
        <v>2052</v>
      </c>
      <c r="C383" s="1077">
        <v>5000</v>
      </c>
      <c r="D383" s="1077">
        <v>5000</v>
      </c>
      <c r="E383" s="2046"/>
      <c r="F383" s="1077"/>
      <c r="G383" s="2200"/>
      <c r="H383" s="2200"/>
      <c r="I383" s="2201"/>
      <c r="J383" s="29">
        <v>0</v>
      </c>
    </row>
    <row r="384" spans="1:10" ht="30" customHeight="1" x14ac:dyDescent="0.2">
      <c r="A384" s="2352" t="s">
        <v>1436</v>
      </c>
      <c r="B384" s="2365" t="s">
        <v>2737</v>
      </c>
      <c r="C384" s="1077">
        <v>67000</v>
      </c>
      <c r="D384" s="1077">
        <f>67000+450000-205000</f>
        <v>312000</v>
      </c>
      <c r="E384" s="2046"/>
      <c r="F384" s="1077"/>
      <c r="G384" s="2200"/>
      <c r="H384" s="2200"/>
      <c r="I384" s="2201"/>
      <c r="J384" s="29">
        <v>0</v>
      </c>
    </row>
    <row r="385" spans="1:10" ht="30" customHeight="1" x14ac:dyDescent="0.2">
      <c r="A385" s="2352" t="s">
        <v>413</v>
      </c>
      <c r="B385" s="2365" t="s">
        <v>2738</v>
      </c>
      <c r="C385" s="1077">
        <v>4200000</v>
      </c>
      <c r="D385" s="1077">
        <f>4200000-450000+205000</f>
        <v>3955000</v>
      </c>
      <c r="E385" s="2046"/>
      <c r="F385" s="1077"/>
      <c r="G385" s="2200"/>
      <c r="H385" s="2200"/>
      <c r="I385" s="2201"/>
      <c r="J385" s="29">
        <v>0</v>
      </c>
    </row>
    <row r="386" spans="1:10" ht="30" customHeight="1" x14ac:dyDescent="0.2">
      <c r="A386" s="2352" t="s">
        <v>417</v>
      </c>
      <c r="B386" s="2365" t="s">
        <v>2739</v>
      </c>
      <c r="C386" s="1077">
        <v>0</v>
      </c>
      <c r="D386" s="1077">
        <f>300000-29900</f>
        <v>270100</v>
      </c>
      <c r="E386" s="2046"/>
      <c r="F386" s="1077"/>
      <c r="G386" s="2200"/>
      <c r="H386" s="2200"/>
      <c r="I386" s="2201"/>
      <c r="J386" s="29">
        <v>0</v>
      </c>
    </row>
    <row r="387" spans="1:10" ht="30" customHeight="1" x14ac:dyDescent="0.2">
      <c r="A387" s="2368" t="s">
        <v>415</v>
      </c>
      <c r="B387" s="2369" t="s">
        <v>2740</v>
      </c>
      <c r="C387" s="1048">
        <v>315000</v>
      </c>
      <c r="D387" s="1048">
        <f>315000+80000+20000+29900+803000</f>
        <v>1247900</v>
      </c>
      <c r="E387" s="2370"/>
      <c r="F387" s="1048"/>
      <c r="G387" s="2200"/>
      <c r="H387" s="2200"/>
      <c r="I387" s="2201"/>
      <c r="J387" s="29">
        <v>0</v>
      </c>
    </row>
    <row r="388" spans="1:10" ht="30" customHeight="1" x14ac:dyDescent="0.25">
      <c r="A388" s="2371"/>
      <c r="B388" s="1062" t="s">
        <v>424</v>
      </c>
      <c r="C388" s="1055">
        <f>SUM(C389+C410+C441)</f>
        <v>53463000</v>
      </c>
      <c r="D388" s="1055">
        <f>SUM(D389+D410+D441)</f>
        <v>61488500</v>
      </c>
      <c r="E388" s="1055"/>
      <c r="F388" s="2361"/>
      <c r="G388" s="2325"/>
      <c r="H388" s="2325"/>
      <c r="I388" s="2325"/>
      <c r="J388" s="29">
        <v>37269680.960000001</v>
      </c>
    </row>
    <row r="389" spans="1:10" ht="30" customHeight="1" x14ac:dyDescent="0.2">
      <c r="A389" s="2362">
        <v>2212</v>
      </c>
      <c r="B389" s="1137" t="s">
        <v>1440</v>
      </c>
      <c r="C389" s="1138">
        <f>SUM(C390:C409)</f>
        <v>35411000</v>
      </c>
      <c r="D389" s="1138">
        <f>SUM(D390:D409)</f>
        <v>40601000</v>
      </c>
      <c r="E389" s="1138"/>
      <c r="F389" s="2364"/>
      <c r="G389" s="1663"/>
      <c r="H389" s="1663"/>
      <c r="I389" s="1662"/>
      <c r="J389" s="29">
        <v>13130524.300000001</v>
      </c>
    </row>
    <row r="390" spans="1:10" ht="30" customHeight="1" x14ac:dyDescent="0.2">
      <c r="A390" s="2352" t="s">
        <v>293</v>
      </c>
      <c r="B390" s="809" t="s">
        <v>2741</v>
      </c>
      <c r="C390" s="1077">
        <v>300000</v>
      </c>
      <c r="D390" s="1077">
        <f>300000+400000</f>
        <v>700000</v>
      </c>
      <c r="E390" s="1077"/>
      <c r="F390" s="1077"/>
      <c r="G390" s="2200"/>
      <c r="H390" s="2200"/>
      <c r="I390" s="2201"/>
      <c r="J390" s="29">
        <v>87352.8</v>
      </c>
    </row>
    <row r="391" spans="1:10" ht="30" customHeight="1" x14ac:dyDescent="0.2">
      <c r="A391" s="2352" t="s">
        <v>291</v>
      </c>
      <c r="B391" s="809" t="s">
        <v>2742</v>
      </c>
      <c r="C391" s="1077">
        <v>4000000</v>
      </c>
      <c r="D391" s="1077">
        <f>4000000-210000+3000000+9000000+350000-5000000-3700000</f>
        <v>7440000</v>
      </c>
      <c r="E391" s="1077"/>
      <c r="F391" s="1077"/>
      <c r="G391" s="2200"/>
      <c r="H391" s="2200"/>
      <c r="I391" s="2201"/>
      <c r="J391" s="29">
        <v>2807226.83</v>
      </c>
    </row>
    <row r="392" spans="1:10" ht="30" customHeight="1" x14ac:dyDescent="0.2">
      <c r="A392" s="2352" t="s">
        <v>1442</v>
      </c>
      <c r="B392" s="809" t="s">
        <v>2054</v>
      </c>
      <c r="C392" s="2341">
        <v>750000</v>
      </c>
      <c r="D392" s="2341">
        <f>750000-750000</f>
        <v>0</v>
      </c>
      <c r="E392" s="2341"/>
      <c r="F392" s="2341"/>
      <c r="G392" s="2200"/>
      <c r="H392" s="2200"/>
      <c r="I392" s="2201"/>
      <c r="J392" s="29">
        <v>156543.29999999999</v>
      </c>
    </row>
    <row r="393" spans="1:10" s="98" customFormat="1" ht="30" customHeight="1" x14ac:dyDescent="0.2">
      <c r="A393" s="2352" t="s">
        <v>442</v>
      </c>
      <c r="B393" s="1112" t="s">
        <v>2743</v>
      </c>
      <c r="C393" s="1077">
        <v>10000</v>
      </c>
      <c r="D393" s="1077">
        <v>10000</v>
      </c>
      <c r="E393" s="1077"/>
      <c r="F393" s="1077"/>
      <c r="G393" s="2200"/>
      <c r="H393" s="2200"/>
      <c r="I393" s="2201"/>
      <c r="J393" s="29">
        <v>4800</v>
      </c>
    </row>
    <row r="394" spans="1:10" s="98" customFormat="1" ht="30" customHeight="1" x14ac:dyDescent="0.2">
      <c r="A394" s="2352" t="s">
        <v>1450</v>
      </c>
      <c r="B394" s="809" t="s">
        <v>2744</v>
      </c>
      <c r="C394" s="1077">
        <v>10000</v>
      </c>
      <c r="D394" s="1077">
        <v>10000</v>
      </c>
      <c r="E394" s="1077"/>
      <c r="F394" s="1077"/>
      <c r="G394" s="2200"/>
      <c r="H394" s="2200"/>
      <c r="I394" s="2201"/>
      <c r="J394" s="29">
        <v>187247</v>
      </c>
    </row>
    <row r="395" spans="1:10" s="98" customFormat="1" ht="30" customHeight="1" x14ac:dyDescent="0.2">
      <c r="A395" s="2352" t="s">
        <v>2316</v>
      </c>
      <c r="B395" s="809" t="s">
        <v>2055</v>
      </c>
      <c r="C395" s="2341">
        <v>500000</v>
      </c>
      <c r="D395" s="2341">
        <f>500000-250000</f>
        <v>250000</v>
      </c>
      <c r="E395" s="2341"/>
      <c r="F395" s="2341"/>
      <c r="G395" s="2200"/>
      <c r="H395" s="2200"/>
      <c r="I395" s="2201"/>
      <c r="J395" s="29">
        <v>0</v>
      </c>
    </row>
    <row r="396" spans="1:10" ht="30" customHeight="1" x14ac:dyDescent="0.2">
      <c r="A396" s="2352" t="s">
        <v>1466</v>
      </c>
      <c r="B396" s="2372" t="s">
        <v>2745</v>
      </c>
      <c r="C396" s="2341">
        <v>300000</v>
      </c>
      <c r="D396" s="2341">
        <f>300000-300000</f>
        <v>0</v>
      </c>
      <c r="E396" s="2341"/>
      <c r="F396" s="2341"/>
      <c r="G396" s="2200"/>
      <c r="H396" s="2200"/>
      <c r="I396" s="2201"/>
      <c r="J396" s="1866">
        <v>0</v>
      </c>
    </row>
    <row r="397" spans="1:10" ht="30" customHeight="1" x14ac:dyDescent="0.2">
      <c r="A397" s="2352" t="s">
        <v>2326</v>
      </c>
      <c r="B397" s="809" t="s">
        <v>2086</v>
      </c>
      <c r="C397" s="2341">
        <v>200000</v>
      </c>
      <c r="D397" s="2341">
        <f>200000-19000</f>
        <v>181000</v>
      </c>
      <c r="E397" s="2341"/>
      <c r="F397" s="2341"/>
      <c r="G397" s="2200"/>
      <c r="H397" s="2200"/>
      <c r="I397" s="2201"/>
      <c r="J397" s="29">
        <v>0</v>
      </c>
    </row>
    <row r="398" spans="1:10" ht="30" customHeight="1" x14ac:dyDescent="0.2">
      <c r="A398" s="2352" t="s">
        <v>2332</v>
      </c>
      <c r="B398" s="809" t="s">
        <v>2087</v>
      </c>
      <c r="C398" s="2341">
        <v>200000</v>
      </c>
      <c r="D398" s="2341">
        <v>200000</v>
      </c>
      <c r="E398" s="2341"/>
      <c r="F398" s="2341"/>
      <c r="G398" s="2200"/>
      <c r="H398" s="2200"/>
      <c r="I398" s="2201"/>
      <c r="J398" s="29">
        <v>0</v>
      </c>
    </row>
    <row r="399" spans="1:10" ht="30" customHeight="1" x14ac:dyDescent="0.2">
      <c r="A399" s="2352" t="s">
        <v>2334</v>
      </c>
      <c r="B399" s="809" t="s">
        <v>2088</v>
      </c>
      <c r="C399" s="2341">
        <v>200000</v>
      </c>
      <c r="D399" s="2341">
        <v>200000</v>
      </c>
      <c r="E399" s="2341"/>
      <c r="F399" s="2341"/>
      <c r="G399" s="2200"/>
      <c r="H399" s="2200"/>
      <c r="I399" s="2201"/>
      <c r="J399" s="29">
        <v>0</v>
      </c>
    </row>
    <row r="400" spans="1:10" ht="30" customHeight="1" x14ac:dyDescent="0.2">
      <c r="A400" s="2352" t="s">
        <v>1458</v>
      </c>
      <c r="B400" s="809" t="s">
        <v>2746</v>
      </c>
      <c r="C400" s="1077">
        <v>91000</v>
      </c>
      <c r="D400" s="1077">
        <v>91000</v>
      </c>
      <c r="E400" s="1077"/>
      <c r="F400" s="1077"/>
      <c r="G400" s="2200"/>
      <c r="H400" s="2200"/>
      <c r="I400" s="2201"/>
      <c r="J400" s="29">
        <v>199650</v>
      </c>
    </row>
    <row r="401" spans="1:10" ht="30" customHeight="1" x14ac:dyDescent="0.2">
      <c r="A401" s="2352" t="s">
        <v>440</v>
      </c>
      <c r="B401" s="809" t="s">
        <v>2747</v>
      </c>
      <c r="C401" s="1077">
        <v>10000</v>
      </c>
      <c r="D401" s="1077">
        <v>10000</v>
      </c>
      <c r="E401" s="1077"/>
      <c r="F401" s="1077"/>
      <c r="G401" s="2200"/>
      <c r="H401" s="2200"/>
      <c r="I401" s="2201"/>
      <c r="J401" s="29">
        <v>0</v>
      </c>
    </row>
    <row r="402" spans="1:10" s="98" customFormat="1" ht="30" customHeight="1" x14ac:dyDescent="0.2">
      <c r="A402" s="2352" t="s">
        <v>1447</v>
      </c>
      <c r="B402" s="809" t="s">
        <v>2748</v>
      </c>
      <c r="C402" s="1077">
        <v>2400000</v>
      </c>
      <c r="D402" s="1077">
        <f>2400000+250000</f>
        <v>2650000</v>
      </c>
      <c r="E402" s="1077"/>
      <c r="F402" s="1077"/>
      <c r="G402" s="2200"/>
      <c r="H402" s="2200"/>
      <c r="I402" s="2201"/>
      <c r="J402" s="29">
        <v>1089000</v>
      </c>
    </row>
    <row r="403" spans="1:10" s="98" customFormat="1" ht="30" customHeight="1" x14ac:dyDescent="0.2">
      <c r="A403" s="2352" t="s">
        <v>1452</v>
      </c>
      <c r="B403" s="809" t="s">
        <v>2749</v>
      </c>
      <c r="C403" s="1077">
        <v>6080000</v>
      </c>
      <c r="D403" s="1077">
        <f>6080000-80000-35000-900000</f>
        <v>5065000</v>
      </c>
      <c r="E403" s="1077"/>
      <c r="F403" s="1077"/>
      <c r="G403" s="2200"/>
      <c r="H403" s="2200"/>
      <c r="I403" s="2201"/>
      <c r="J403" s="29">
        <v>324280</v>
      </c>
    </row>
    <row r="404" spans="1:10" s="98" customFormat="1" ht="30" customHeight="1" x14ac:dyDescent="0.2">
      <c r="A404" s="2352" t="s">
        <v>453</v>
      </c>
      <c r="B404" s="809" t="s">
        <v>2750</v>
      </c>
      <c r="C404" s="1077">
        <v>200000</v>
      </c>
      <c r="D404" s="1077">
        <v>200000</v>
      </c>
      <c r="E404" s="1077"/>
      <c r="F404" s="1077"/>
      <c r="G404" s="2200"/>
      <c r="H404" s="2200"/>
      <c r="I404" s="2201"/>
      <c r="J404" s="29">
        <v>0</v>
      </c>
    </row>
    <row r="405" spans="1:10" s="98" customFormat="1" ht="30" customHeight="1" x14ac:dyDescent="0.2">
      <c r="A405" s="2352" t="s">
        <v>1336</v>
      </c>
      <c r="B405" s="809" t="s">
        <v>2751</v>
      </c>
      <c r="C405" s="1077">
        <v>250000</v>
      </c>
      <c r="D405" s="1077">
        <f>250000+35000</f>
        <v>285000</v>
      </c>
      <c r="E405" s="1077"/>
      <c r="F405" s="1077"/>
      <c r="G405" s="2200"/>
      <c r="H405" s="2200"/>
      <c r="I405" s="2201"/>
      <c r="J405" s="29">
        <v>0</v>
      </c>
    </row>
    <row r="406" spans="1:10" s="98" customFormat="1" ht="30" customHeight="1" x14ac:dyDescent="0.2">
      <c r="A406" s="2352" t="s">
        <v>449</v>
      </c>
      <c r="B406" s="809" t="s">
        <v>2752</v>
      </c>
      <c r="C406" s="1077">
        <v>18000000</v>
      </c>
      <c r="D406" s="1077">
        <f>18000000+3000000+19000+300000</f>
        <v>21319000</v>
      </c>
      <c r="E406" s="1077"/>
      <c r="F406" s="1077"/>
      <c r="G406" s="2200"/>
      <c r="H406" s="2200"/>
      <c r="I406" s="2201"/>
      <c r="J406" s="29">
        <v>1421383.45</v>
      </c>
    </row>
    <row r="407" spans="1:10" ht="30" customHeight="1" x14ac:dyDescent="0.2">
      <c r="A407" s="2352" t="s">
        <v>1462</v>
      </c>
      <c r="B407" s="809" t="s">
        <v>2753</v>
      </c>
      <c r="C407" s="1077">
        <v>10000</v>
      </c>
      <c r="D407" s="1077">
        <v>10000</v>
      </c>
      <c r="E407" s="1077"/>
      <c r="F407" s="1077"/>
      <c r="G407" s="2200"/>
      <c r="H407" s="2200"/>
      <c r="I407" s="2201"/>
      <c r="J407" s="29">
        <v>340010</v>
      </c>
    </row>
    <row r="408" spans="1:10" ht="30" customHeight="1" x14ac:dyDescent="0.2">
      <c r="A408" s="2352" t="s">
        <v>2754</v>
      </c>
      <c r="B408" s="809" t="s">
        <v>2755</v>
      </c>
      <c r="C408" s="1077">
        <v>1800000</v>
      </c>
      <c r="D408" s="1077">
        <v>1800000</v>
      </c>
      <c r="E408" s="1077"/>
      <c r="F408" s="1077"/>
      <c r="G408" s="2200"/>
      <c r="H408" s="2200"/>
      <c r="I408" s="2201"/>
      <c r="J408" s="29">
        <v>0</v>
      </c>
    </row>
    <row r="409" spans="1:10" ht="30" customHeight="1" x14ac:dyDescent="0.2">
      <c r="A409" s="2352" t="s">
        <v>436</v>
      </c>
      <c r="B409" s="809" t="s">
        <v>2756</v>
      </c>
      <c r="C409" s="2341">
        <v>100000</v>
      </c>
      <c r="D409" s="2341">
        <f>100000+80000</f>
        <v>180000</v>
      </c>
      <c r="E409" s="2341"/>
      <c r="F409" s="2341"/>
      <c r="G409" s="2200"/>
      <c r="H409" s="2200"/>
      <c r="I409" s="2201"/>
      <c r="J409" s="29">
        <v>0</v>
      </c>
    </row>
    <row r="410" spans="1:10" ht="30" customHeight="1" x14ac:dyDescent="0.2">
      <c r="A410" s="2296">
        <v>2219</v>
      </c>
      <c r="B410" s="1240" t="s">
        <v>1470</v>
      </c>
      <c r="C410" s="727">
        <f>SUM(C411:C439)</f>
        <v>17652000</v>
      </c>
      <c r="D410" s="727">
        <f>SUM(D411:D439)</f>
        <v>20527500</v>
      </c>
      <c r="E410" s="727"/>
      <c r="F410" s="2341"/>
      <c r="G410" s="1663"/>
      <c r="H410" s="1663"/>
      <c r="I410" s="1662"/>
      <c r="J410" s="29">
        <v>22519164.050000001</v>
      </c>
    </row>
    <row r="411" spans="1:10" ht="30" customHeight="1" x14ac:dyDescent="0.2">
      <c r="A411" s="2352" t="s">
        <v>299</v>
      </c>
      <c r="B411" s="809" t="s">
        <v>2757</v>
      </c>
      <c r="C411" s="1077">
        <v>200000</v>
      </c>
      <c r="D411" s="1077">
        <f>200000-90000+70000</f>
        <v>180000</v>
      </c>
      <c r="E411" s="1077"/>
      <c r="F411" s="1077"/>
      <c r="G411" s="2200"/>
      <c r="H411" s="2200"/>
      <c r="I411" s="2201"/>
      <c r="J411" s="29">
        <v>309263</v>
      </c>
    </row>
    <row r="412" spans="1:10" ht="30" customHeight="1" x14ac:dyDescent="0.2">
      <c r="A412" s="2352" t="s">
        <v>301</v>
      </c>
      <c r="B412" s="809" t="s">
        <v>2758</v>
      </c>
      <c r="C412" s="1077">
        <v>1500000</v>
      </c>
      <c r="D412" s="1077">
        <f>1500000-32000-104000-17000+2000000-301000-70000-1700000</f>
        <v>1276000</v>
      </c>
      <c r="E412" s="1077"/>
      <c r="F412" s="1077"/>
      <c r="G412" s="2200"/>
      <c r="H412" s="2200"/>
      <c r="I412" s="2201"/>
      <c r="J412" s="29">
        <v>1423327.19</v>
      </c>
    </row>
    <row r="413" spans="1:10" ht="30" customHeight="1" x14ac:dyDescent="0.2">
      <c r="A413" s="2352" t="s">
        <v>467</v>
      </c>
      <c r="B413" s="809" t="s">
        <v>2759</v>
      </c>
      <c r="C413" s="1077">
        <v>130000</v>
      </c>
      <c r="D413" s="1077">
        <f>130000+104000</f>
        <v>234000</v>
      </c>
      <c r="E413" s="1077"/>
      <c r="F413" s="1077"/>
      <c r="G413" s="2200"/>
      <c r="H413" s="2200"/>
      <c r="I413" s="2201"/>
      <c r="J413" s="29">
        <v>2351432.83</v>
      </c>
    </row>
    <row r="414" spans="1:10" ht="30" customHeight="1" x14ac:dyDescent="0.2">
      <c r="A414" s="2352" t="s">
        <v>471</v>
      </c>
      <c r="B414" s="2372" t="s">
        <v>3185</v>
      </c>
      <c r="C414" s="1077">
        <v>0</v>
      </c>
      <c r="D414" s="1077">
        <f>90000</f>
        <v>90000</v>
      </c>
      <c r="E414" s="1077"/>
      <c r="F414" s="1077"/>
      <c r="G414" s="2200"/>
      <c r="H414" s="2200"/>
      <c r="I414" s="2201"/>
      <c r="J414" s="1866">
        <v>438020</v>
      </c>
    </row>
    <row r="415" spans="1:10" ht="30" customHeight="1" x14ac:dyDescent="0.2">
      <c r="A415" s="2352" t="s">
        <v>1473</v>
      </c>
      <c r="B415" s="1112" t="s">
        <v>2761</v>
      </c>
      <c r="C415" s="1077">
        <v>102000</v>
      </c>
      <c r="D415" s="1077">
        <v>102000</v>
      </c>
      <c r="E415" s="1077"/>
      <c r="F415" s="1077"/>
      <c r="G415" s="2200"/>
      <c r="H415" s="2200"/>
      <c r="I415" s="2201"/>
      <c r="J415" s="29">
        <v>1479762.09</v>
      </c>
    </row>
    <row r="416" spans="1:10" ht="30" customHeight="1" x14ac:dyDescent="0.2">
      <c r="A416" s="2352" t="s">
        <v>2762</v>
      </c>
      <c r="B416" s="1112" t="s">
        <v>2763</v>
      </c>
      <c r="C416" s="1077">
        <v>150000</v>
      </c>
      <c r="D416" s="1077">
        <v>150000</v>
      </c>
      <c r="E416" s="1077"/>
      <c r="F416" s="1077"/>
      <c r="G416" s="2200"/>
      <c r="H416" s="2200"/>
      <c r="I416" s="2201"/>
      <c r="J416" s="29">
        <v>0</v>
      </c>
    </row>
    <row r="417" spans="1:10" ht="30" customHeight="1" x14ac:dyDescent="0.2">
      <c r="A417" s="2352" t="s">
        <v>473</v>
      </c>
      <c r="B417" s="1112" t="s">
        <v>2764</v>
      </c>
      <c r="C417" s="1077">
        <v>10000</v>
      </c>
      <c r="D417" s="1077">
        <f>10000+17000</f>
        <v>27000</v>
      </c>
      <c r="E417" s="1077"/>
      <c r="F417" s="1077"/>
      <c r="G417" s="2200"/>
      <c r="H417" s="2200"/>
      <c r="I417" s="2201"/>
      <c r="J417" s="29">
        <v>0</v>
      </c>
    </row>
    <row r="418" spans="1:10" ht="30" customHeight="1" x14ac:dyDescent="0.2">
      <c r="A418" s="2352" t="s">
        <v>1505</v>
      </c>
      <c r="B418" s="1112" t="s">
        <v>3122</v>
      </c>
      <c r="C418" s="1077">
        <v>64000</v>
      </c>
      <c r="D418" s="1077">
        <v>64000</v>
      </c>
      <c r="E418" s="1077"/>
      <c r="F418" s="1077"/>
      <c r="G418" s="2200"/>
      <c r="H418" s="2200"/>
      <c r="I418" s="2201"/>
      <c r="J418" s="29">
        <v>215000</v>
      </c>
    </row>
    <row r="419" spans="1:10" ht="30" customHeight="1" x14ac:dyDescent="0.2">
      <c r="A419" s="2352" t="s">
        <v>1507</v>
      </c>
      <c r="B419" s="1112" t="s">
        <v>3123</v>
      </c>
      <c r="C419" s="1077">
        <v>57000</v>
      </c>
      <c r="D419" s="1077">
        <v>57000</v>
      </c>
      <c r="E419" s="1077"/>
      <c r="F419" s="1077"/>
      <c r="G419" s="2200"/>
      <c r="H419" s="2200"/>
      <c r="I419" s="2201"/>
      <c r="J419" s="29">
        <v>123000</v>
      </c>
    </row>
    <row r="420" spans="1:10" ht="30" customHeight="1" x14ac:dyDescent="0.2">
      <c r="A420" s="2352" t="s">
        <v>1491</v>
      </c>
      <c r="B420" s="1112" t="s">
        <v>2772</v>
      </c>
      <c r="C420" s="1077">
        <v>0</v>
      </c>
      <c r="D420" s="1077">
        <f>472200+32000</f>
        <v>504200</v>
      </c>
      <c r="E420" s="1077"/>
      <c r="F420" s="1077"/>
      <c r="G420" s="2200"/>
      <c r="H420" s="2200"/>
      <c r="I420" s="2201"/>
      <c r="J420" s="29">
        <v>1330911.67</v>
      </c>
    </row>
    <row r="421" spans="1:10" ht="30" customHeight="1" x14ac:dyDescent="0.2">
      <c r="A421" s="2352" t="s">
        <v>1497</v>
      </c>
      <c r="B421" s="1112" t="s">
        <v>2767</v>
      </c>
      <c r="C421" s="1077">
        <v>5000</v>
      </c>
      <c r="D421" s="1077">
        <v>5000</v>
      </c>
      <c r="E421" s="1077"/>
      <c r="F421" s="1077"/>
      <c r="G421" s="2200"/>
      <c r="H421" s="2200"/>
      <c r="I421" s="2201"/>
      <c r="J421" s="29">
        <v>71390</v>
      </c>
    </row>
    <row r="422" spans="1:10" ht="30" customHeight="1" x14ac:dyDescent="0.2">
      <c r="A422" s="2352" t="s">
        <v>1501</v>
      </c>
      <c r="B422" s="1112" t="s">
        <v>2768</v>
      </c>
      <c r="C422" s="1077">
        <v>370000</v>
      </c>
      <c r="D422" s="1077">
        <f>370000-32000-21000-22000</f>
        <v>295000</v>
      </c>
      <c r="E422" s="1077"/>
      <c r="F422" s="1077"/>
      <c r="G422" s="2200"/>
      <c r="H422" s="2200"/>
      <c r="I422" s="2201"/>
      <c r="J422" s="29">
        <v>133100</v>
      </c>
    </row>
    <row r="423" spans="1:10" ht="30" customHeight="1" x14ac:dyDescent="0.2">
      <c r="A423" s="2352" t="s">
        <v>1503</v>
      </c>
      <c r="B423" s="1112" t="s">
        <v>2769</v>
      </c>
      <c r="C423" s="1077">
        <v>5000</v>
      </c>
      <c r="D423" s="1077">
        <v>5000</v>
      </c>
      <c r="E423" s="1077"/>
      <c r="F423" s="1077"/>
      <c r="G423" s="2200"/>
      <c r="H423" s="2200"/>
      <c r="I423" s="2201"/>
      <c r="J423" s="29">
        <v>206910</v>
      </c>
    </row>
    <row r="424" spans="1:10" ht="30" customHeight="1" x14ac:dyDescent="0.2">
      <c r="A424" s="2352" t="s">
        <v>1480</v>
      </c>
      <c r="B424" s="1112" t="s">
        <v>2770</v>
      </c>
      <c r="C424" s="1077">
        <v>10000</v>
      </c>
      <c r="D424" s="1077">
        <f>10000+32000+21000</f>
        <v>63000</v>
      </c>
      <c r="E424" s="1077"/>
      <c r="F424" s="1077"/>
      <c r="G424" s="2200"/>
      <c r="H424" s="2200"/>
      <c r="I424" s="2201"/>
      <c r="J424" s="29">
        <v>125225</v>
      </c>
    </row>
    <row r="425" spans="1:10" ht="30" customHeight="1" x14ac:dyDescent="0.2">
      <c r="A425" s="2352" t="s">
        <v>1478</v>
      </c>
      <c r="B425" s="1112" t="s">
        <v>2771</v>
      </c>
      <c r="C425" s="1077">
        <v>0</v>
      </c>
      <c r="D425" s="1077">
        <f>685000</f>
        <v>685000</v>
      </c>
      <c r="E425" s="1077"/>
      <c r="F425" s="1077"/>
      <c r="G425" s="2200"/>
      <c r="H425" s="2200"/>
      <c r="I425" s="2201"/>
      <c r="J425" s="29">
        <v>3595125.67</v>
      </c>
    </row>
    <row r="426" spans="1:10" ht="30" customHeight="1" x14ac:dyDescent="0.2">
      <c r="A426" s="2352" t="s">
        <v>1495</v>
      </c>
      <c r="B426" s="1112" t="s">
        <v>2773</v>
      </c>
      <c r="C426" s="1077">
        <v>20000</v>
      </c>
      <c r="D426" s="1077">
        <v>20000</v>
      </c>
      <c r="E426" s="1077"/>
      <c r="F426" s="1077"/>
      <c r="G426" s="2200"/>
      <c r="H426" s="2200"/>
      <c r="I426" s="2201"/>
      <c r="J426" s="29">
        <v>20000</v>
      </c>
    </row>
    <row r="427" spans="1:10" ht="30" customHeight="1" x14ac:dyDescent="0.2">
      <c r="A427" s="2352" t="s">
        <v>1527</v>
      </c>
      <c r="B427" s="1112" t="s">
        <v>2774</v>
      </c>
      <c r="C427" s="1077">
        <v>0</v>
      </c>
      <c r="D427" s="1077">
        <f>2021300</f>
        <v>2021300</v>
      </c>
      <c r="E427" s="1077"/>
      <c r="F427" s="1077"/>
      <c r="G427" s="2200"/>
      <c r="H427" s="2200"/>
      <c r="I427" s="2201"/>
      <c r="J427" s="29">
        <v>5855607.0499999998</v>
      </c>
    </row>
    <row r="428" spans="1:10" ht="30" customHeight="1" x14ac:dyDescent="0.2">
      <c r="A428" s="2352" t="s">
        <v>503</v>
      </c>
      <c r="B428" s="1112" t="s">
        <v>2775</v>
      </c>
      <c r="C428" s="1077">
        <v>5000</v>
      </c>
      <c r="D428" s="1077">
        <v>5000</v>
      </c>
      <c r="E428" s="1077"/>
      <c r="F428" s="1077"/>
      <c r="G428" s="2200"/>
      <c r="H428" s="2200"/>
      <c r="I428" s="2201"/>
      <c r="J428" s="29">
        <v>3800</v>
      </c>
    </row>
    <row r="429" spans="1:10" ht="30" customHeight="1" x14ac:dyDescent="0.2">
      <c r="A429" s="2352" t="s">
        <v>1513</v>
      </c>
      <c r="B429" s="1112" t="s">
        <v>2776</v>
      </c>
      <c r="C429" s="1077">
        <v>9300000</v>
      </c>
      <c r="D429" s="1077">
        <f>9300000-1000000+300000-256000</f>
        <v>8344000</v>
      </c>
      <c r="E429" s="1077"/>
      <c r="F429" s="1077"/>
      <c r="G429" s="2200"/>
      <c r="H429" s="2200"/>
      <c r="I429" s="2201"/>
      <c r="J429" s="29">
        <v>6050</v>
      </c>
    </row>
    <row r="430" spans="1:10" ht="30" customHeight="1" x14ac:dyDescent="0.2">
      <c r="A430" s="2352" t="s">
        <v>1515</v>
      </c>
      <c r="B430" s="1112" t="s">
        <v>2777</v>
      </c>
      <c r="C430" s="1077">
        <v>350000</v>
      </c>
      <c r="D430" s="1077">
        <f>350000+437000+22000+301000</f>
        <v>1110000</v>
      </c>
      <c r="E430" s="1077"/>
      <c r="F430" s="1077"/>
      <c r="G430" s="2200"/>
      <c r="H430" s="2200"/>
      <c r="I430" s="2201"/>
      <c r="J430" s="29">
        <v>496000</v>
      </c>
    </row>
    <row r="431" spans="1:10" ht="30" customHeight="1" x14ac:dyDescent="0.2">
      <c r="A431" s="2352" t="s">
        <v>1517</v>
      </c>
      <c r="B431" s="1112" t="s">
        <v>2778</v>
      </c>
      <c r="C431" s="1077">
        <v>10000</v>
      </c>
      <c r="D431" s="1077">
        <v>10000</v>
      </c>
      <c r="E431" s="1077"/>
      <c r="F431" s="1077"/>
      <c r="G431" s="2200"/>
      <c r="H431" s="2200"/>
      <c r="I431" s="2201"/>
      <c r="J431" s="29">
        <v>629200</v>
      </c>
    </row>
    <row r="432" spans="1:10" ht="30" customHeight="1" x14ac:dyDescent="0.2">
      <c r="A432" s="2352" t="s">
        <v>1519</v>
      </c>
      <c r="B432" s="1112" t="s">
        <v>2779</v>
      </c>
      <c r="C432" s="1077">
        <v>79000</v>
      </c>
      <c r="D432" s="1077">
        <v>79000</v>
      </c>
      <c r="E432" s="1077"/>
      <c r="F432" s="1077"/>
      <c r="G432" s="2200"/>
      <c r="H432" s="2200"/>
      <c r="I432" s="2201"/>
      <c r="J432" s="29">
        <v>447700</v>
      </c>
    </row>
    <row r="433" spans="1:10" ht="30" customHeight="1" x14ac:dyDescent="0.2">
      <c r="A433" s="2352" t="s">
        <v>1521</v>
      </c>
      <c r="B433" s="1112" t="s">
        <v>2780</v>
      </c>
      <c r="C433" s="1077">
        <v>1000</v>
      </c>
      <c r="D433" s="1077">
        <v>1000</v>
      </c>
      <c r="E433" s="1077"/>
      <c r="F433" s="1077"/>
      <c r="G433" s="2200"/>
      <c r="H433" s="2200"/>
      <c r="I433" s="2201"/>
      <c r="J433" s="29">
        <v>0</v>
      </c>
    </row>
    <row r="434" spans="1:10" ht="30" customHeight="1" x14ac:dyDescent="0.2">
      <c r="A434" s="2352" t="s">
        <v>1531</v>
      </c>
      <c r="B434" s="1112" t="s">
        <v>2781</v>
      </c>
      <c r="C434" s="1077">
        <v>50000</v>
      </c>
      <c r="D434" s="1077">
        <v>50000</v>
      </c>
      <c r="E434" s="1077"/>
      <c r="F434" s="1077"/>
      <c r="G434" s="2200"/>
      <c r="H434" s="2200"/>
      <c r="I434" s="2201"/>
      <c r="J434" s="29">
        <v>14520</v>
      </c>
    </row>
    <row r="435" spans="1:10" ht="30" customHeight="1" x14ac:dyDescent="0.2">
      <c r="A435" s="2352" t="s">
        <v>1523</v>
      </c>
      <c r="B435" s="1112" t="s">
        <v>2782</v>
      </c>
      <c r="C435" s="1077">
        <v>3600000</v>
      </c>
      <c r="D435" s="1077">
        <f>3600000+400000+150000+256000</f>
        <v>4406000</v>
      </c>
      <c r="E435" s="1077"/>
      <c r="F435" s="1077"/>
      <c r="G435" s="2200"/>
      <c r="H435" s="2200"/>
      <c r="I435" s="2201"/>
      <c r="J435" s="29">
        <v>392040</v>
      </c>
    </row>
    <row r="436" spans="1:10" ht="30" customHeight="1" x14ac:dyDescent="0.2">
      <c r="A436" s="2352" t="s">
        <v>2356</v>
      </c>
      <c r="B436" s="809" t="s">
        <v>2783</v>
      </c>
      <c r="C436" s="2341">
        <v>740000</v>
      </c>
      <c r="D436" s="2341">
        <v>740000</v>
      </c>
      <c r="E436" s="2341"/>
      <c r="F436" s="2341"/>
      <c r="G436" s="2200"/>
      <c r="H436" s="2200"/>
      <c r="I436" s="2201"/>
      <c r="J436" s="29">
        <v>0</v>
      </c>
    </row>
    <row r="437" spans="1:10" ht="30" customHeight="1" x14ac:dyDescent="0.2">
      <c r="A437" s="2352" t="s">
        <v>2784</v>
      </c>
      <c r="B437" s="1112" t="s">
        <v>2785</v>
      </c>
      <c r="C437" s="1077">
        <v>441000</v>
      </c>
      <c r="D437" s="1077">
        <f>441000-437000</f>
        <v>4000</v>
      </c>
      <c r="E437" s="1077"/>
      <c r="F437" s="1077"/>
      <c r="G437" s="2200"/>
      <c r="H437" s="2200"/>
      <c r="I437" s="2201"/>
      <c r="J437" s="29">
        <v>0</v>
      </c>
    </row>
    <row r="438" spans="1:10" ht="30" customHeight="1" x14ac:dyDescent="0.2">
      <c r="A438" s="2352" t="s">
        <v>2786</v>
      </c>
      <c r="B438" s="1112" t="s">
        <v>2787</v>
      </c>
      <c r="C438" s="1077">
        <v>303000</v>
      </c>
      <c r="D438" s="1077">
        <f>303000-303000</f>
        <v>0</v>
      </c>
      <c r="E438" s="1077"/>
      <c r="F438" s="1077"/>
      <c r="G438" s="2200"/>
      <c r="H438" s="2200"/>
      <c r="I438" s="2201"/>
      <c r="J438" s="29">
        <v>0</v>
      </c>
    </row>
    <row r="439" spans="1:10" ht="30" customHeight="1" x14ac:dyDescent="0.2">
      <c r="A439" s="2352" t="s">
        <v>2788</v>
      </c>
      <c r="B439" s="809" t="s">
        <v>2089</v>
      </c>
      <c r="C439" s="2341">
        <v>150000</v>
      </c>
      <c r="D439" s="2341">
        <f>150000-150000</f>
        <v>0</v>
      </c>
      <c r="E439" s="2341"/>
      <c r="F439" s="2341"/>
      <c r="G439" s="2200"/>
      <c r="H439" s="2200"/>
      <c r="I439" s="2201"/>
      <c r="J439" s="29">
        <v>0</v>
      </c>
    </row>
    <row r="440" spans="1:10" ht="30" customHeight="1" x14ac:dyDescent="0.2">
      <c r="A440" s="2352" t="s">
        <v>1499</v>
      </c>
      <c r="B440" s="1112" t="s">
        <v>2789</v>
      </c>
      <c r="C440" s="1077">
        <v>327000</v>
      </c>
      <c r="D440" s="1077">
        <f>327000-300000</f>
        <v>27000</v>
      </c>
      <c r="E440" s="1077"/>
      <c r="F440" s="1077"/>
      <c r="G440" s="2200"/>
      <c r="H440" s="2200"/>
      <c r="I440" s="2201"/>
      <c r="J440" s="29">
        <v>0</v>
      </c>
    </row>
    <row r="441" spans="1:10" ht="30" customHeight="1" x14ac:dyDescent="0.2">
      <c r="A441" s="2296">
        <v>2221</v>
      </c>
      <c r="B441" s="1240" t="s">
        <v>1534</v>
      </c>
      <c r="C441" s="727">
        <f>SUM(C442:C443)</f>
        <v>400000</v>
      </c>
      <c r="D441" s="727">
        <f>SUM(D442:D443)</f>
        <v>360000</v>
      </c>
      <c r="E441" s="727"/>
      <c r="F441" s="2341"/>
      <c r="G441" s="1663"/>
      <c r="H441" s="1663"/>
      <c r="I441" s="1662"/>
      <c r="J441" s="29">
        <v>1619992.81</v>
      </c>
    </row>
    <row r="442" spans="1:10" ht="30" customHeight="1" x14ac:dyDescent="0.2">
      <c r="A442" s="2352" t="s">
        <v>1538</v>
      </c>
      <c r="B442" s="1112" t="s">
        <v>2790</v>
      </c>
      <c r="C442" s="1077">
        <v>150000</v>
      </c>
      <c r="D442" s="1077">
        <f>150000+210000</f>
        <v>360000</v>
      </c>
      <c r="E442" s="1077"/>
      <c r="F442" s="1077"/>
      <c r="G442" s="2200"/>
      <c r="H442" s="2200"/>
      <c r="I442" s="2201"/>
      <c r="J442" s="29">
        <v>0</v>
      </c>
    </row>
    <row r="443" spans="1:10" ht="30" customHeight="1" x14ac:dyDescent="0.2">
      <c r="A443" s="2346" t="s">
        <v>2688</v>
      </c>
      <c r="B443" s="1078" t="s">
        <v>2791</v>
      </c>
      <c r="C443" s="1048">
        <v>250000</v>
      </c>
      <c r="D443" s="1048">
        <f>250000-250000</f>
        <v>0</v>
      </c>
      <c r="E443" s="1048"/>
      <c r="F443" s="1048"/>
      <c r="G443" s="2200"/>
      <c r="H443" s="2200"/>
      <c r="I443" s="2201"/>
      <c r="J443" s="29">
        <v>0</v>
      </c>
    </row>
    <row r="444" spans="1:10" ht="30" customHeight="1" x14ac:dyDescent="0.25">
      <c r="A444" s="2373"/>
      <c r="B444" s="1195" t="s">
        <v>1540</v>
      </c>
      <c r="C444" s="1916">
        <f>SUM(C445,C455,C466)</f>
        <v>48595000</v>
      </c>
      <c r="D444" s="1916">
        <f>SUM(D445,D455,D466)</f>
        <v>59998000</v>
      </c>
      <c r="E444" s="1916"/>
      <c r="F444" s="2374"/>
      <c r="G444" s="2325"/>
      <c r="H444" s="2325"/>
      <c r="I444" s="2325"/>
      <c r="J444" s="29">
        <v>60337980.710000001</v>
      </c>
    </row>
    <row r="445" spans="1:10" ht="30" customHeight="1" x14ac:dyDescent="0.2">
      <c r="A445" s="2375">
        <v>3111</v>
      </c>
      <c r="B445" s="1953" t="s">
        <v>1541</v>
      </c>
      <c r="C445" s="1138">
        <f>SUM(C446:C454)</f>
        <v>3730000</v>
      </c>
      <c r="D445" s="1138">
        <f>SUM(D446:D454)</f>
        <v>3740000</v>
      </c>
      <c r="E445" s="1138"/>
      <c r="F445" s="2364"/>
      <c r="G445" s="1663"/>
      <c r="H445" s="1663"/>
      <c r="I445" s="1662"/>
      <c r="J445" s="29">
        <v>5439676.5300000003</v>
      </c>
    </row>
    <row r="446" spans="1:10" ht="30" customHeight="1" x14ac:dyDescent="0.2">
      <c r="A446" s="2352" t="s">
        <v>1550</v>
      </c>
      <c r="B446" s="2376" t="s">
        <v>2792</v>
      </c>
      <c r="C446" s="1077">
        <v>5000</v>
      </c>
      <c r="D446" s="1077">
        <v>5000</v>
      </c>
      <c r="E446" s="854"/>
      <c r="F446" s="854"/>
      <c r="G446" s="2200"/>
      <c r="H446" s="2200"/>
      <c r="I446" s="2201"/>
      <c r="J446" s="29">
        <v>72000</v>
      </c>
    </row>
    <row r="447" spans="1:10" ht="30" customHeight="1" x14ac:dyDescent="0.2">
      <c r="A447" s="2352" t="s">
        <v>3125</v>
      </c>
      <c r="B447" s="2376" t="s">
        <v>2793</v>
      </c>
      <c r="C447" s="1077">
        <v>3000000</v>
      </c>
      <c r="D447" s="1077">
        <f>3000000-500000+470000+(-23000+63000)-9000</f>
        <v>3001000</v>
      </c>
      <c r="E447" s="854"/>
      <c r="F447" s="854"/>
      <c r="G447" s="2200"/>
      <c r="H447" s="2200"/>
      <c r="I447" s="2201"/>
      <c r="J447" s="29">
        <v>124146</v>
      </c>
    </row>
    <row r="448" spans="1:10" ht="30" customHeight="1" x14ac:dyDescent="0.2">
      <c r="A448" s="2352" t="s">
        <v>2794</v>
      </c>
      <c r="B448" s="2376" t="s">
        <v>2795</v>
      </c>
      <c r="C448" s="1077">
        <v>300000</v>
      </c>
      <c r="D448" s="1077">
        <f>300000-25000-9000</f>
        <v>266000</v>
      </c>
      <c r="E448" s="854"/>
      <c r="F448" s="854"/>
      <c r="G448" s="2200"/>
      <c r="H448" s="2200"/>
      <c r="I448" s="2201"/>
      <c r="J448" s="29">
        <v>0</v>
      </c>
    </row>
    <row r="449" spans="1:10" ht="30" customHeight="1" x14ac:dyDescent="0.2">
      <c r="A449" s="2352" t="s">
        <v>1546</v>
      </c>
      <c r="B449" s="809" t="s">
        <v>2796</v>
      </c>
      <c r="C449" s="1077">
        <v>10000</v>
      </c>
      <c r="D449" s="1077">
        <f>10000-10000</f>
        <v>0</v>
      </c>
      <c r="E449" s="1077"/>
      <c r="F449" s="1077"/>
      <c r="G449" s="2200"/>
      <c r="H449" s="2200"/>
      <c r="I449" s="2201"/>
      <c r="J449" s="29">
        <v>9680</v>
      </c>
    </row>
    <row r="450" spans="1:10" ht="30" customHeight="1" x14ac:dyDescent="0.2">
      <c r="A450" s="2352" t="s">
        <v>2797</v>
      </c>
      <c r="B450" s="2376" t="s">
        <v>2798</v>
      </c>
      <c r="C450" s="854">
        <v>100000</v>
      </c>
      <c r="D450" s="854">
        <f>100000-18000+22000</f>
        <v>104000</v>
      </c>
      <c r="E450" s="854"/>
      <c r="F450" s="854"/>
      <c r="G450" s="2200"/>
      <c r="H450" s="2200"/>
      <c r="I450" s="2201"/>
      <c r="J450" s="29">
        <v>0</v>
      </c>
    </row>
    <row r="451" spans="1:10" ht="30" customHeight="1" x14ac:dyDescent="0.2">
      <c r="A451" s="2352" t="s">
        <v>1548</v>
      </c>
      <c r="B451" s="809" t="s">
        <v>2799</v>
      </c>
      <c r="C451" s="1077">
        <v>5000</v>
      </c>
      <c r="D451" s="1077">
        <f>5000-3000</f>
        <v>2000</v>
      </c>
      <c r="E451" s="1077"/>
      <c r="F451" s="1077"/>
      <c r="G451" s="2200"/>
      <c r="H451" s="2200"/>
      <c r="I451" s="2201"/>
      <c r="J451" s="29">
        <v>0</v>
      </c>
    </row>
    <row r="452" spans="1:10" ht="30" customHeight="1" x14ac:dyDescent="0.2">
      <c r="A452" s="2352" t="s">
        <v>1558</v>
      </c>
      <c r="B452" s="2376" t="s">
        <v>2800</v>
      </c>
      <c r="C452" s="854">
        <v>200000</v>
      </c>
      <c r="D452" s="854">
        <f>200000+25000</f>
        <v>225000</v>
      </c>
      <c r="E452" s="854"/>
      <c r="F452" s="854"/>
      <c r="G452" s="2200"/>
      <c r="H452" s="2200"/>
      <c r="I452" s="2201"/>
      <c r="J452" s="29">
        <v>0</v>
      </c>
    </row>
    <row r="453" spans="1:10" ht="30" customHeight="1" x14ac:dyDescent="0.2">
      <c r="A453" s="2352" t="s">
        <v>1556</v>
      </c>
      <c r="B453" s="2376" t="s">
        <v>2801</v>
      </c>
      <c r="C453" s="1077">
        <v>100000</v>
      </c>
      <c r="D453" s="1077">
        <f>100000+27000</f>
        <v>127000</v>
      </c>
      <c r="E453" s="854"/>
      <c r="F453" s="854"/>
      <c r="G453" s="2200"/>
      <c r="H453" s="2200"/>
      <c r="I453" s="2201"/>
      <c r="J453" s="29">
        <v>0</v>
      </c>
    </row>
    <row r="454" spans="1:10" ht="30" customHeight="1" x14ac:dyDescent="0.2">
      <c r="A454" s="2352" t="s">
        <v>1554</v>
      </c>
      <c r="B454" s="2376" t="s">
        <v>3186</v>
      </c>
      <c r="C454" s="1077">
        <v>10000</v>
      </c>
      <c r="D454" s="1077">
        <v>10000</v>
      </c>
      <c r="E454" s="854"/>
      <c r="F454" s="854"/>
      <c r="G454" s="2200"/>
      <c r="H454" s="2200"/>
      <c r="I454" s="2201"/>
      <c r="J454" s="29">
        <v>0</v>
      </c>
    </row>
    <row r="455" spans="1:10" ht="30" customHeight="1" x14ac:dyDescent="0.2">
      <c r="A455" s="2276">
        <v>3113</v>
      </c>
      <c r="B455" s="903" t="s">
        <v>3127</v>
      </c>
      <c r="C455" s="1671">
        <f>SUM(C456:C465)</f>
        <v>44850000</v>
      </c>
      <c r="D455" s="1671">
        <f>SUM(D456:D465)</f>
        <v>56239850</v>
      </c>
      <c r="E455" s="1671"/>
      <c r="F455" s="854"/>
      <c r="G455" s="1663"/>
      <c r="H455" s="1663"/>
      <c r="I455" s="1662"/>
      <c r="J455" s="29">
        <v>32637299.280000001</v>
      </c>
    </row>
    <row r="456" spans="1:10" ht="30" customHeight="1" x14ac:dyDescent="0.2">
      <c r="A456" s="2377" t="s">
        <v>1561</v>
      </c>
      <c r="B456" s="2376" t="s">
        <v>2803</v>
      </c>
      <c r="C456" s="854">
        <v>34700000</v>
      </c>
      <c r="D456" s="854">
        <f>34700000+14800000+420000+33000+70000</f>
        <v>50023000</v>
      </c>
      <c r="E456" s="854"/>
      <c r="F456" s="854"/>
      <c r="G456" s="2200"/>
      <c r="H456" s="2200"/>
      <c r="I456" s="2201"/>
      <c r="J456" s="29">
        <v>60500</v>
      </c>
    </row>
    <row r="457" spans="1:10" ht="30" customHeight="1" x14ac:dyDescent="0.2">
      <c r="A457" s="2352" t="s">
        <v>1571</v>
      </c>
      <c r="B457" s="809" t="s">
        <v>2804</v>
      </c>
      <c r="C457" s="1077">
        <v>220000</v>
      </c>
      <c r="D457" s="1077">
        <f>220000+10000</f>
        <v>230000</v>
      </c>
      <c r="E457" s="854"/>
      <c r="F457" s="1077"/>
      <c r="G457" s="2200"/>
      <c r="H457" s="2200"/>
      <c r="I457" s="2201"/>
      <c r="J457" s="29">
        <v>0</v>
      </c>
    </row>
    <row r="458" spans="1:10" ht="30" customHeight="1" x14ac:dyDescent="0.2">
      <c r="A458" s="2378" t="s">
        <v>2805</v>
      </c>
      <c r="B458" s="809" t="s">
        <v>2806</v>
      </c>
      <c r="C458" s="1077">
        <v>2100000</v>
      </c>
      <c r="D458" s="1077">
        <f>2100000+(-55000+75000)+2000000</f>
        <v>4120000</v>
      </c>
      <c r="E458" s="854"/>
      <c r="F458" s="1077"/>
      <c r="G458" s="2200"/>
      <c r="H458" s="2200"/>
      <c r="I458" s="2201"/>
      <c r="J458" s="29">
        <v>0</v>
      </c>
    </row>
    <row r="459" spans="1:10" ht="30" customHeight="1" x14ac:dyDescent="0.2">
      <c r="A459" s="2377" t="s">
        <v>1563</v>
      </c>
      <c r="B459" s="2376" t="s">
        <v>2807</v>
      </c>
      <c r="C459" s="1077">
        <v>5000</v>
      </c>
      <c r="D459" s="1077">
        <v>5000</v>
      </c>
      <c r="E459" s="854"/>
      <c r="F459" s="854"/>
      <c r="G459" s="2200"/>
      <c r="H459" s="2200"/>
      <c r="I459" s="2201"/>
      <c r="J459" s="29">
        <v>0</v>
      </c>
    </row>
    <row r="460" spans="1:10" ht="30" customHeight="1" x14ac:dyDescent="0.2">
      <c r="A460" s="2352" t="s">
        <v>2808</v>
      </c>
      <c r="B460" s="2376" t="s">
        <v>2809</v>
      </c>
      <c r="C460" s="2341">
        <v>3000000</v>
      </c>
      <c r="D460" s="2341">
        <f>3000000-10000+(-1443000-254000)</f>
        <v>1293000</v>
      </c>
      <c r="E460" s="831"/>
      <c r="F460" s="831"/>
      <c r="G460" s="2200"/>
      <c r="H460" s="2200"/>
      <c r="I460" s="2201"/>
      <c r="J460" s="29">
        <v>0</v>
      </c>
    </row>
    <row r="461" spans="1:10" ht="30" customHeight="1" x14ac:dyDescent="0.2">
      <c r="A461" s="2352" t="s">
        <v>2810</v>
      </c>
      <c r="B461" s="2376" t="s">
        <v>2811</v>
      </c>
      <c r="C461" s="2341">
        <v>355000</v>
      </c>
      <c r="D461" s="2341">
        <v>355000</v>
      </c>
      <c r="E461" s="831"/>
      <c r="F461" s="831"/>
      <c r="G461" s="2200"/>
      <c r="H461" s="2200"/>
      <c r="I461" s="2201"/>
      <c r="J461" s="29">
        <v>0</v>
      </c>
    </row>
    <row r="462" spans="1:10" ht="30" customHeight="1" x14ac:dyDescent="0.2">
      <c r="A462" s="2352" t="s">
        <v>1573</v>
      </c>
      <c r="B462" s="2376" t="s">
        <v>2812</v>
      </c>
      <c r="C462" s="1077">
        <v>10000</v>
      </c>
      <c r="D462" s="1077">
        <f>10000-3150</f>
        <v>6850</v>
      </c>
      <c r="E462" s="854"/>
      <c r="F462" s="854"/>
      <c r="G462" s="2200"/>
      <c r="H462" s="2200"/>
      <c r="I462" s="2201"/>
      <c r="J462" s="29">
        <v>148600</v>
      </c>
    </row>
    <row r="463" spans="1:10" ht="30" customHeight="1" x14ac:dyDescent="0.2">
      <c r="A463" s="2352" t="s">
        <v>1575</v>
      </c>
      <c r="B463" s="2376" t="s">
        <v>2813</v>
      </c>
      <c r="C463" s="1077">
        <v>10000</v>
      </c>
      <c r="D463" s="1077">
        <v>10000</v>
      </c>
      <c r="E463" s="854"/>
      <c r="F463" s="854"/>
      <c r="G463" s="2200"/>
      <c r="H463" s="2200"/>
      <c r="I463" s="2201"/>
      <c r="J463" s="29">
        <v>106480</v>
      </c>
    </row>
    <row r="464" spans="1:10" ht="30" customHeight="1" x14ac:dyDescent="0.2">
      <c r="A464" s="2352" t="s">
        <v>1579</v>
      </c>
      <c r="B464" s="2376" t="s">
        <v>2814</v>
      </c>
      <c r="C464" s="854">
        <v>150000</v>
      </c>
      <c r="D464" s="854">
        <f>150000-20000+12000+12000+14000</f>
        <v>168000</v>
      </c>
      <c r="E464" s="854"/>
      <c r="F464" s="854"/>
      <c r="G464" s="2200"/>
      <c r="H464" s="2200"/>
      <c r="I464" s="2201"/>
      <c r="J464" s="29">
        <v>0</v>
      </c>
    </row>
    <row r="465" spans="1:10" ht="30" customHeight="1" x14ac:dyDescent="0.2">
      <c r="A465" s="2352" t="s">
        <v>2815</v>
      </c>
      <c r="B465" s="2376" t="s">
        <v>2816</v>
      </c>
      <c r="C465" s="831">
        <v>4300000</v>
      </c>
      <c r="D465" s="831">
        <f>4300000-420000-470000-40000-33000-12000-70000-12000-14000-2000000-1200000</f>
        <v>29000</v>
      </c>
      <c r="E465" s="831"/>
      <c r="F465" s="831"/>
      <c r="G465" s="2200"/>
      <c r="H465" s="2200"/>
      <c r="I465" s="2201"/>
      <c r="J465" s="29">
        <v>0</v>
      </c>
    </row>
    <row r="466" spans="1:10" ht="30" customHeight="1" x14ac:dyDescent="0.2">
      <c r="A466" s="2276">
        <v>3412</v>
      </c>
      <c r="B466" s="910" t="s">
        <v>1581</v>
      </c>
      <c r="C466" s="1671">
        <f>SUM(C467:C467)</f>
        <v>15000</v>
      </c>
      <c r="D466" s="1671">
        <f>SUM(D467:D467)</f>
        <v>18150</v>
      </c>
      <c r="E466" s="1671"/>
      <c r="F466" s="854"/>
      <c r="G466" s="1663"/>
      <c r="H466" s="1663"/>
      <c r="I466" s="1662"/>
      <c r="J466" s="29">
        <v>22261004.899999999</v>
      </c>
    </row>
    <row r="467" spans="1:10" ht="30" customHeight="1" x14ac:dyDescent="0.2">
      <c r="A467" s="2377" t="s">
        <v>1582</v>
      </c>
      <c r="B467" s="2376" t="s">
        <v>2381</v>
      </c>
      <c r="C467" s="1077">
        <v>15000</v>
      </c>
      <c r="D467" s="1077">
        <f>15000+3150</f>
        <v>18150</v>
      </c>
      <c r="E467" s="854"/>
      <c r="F467" s="854"/>
      <c r="G467" s="2200"/>
      <c r="H467" s="2200"/>
      <c r="I467" s="2201"/>
      <c r="J467" s="29">
        <v>46438</v>
      </c>
    </row>
    <row r="468" spans="1:10" ht="30" customHeight="1" x14ac:dyDescent="0.25">
      <c r="A468" s="2379"/>
      <c r="B468" s="1107" t="s">
        <v>527</v>
      </c>
      <c r="C468" s="1952">
        <f t="shared" ref="C468:D468" si="37">SUM(C469+C471+C474)</f>
        <v>6871000</v>
      </c>
      <c r="D468" s="1952">
        <f t="shared" si="37"/>
        <v>4071000</v>
      </c>
      <c r="E468" s="1952"/>
      <c r="F468" s="2380"/>
      <c r="G468" s="2325"/>
      <c r="H468" s="2325"/>
      <c r="I468" s="2325"/>
      <c r="J468" s="29">
        <v>3474220.17</v>
      </c>
    </row>
    <row r="469" spans="1:10" ht="30" customHeight="1" x14ac:dyDescent="0.2">
      <c r="A469" s="2381">
        <v>2219</v>
      </c>
      <c r="B469" s="1953" t="s">
        <v>1470</v>
      </c>
      <c r="C469" s="1138">
        <f t="shared" ref="C469:D469" si="38">SUM(C470)</f>
        <v>2300000</v>
      </c>
      <c r="D469" s="1138">
        <f t="shared" si="38"/>
        <v>1000000</v>
      </c>
      <c r="E469" s="2382"/>
      <c r="F469" s="2364"/>
      <c r="G469" s="1663"/>
      <c r="H469" s="1663"/>
      <c r="I469" s="1662"/>
      <c r="J469" s="29">
        <v>1200797.3400000001</v>
      </c>
    </row>
    <row r="470" spans="1:10" ht="30" customHeight="1" x14ac:dyDescent="0.2">
      <c r="A470" s="2352" t="s">
        <v>2383</v>
      </c>
      <c r="B470" s="1112" t="s">
        <v>2817</v>
      </c>
      <c r="C470" s="1077">
        <v>2300000</v>
      </c>
      <c r="D470" s="1077">
        <f>2300000-1300000</f>
        <v>1000000</v>
      </c>
      <c r="E470" s="1077"/>
      <c r="F470" s="1077"/>
      <c r="G470" s="2200"/>
      <c r="H470" s="2200"/>
      <c r="I470" s="2201"/>
      <c r="J470" s="29">
        <v>1200797.3400000001</v>
      </c>
    </row>
    <row r="471" spans="1:10" ht="30" customHeight="1" x14ac:dyDescent="0.2">
      <c r="A471" s="2276">
        <v>3613</v>
      </c>
      <c r="B471" s="910" t="s">
        <v>1589</v>
      </c>
      <c r="C471" s="727">
        <f t="shared" ref="C471:D471" si="39">SUM(C472:C473)</f>
        <v>550000</v>
      </c>
      <c r="D471" s="727">
        <f t="shared" si="39"/>
        <v>50000</v>
      </c>
      <c r="E471" s="727"/>
      <c r="F471" s="2341"/>
      <c r="G471" s="1663"/>
      <c r="H471" s="1663"/>
      <c r="I471" s="1662"/>
      <c r="J471" s="29">
        <v>325646.5</v>
      </c>
    </row>
    <row r="472" spans="1:10" ht="30" customHeight="1" x14ac:dyDescent="0.2">
      <c r="A472" s="2352" t="s">
        <v>1590</v>
      </c>
      <c r="B472" s="1958" t="s">
        <v>2818</v>
      </c>
      <c r="C472" s="1077">
        <v>150000</v>
      </c>
      <c r="D472" s="1077">
        <f>150000-100000-7500</f>
        <v>42500</v>
      </c>
      <c r="E472" s="1077"/>
      <c r="F472" s="1077"/>
      <c r="G472" s="2200"/>
      <c r="H472" s="2200"/>
      <c r="I472" s="2201"/>
      <c r="J472" s="29">
        <v>198137.5</v>
      </c>
    </row>
    <row r="473" spans="1:10" ht="30" customHeight="1" x14ac:dyDescent="0.2">
      <c r="A473" s="2352" t="s">
        <v>529</v>
      </c>
      <c r="B473" s="1958" t="s">
        <v>2819</v>
      </c>
      <c r="C473" s="1077">
        <v>400000</v>
      </c>
      <c r="D473" s="1077">
        <f>400000-400000+7500</f>
        <v>7500</v>
      </c>
      <c r="E473" s="1077"/>
      <c r="F473" s="1077"/>
      <c r="G473" s="2200"/>
      <c r="H473" s="2200"/>
      <c r="I473" s="2201"/>
      <c r="J473" s="29">
        <v>127509</v>
      </c>
    </row>
    <row r="474" spans="1:10" ht="30" customHeight="1" x14ac:dyDescent="0.2">
      <c r="A474" s="2296">
        <v>3639</v>
      </c>
      <c r="B474" s="1240" t="s">
        <v>1593</v>
      </c>
      <c r="C474" s="727">
        <f t="shared" ref="C474:D474" si="40">SUM(C475:C479)</f>
        <v>4021000</v>
      </c>
      <c r="D474" s="727">
        <f t="shared" si="40"/>
        <v>3021000</v>
      </c>
      <c r="E474" s="727"/>
      <c r="F474" s="2341"/>
      <c r="G474" s="1663"/>
      <c r="H474" s="1663"/>
      <c r="I474" s="1662"/>
      <c r="J474" s="29">
        <v>1947776.33</v>
      </c>
    </row>
    <row r="475" spans="1:10" ht="30" customHeight="1" x14ac:dyDescent="0.2">
      <c r="A475" s="2352" t="s">
        <v>534</v>
      </c>
      <c r="B475" s="1112" t="s">
        <v>2820</v>
      </c>
      <c r="C475" s="1077">
        <v>45000</v>
      </c>
      <c r="D475" s="1077">
        <v>45000</v>
      </c>
      <c r="E475" s="1077"/>
      <c r="F475" s="1077"/>
      <c r="G475" s="2200"/>
      <c r="H475" s="2200"/>
      <c r="I475" s="2201"/>
      <c r="J475" s="29">
        <v>20733.810000000001</v>
      </c>
    </row>
    <row r="476" spans="1:10" ht="30" customHeight="1" x14ac:dyDescent="0.2">
      <c r="A476" s="2352" t="s">
        <v>538</v>
      </c>
      <c r="B476" s="1112" t="s">
        <v>2821</v>
      </c>
      <c r="C476" s="1077">
        <v>412500</v>
      </c>
      <c r="D476" s="1077">
        <f>412500+86625+79860</f>
        <v>578985</v>
      </c>
      <c r="E476" s="1077"/>
      <c r="F476" s="1077"/>
      <c r="G476" s="2200"/>
      <c r="H476" s="2200"/>
      <c r="I476" s="2201"/>
      <c r="J476" s="29">
        <v>499125.2</v>
      </c>
    </row>
    <row r="477" spans="1:10" ht="30" customHeight="1" x14ac:dyDescent="0.2">
      <c r="A477" s="2352" t="s">
        <v>540</v>
      </c>
      <c r="B477" s="1958" t="s">
        <v>2822</v>
      </c>
      <c r="C477" s="1077">
        <v>3538500</v>
      </c>
      <c r="D477" s="1077">
        <f>3538500-50000-86625-79860-1000000</f>
        <v>2322015</v>
      </c>
      <c r="E477" s="1077"/>
      <c r="F477" s="1077"/>
      <c r="G477" s="2200"/>
      <c r="H477" s="2200"/>
      <c r="I477" s="2201"/>
      <c r="J477" s="29">
        <v>1352605</v>
      </c>
    </row>
    <row r="478" spans="1:10" ht="30" customHeight="1" x14ac:dyDescent="0.2">
      <c r="A478" s="2352" t="s">
        <v>542</v>
      </c>
      <c r="B478" s="1112" t="s">
        <v>2823</v>
      </c>
      <c r="C478" s="1077">
        <v>25000</v>
      </c>
      <c r="D478" s="1077">
        <v>25000</v>
      </c>
      <c r="E478" s="1077"/>
      <c r="F478" s="1077"/>
      <c r="G478" s="2200"/>
      <c r="H478" s="2200"/>
      <c r="I478" s="2201"/>
      <c r="J478" s="29">
        <v>16022.32</v>
      </c>
    </row>
    <row r="479" spans="1:10" ht="30" customHeight="1" x14ac:dyDescent="0.2">
      <c r="A479" s="2368" t="s">
        <v>2388</v>
      </c>
      <c r="B479" s="1078" t="s">
        <v>2824</v>
      </c>
      <c r="C479" s="1048">
        <v>0</v>
      </c>
      <c r="D479" s="1048">
        <f>50000</f>
        <v>50000</v>
      </c>
      <c r="E479" s="1048"/>
      <c r="F479" s="1048"/>
      <c r="G479" s="2200"/>
      <c r="H479" s="2200"/>
      <c r="I479" s="2201"/>
      <c r="J479" s="29">
        <v>59290</v>
      </c>
    </row>
    <row r="480" spans="1:10" ht="30" customHeight="1" x14ac:dyDescent="0.25">
      <c r="A480" s="2383"/>
      <c r="B480" s="1115" t="s">
        <v>1603</v>
      </c>
      <c r="C480" s="1055">
        <f>SUM(C481,C486)</f>
        <v>21805000</v>
      </c>
      <c r="D480" s="1055">
        <f>SUM(D481,D486)</f>
        <v>18005000</v>
      </c>
      <c r="E480" s="1055"/>
      <c r="F480" s="2384"/>
      <c r="G480" s="2325"/>
      <c r="H480" s="2325"/>
      <c r="I480" s="2325"/>
      <c r="J480" s="29">
        <v>2840433.45</v>
      </c>
    </row>
    <row r="481" spans="1:10" ht="30" customHeight="1" x14ac:dyDescent="0.2">
      <c r="A481" s="2362">
        <v>3311</v>
      </c>
      <c r="B481" s="1137" t="s">
        <v>1604</v>
      </c>
      <c r="C481" s="1138">
        <f>SUM(C482:C485)</f>
        <v>20410000</v>
      </c>
      <c r="D481" s="1138">
        <f>SUM(D482:D485)</f>
        <v>16610000</v>
      </c>
      <c r="E481" s="1138"/>
      <c r="F481" s="2364"/>
      <c r="G481" s="1663"/>
      <c r="H481" s="1663"/>
      <c r="I481" s="1662"/>
      <c r="J481" s="29">
        <v>362149</v>
      </c>
    </row>
    <row r="482" spans="1:10" ht="30" customHeight="1" x14ac:dyDescent="0.2">
      <c r="A482" s="2377" t="s">
        <v>2390</v>
      </c>
      <c r="B482" s="2376" t="s">
        <v>2825</v>
      </c>
      <c r="C482" s="1077">
        <v>14900000</v>
      </c>
      <c r="D482" s="1077">
        <f>14900000-2800000-367000+12000</f>
        <v>11745000</v>
      </c>
      <c r="E482" s="854"/>
      <c r="F482" s="854"/>
      <c r="G482" s="2200"/>
      <c r="H482" s="2200"/>
      <c r="I482" s="2201"/>
      <c r="J482" s="29">
        <v>35000</v>
      </c>
    </row>
    <row r="483" spans="1:10" ht="30" customHeight="1" x14ac:dyDescent="0.2">
      <c r="A483" s="2377" t="s">
        <v>2392</v>
      </c>
      <c r="B483" s="2376" t="s">
        <v>2826</v>
      </c>
      <c r="C483" s="1077">
        <v>5100000</v>
      </c>
      <c r="D483" s="1077">
        <f>5100000-1000000+393000</f>
        <v>4493000</v>
      </c>
      <c r="E483" s="854"/>
      <c r="F483" s="854"/>
      <c r="G483" s="2200"/>
      <c r="H483" s="2200"/>
      <c r="I483" s="2201"/>
      <c r="J483" s="29">
        <v>0</v>
      </c>
    </row>
    <row r="484" spans="1:10" ht="30" customHeight="1" x14ac:dyDescent="0.2">
      <c r="A484" s="2352" t="s">
        <v>3128</v>
      </c>
      <c r="B484" s="2376" t="s">
        <v>2827</v>
      </c>
      <c r="C484" s="1077">
        <v>210000</v>
      </c>
      <c r="D484" s="1077">
        <f>210000-26000-12000</f>
        <v>172000</v>
      </c>
      <c r="E484" s="854"/>
      <c r="F484" s="854"/>
      <c r="G484" s="2200"/>
      <c r="H484" s="2200"/>
      <c r="I484" s="2201"/>
      <c r="J484" s="29">
        <v>327149</v>
      </c>
    </row>
    <row r="485" spans="1:10" ht="30" customHeight="1" x14ac:dyDescent="0.2">
      <c r="A485" s="2352" t="s">
        <v>2828</v>
      </c>
      <c r="B485" s="809" t="s">
        <v>2829</v>
      </c>
      <c r="C485" s="1077">
        <v>200000</v>
      </c>
      <c r="D485" s="1077">
        <v>200000</v>
      </c>
      <c r="E485" s="1077"/>
      <c r="F485" s="1077"/>
      <c r="G485" s="2200"/>
      <c r="H485" s="2200"/>
      <c r="I485" s="2201"/>
      <c r="J485" s="29">
        <v>0</v>
      </c>
    </row>
    <row r="486" spans="1:10" ht="30" customHeight="1" x14ac:dyDescent="0.2">
      <c r="A486" s="2276">
        <v>3392</v>
      </c>
      <c r="B486" s="910" t="s">
        <v>1611</v>
      </c>
      <c r="C486" s="1671">
        <f>SUM(C487:C489)</f>
        <v>1395000</v>
      </c>
      <c r="D486" s="1671">
        <f>SUM(D487:D489)</f>
        <v>1395000</v>
      </c>
      <c r="E486" s="1671"/>
      <c r="F486" s="831"/>
      <c r="G486" s="1663"/>
      <c r="H486" s="1663"/>
      <c r="I486" s="1662"/>
      <c r="J486" s="29">
        <v>1037095</v>
      </c>
    </row>
    <row r="487" spans="1:10" ht="30" customHeight="1" x14ac:dyDescent="0.2">
      <c r="A487" s="2377" t="s">
        <v>1612</v>
      </c>
      <c r="B487" s="809" t="s">
        <v>2830</v>
      </c>
      <c r="C487" s="2341">
        <v>50000</v>
      </c>
      <c r="D487" s="2341">
        <v>50000</v>
      </c>
      <c r="E487" s="2341"/>
      <c r="F487" s="2341"/>
      <c r="G487" s="2200"/>
      <c r="H487" s="2200"/>
      <c r="I487" s="2201"/>
      <c r="J487" s="29">
        <v>698170</v>
      </c>
    </row>
    <row r="488" spans="1:10" ht="30" customHeight="1" x14ac:dyDescent="0.2">
      <c r="A488" s="2377" t="s">
        <v>1618</v>
      </c>
      <c r="B488" s="2376" t="s">
        <v>2831</v>
      </c>
      <c r="C488" s="1077">
        <v>1340000</v>
      </c>
      <c r="D488" s="1077">
        <v>1340000</v>
      </c>
      <c r="E488" s="854"/>
      <c r="F488" s="854"/>
      <c r="G488" s="2200"/>
      <c r="H488" s="2200"/>
      <c r="I488" s="2201"/>
      <c r="J488" s="29">
        <v>182925</v>
      </c>
    </row>
    <row r="489" spans="1:10" ht="30" customHeight="1" x14ac:dyDescent="0.2">
      <c r="A489" s="2368" t="s">
        <v>1620</v>
      </c>
      <c r="B489" s="2385" t="s">
        <v>2832</v>
      </c>
      <c r="C489" s="1048">
        <v>5000</v>
      </c>
      <c r="D489" s="1048">
        <v>5000</v>
      </c>
      <c r="E489" s="1508"/>
      <c r="F489" s="1508"/>
      <c r="G489" s="2200"/>
      <c r="H489" s="2200"/>
      <c r="I489" s="2201"/>
      <c r="J489" s="29">
        <v>156000</v>
      </c>
    </row>
    <row r="490" spans="1:10" ht="30" customHeight="1" x14ac:dyDescent="0.25">
      <c r="A490" s="2386"/>
      <c r="B490" s="1123" t="s">
        <v>1624</v>
      </c>
      <c r="C490" s="1109">
        <f t="shared" ref="C490:D490" si="41">SUM(C491)</f>
        <v>4105000</v>
      </c>
      <c r="D490" s="1109">
        <f t="shared" si="41"/>
        <v>15016000</v>
      </c>
      <c r="E490" s="1109"/>
      <c r="F490" s="2387"/>
      <c r="G490" s="2325"/>
      <c r="H490" s="2325"/>
      <c r="I490" s="2325"/>
      <c r="J490" s="29">
        <v>1878114.06</v>
      </c>
    </row>
    <row r="491" spans="1:10" ht="30" customHeight="1" x14ac:dyDescent="0.2">
      <c r="A491" s="2388">
        <v>6171</v>
      </c>
      <c r="B491" s="2389" t="s">
        <v>1625</v>
      </c>
      <c r="C491" s="1815">
        <f>SUM(C492:C494)</f>
        <v>4105000</v>
      </c>
      <c r="D491" s="1815">
        <f>SUM(D492:D494)</f>
        <v>15016000</v>
      </c>
      <c r="E491" s="1815"/>
      <c r="F491" s="2390"/>
      <c r="G491" s="1663"/>
      <c r="H491" s="1663"/>
      <c r="I491" s="1662"/>
      <c r="J491" s="29">
        <v>1878114.06</v>
      </c>
    </row>
    <row r="492" spans="1:10" ht="30" customHeight="1" x14ac:dyDescent="0.2">
      <c r="A492" s="2352" t="s">
        <v>2833</v>
      </c>
      <c r="B492" s="809" t="s">
        <v>3187</v>
      </c>
      <c r="C492" s="1077">
        <v>4100000</v>
      </c>
      <c r="D492" s="1077">
        <f>4100000+6020000+500000</f>
        <v>10620000</v>
      </c>
      <c r="E492" s="1077"/>
      <c r="F492" s="1077"/>
      <c r="G492" s="2200"/>
      <c r="H492" s="2200"/>
      <c r="I492" s="2201"/>
      <c r="J492" s="29">
        <v>1370694.06</v>
      </c>
    </row>
    <row r="493" spans="1:10" ht="30" customHeight="1" x14ac:dyDescent="0.2">
      <c r="A493" s="2352" t="s">
        <v>1634</v>
      </c>
      <c r="B493" s="809" t="s">
        <v>2835</v>
      </c>
      <c r="C493" s="1077">
        <v>5000</v>
      </c>
      <c r="D493" s="1077">
        <v>5000</v>
      </c>
      <c r="E493" s="1077"/>
      <c r="F493" s="1077"/>
      <c r="G493" s="2200"/>
      <c r="H493" s="2200"/>
      <c r="I493" s="2201"/>
      <c r="J493" s="29">
        <v>356950</v>
      </c>
    </row>
    <row r="494" spans="1:10" ht="30" customHeight="1" x14ac:dyDescent="0.2">
      <c r="A494" s="2368" t="s">
        <v>3129</v>
      </c>
      <c r="B494" s="1047" t="s">
        <v>2837</v>
      </c>
      <c r="C494" s="1048">
        <v>0</v>
      </c>
      <c r="D494" s="1048">
        <f>3050000+1341000</f>
        <v>4391000</v>
      </c>
      <c r="E494" s="1048"/>
      <c r="F494" s="1048"/>
      <c r="G494" s="2200"/>
      <c r="H494" s="2200"/>
      <c r="I494" s="2201"/>
      <c r="J494" s="29">
        <v>0</v>
      </c>
    </row>
    <row r="495" spans="1:10" ht="30" customHeight="1" x14ac:dyDescent="0.25">
      <c r="A495" s="2383"/>
      <c r="B495" s="1134" t="s">
        <v>1636</v>
      </c>
      <c r="C495" s="1055">
        <f>SUM(C505,C496,C498,C500,C503)</f>
        <v>5921000</v>
      </c>
      <c r="D495" s="1055">
        <f>SUM(D505,D496,D498,D500,D503)</f>
        <v>8003000</v>
      </c>
      <c r="E495" s="1055"/>
      <c r="F495" s="2384"/>
      <c r="G495" s="2325"/>
      <c r="H495" s="2325"/>
      <c r="I495" s="2325"/>
      <c r="J495" s="29">
        <v>5109394.7300000004</v>
      </c>
    </row>
    <row r="496" spans="1:10" ht="30" customHeight="1" x14ac:dyDescent="0.2">
      <c r="A496" s="2296">
        <v>2321</v>
      </c>
      <c r="B496" s="1240" t="s">
        <v>1429</v>
      </c>
      <c r="C496" s="727">
        <f t="shared" ref="C496:D498" si="42">SUM(C497:C497)</f>
        <v>250000</v>
      </c>
      <c r="D496" s="727">
        <f t="shared" si="42"/>
        <v>262000</v>
      </c>
      <c r="E496" s="727"/>
      <c r="F496" s="2341"/>
      <c r="G496" s="1663"/>
      <c r="H496" s="1663"/>
      <c r="I496" s="1662"/>
      <c r="J496" s="29">
        <v>0</v>
      </c>
    </row>
    <row r="497" spans="1:10" ht="30" customHeight="1" x14ac:dyDescent="0.2">
      <c r="A497" s="2352" t="s">
        <v>1642</v>
      </c>
      <c r="B497" s="809" t="s">
        <v>2839</v>
      </c>
      <c r="C497" s="1077">
        <v>250000</v>
      </c>
      <c r="D497" s="1077">
        <f>250000+12000</f>
        <v>262000</v>
      </c>
      <c r="E497" s="1077"/>
      <c r="F497" s="1077"/>
      <c r="G497" s="2200"/>
      <c r="H497" s="2200"/>
      <c r="I497" s="2201"/>
      <c r="J497" s="29">
        <v>0</v>
      </c>
    </row>
    <row r="498" spans="1:10" ht="30" customHeight="1" x14ac:dyDescent="0.2">
      <c r="A498" s="2296">
        <v>3612</v>
      </c>
      <c r="B498" s="1240" t="s">
        <v>1644</v>
      </c>
      <c r="C498" s="727">
        <f t="shared" si="42"/>
        <v>5000</v>
      </c>
      <c r="D498" s="727">
        <f t="shared" si="42"/>
        <v>5000</v>
      </c>
      <c r="E498" s="727"/>
      <c r="F498" s="2341"/>
      <c r="G498" s="1663"/>
      <c r="H498" s="1663"/>
      <c r="I498" s="1662"/>
      <c r="J498" s="29">
        <v>12000</v>
      </c>
    </row>
    <row r="499" spans="1:10" ht="30" customHeight="1" x14ac:dyDescent="0.2">
      <c r="A499" s="2352" t="s">
        <v>2401</v>
      </c>
      <c r="B499" s="809" t="s">
        <v>2840</v>
      </c>
      <c r="C499" s="1077">
        <v>5000</v>
      </c>
      <c r="D499" s="1077">
        <v>5000</v>
      </c>
      <c r="E499" s="1077"/>
      <c r="F499" s="1077"/>
      <c r="G499" s="2200"/>
      <c r="H499" s="2200"/>
      <c r="I499" s="2201"/>
      <c r="J499" s="29">
        <v>12000</v>
      </c>
    </row>
    <row r="500" spans="1:10" ht="30" customHeight="1" x14ac:dyDescent="0.2">
      <c r="A500" s="2391">
        <v>3613</v>
      </c>
      <c r="B500" s="1240" t="s">
        <v>1646</v>
      </c>
      <c r="C500" s="727">
        <f t="shared" ref="C500:D500" si="43">SUM(C501:C502)</f>
        <v>11000</v>
      </c>
      <c r="D500" s="727">
        <f t="shared" si="43"/>
        <v>31000</v>
      </c>
      <c r="E500" s="727"/>
      <c r="F500" s="2341"/>
      <c r="G500" s="1663"/>
      <c r="H500" s="1663"/>
      <c r="I500" s="1662"/>
      <c r="J500" s="29">
        <v>170000</v>
      </c>
    </row>
    <row r="501" spans="1:10" ht="30" customHeight="1" x14ac:dyDescent="0.2">
      <c r="A501" s="2352" t="s">
        <v>1647</v>
      </c>
      <c r="B501" s="809" t="s">
        <v>2841</v>
      </c>
      <c r="C501" s="1077">
        <v>10000</v>
      </c>
      <c r="D501" s="1077">
        <f>10000+20000</f>
        <v>30000</v>
      </c>
      <c r="E501" s="1077"/>
      <c r="F501" s="1077"/>
      <c r="G501" s="2200"/>
      <c r="H501" s="2200"/>
      <c r="I501" s="2201"/>
      <c r="J501" s="29">
        <v>170000</v>
      </c>
    </row>
    <row r="502" spans="1:10" ht="30" customHeight="1" x14ac:dyDescent="0.2">
      <c r="A502" s="2352" t="s">
        <v>1649</v>
      </c>
      <c r="B502" s="809" t="s">
        <v>2842</v>
      </c>
      <c r="C502" s="1077">
        <v>1000</v>
      </c>
      <c r="D502" s="1077">
        <v>1000</v>
      </c>
      <c r="E502" s="1077"/>
      <c r="F502" s="1077"/>
      <c r="G502" s="2200"/>
      <c r="H502" s="2200"/>
      <c r="I502" s="2201"/>
      <c r="J502" s="29">
        <v>0</v>
      </c>
    </row>
    <row r="503" spans="1:10" ht="30" customHeight="1" x14ac:dyDescent="0.2">
      <c r="A503" s="2391">
        <v>3722</v>
      </c>
      <c r="B503" s="1240" t="s">
        <v>1651</v>
      </c>
      <c r="C503" s="727">
        <f t="shared" ref="C503:D505" si="44">SUM(C504:C504)</f>
        <v>5650000</v>
      </c>
      <c r="D503" s="727">
        <f t="shared" si="44"/>
        <v>7700000</v>
      </c>
      <c r="E503" s="727"/>
      <c r="F503" s="2341"/>
      <c r="G503" s="1663"/>
      <c r="H503" s="1663"/>
      <c r="I503" s="1662"/>
      <c r="J503" s="29">
        <v>4927394.7300000004</v>
      </c>
    </row>
    <row r="504" spans="1:10" s="2" customFormat="1" ht="30" customHeight="1" x14ac:dyDescent="0.2">
      <c r="A504" s="2598" t="s">
        <v>2843</v>
      </c>
      <c r="B504" s="2599" t="s">
        <v>2844</v>
      </c>
      <c r="C504" s="1441">
        <v>5650000</v>
      </c>
      <c r="D504" s="1441">
        <f>5650000+(1750000+300000)</f>
        <v>7700000</v>
      </c>
      <c r="E504" s="1441"/>
      <c r="F504" s="1048"/>
      <c r="G504" s="2200"/>
      <c r="H504" s="2200"/>
      <c r="I504" s="2201"/>
      <c r="J504" s="88">
        <v>4927394.7300000004</v>
      </c>
    </row>
    <row r="505" spans="1:10" ht="30" customHeight="1" x14ac:dyDescent="0.2">
      <c r="A505" s="2221">
        <v>3745</v>
      </c>
      <c r="B505" s="771" t="s">
        <v>1637</v>
      </c>
      <c r="C505" s="726">
        <f t="shared" si="44"/>
        <v>5000</v>
      </c>
      <c r="D505" s="726">
        <f t="shared" si="44"/>
        <v>5000</v>
      </c>
      <c r="E505" s="726"/>
      <c r="F505" s="2364"/>
      <c r="G505" s="1663"/>
      <c r="H505" s="1663"/>
      <c r="I505" s="1662"/>
      <c r="J505" s="29">
        <v>0</v>
      </c>
    </row>
    <row r="506" spans="1:10" ht="30" customHeight="1" x14ac:dyDescent="0.2">
      <c r="A506" s="2600" t="s">
        <v>1638</v>
      </c>
      <c r="B506" s="2265" t="s">
        <v>2838</v>
      </c>
      <c r="C506" s="1517">
        <v>5000</v>
      </c>
      <c r="D506" s="1517">
        <v>5000</v>
      </c>
      <c r="E506" s="1517"/>
      <c r="F506" s="1077"/>
      <c r="G506" s="2200"/>
      <c r="H506" s="2200"/>
      <c r="I506" s="2201"/>
      <c r="J506" s="29">
        <v>0</v>
      </c>
    </row>
    <row r="507" spans="1:10" ht="30" customHeight="1" x14ac:dyDescent="0.25">
      <c r="A507" s="2371"/>
      <c r="B507" s="1062" t="s">
        <v>1654</v>
      </c>
      <c r="C507" s="1080">
        <f>SUM(C513,C508,C527,C537,C542,C544)</f>
        <v>157228000</v>
      </c>
      <c r="D507" s="1080">
        <f>SUM(D513,D508,D527,D537,D542,D544)</f>
        <v>97626399</v>
      </c>
      <c r="E507" s="1080"/>
      <c r="F507" s="2392"/>
      <c r="G507" s="2325"/>
      <c r="H507" s="2325"/>
      <c r="I507" s="2325"/>
      <c r="J507" s="29">
        <v>34680677.969999999</v>
      </c>
    </row>
    <row r="508" spans="1:10" ht="30" customHeight="1" x14ac:dyDescent="0.2">
      <c r="A508" s="2393">
        <v>3412</v>
      </c>
      <c r="B508" s="987" t="s">
        <v>1655</v>
      </c>
      <c r="C508" s="715">
        <f t="shared" ref="C508:D508" si="45">SUM(C509:C512)</f>
        <v>102310000</v>
      </c>
      <c r="D508" s="715">
        <f t="shared" si="45"/>
        <v>52680000</v>
      </c>
      <c r="E508" s="715"/>
      <c r="F508" s="2394"/>
      <c r="G508" s="1663"/>
      <c r="H508" s="1663"/>
      <c r="I508" s="1662"/>
      <c r="J508" s="29">
        <v>625570</v>
      </c>
    </row>
    <row r="509" spans="1:10" ht="30" customHeight="1" x14ac:dyDescent="0.2">
      <c r="A509" s="2352" t="s">
        <v>1656</v>
      </c>
      <c r="B509" s="815" t="s">
        <v>2063</v>
      </c>
      <c r="C509" s="1864">
        <v>102000000</v>
      </c>
      <c r="D509" s="1864">
        <f>102000000-500000-500000-450000-25000000-630000-25000000+2000000</f>
        <v>51920000</v>
      </c>
      <c r="E509" s="1864"/>
      <c r="F509" s="1864"/>
      <c r="G509" s="2200"/>
      <c r="H509" s="2200"/>
      <c r="I509" s="2201"/>
      <c r="J509" s="29">
        <v>408980</v>
      </c>
    </row>
    <row r="510" spans="1:10" ht="30" customHeight="1" x14ac:dyDescent="0.2">
      <c r="A510" s="2352" t="s">
        <v>1658</v>
      </c>
      <c r="B510" s="815" t="s">
        <v>2845</v>
      </c>
      <c r="C510" s="1864">
        <v>5000</v>
      </c>
      <c r="D510" s="1864">
        <f>5000+450000</f>
        <v>455000</v>
      </c>
      <c r="E510" s="1864"/>
      <c r="F510" s="1864"/>
      <c r="G510" s="2200"/>
      <c r="H510" s="2200"/>
      <c r="I510" s="2201"/>
      <c r="J510" s="29">
        <v>0</v>
      </c>
    </row>
    <row r="511" spans="1:10" ht="30" customHeight="1" x14ac:dyDescent="0.2">
      <c r="A511" s="2352" t="s">
        <v>1660</v>
      </c>
      <c r="B511" s="815" t="s">
        <v>2846</v>
      </c>
      <c r="C511" s="1864">
        <v>5000</v>
      </c>
      <c r="D511" s="1864">
        <v>5000</v>
      </c>
      <c r="E511" s="1864"/>
      <c r="F511" s="1864"/>
      <c r="G511" s="2200"/>
      <c r="H511" s="2200"/>
      <c r="I511" s="2201"/>
      <c r="J511" s="29">
        <v>216590</v>
      </c>
    </row>
    <row r="512" spans="1:10" ht="30" customHeight="1" x14ac:dyDescent="0.2">
      <c r="A512" s="2352" t="s">
        <v>1662</v>
      </c>
      <c r="B512" s="815" t="s">
        <v>2847</v>
      </c>
      <c r="C512" s="1864">
        <v>300000</v>
      </c>
      <c r="D512" s="1864">
        <v>300000</v>
      </c>
      <c r="E512" s="1864"/>
      <c r="F512" s="1864"/>
      <c r="G512" s="2200"/>
      <c r="H512" s="2200"/>
      <c r="I512" s="2201"/>
      <c r="J512" s="29">
        <v>0</v>
      </c>
    </row>
    <row r="513" spans="1:10" ht="30" customHeight="1" x14ac:dyDescent="0.2">
      <c r="A513" s="2296">
        <v>3612</v>
      </c>
      <c r="B513" s="1240" t="s">
        <v>1644</v>
      </c>
      <c r="C513" s="722">
        <f>SUM(C514:C526)</f>
        <v>32440000</v>
      </c>
      <c r="D513" s="722">
        <f>SUM(D514:D526)</f>
        <v>13255000</v>
      </c>
      <c r="E513" s="722"/>
      <c r="F513" s="1864"/>
      <c r="G513" s="1663"/>
      <c r="H513" s="1663"/>
      <c r="I513" s="1662"/>
      <c r="J513" s="29">
        <v>13937611.17</v>
      </c>
    </row>
    <row r="514" spans="1:10" ht="30" customHeight="1" x14ac:dyDescent="0.2">
      <c r="A514" s="2352" t="s">
        <v>1666</v>
      </c>
      <c r="B514" s="1112" t="s">
        <v>2848</v>
      </c>
      <c r="C514" s="1077">
        <v>10100000</v>
      </c>
      <c r="D514" s="1077">
        <f>10100000+10000-503000-500000+550000+71000-1000000</f>
        <v>8728000</v>
      </c>
      <c r="E514" s="1077"/>
      <c r="F514" s="1077"/>
      <c r="G514" s="2200"/>
      <c r="H514" s="2200"/>
      <c r="I514" s="2201"/>
      <c r="J514" s="29">
        <v>0</v>
      </c>
    </row>
    <row r="515" spans="1:10" ht="30" customHeight="1" x14ac:dyDescent="0.2">
      <c r="A515" s="2352" t="s">
        <v>2849</v>
      </c>
      <c r="B515" s="2372" t="s">
        <v>2096</v>
      </c>
      <c r="C515" s="1077">
        <v>5000000</v>
      </c>
      <c r="D515" s="1077">
        <f>5000000-20000-550000-2050000-2160000</f>
        <v>220000</v>
      </c>
      <c r="E515" s="1077"/>
      <c r="F515" s="1077"/>
      <c r="G515" s="2200"/>
      <c r="H515" s="2200"/>
      <c r="I515" s="2201"/>
      <c r="J515" s="29">
        <v>335500</v>
      </c>
    </row>
    <row r="516" spans="1:10" ht="30" customHeight="1" x14ac:dyDescent="0.2">
      <c r="A516" s="2352" t="s">
        <v>1678</v>
      </c>
      <c r="B516" s="1958" t="s">
        <v>3188</v>
      </c>
      <c r="C516" s="1077">
        <v>550000</v>
      </c>
      <c r="D516" s="1077">
        <v>550000</v>
      </c>
      <c r="E516" s="1077"/>
      <c r="F516" s="1077"/>
      <c r="G516" s="2200"/>
      <c r="H516" s="2200"/>
      <c r="I516" s="2201"/>
      <c r="J516" s="29">
        <v>0</v>
      </c>
    </row>
    <row r="517" spans="1:10" ht="30" customHeight="1" x14ac:dyDescent="0.2">
      <c r="A517" s="2352" t="s">
        <v>1680</v>
      </c>
      <c r="B517" s="2395" t="s">
        <v>2097</v>
      </c>
      <c r="C517" s="1077">
        <v>2750000</v>
      </c>
      <c r="D517" s="1077">
        <f>2750000-2400000</f>
        <v>350000</v>
      </c>
      <c r="E517" s="1077"/>
      <c r="F517" s="1077"/>
      <c r="G517" s="2200"/>
      <c r="H517" s="2200"/>
      <c r="I517" s="2201"/>
      <c r="J517" s="29">
        <v>0</v>
      </c>
    </row>
    <row r="518" spans="1:10" ht="30" customHeight="1" x14ac:dyDescent="0.2">
      <c r="A518" s="2352" t="s">
        <v>1682</v>
      </c>
      <c r="B518" s="1112" t="s">
        <v>2853</v>
      </c>
      <c r="C518" s="1077">
        <v>250000</v>
      </c>
      <c r="D518" s="1077">
        <f>250000+460000-700000</f>
        <v>10000</v>
      </c>
      <c r="E518" s="1077"/>
      <c r="F518" s="1077"/>
      <c r="G518" s="2200"/>
      <c r="H518" s="2200"/>
      <c r="I518" s="2201"/>
      <c r="J518" s="29">
        <v>0</v>
      </c>
    </row>
    <row r="519" spans="1:10" ht="30" customHeight="1" x14ac:dyDescent="0.2">
      <c r="A519" s="2352" t="s">
        <v>2854</v>
      </c>
      <c r="B519" s="1958" t="s">
        <v>2855</v>
      </c>
      <c r="C519" s="1077">
        <v>5750000</v>
      </c>
      <c r="D519" s="1077">
        <f>5750000-290000-5450000-10000</f>
        <v>0</v>
      </c>
      <c r="E519" s="1077"/>
      <c r="F519" s="1077"/>
      <c r="G519" s="2200"/>
      <c r="H519" s="2200"/>
      <c r="I519" s="2201"/>
      <c r="J519" s="29">
        <v>99220</v>
      </c>
    </row>
    <row r="520" spans="1:10" ht="30" customHeight="1" x14ac:dyDescent="0.2">
      <c r="A520" s="2352" t="s">
        <v>1686</v>
      </c>
      <c r="B520" s="1958" t="s">
        <v>2856</v>
      </c>
      <c r="C520" s="1077">
        <v>400000</v>
      </c>
      <c r="D520" s="1077">
        <f>400000-400000</f>
        <v>0</v>
      </c>
      <c r="E520" s="1077"/>
      <c r="F520" s="1077"/>
      <c r="G520" s="2200"/>
      <c r="H520" s="2200"/>
      <c r="I520" s="2201"/>
      <c r="J520" s="29">
        <v>235000</v>
      </c>
    </row>
    <row r="521" spans="1:10" ht="30" customHeight="1" x14ac:dyDescent="0.2">
      <c r="A521" s="2352" t="s">
        <v>1688</v>
      </c>
      <c r="B521" s="1958" t="s">
        <v>2857</v>
      </c>
      <c r="C521" s="1077">
        <v>300000</v>
      </c>
      <c r="D521" s="1077">
        <f>300000-12000-245000</f>
        <v>43000</v>
      </c>
      <c r="E521" s="1077"/>
      <c r="F521" s="1077"/>
      <c r="G521" s="2200"/>
      <c r="H521" s="2200"/>
      <c r="I521" s="2201"/>
      <c r="J521" s="29">
        <v>54450</v>
      </c>
    </row>
    <row r="522" spans="1:10" s="2" customFormat="1" ht="30" customHeight="1" x14ac:dyDescent="0.2">
      <c r="A522" s="2352" t="s">
        <v>2416</v>
      </c>
      <c r="B522" s="1958" t="s">
        <v>3189</v>
      </c>
      <c r="C522" s="1077">
        <v>300000</v>
      </c>
      <c r="D522" s="1077">
        <f>300000+245000</f>
        <v>545000</v>
      </c>
      <c r="E522" s="1077"/>
      <c r="F522" s="1077"/>
      <c r="G522" s="2200"/>
      <c r="H522" s="2200"/>
      <c r="I522" s="2201"/>
      <c r="J522" s="88">
        <v>299475</v>
      </c>
    </row>
    <row r="523" spans="1:10" ht="30" customHeight="1" x14ac:dyDescent="0.2">
      <c r="A523" s="2352" t="s">
        <v>2859</v>
      </c>
      <c r="B523" s="1958" t="s">
        <v>2101</v>
      </c>
      <c r="C523" s="1077">
        <v>3500000</v>
      </c>
      <c r="D523" s="1077">
        <f>3500000-550000-71000-2600000</f>
        <v>279000</v>
      </c>
      <c r="E523" s="1077"/>
      <c r="F523" s="1077"/>
      <c r="G523" s="2200"/>
      <c r="H523" s="2200"/>
      <c r="I523" s="2201"/>
      <c r="J523" s="29">
        <v>0</v>
      </c>
    </row>
    <row r="524" spans="1:10" ht="30" customHeight="1" x14ac:dyDescent="0.2">
      <c r="A524" s="2352" t="s">
        <v>1690</v>
      </c>
      <c r="B524" s="2372" t="s">
        <v>2860</v>
      </c>
      <c r="C524" s="1077">
        <v>2240000</v>
      </c>
      <c r="D524" s="1077">
        <f>2240000+290000</f>
        <v>2530000</v>
      </c>
      <c r="E524" s="1077"/>
      <c r="F524" s="1077"/>
      <c r="G524" s="2200"/>
      <c r="H524" s="2200"/>
      <c r="I524" s="2201"/>
      <c r="J524" s="29">
        <v>1212395</v>
      </c>
    </row>
    <row r="525" spans="1:10" ht="30" customHeight="1" x14ac:dyDescent="0.2">
      <c r="A525" s="2352" t="s">
        <v>2861</v>
      </c>
      <c r="B525" s="2372" t="s">
        <v>2862</v>
      </c>
      <c r="C525" s="2341">
        <v>500000</v>
      </c>
      <c r="D525" s="2341">
        <f>500000-500000</f>
        <v>0</v>
      </c>
      <c r="E525" s="2341"/>
      <c r="F525" s="2341"/>
      <c r="G525" s="2200"/>
      <c r="H525" s="2200"/>
      <c r="I525" s="2201"/>
      <c r="J525" s="1866">
        <v>0</v>
      </c>
    </row>
    <row r="526" spans="1:10" ht="30" customHeight="1" x14ac:dyDescent="0.2">
      <c r="A526" s="2352" t="s">
        <v>2863</v>
      </c>
      <c r="B526" s="2372" t="s">
        <v>2864</v>
      </c>
      <c r="C526" s="2341">
        <v>800000</v>
      </c>
      <c r="D526" s="2341">
        <f>800000-800000</f>
        <v>0</v>
      </c>
      <c r="E526" s="2341"/>
      <c r="F526" s="2341"/>
      <c r="G526" s="2200"/>
      <c r="H526" s="2200"/>
      <c r="I526" s="2201"/>
      <c r="J526" s="1866">
        <v>0</v>
      </c>
    </row>
    <row r="527" spans="1:10" ht="30" customHeight="1" x14ac:dyDescent="0.2">
      <c r="A527" s="2391">
        <v>3613</v>
      </c>
      <c r="B527" s="1240" t="s">
        <v>1646</v>
      </c>
      <c r="C527" s="727">
        <f>SUM(C528:C536)</f>
        <v>11470000</v>
      </c>
      <c r="D527" s="727">
        <f>SUM(D528:D536)</f>
        <v>23383399</v>
      </c>
      <c r="E527" s="727"/>
      <c r="F527" s="2341"/>
      <c r="G527" s="1663"/>
      <c r="H527" s="1663"/>
      <c r="I527" s="1662"/>
      <c r="J527" s="29">
        <v>11328721.6</v>
      </c>
    </row>
    <row r="528" spans="1:10" ht="30" customHeight="1" x14ac:dyDescent="0.2">
      <c r="A528" s="2352" t="s">
        <v>1694</v>
      </c>
      <c r="B528" s="1112" t="s">
        <v>2865</v>
      </c>
      <c r="C528" s="1077">
        <v>1000000</v>
      </c>
      <c r="D528" s="1077">
        <f>1000000-1000000</f>
        <v>0</v>
      </c>
      <c r="E528" s="1077"/>
      <c r="F528" s="1077"/>
      <c r="G528" s="2200"/>
      <c r="H528" s="2200"/>
      <c r="I528" s="2201"/>
      <c r="J528" s="29">
        <v>46500</v>
      </c>
    </row>
    <row r="529" spans="1:10" ht="30" customHeight="1" x14ac:dyDescent="0.2">
      <c r="A529" s="2352" t="s">
        <v>1698</v>
      </c>
      <c r="B529" s="1112" t="s">
        <v>2866</v>
      </c>
      <c r="C529" s="1077">
        <v>5000000</v>
      </c>
      <c r="D529" s="1077">
        <f>5000000+6000000-356601</f>
        <v>10643399</v>
      </c>
      <c r="E529" s="1077"/>
      <c r="F529" s="1077"/>
      <c r="G529" s="2200"/>
      <c r="H529" s="2200"/>
      <c r="I529" s="2201"/>
      <c r="J529" s="29">
        <v>296705</v>
      </c>
    </row>
    <row r="530" spans="1:10" ht="30" customHeight="1" x14ac:dyDescent="0.2">
      <c r="A530" s="2352" t="s">
        <v>2867</v>
      </c>
      <c r="B530" s="1958" t="s">
        <v>2855</v>
      </c>
      <c r="C530" s="1077">
        <v>0</v>
      </c>
      <c r="D530" s="1077">
        <f>5450000</f>
        <v>5450000</v>
      </c>
      <c r="E530" s="1077"/>
      <c r="F530" s="1077"/>
      <c r="G530" s="2200"/>
      <c r="H530" s="2200"/>
      <c r="I530" s="2201"/>
      <c r="J530" s="29">
        <v>0</v>
      </c>
    </row>
    <row r="531" spans="1:10" ht="30" customHeight="1" x14ac:dyDescent="0.2">
      <c r="A531" s="2396" t="s">
        <v>2868</v>
      </c>
      <c r="B531" s="1112" t="s">
        <v>2869</v>
      </c>
      <c r="C531" s="1077">
        <v>3200000</v>
      </c>
      <c r="D531" s="1077">
        <f>3200000+2000000+550000</f>
        <v>5750000</v>
      </c>
      <c r="E531" s="1077"/>
      <c r="F531" s="1077"/>
      <c r="G531" s="2200"/>
      <c r="H531" s="2200"/>
      <c r="I531" s="2201"/>
      <c r="J531" s="29">
        <v>0</v>
      </c>
    </row>
    <row r="532" spans="1:10" ht="30" customHeight="1" x14ac:dyDescent="0.2">
      <c r="A532" s="2352" t="s">
        <v>1712</v>
      </c>
      <c r="B532" s="1112" t="s">
        <v>2870</v>
      </c>
      <c r="C532" s="1864">
        <v>10000</v>
      </c>
      <c r="D532" s="1864">
        <f>10000+170000</f>
        <v>180000</v>
      </c>
      <c r="E532" s="1077"/>
      <c r="F532" s="1077"/>
      <c r="G532" s="2200"/>
      <c r="H532" s="2200"/>
      <c r="I532" s="2201"/>
      <c r="J532" s="29">
        <v>0</v>
      </c>
    </row>
    <row r="533" spans="1:10" ht="30" customHeight="1" x14ac:dyDescent="0.2">
      <c r="A533" s="2352" t="s">
        <v>2871</v>
      </c>
      <c r="B533" s="1112" t="s">
        <v>2872</v>
      </c>
      <c r="C533" s="1077">
        <v>750000</v>
      </c>
      <c r="D533" s="1077">
        <f>750000-500000</f>
        <v>250000</v>
      </c>
      <c r="E533" s="1077"/>
      <c r="F533" s="1077"/>
      <c r="G533" s="2200"/>
      <c r="H533" s="2200"/>
      <c r="I533" s="2201"/>
      <c r="J533" s="29">
        <v>0</v>
      </c>
    </row>
    <row r="534" spans="1:10" ht="30" customHeight="1" x14ac:dyDescent="0.2">
      <c r="A534" s="2352" t="s">
        <v>2873</v>
      </c>
      <c r="B534" s="1112" t="s">
        <v>3190</v>
      </c>
      <c r="C534" s="1077">
        <v>400000</v>
      </c>
      <c r="D534" s="1077">
        <f>400000+(-250000-150000)+36300</f>
        <v>36300</v>
      </c>
      <c r="E534" s="1077"/>
      <c r="F534" s="1077"/>
      <c r="G534" s="2200"/>
      <c r="H534" s="2200"/>
      <c r="I534" s="2201"/>
      <c r="J534" s="29">
        <v>0</v>
      </c>
    </row>
    <row r="535" spans="1:10" ht="30" customHeight="1" x14ac:dyDescent="0.2">
      <c r="A535" s="2352" t="s">
        <v>2874</v>
      </c>
      <c r="B535" s="1112" t="s">
        <v>2875</v>
      </c>
      <c r="C535" s="1077">
        <v>10000</v>
      </c>
      <c r="D535" s="1077">
        <v>10000</v>
      </c>
      <c r="E535" s="1077"/>
      <c r="F535" s="1077"/>
      <c r="G535" s="2200"/>
      <c r="H535" s="2200"/>
      <c r="I535" s="2201"/>
      <c r="J535" s="29">
        <v>0</v>
      </c>
    </row>
    <row r="536" spans="1:10" ht="30" customHeight="1" x14ac:dyDescent="0.2">
      <c r="A536" s="2352" t="s">
        <v>2876</v>
      </c>
      <c r="B536" s="809" t="s">
        <v>2877</v>
      </c>
      <c r="C536" s="1077">
        <v>1100000</v>
      </c>
      <c r="D536" s="1077">
        <f>1100000-36300</f>
        <v>1063700</v>
      </c>
      <c r="E536" s="1077"/>
      <c r="F536" s="1077"/>
      <c r="G536" s="2200"/>
      <c r="H536" s="2200"/>
      <c r="I536" s="2201"/>
      <c r="J536" s="29">
        <v>0</v>
      </c>
    </row>
    <row r="537" spans="1:10" ht="30" customHeight="1" x14ac:dyDescent="0.2">
      <c r="A537" s="2296">
        <v>3634</v>
      </c>
      <c r="B537" s="1240" t="s">
        <v>1716</v>
      </c>
      <c r="C537" s="727">
        <f>SUM(C538:C541)</f>
        <v>7105000</v>
      </c>
      <c r="D537" s="727">
        <f>SUM(D538:D541)</f>
        <v>6905000</v>
      </c>
      <c r="E537" s="727"/>
      <c r="F537" s="2341"/>
      <c r="G537" s="1663"/>
      <c r="H537" s="1663"/>
      <c r="I537" s="1662"/>
      <c r="J537" s="29">
        <v>8357736.2000000002</v>
      </c>
    </row>
    <row r="538" spans="1:10" ht="30" customHeight="1" x14ac:dyDescent="0.2">
      <c r="A538" s="2352" t="s">
        <v>1721</v>
      </c>
      <c r="B538" s="809" t="s">
        <v>2108</v>
      </c>
      <c r="C538" s="2341">
        <v>800000</v>
      </c>
      <c r="D538" s="2341">
        <f>800000-60000-700000</f>
        <v>40000</v>
      </c>
      <c r="E538" s="2341"/>
      <c r="F538" s="2341"/>
      <c r="G538" s="2200"/>
      <c r="H538" s="2200"/>
      <c r="I538" s="2201"/>
      <c r="J538" s="29">
        <v>0</v>
      </c>
    </row>
    <row r="539" spans="1:10" ht="30" customHeight="1" x14ac:dyDescent="0.2">
      <c r="A539" s="2352" t="s">
        <v>1723</v>
      </c>
      <c r="B539" s="809" t="s">
        <v>2878</v>
      </c>
      <c r="C539" s="1077">
        <v>2000000</v>
      </c>
      <c r="D539" s="1077">
        <v>2000000</v>
      </c>
      <c r="E539" s="1077"/>
      <c r="F539" s="1077"/>
      <c r="G539" s="2200"/>
      <c r="H539" s="2200"/>
      <c r="I539" s="2201"/>
      <c r="J539" s="29">
        <v>121000</v>
      </c>
    </row>
    <row r="540" spans="1:10" ht="30" customHeight="1" x14ac:dyDescent="0.2">
      <c r="A540" s="2352" t="s">
        <v>1725</v>
      </c>
      <c r="B540" s="809" t="s">
        <v>2879</v>
      </c>
      <c r="C540" s="1077">
        <v>5000</v>
      </c>
      <c r="D540" s="1077">
        <v>5000</v>
      </c>
      <c r="E540" s="1077"/>
      <c r="F540" s="1077"/>
      <c r="G540" s="2200"/>
      <c r="H540" s="2200"/>
      <c r="I540" s="2201"/>
      <c r="J540" s="29">
        <v>0</v>
      </c>
    </row>
    <row r="541" spans="1:10" s="2" customFormat="1" ht="30" customHeight="1" x14ac:dyDescent="0.2">
      <c r="A541" s="2352" t="s">
        <v>2880</v>
      </c>
      <c r="B541" s="809" t="s">
        <v>2881</v>
      </c>
      <c r="C541" s="1077">
        <v>4300000</v>
      </c>
      <c r="D541" s="1077">
        <f>4300000+500000+60000</f>
        <v>4860000</v>
      </c>
      <c r="E541" s="1077"/>
      <c r="F541" s="1077"/>
      <c r="G541" s="2200"/>
      <c r="H541" s="2200"/>
      <c r="I541" s="2201"/>
      <c r="J541" s="88">
        <v>0</v>
      </c>
    </row>
    <row r="542" spans="1:10" ht="30" customHeight="1" x14ac:dyDescent="0.2">
      <c r="A542" s="2296">
        <v>4351</v>
      </c>
      <c r="B542" s="1240" t="s">
        <v>2434</v>
      </c>
      <c r="C542" s="727">
        <f t="shared" ref="C542:D544" si="46">SUM(C543)</f>
        <v>3850000</v>
      </c>
      <c r="D542" s="727">
        <f t="shared" si="46"/>
        <v>1350000</v>
      </c>
      <c r="E542" s="727"/>
      <c r="F542" s="2341"/>
      <c r="G542" s="1663"/>
      <c r="H542" s="1663"/>
      <c r="I542" s="1662"/>
      <c r="J542" s="29">
        <v>67434</v>
      </c>
    </row>
    <row r="543" spans="1:10" ht="30" customHeight="1" x14ac:dyDescent="0.2">
      <c r="A543" s="2352" t="s">
        <v>2882</v>
      </c>
      <c r="B543" s="1112" t="s">
        <v>2107</v>
      </c>
      <c r="C543" s="1077">
        <v>3850000</v>
      </c>
      <c r="D543" s="1077">
        <f>3850000-2500000</f>
        <v>1350000</v>
      </c>
      <c r="E543" s="1077"/>
      <c r="F543" s="1077"/>
      <c r="G543" s="2200"/>
      <c r="H543" s="2200"/>
      <c r="I543" s="2201"/>
      <c r="J543" s="29">
        <v>67434</v>
      </c>
    </row>
    <row r="544" spans="1:10" ht="30" customHeight="1" x14ac:dyDescent="0.2">
      <c r="A544" s="2296">
        <v>4374</v>
      </c>
      <c r="B544" s="1240" t="s">
        <v>2437</v>
      </c>
      <c r="C544" s="727">
        <f t="shared" si="46"/>
        <v>53000</v>
      </c>
      <c r="D544" s="727">
        <f t="shared" si="46"/>
        <v>53000</v>
      </c>
      <c r="E544" s="727"/>
      <c r="F544" s="2341"/>
      <c r="G544" s="1663"/>
      <c r="H544" s="1663"/>
      <c r="I544" s="1662"/>
      <c r="J544" s="29">
        <v>363605</v>
      </c>
    </row>
    <row r="545" spans="1:10" ht="30" customHeight="1" x14ac:dyDescent="0.2">
      <c r="A545" s="2397" t="s">
        <v>2438</v>
      </c>
      <c r="B545" s="2398" t="s">
        <v>2883</v>
      </c>
      <c r="C545" s="1189">
        <v>53000</v>
      </c>
      <c r="D545" s="1189">
        <v>53000</v>
      </c>
      <c r="E545" s="1189"/>
      <c r="F545" s="1189"/>
      <c r="G545" s="2200"/>
      <c r="H545" s="2200"/>
      <c r="I545" s="2201"/>
      <c r="J545" s="29">
        <v>363605</v>
      </c>
    </row>
    <row r="546" spans="1:10" ht="30" customHeight="1" x14ac:dyDescent="0.25">
      <c r="A546" s="2373"/>
      <c r="B546" s="1998" t="s">
        <v>2439</v>
      </c>
      <c r="C546" s="2001">
        <f>C547+C553+C555+C557+C561</f>
        <v>15102700</v>
      </c>
      <c r="D546" s="2001">
        <f>D547+D553+D555+D557+D561</f>
        <v>11852700</v>
      </c>
      <c r="E546" s="1197"/>
      <c r="F546" s="2399"/>
      <c r="G546" s="2325"/>
      <c r="H546" s="2325"/>
      <c r="I546" s="2325"/>
      <c r="J546" s="29">
        <v>12237242</v>
      </c>
    </row>
    <row r="547" spans="1:10" ht="30" customHeight="1" x14ac:dyDescent="0.2">
      <c r="A547" s="2375">
        <v>3412</v>
      </c>
      <c r="B547" s="1137" t="s">
        <v>1739</v>
      </c>
      <c r="C547" s="1138">
        <f t="shared" ref="C547:D547" si="47">SUM(C548:C552)</f>
        <v>14527700</v>
      </c>
      <c r="D547" s="1138">
        <f t="shared" si="47"/>
        <v>11827700</v>
      </c>
      <c r="E547" s="2029"/>
      <c r="F547" s="2042"/>
      <c r="G547" s="1663"/>
      <c r="H547" s="1663"/>
      <c r="I547" s="1662"/>
      <c r="J547" s="29">
        <v>3675165</v>
      </c>
    </row>
    <row r="548" spans="1:10" ht="30" customHeight="1" x14ac:dyDescent="0.2">
      <c r="A548" s="2352" t="s">
        <v>1744</v>
      </c>
      <c r="B548" s="809" t="s">
        <v>2884</v>
      </c>
      <c r="C548" s="1077">
        <v>622000</v>
      </c>
      <c r="D548" s="1077">
        <f>622000+363000</f>
        <v>985000</v>
      </c>
      <c r="E548" s="1077"/>
      <c r="F548" s="1077"/>
      <c r="G548" s="2200"/>
      <c r="H548" s="2200"/>
      <c r="I548" s="2201"/>
      <c r="J548" s="29">
        <v>31500</v>
      </c>
    </row>
    <row r="549" spans="1:10" ht="30" customHeight="1" x14ac:dyDescent="0.2">
      <c r="A549" s="2352" t="s">
        <v>1746</v>
      </c>
      <c r="B549" s="809" t="s">
        <v>2885</v>
      </c>
      <c r="C549" s="1077">
        <v>205700</v>
      </c>
      <c r="D549" s="1077">
        <f>205700+121000</f>
        <v>326700</v>
      </c>
      <c r="E549" s="1077"/>
      <c r="F549" s="1077"/>
      <c r="G549" s="2200"/>
      <c r="H549" s="2200"/>
      <c r="I549" s="2201"/>
      <c r="J549" s="29">
        <v>20160</v>
      </c>
    </row>
    <row r="550" spans="1:10" ht="30" customHeight="1" x14ac:dyDescent="0.2">
      <c r="A550" s="2352" t="s">
        <v>1748</v>
      </c>
      <c r="B550" s="1112" t="s">
        <v>2886</v>
      </c>
      <c r="C550" s="1077">
        <v>6200000</v>
      </c>
      <c r="D550" s="1077">
        <f>6200000+1300000+79000+300000-700000</f>
        <v>7179000</v>
      </c>
      <c r="E550" s="1077"/>
      <c r="F550" s="1077"/>
      <c r="G550" s="2200"/>
      <c r="H550" s="2200"/>
      <c r="I550" s="2201"/>
      <c r="J550" s="29">
        <v>96800</v>
      </c>
    </row>
    <row r="551" spans="1:10" ht="30" customHeight="1" x14ac:dyDescent="0.2">
      <c r="A551" s="2352" t="s">
        <v>1750</v>
      </c>
      <c r="B551" s="1112" t="s">
        <v>2071</v>
      </c>
      <c r="C551" s="1077">
        <v>4000000</v>
      </c>
      <c r="D551" s="1077">
        <f>4000000-3000000+3000000-321000-3600000-79000</f>
        <v>0</v>
      </c>
      <c r="E551" s="1077"/>
      <c r="F551" s="1077"/>
      <c r="G551" s="2200"/>
      <c r="H551" s="2200"/>
      <c r="I551" s="2201"/>
      <c r="J551" s="29">
        <v>0</v>
      </c>
    </row>
    <row r="552" spans="1:10" ht="30" customHeight="1" x14ac:dyDescent="0.2">
      <c r="A552" s="2352" t="s">
        <v>2887</v>
      </c>
      <c r="B552" s="1112" t="s">
        <v>2073</v>
      </c>
      <c r="C552" s="1077">
        <v>3500000</v>
      </c>
      <c r="D552" s="1077">
        <f>3500000-163000</f>
        <v>3337000</v>
      </c>
      <c r="E552" s="1077"/>
      <c r="F552" s="1077"/>
      <c r="G552" s="2200"/>
      <c r="H552" s="2200"/>
      <c r="I552" s="2201"/>
      <c r="J552" s="29">
        <v>3526705</v>
      </c>
    </row>
    <row r="553" spans="1:10" ht="30" customHeight="1" x14ac:dyDescent="0.2">
      <c r="A553" s="2296">
        <v>3613</v>
      </c>
      <c r="B553" s="1240" t="s">
        <v>1646</v>
      </c>
      <c r="C553" s="727">
        <f t="shared" ref="C553:D555" si="48">SUM(C554:C554)</f>
        <v>300000</v>
      </c>
      <c r="D553" s="727">
        <f t="shared" si="48"/>
        <v>0</v>
      </c>
      <c r="E553" s="727"/>
      <c r="F553" s="2341"/>
      <c r="G553" s="1663"/>
      <c r="H553" s="1663"/>
      <c r="I553" s="1662"/>
      <c r="J553" s="29">
        <v>65230</v>
      </c>
    </row>
    <row r="554" spans="1:10" s="2" customFormat="1" ht="30" customHeight="1" x14ac:dyDescent="0.2">
      <c r="A554" s="2352" t="s">
        <v>558</v>
      </c>
      <c r="B554" s="809" t="s">
        <v>2888</v>
      </c>
      <c r="C554" s="1077">
        <v>300000</v>
      </c>
      <c r="D554" s="1077">
        <f>300000-300000</f>
        <v>0</v>
      </c>
      <c r="E554" s="1077"/>
      <c r="F554" s="1077"/>
      <c r="G554" s="2200"/>
      <c r="H554" s="2200"/>
      <c r="I554" s="2201"/>
      <c r="J554" s="88">
        <v>65230</v>
      </c>
    </row>
    <row r="555" spans="1:10" ht="30" customHeight="1" x14ac:dyDescent="0.2">
      <c r="A555" s="2296">
        <v>3631</v>
      </c>
      <c r="B555" s="1240" t="s">
        <v>1755</v>
      </c>
      <c r="C555" s="727">
        <f t="shared" si="48"/>
        <v>5000</v>
      </c>
      <c r="D555" s="727">
        <f>SUM(D556:D556)</f>
        <v>5000</v>
      </c>
      <c r="E555" s="727"/>
      <c r="F555" s="2341"/>
      <c r="G555" s="1663"/>
      <c r="H555" s="1663"/>
      <c r="I555" s="1662"/>
      <c r="J555" s="29">
        <v>7569914.4000000004</v>
      </c>
    </row>
    <row r="556" spans="1:10" s="2" customFormat="1" ht="30" customHeight="1" x14ac:dyDescent="0.2">
      <c r="A556" s="2352"/>
      <c r="B556" s="809" t="s">
        <v>2889</v>
      </c>
      <c r="C556" s="1077">
        <v>5000</v>
      </c>
      <c r="D556" s="1077">
        <v>5000</v>
      </c>
      <c r="E556" s="1077"/>
      <c r="F556" s="1077"/>
      <c r="G556" s="2200"/>
      <c r="H556" s="2200"/>
      <c r="I556" s="2201"/>
      <c r="J556" s="88">
        <v>0</v>
      </c>
    </row>
    <row r="557" spans="1:10" ht="30" customHeight="1" x14ac:dyDescent="0.2">
      <c r="A557" s="2296">
        <v>3632</v>
      </c>
      <c r="B557" s="1240" t="s">
        <v>1410</v>
      </c>
      <c r="C557" s="727">
        <f>SUM(C558:C560)</f>
        <v>20000</v>
      </c>
      <c r="D557" s="727">
        <f>SUM(D558:D560)</f>
        <v>20000</v>
      </c>
      <c r="E557" s="727"/>
      <c r="F557" s="2341"/>
      <c r="G557" s="1663"/>
      <c r="H557" s="1663"/>
      <c r="I557" s="1662"/>
      <c r="J557" s="29">
        <v>849329.6</v>
      </c>
    </row>
    <row r="558" spans="1:10" ht="30" customHeight="1" x14ac:dyDescent="0.2">
      <c r="A558" s="2352" t="s">
        <v>1762</v>
      </c>
      <c r="B558" s="809" t="s">
        <v>2890</v>
      </c>
      <c r="C558" s="1077">
        <v>10000</v>
      </c>
      <c r="D558" s="1077">
        <v>10000</v>
      </c>
      <c r="E558" s="1077"/>
      <c r="F558" s="1077"/>
      <c r="G558" s="2200"/>
      <c r="H558" s="2200"/>
      <c r="I558" s="2201"/>
      <c r="J558" s="29">
        <v>0</v>
      </c>
    </row>
    <row r="559" spans="1:10" ht="30" customHeight="1" x14ac:dyDescent="0.2">
      <c r="A559" s="2352" t="s">
        <v>1762</v>
      </c>
      <c r="B559" s="1112" t="s">
        <v>2891</v>
      </c>
      <c r="C559" s="1077">
        <v>5000</v>
      </c>
      <c r="D559" s="1077">
        <v>5000</v>
      </c>
      <c r="E559" s="1077"/>
      <c r="F559" s="1077"/>
      <c r="G559" s="2200"/>
      <c r="H559" s="2200"/>
      <c r="I559" s="2201"/>
      <c r="J559" s="29">
        <v>0</v>
      </c>
    </row>
    <row r="560" spans="1:10" ht="30" customHeight="1" x14ac:dyDescent="0.2">
      <c r="A560" s="2352" t="s">
        <v>1766</v>
      </c>
      <c r="B560" s="1112" t="s">
        <v>2892</v>
      </c>
      <c r="C560" s="1077">
        <v>5000</v>
      </c>
      <c r="D560" s="1077">
        <v>5000</v>
      </c>
      <c r="E560" s="1077"/>
      <c r="F560" s="1077"/>
      <c r="G560" s="2200"/>
      <c r="H560" s="2200"/>
      <c r="I560" s="2201"/>
      <c r="J560" s="29">
        <v>0</v>
      </c>
    </row>
    <row r="561" spans="1:241" s="2" customFormat="1" ht="30" customHeight="1" x14ac:dyDescent="0.2">
      <c r="A561" s="2296">
        <v>3633</v>
      </c>
      <c r="B561" s="1240" t="s">
        <v>1416</v>
      </c>
      <c r="C561" s="727">
        <f t="shared" ref="C561:D566" si="49">SUM(C562:C562)</f>
        <v>250000</v>
      </c>
      <c r="D561" s="727">
        <f t="shared" si="49"/>
        <v>0</v>
      </c>
      <c r="E561" s="727"/>
      <c r="F561" s="2341"/>
      <c r="G561" s="1663"/>
      <c r="H561" s="1663"/>
      <c r="I561" s="1662"/>
      <c r="J561" s="88">
        <v>0</v>
      </c>
    </row>
    <row r="562" spans="1:241" s="2" customFormat="1" ht="30" customHeight="1" x14ac:dyDescent="0.2">
      <c r="A562" s="2400" t="s">
        <v>1768</v>
      </c>
      <c r="B562" s="1075" t="s">
        <v>2893</v>
      </c>
      <c r="C562" s="1048">
        <v>250000</v>
      </c>
      <c r="D562" s="1048">
        <f>250000-250000</f>
        <v>0</v>
      </c>
      <c r="E562" s="1048"/>
      <c r="F562" s="1048"/>
      <c r="G562" s="2200"/>
      <c r="H562" s="2200"/>
      <c r="I562" s="2201"/>
      <c r="J562" s="88">
        <v>0</v>
      </c>
    </row>
    <row r="563" spans="1:241" s="2" customFormat="1" ht="30" customHeight="1" x14ac:dyDescent="0.25">
      <c r="A563" s="2373"/>
      <c r="B563" s="1998" t="s">
        <v>1770</v>
      </c>
      <c r="C563" s="1055">
        <f t="shared" si="49"/>
        <v>200000</v>
      </c>
      <c r="D563" s="1055">
        <f t="shared" si="49"/>
        <v>67500</v>
      </c>
      <c r="E563" s="2401"/>
      <c r="F563" s="2402"/>
      <c r="G563" s="2325"/>
      <c r="H563" s="2325"/>
      <c r="I563" s="2325"/>
      <c r="J563" s="88">
        <v>64806</v>
      </c>
    </row>
    <row r="564" spans="1:241" ht="30" customHeight="1" x14ac:dyDescent="0.2">
      <c r="A564" s="2403" t="s">
        <v>609</v>
      </c>
      <c r="B564" s="1200" t="s">
        <v>2894</v>
      </c>
      <c r="C564" s="1809">
        <v>200000</v>
      </c>
      <c r="D564" s="1809">
        <f>200000-132500</f>
        <v>67500</v>
      </c>
      <c r="E564" s="1201"/>
      <c r="F564" s="1201"/>
      <c r="G564" s="2200"/>
      <c r="H564" s="2200"/>
      <c r="I564" s="2201"/>
      <c r="J564" s="29">
        <v>64806</v>
      </c>
    </row>
    <row r="565" spans="1:241" s="1973" customFormat="1" ht="30" customHeight="1" x14ac:dyDescent="0.2">
      <c r="A565" s="2404"/>
      <c r="B565" s="1988"/>
      <c r="C565" s="1190"/>
      <c r="D565" s="1190"/>
      <c r="E565" s="1190"/>
      <c r="F565" s="1048"/>
      <c r="G565" s="1048"/>
      <c r="H565" s="1048"/>
      <c r="I565" s="1190"/>
      <c r="J565" s="88"/>
      <c r="K565" s="2"/>
      <c r="L565" s="2"/>
      <c r="M565" s="2"/>
      <c r="N565" s="2"/>
      <c r="O565" s="2"/>
      <c r="P565" s="2"/>
      <c r="Q565" s="2"/>
      <c r="R565" s="2"/>
      <c r="S565" s="2"/>
      <c r="T565" s="2"/>
      <c r="U565" s="2"/>
      <c r="V565" s="2"/>
      <c r="W565" s="2"/>
      <c r="X565" s="2"/>
      <c r="Y565" s="2"/>
      <c r="Z565" s="2"/>
      <c r="AA565" s="2"/>
      <c r="AB565" s="2"/>
      <c r="AC565" s="2"/>
      <c r="AD565" s="2"/>
      <c r="AE565" s="2"/>
      <c r="AF565" s="2"/>
      <c r="AG565" s="2"/>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c r="FL565" s="2"/>
      <c r="FM565" s="2"/>
      <c r="FN565" s="2"/>
      <c r="FO565" s="2"/>
      <c r="FP565" s="2"/>
      <c r="FQ565" s="2"/>
      <c r="FR565" s="2"/>
      <c r="FS565" s="2"/>
      <c r="FT565" s="2"/>
      <c r="FU565" s="2"/>
      <c r="FV565" s="2"/>
      <c r="FW565" s="2"/>
      <c r="FX565" s="2"/>
      <c r="FY565" s="2"/>
      <c r="FZ565" s="2"/>
      <c r="GA565" s="2"/>
      <c r="GB565" s="2"/>
      <c r="GC565" s="2"/>
      <c r="GD565" s="2"/>
      <c r="GE565" s="2"/>
      <c r="GF565" s="2"/>
      <c r="GG565" s="2"/>
      <c r="GH565" s="2"/>
      <c r="GI565" s="2"/>
      <c r="GJ565" s="2"/>
      <c r="GK565" s="2"/>
      <c r="GL565" s="2"/>
      <c r="GM565" s="2"/>
      <c r="GN565" s="2"/>
      <c r="GO565" s="2"/>
      <c r="GP565" s="2"/>
      <c r="GQ565" s="2"/>
      <c r="GR565" s="2"/>
      <c r="GS565" s="2"/>
      <c r="GT565" s="2"/>
      <c r="GU565" s="2"/>
      <c r="GV565" s="2"/>
      <c r="GW565" s="2"/>
      <c r="GX565" s="2"/>
      <c r="GY565" s="2"/>
      <c r="GZ565" s="2"/>
      <c r="HA565" s="2"/>
      <c r="HB565" s="2"/>
      <c r="HC565" s="2"/>
      <c r="HD565" s="2"/>
      <c r="HE565" s="2"/>
      <c r="HF565" s="2"/>
      <c r="HG565" s="2"/>
      <c r="HH565" s="2"/>
      <c r="HI565" s="2"/>
      <c r="HJ565" s="2"/>
      <c r="HK565" s="2"/>
      <c r="HL565" s="2"/>
      <c r="HM565" s="2"/>
      <c r="HN565" s="2"/>
      <c r="HO565" s="2"/>
      <c r="HP565" s="2"/>
      <c r="HQ565" s="2"/>
      <c r="HR565" s="2"/>
      <c r="HS565" s="2"/>
      <c r="HT565" s="2"/>
      <c r="HU565" s="2"/>
      <c r="HV565" s="2"/>
      <c r="HW565" s="2"/>
      <c r="HX565" s="2"/>
      <c r="HY565" s="2"/>
      <c r="HZ565" s="2"/>
      <c r="IA565" s="2"/>
      <c r="IB565" s="2"/>
      <c r="IC565" s="2"/>
      <c r="ID565" s="2"/>
      <c r="IE565" s="2"/>
      <c r="IF565" s="2"/>
      <c r="IG565" s="2"/>
    </row>
    <row r="566" spans="1:241" ht="30" customHeight="1" x14ac:dyDescent="0.3">
      <c r="A566" s="2405"/>
      <c r="B566" s="1204" t="s">
        <v>31</v>
      </c>
      <c r="C566" s="1403">
        <f t="shared" si="49"/>
        <v>15000</v>
      </c>
      <c r="D566" s="1403">
        <f t="shared" si="49"/>
        <v>15000</v>
      </c>
      <c r="E566" s="1403"/>
      <c r="F566" s="2384"/>
      <c r="G566" s="949"/>
      <c r="H566" s="949"/>
      <c r="I566" s="949"/>
      <c r="J566" s="29">
        <v>15000</v>
      </c>
    </row>
    <row r="567" spans="1:241" ht="30" customHeight="1" x14ac:dyDescent="0.2">
      <c r="A567" s="2406">
        <v>2141</v>
      </c>
      <c r="B567" s="1208" t="s">
        <v>1773</v>
      </c>
      <c r="C567" s="731">
        <v>15000</v>
      </c>
      <c r="D567" s="731">
        <v>15000</v>
      </c>
      <c r="E567" s="731"/>
      <c r="F567" s="2407"/>
      <c r="G567" s="1663"/>
      <c r="H567" s="1663"/>
      <c r="I567" s="1662"/>
      <c r="J567" s="29">
        <v>15000</v>
      </c>
    </row>
    <row r="568" spans="1:241" s="244" customFormat="1" ht="30" customHeight="1" x14ac:dyDescent="0.25">
      <c r="A568" s="2408"/>
      <c r="B568" s="1213"/>
      <c r="C568" s="2026"/>
      <c r="D568" s="2026"/>
      <c r="E568" s="1042"/>
      <c r="F568" s="2409"/>
      <c r="G568" s="2409"/>
      <c r="H568" s="2409"/>
      <c r="I568" s="2026"/>
      <c r="J568" s="29"/>
    </row>
    <row r="569" spans="1:241" s="98" customFormat="1" ht="30" customHeight="1" x14ac:dyDescent="0.3">
      <c r="A569" s="2373"/>
      <c r="B569" s="701" t="s">
        <v>614</v>
      </c>
      <c r="C569" s="2410">
        <f>SUM(C570:C574)</f>
        <v>17594633</v>
      </c>
      <c r="D569" s="2410">
        <f>SUM(D570:D574)</f>
        <v>18152198</v>
      </c>
      <c r="E569" s="2410"/>
      <c r="F569" s="2411"/>
      <c r="G569" s="949"/>
      <c r="H569" s="949"/>
      <c r="I569" s="949"/>
      <c r="J569" s="29">
        <v>15554021.77</v>
      </c>
    </row>
    <row r="570" spans="1:241" s="98" customFormat="1" ht="30" customHeight="1" x14ac:dyDescent="0.2">
      <c r="A570" s="2219">
        <v>2141</v>
      </c>
      <c r="B570" s="1977" t="s">
        <v>2445</v>
      </c>
      <c r="C570" s="2028">
        <f>(15+50+129+1264.741+6.5+100)*1000</f>
        <v>1565241</v>
      </c>
      <c r="D570" s="2028">
        <f>((15+50+129+1264.741+6.5+100)*1000)+87635.98+54040</f>
        <v>1706916.98</v>
      </c>
      <c r="E570" s="731"/>
      <c r="F570" s="2364"/>
      <c r="G570" s="1663"/>
      <c r="H570" s="1663"/>
      <c r="I570" s="1662"/>
      <c r="J570" s="29">
        <v>912501.82</v>
      </c>
    </row>
    <row r="571" spans="1:241" s="98" customFormat="1" ht="72" customHeight="1" x14ac:dyDescent="0.2">
      <c r="A571" s="2221">
        <v>2143</v>
      </c>
      <c r="B571" s="725" t="s">
        <v>2446</v>
      </c>
      <c r="C571" s="727">
        <f>(4610+230+600+1143.28+57.04+414.9+20.7+10+1300+1130+400+1+7.5+10+50+900+130+2050+235.972+130+15+200+5+50+5+200+490)*1000</f>
        <v>14395391.999999998</v>
      </c>
      <c r="D571" s="727">
        <f>((4610+230+600+1143.28+57.04+414.9+20.7+10+1300+1130+400+1+7.5+10+50+900+130+2050+235.972+130+15+200+5+50+5+200+490)*1000)+300000+80000-87635.98+177565+(-211971.44-8002.1)-54040-3003</f>
        <v>14588304.479999999</v>
      </c>
      <c r="E571" s="731"/>
      <c r="F571" s="2341"/>
      <c r="G571" s="1663"/>
      <c r="H571" s="1663"/>
      <c r="I571" s="1662"/>
      <c r="J571" s="1866">
        <v>12687920.15</v>
      </c>
    </row>
    <row r="572" spans="1:241" s="98" customFormat="1" ht="30" customHeight="1" x14ac:dyDescent="0.2">
      <c r="A572" s="2221">
        <v>3399</v>
      </c>
      <c r="B572" s="725" t="s">
        <v>1776</v>
      </c>
      <c r="C572" s="727">
        <v>130000</v>
      </c>
      <c r="D572" s="727">
        <f>130000+8002.1</f>
        <v>138002.1</v>
      </c>
      <c r="E572" s="731"/>
      <c r="F572" s="2042"/>
      <c r="G572" s="1663"/>
      <c r="H572" s="1663"/>
      <c r="I572" s="1662"/>
      <c r="J572" s="1866">
        <v>154413.98000000001</v>
      </c>
    </row>
    <row r="573" spans="1:241" s="98" customFormat="1" ht="30" customHeight="1" x14ac:dyDescent="0.2">
      <c r="A573" s="2221">
        <v>6223</v>
      </c>
      <c r="B573" s="725" t="s">
        <v>2448</v>
      </c>
      <c r="C573" s="727">
        <f>(150+50+15+40+900+77+250+5.5+5.5+5.5+5.5)*1000</f>
        <v>1504000</v>
      </c>
      <c r="D573" s="727">
        <f>((150+50+15+40+900+77+250+5.5+5.5+5.5+5.5)*1000)+211971.44</f>
        <v>1715971.44</v>
      </c>
      <c r="E573" s="731"/>
      <c r="F573" s="2042"/>
      <c r="G573" s="1663"/>
      <c r="H573" s="1663"/>
      <c r="I573" s="1662"/>
      <c r="J573" s="1866">
        <v>1799185.82</v>
      </c>
    </row>
    <row r="574" spans="1:241" s="98" customFormat="1" ht="30" customHeight="1" x14ac:dyDescent="0.2">
      <c r="A574" s="2221">
        <v>6310</v>
      </c>
      <c r="B574" s="725" t="s">
        <v>3136</v>
      </c>
      <c r="C574" s="727">
        <v>0</v>
      </c>
      <c r="D574" s="727">
        <v>3003</v>
      </c>
      <c r="E574" s="731"/>
      <c r="F574" s="2042"/>
      <c r="G574" s="1663"/>
      <c r="H574" s="1663"/>
      <c r="I574" s="1662"/>
      <c r="J574" s="1866">
        <v>868626.17</v>
      </c>
    </row>
    <row r="575" spans="1:241" s="98" customFormat="1" ht="30" customHeight="1" x14ac:dyDescent="0.2">
      <c r="A575" s="2412"/>
      <c r="B575" s="1221"/>
      <c r="C575" s="899"/>
      <c r="D575" s="899"/>
      <c r="E575" s="1042"/>
      <c r="F575" s="979"/>
      <c r="G575" s="979"/>
      <c r="H575" s="979"/>
      <c r="I575" s="899"/>
      <c r="J575" s="29"/>
    </row>
    <row r="576" spans="1:241" s="98" customFormat="1" ht="30" customHeight="1" x14ac:dyDescent="0.3">
      <c r="A576" s="2413"/>
      <c r="B576" s="1226" t="s">
        <v>33</v>
      </c>
      <c r="C576" s="1403">
        <f t="shared" ref="C576:D576" si="50">SUM(C577,C578)</f>
        <v>11914064</v>
      </c>
      <c r="D576" s="1403">
        <f t="shared" si="50"/>
        <v>11914064</v>
      </c>
      <c r="E576" s="2414"/>
      <c r="F576" s="2384"/>
      <c r="G576" s="949"/>
      <c r="H576" s="949"/>
      <c r="I576" s="949"/>
      <c r="J576" s="29">
        <v>10939549.4</v>
      </c>
    </row>
    <row r="577" spans="1:11" s="98" customFormat="1" ht="30" customHeight="1" x14ac:dyDescent="0.2">
      <c r="A577" s="2221">
        <v>2223</v>
      </c>
      <c r="B577" s="725" t="s">
        <v>1778</v>
      </c>
      <c r="C577" s="1138">
        <v>110000</v>
      </c>
      <c r="D577" s="1138">
        <v>110000</v>
      </c>
      <c r="E577" s="765"/>
      <c r="F577" s="2364"/>
      <c r="G577" s="1663"/>
      <c r="H577" s="1663"/>
      <c r="I577" s="1662"/>
      <c r="J577" s="1866">
        <v>90316.3</v>
      </c>
    </row>
    <row r="578" spans="1:11" s="98" customFormat="1" ht="30" customHeight="1" x14ac:dyDescent="0.2">
      <c r="A578" s="2221">
        <v>2292</v>
      </c>
      <c r="B578" s="717" t="s">
        <v>2449</v>
      </c>
      <c r="C578" s="731">
        <f t="shared" ref="C578:D578" si="51">SUM(C579:C583)</f>
        <v>11804064</v>
      </c>
      <c r="D578" s="731">
        <f t="shared" si="51"/>
        <v>11804064</v>
      </c>
      <c r="E578" s="731"/>
      <c r="F578" s="738"/>
      <c r="G578" s="1663"/>
      <c r="H578" s="1663"/>
      <c r="I578" s="1662"/>
      <c r="J578" s="29">
        <v>10849233.1</v>
      </c>
    </row>
    <row r="579" spans="1:11" s="98" customFormat="1" ht="30" customHeight="1" x14ac:dyDescent="0.2">
      <c r="A579" s="2221"/>
      <c r="B579" s="737" t="s">
        <v>623</v>
      </c>
      <c r="C579" s="1232">
        <v>2234064</v>
      </c>
      <c r="D579" s="1232">
        <v>2234064</v>
      </c>
      <c r="E579" s="738"/>
      <c r="F579" s="1232"/>
      <c r="G579" s="2200"/>
      <c r="H579" s="2200"/>
      <c r="I579" s="2201"/>
      <c r="J579" s="29">
        <v>1917280</v>
      </c>
    </row>
    <row r="580" spans="1:11" s="98" customFormat="1" ht="30" customHeight="1" x14ac:dyDescent="0.2">
      <c r="A580" s="2221"/>
      <c r="B580" s="737" t="s">
        <v>2450</v>
      </c>
      <c r="C580" s="1900">
        <v>8800000</v>
      </c>
      <c r="D580" s="1900">
        <v>8800000</v>
      </c>
      <c r="E580" s="738"/>
      <c r="F580" s="1864"/>
      <c r="G580" s="2200"/>
      <c r="H580" s="2200"/>
      <c r="I580" s="2201"/>
      <c r="J580" s="29">
        <v>8299542</v>
      </c>
    </row>
    <row r="581" spans="1:11" s="98" customFormat="1" ht="30" customHeight="1" x14ac:dyDescent="0.2">
      <c r="A581" s="2221"/>
      <c r="B581" s="749" t="s">
        <v>2451</v>
      </c>
      <c r="C581" s="1900">
        <v>350000</v>
      </c>
      <c r="D581" s="1900">
        <v>350000</v>
      </c>
      <c r="E581" s="738"/>
      <c r="F581" s="1864"/>
      <c r="G581" s="2200"/>
      <c r="H581" s="2200"/>
      <c r="I581" s="2201"/>
      <c r="J581" s="88">
        <v>350000</v>
      </c>
    </row>
    <row r="582" spans="1:11" s="98" customFormat="1" ht="30" customHeight="1" x14ac:dyDescent="0.2">
      <c r="A582" s="2415"/>
      <c r="B582" s="1229" t="s">
        <v>2452</v>
      </c>
      <c r="C582" s="1900">
        <v>400000</v>
      </c>
      <c r="D582" s="1900">
        <v>400000</v>
      </c>
      <c r="E582" s="750"/>
      <c r="F582" s="1864"/>
      <c r="G582" s="2200"/>
      <c r="H582" s="2200"/>
      <c r="I582" s="2201"/>
      <c r="J582" s="29">
        <v>263637</v>
      </c>
    </row>
    <row r="583" spans="1:11" s="98" customFormat="1" ht="30" customHeight="1" x14ac:dyDescent="0.2">
      <c r="A583" s="2416"/>
      <c r="B583" s="1231" t="s">
        <v>2453</v>
      </c>
      <c r="C583" s="1900">
        <v>20000</v>
      </c>
      <c r="D583" s="1900">
        <v>20000</v>
      </c>
      <c r="E583" s="1045"/>
      <c r="F583" s="1864"/>
      <c r="G583" s="2200"/>
      <c r="H583" s="2200"/>
      <c r="I583" s="2201"/>
      <c r="J583" s="29">
        <v>18774.099999999999</v>
      </c>
    </row>
    <row r="584" spans="1:11" s="98" customFormat="1" ht="30" customHeight="1" x14ac:dyDescent="0.2">
      <c r="A584" s="2417"/>
      <c r="B584" s="1231"/>
      <c r="C584" s="899"/>
      <c r="D584" s="899"/>
      <c r="E584" s="1158"/>
      <c r="F584" s="838"/>
      <c r="G584" s="979"/>
      <c r="H584" s="979"/>
      <c r="I584" s="899"/>
      <c r="J584" s="29"/>
    </row>
    <row r="585" spans="1:11" s="98" customFormat="1" ht="30" customHeight="1" x14ac:dyDescent="0.3">
      <c r="A585" s="2373"/>
      <c r="B585" s="701" t="s">
        <v>34</v>
      </c>
      <c r="C585" s="652">
        <f t="shared" ref="C585:D585" si="52">SUM(C586:C587)</f>
        <v>162000</v>
      </c>
      <c r="D585" s="652">
        <f t="shared" si="52"/>
        <v>162000</v>
      </c>
      <c r="E585" s="652"/>
      <c r="F585" s="2270"/>
      <c r="G585" s="949"/>
      <c r="H585" s="949"/>
      <c r="I585" s="949"/>
      <c r="J585" s="29">
        <v>88043.839999999997</v>
      </c>
    </row>
    <row r="586" spans="1:11" s="98" customFormat="1" ht="30" customHeight="1" x14ac:dyDescent="0.2">
      <c r="A586" s="2221">
        <v>2223</v>
      </c>
      <c r="B586" s="717" t="s">
        <v>1784</v>
      </c>
      <c r="C586" s="715">
        <v>150000</v>
      </c>
      <c r="D586" s="715">
        <v>150000</v>
      </c>
      <c r="E586" s="731"/>
      <c r="F586" s="2418"/>
      <c r="G586" s="1663"/>
      <c r="H586" s="1663"/>
      <c r="I586" s="1662"/>
      <c r="J586" s="29">
        <v>86277.84</v>
      </c>
    </row>
    <row r="587" spans="1:11" s="98" customFormat="1" ht="30" customHeight="1" x14ac:dyDescent="0.2">
      <c r="A587" s="2221">
        <v>6171</v>
      </c>
      <c r="B587" s="717" t="s">
        <v>1785</v>
      </c>
      <c r="C587" s="722">
        <v>12000</v>
      </c>
      <c r="D587" s="722">
        <v>12000</v>
      </c>
      <c r="E587" s="731"/>
      <c r="F587" s="740"/>
      <c r="G587" s="1663"/>
      <c r="H587" s="1663"/>
      <c r="I587" s="1662"/>
      <c r="J587" s="29">
        <v>1766</v>
      </c>
    </row>
    <row r="588" spans="1:11" s="98" customFormat="1" ht="30" customHeight="1" x14ac:dyDescent="0.2">
      <c r="A588" s="2419"/>
      <c r="B588" s="1236"/>
      <c r="C588" s="899"/>
      <c r="D588" s="899"/>
      <c r="E588" s="1517"/>
      <c r="F588" s="838"/>
      <c r="G588" s="2420"/>
      <c r="H588" s="2420"/>
      <c r="I588" s="899"/>
      <c r="J588" s="29"/>
    </row>
    <row r="589" spans="1:11" s="98" customFormat="1" ht="30" customHeight="1" x14ac:dyDescent="0.3">
      <c r="A589" s="2413"/>
      <c r="B589" s="1238" t="s">
        <v>630</v>
      </c>
      <c r="C589" s="1239">
        <f>SUM(C590:C590)</f>
        <v>500000</v>
      </c>
      <c r="D589" s="1239">
        <f>SUM(D590:D590)</f>
        <v>500000</v>
      </c>
      <c r="E589" s="1239"/>
      <c r="F589" s="2421"/>
      <c r="G589" s="949"/>
      <c r="H589" s="949"/>
      <c r="I589" s="949"/>
      <c r="J589" s="1866">
        <v>1417855.04</v>
      </c>
    </row>
    <row r="590" spans="1:11" s="98" customFormat="1" ht="30" customHeight="1" x14ac:dyDescent="0.2">
      <c r="A590" s="2422">
        <v>6114</v>
      </c>
      <c r="B590" s="842" t="s">
        <v>2896</v>
      </c>
      <c r="C590" s="998">
        <v>500000</v>
      </c>
      <c r="D590" s="984">
        <v>500000</v>
      </c>
      <c r="E590" s="984"/>
      <c r="F590" s="772"/>
      <c r="G590" s="1663"/>
      <c r="H590" s="1663"/>
      <c r="I590" s="1662"/>
      <c r="J590" s="1994">
        <v>0</v>
      </c>
    </row>
    <row r="591" spans="1:11" s="98" customFormat="1" ht="30" customHeight="1" x14ac:dyDescent="0.2">
      <c r="A591" s="2337"/>
      <c r="B591" s="2034"/>
      <c r="C591" s="1006"/>
      <c r="D591" s="869"/>
      <c r="E591" s="869"/>
      <c r="F591" s="779"/>
      <c r="G591" s="1102"/>
      <c r="H591" s="1102"/>
      <c r="I591" s="1359"/>
      <c r="J591" s="1994"/>
    </row>
    <row r="592" spans="1:11" customFormat="1" ht="30" customHeight="1" x14ac:dyDescent="0.3">
      <c r="A592" s="2405"/>
      <c r="B592" s="1246" t="s">
        <v>36</v>
      </c>
      <c r="C592" s="1247">
        <f>C593+C638+C664+C667</f>
        <v>125656247</v>
      </c>
      <c r="D592" s="1247">
        <f>D593+D638+D664+D667</f>
        <v>143447432.22</v>
      </c>
      <c r="E592" s="1247"/>
      <c r="F592" s="2270"/>
      <c r="G592" s="2325"/>
      <c r="H592" s="2325"/>
      <c r="I592" s="2325"/>
      <c r="J592" s="88">
        <v>131086108.81999999</v>
      </c>
      <c r="K592" s="2"/>
    </row>
    <row r="593" spans="1:11" customFormat="1" ht="30" customHeight="1" x14ac:dyDescent="0.25">
      <c r="A593" s="2371"/>
      <c r="B593" s="1249" t="s">
        <v>633</v>
      </c>
      <c r="C593" s="1080">
        <f>SUM(C594,C610,C636,C631)</f>
        <v>47677600</v>
      </c>
      <c r="D593" s="1080">
        <f>SUM(D594,D610,D636,D631)</f>
        <v>58860825.179999992</v>
      </c>
      <c r="E593" s="1080"/>
      <c r="F593" s="2270"/>
      <c r="G593" s="2325"/>
      <c r="H593" s="2325"/>
      <c r="I593" s="2325"/>
      <c r="J593" s="88">
        <v>58100339.049999997</v>
      </c>
      <c r="K593" s="2"/>
    </row>
    <row r="594" spans="1:11" customFormat="1" ht="30" customHeight="1" x14ac:dyDescent="0.2">
      <c r="A594" s="2423">
        <v>3111</v>
      </c>
      <c r="B594" s="1251" t="s">
        <v>2455</v>
      </c>
      <c r="C594" s="1138">
        <f t="shared" ref="C594:D594" si="53">SUM(C595:C597)</f>
        <v>11790900</v>
      </c>
      <c r="D594" s="1138">
        <f t="shared" si="53"/>
        <v>13989134.969999999</v>
      </c>
      <c r="E594" s="1138"/>
      <c r="F594" s="2424"/>
      <c r="G594" s="1663"/>
      <c r="H594" s="1663"/>
      <c r="I594" s="1662"/>
      <c r="J594" s="88">
        <v>11033100.49</v>
      </c>
      <c r="K594" s="2"/>
    </row>
    <row r="595" spans="1:11" customFormat="1" ht="30" customHeight="1" x14ac:dyDescent="0.2">
      <c r="A595" s="2425"/>
      <c r="B595" s="1255" t="s">
        <v>635</v>
      </c>
      <c r="C595" s="1256">
        <f t="shared" ref="C595:D597" si="54">+C599+C603+C607</f>
        <v>10198900</v>
      </c>
      <c r="D595" s="1256">
        <f>+D599+D603+D607</f>
        <v>12266077.699999999</v>
      </c>
      <c r="E595" s="1256"/>
      <c r="F595" s="1256"/>
      <c r="G595" s="2200"/>
      <c r="H595" s="2200"/>
      <c r="I595" s="2201"/>
      <c r="J595" s="88">
        <v>8945097.9900000002</v>
      </c>
      <c r="K595" s="2"/>
    </row>
    <row r="596" spans="1:11" customFormat="1" ht="30" customHeight="1" x14ac:dyDescent="0.2">
      <c r="A596" s="2425"/>
      <c r="B596" s="1255" t="s">
        <v>1788</v>
      </c>
      <c r="C596" s="1256">
        <f t="shared" si="54"/>
        <v>1462000</v>
      </c>
      <c r="D596" s="1256">
        <f t="shared" si="54"/>
        <v>1593057.27</v>
      </c>
      <c r="E596" s="1256"/>
      <c r="F596" s="1256"/>
      <c r="G596" s="2200"/>
      <c r="H596" s="2200"/>
      <c r="I596" s="2201"/>
      <c r="J596" s="88">
        <v>1539602.5</v>
      </c>
      <c r="K596" s="2"/>
    </row>
    <row r="597" spans="1:11" customFormat="1" ht="30" customHeight="1" x14ac:dyDescent="0.2">
      <c r="A597" s="2425"/>
      <c r="B597" s="1255" t="s">
        <v>1789</v>
      </c>
      <c r="C597" s="1256">
        <f t="shared" si="54"/>
        <v>130000</v>
      </c>
      <c r="D597" s="1256">
        <f t="shared" si="54"/>
        <v>130000</v>
      </c>
      <c r="E597" s="1256"/>
      <c r="F597" s="1256"/>
      <c r="G597" s="2200"/>
      <c r="H597" s="2200"/>
      <c r="I597" s="2201"/>
      <c r="J597" s="88">
        <v>548400</v>
      </c>
      <c r="K597" s="2"/>
    </row>
    <row r="598" spans="1:11" customFormat="1" ht="30" customHeight="1" x14ac:dyDescent="0.2">
      <c r="A598" s="2425"/>
      <c r="B598" s="1258" t="s">
        <v>2897</v>
      </c>
      <c r="C598" s="727">
        <f t="shared" ref="C598:D598" si="55">C599+C600+C601</f>
        <v>3361300</v>
      </c>
      <c r="D598" s="727">
        <f t="shared" si="55"/>
        <v>3963818.1</v>
      </c>
      <c r="E598" s="727"/>
      <c r="F598" s="1077"/>
      <c r="G598" s="1663"/>
      <c r="H598" s="1663"/>
      <c r="I598" s="1662"/>
      <c r="J598" s="88">
        <v>3185840</v>
      </c>
      <c r="K598" s="2"/>
    </row>
    <row r="599" spans="1:11" customFormat="1" ht="30" customHeight="1" x14ac:dyDescent="0.2">
      <c r="A599" s="2425"/>
      <c r="B599" s="1258" t="s">
        <v>2898</v>
      </c>
      <c r="C599" s="1864">
        <f>2997000+32300</f>
        <v>3029300</v>
      </c>
      <c r="D599" s="1864">
        <f>2997000+32300-10990+(117955.01+495553.09)</f>
        <v>3631818.1</v>
      </c>
      <c r="E599" s="1077"/>
      <c r="F599" s="1864"/>
      <c r="G599" s="2200"/>
      <c r="H599" s="2200"/>
      <c r="I599" s="2201"/>
      <c r="J599" s="88">
        <v>2671840</v>
      </c>
      <c r="K599" s="2"/>
    </row>
    <row r="600" spans="1:11" customFormat="1" ht="30" customHeight="1" x14ac:dyDescent="0.2">
      <c r="A600" s="2425" t="s">
        <v>640</v>
      </c>
      <c r="B600" s="1258" t="s">
        <v>2899</v>
      </c>
      <c r="C600" s="1864">
        <v>332000</v>
      </c>
      <c r="D600" s="1864">
        <v>332000</v>
      </c>
      <c r="E600" s="1809"/>
      <c r="F600" s="1864"/>
      <c r="G600" s="2200"/>
      <c r="H600" s="2200"/>
      <c r="I600" s="2201"/>
      <c r="J600" s="32">
        <v>514000</v>
      </c>
      <c r="K600" s="2"/>
    </row>
    <row r="601" spans="1:11" customFormat="1" ht="30" customHeight="1" x14ac:dyDescent="0.2">
      <c r="A601" s="2425"/>
      <c r="B601" s="1258" t="s">
        <v>2900</v>
      </c>
      <c r="C601" s="1864">
        <v>0</v>
      </c>
      <c r="D601" s="1864">
        <v>0</v>
      </c>
      <c r="E601" s="1809"/>
      <c r="F601" s="815"/>
      <c r="G601" s="2200"/>
      <c r="H601" s="2200"/>
      <c r="I601" s="2201"/>
      <c r="J601" s="88">
        <v>0</v>
      </c>
      <c r="K601" s="2"/>
    </row>
    <row r="602" spans="1:11" customFormat="1" ht="30" customHeight="1" x14ac:dyDescent="0.2">
      <c r="A602" s="2425"/>
      <c r="B602" s="1261" t="s">
        <v>2901</v>
      </c>
      <c r="C602" s="1262">
        <f t="shared" ref="C602:D602" si="56">SUM(C603:C605)</f>
        <v>4337900</v>
      </c>
      <c r="D602" s="1262">
        <f t="shared" si="56"/>
        <v>5097945.84</v>
      </c>
      <c r="E602" s="1262"/>
      <c r="F602" s="1256"/>
      <c r="G602" s="1663"/>
      <c r="H602" s="1663"/>
      <c r="I602" s="1662"/>
      <c r="J602" s="88">
        <v>4100000</v>
      </c>
      <c r="K602" s="2"/>
    </row>
    <row r="603" spans="1:11" customFormat="1" ht="30" customHeight="1" x14ac:dyDescent="0.2">
      <c r="A603" s="2425"/>
      <c r="B603" s="1258" t="s">
        <v>2902</v>
      </c>
      <c r="C603" s="1864">
        <f>3579000+37900+21000</f>
        <v>3637900</v>
      </c>
      <c r="D603" s="1864">
        <f>3579000+37900+21000+(138438.27+581607.57)+40000</f>
        <v>4397945.84</v>
      </c>
      <c r="E603" s="1077"/>
      <c r="F603" s="1864"/>
      <c r="G603" s="2200"/>
      <c r="H603" s="2200"/>
      <c r="I603" s="2201"/>
      <c r="J603" s="88">
        <v>3145000</v>
      </c>
      <c r="K603" s="2"/>
    </row>
    <row r="604" spans="1:11" customFormat="1" ht="30" customHeight="1" x14ac:dyDescent="0.2">
      <c r="A604" s="2425"/>
      <c r="B604" s="1258" t="s">
        <v>2903</v>
      </c>
      <c r="C604" s="2035">
        <v>700000</v>
      </c>
      <c r="D604" s="2035">
        <v>700000</v>
      </c>
      <c r="E604" s="1077"/>
      <c r="F604" s="2035"/>
      <c r="G604" s="2200"/>
      <c r="H604" s="2200"/>
      <c r="I604" s="2201"/>
      <c r="J604" s="88">
        <v>455000</v>
      </c>
      <c r="K604" s="2"/>
    </row>
    <row r="605" spans="1:11" customFormat="1" ht="30" customHeight="1" x14ac:dyDescent="0.2">
      <c r="A605" s="2425"/>
      <c r="B605" s="1258" t="s">
        <v>2904</v>
      </c>
      <c r="C605" s="1234">
        <v>0</v>
      </c>
      <c r="D605" s="1234">
        <v>0</v>
      </c>
      <c r="E605" s="1809"/>
      <c r="F605" s="1864"/>
      <c r="G605" s="2200"/>
      <c r="H605" s="2200"/>
      <c r="I605" s="2201"/>
      <c r="J605" s="88">
        <v>500000</v>
      </c>
      <c r="K605" s="2"/>
    </row>
    <row r="606" spans="1:11" customFormat="1" ht="30" customHeight="1" x14ac:dyDescent="0.2">
      <c r="A606" s="2425"/>
      <c r="B606" s="1258" t="s">
        <v>2905</v>
      </c>
      <c r="C606" s="1262">
        <f t="shared" ref="C606:D606" si="57">SUM(C607:C609)</f>
        <v>4091700</v>
      </c>
      <c r="D606" s="1262">
        <f t="shared" si="57"/>
        <v>4927371.0299999993</v>
      </c>
      <c r="E606" s="1262"/>
      <c r="F606" s="1256"/>
      <c r="G606" s="1663"/>
      <c r="H606" s="1663"/>
      <c r="I606" s="1662"/>
      <c r="J606" s="88">
        <v>3747260.49</v>
      </c>
      <c r="K606" s="2"/>
    </row>
    <row r="607" spans="1:11" customFormat="1" ht="30" customHeight="1" x14ac:dyDescent="0.2">
      <c r="A607" s="2425"/>
      <c r="B607" s="1258" t="s">
        <v>2906</v>
      </c>
      <c r="C607" s="1864">
        <f>3502000+29700</f>
        <v>3531700</v>
      </c>
      <c r="D607" s="1864">
        <f>3502000+29700+(12834+115506)+(108476.76+455733)+(-9659.6-86936.4)+(14076+126684)-32100</f>
        <v>4236313.76</v>
      </c>
      <c r="E607" s="1809"/>
      <c r="F607" s="1864"/>
      <c r="G607" s="2200"/>
      <c r="H607" s="2200"/>
      <c r="I607" s="2201"/>
      <c r="J607" s="88">
        <v>3128257.99</v>
      </c>
      <c r="K607" s="2"/>
    </row>
    <row r="608" spans="1:11" customFormat="1" ht="30" customHeight="1" x14ac:dyDescent="0.2">
      <c r="A608" s="2425"/>
      <c r="B608" s="1258" t="s">
        <v>2907</v>
      </c>
      <c r="C608" s="1077">
        <v>430000</v>
      </c>
      <c r="D608" s="1077">
        <f>430000+131057.57-0.3</f>
        <v>561057.27</v>
      </c>
      <c r="E608" s="1809"/>
      <c r="F608" s="1077"/>
      <c r="G608" s="2200"/>
      <c r="H608" s="2200"/>
      <c r="I608" s="2201"/>
      <c r="J608" s="32">
        <v>570602.5</v>
      </c>
      <c r="K608" s="2"/>
    </row>
    <row r="609" spans="1:11" customFormat="1" ht="30" customHeight="1" x14ac:dyDescent="0.2">
      <c r="A609" s="2425"/>
      <c r="B609" s="1258" t="s">
        <v>2908</v>
      </c>
      <c r="C609" s="1234">
        <v>130000</v>
      </c>
      <c r="D609" s="1234">
        <v>130000</v>
      </c>
      <c r="E609" s="1077"/>
      <c r="F609" s="1864"/>
      <c r="G609" s="2200"/>
      <c r="H609" s="2200"/>
      <c r="I609" s="2201"/>
      <c r="J609" s="88">
        <v>48400</v>
      </c>
      <c r="K609" s="2"/>
    </row>
    <row r="610" spans="1:11" customFormat="1" ht="30" customHeight="1" x14ac:dyDescent="0.2">
      <c r="A610" s="2296">
        <v>3113</v>
      </c>
      <c r="B610" s="1266" t="s">
        <v>650</v>
      </c>
      <c r="C610" s="1262">
        <f>SUM(C611:C614)</f>
        <v>32723700</v>
      </c>
      <c r="D610" s="1262">
        <f>SUM(D611:D614)</f>
        <v>40238502.369999997</v>
      </c>
      <c r="E610" s="1262"/>
      <c r="F610" s="1256"/>
      <c r="G610" s="1663"/>
      <c r="H610" s="1663"/>
      <c r="I610" s="1662"/>
      <c r="J610" s="88">
        <v>43903851.600000001</v>
      </c>
      <c r="K610" s="2"/>
    </row>
    <row r="611" spans="1:11" customFormat="1" ht="30" customHeight="1" x14ac:dyDescent="0.2">
      <c r="A611" s="2296"/>
      <c r="B611" s="1258" t="s">
        <v>651</v>
      </c>
      <c r="C611" s="1234">
        <v>400000</v>
      </c>
      <c r="D611" s="1234">
        <f>400000-131057.57-51162-100000</f>
        <v>117780.43</v>
      </c>
      <c r="E611" s="1809"/>
      <c r="F611" s="1864"/>
      <c r="G611" s="2200"/>
      <c r="H611" s="2200"/>
      <c r="I611" s="2201"/>
      <c r="J611" s="88">
        <v>214729</v>
      </c>
      <c r="K611" s="2"/>
    </row>
    <row r="612" spans="1:11" customFormat="1" ht="30" customHeight="1" x14ac:dyDescent="0.2">
      <c r="A612" s="2425"/>
      <c r="B612" s="1258" t="s">
        <v>652</v>
      </c>
      <c r="C612" s="1256">
        <f t="shared" ref="C612:D613" si="58">+C616+C620+C624+C628</f>
        <v>28271700</v>
      </c>
      <c r="D612" s="1256">
        <f t="shared" si="58"/>
        <v>36411018.729999997</v>
      </c>
      <c r="E612" s="1256"/>
      <c r="F612" s="1256"/>
      <c r="G612" s="2200"/>
      <c r="H612" s="2200"/>
      <c r="I612" s="2201"/>
      <c r="J612" s="88">
        <v>32725418.050000001</v>
      </c>
      <c r="K612" s="2"/>
    </row>
    <row r="613" spans="1:11" customFormat="1" ht="30" customHeight="1" x14ac:dyDescent="0.2">
      <c r="A613" s="2425"/>
      <c r="B613" s="1258" t="s">
        <v>1802</v>
      </c>
      <c r="C613" s="1256">
        <f t="shared" si="58"/>
        <v>3453000</v>
      </c>
      <c r="D613" s="1256">
        <f t="shared" si="58"/>
        <v>3015808.0300000003</v>
      </c>
      <c r="E613" s="1256"/>
      <c r="F613" s="1256"/>
      <c r="G613" s="2200"/>
      <c r="H613" s="2200"/>
      <c r="I613" s="2201"/>
      <c r="J613" s="88">
        <v>2942605.5</v>
      </c>
      <c r="K613" s="2"/>
    </row>
    <row r="614" spans="1:11" customFormat="1" ht="30" customHeight="1" x14ac:dyDescent="0.2">
      <c r="A614" s="2425"/>
      <c r="B614" s="1258" t="s">
        <v>1803</v>
      </c>
      <c r="C614" s="1256">
        <f>+C618+C626+C630+C622</f>
        <v>599000</v>
      </c>
      <c r="D614" s="1256">
        <f>+D618+D626+D630+D622</f>
        <v>693895.17999999993</v>
      </c>
      <c r="E614" s="1256"/>
      <c r="F614" s="1256"/>
      <c r="G614" s="2200"/>
      <c r="H614" s="2200"/>
      <c r="I614" s="2201"/>
      <c r="J614" s="88">
        <v>8021099.0499999998</v>
      </c>
      <c r="K614" s="2"/>
    </row>
    <row r="615" spans="1:11" customFormat="1" ht="30" customHeight="1" x14ac:dyDescent="0.2">
      <c r="A615" s="2425"/>
      <c r="B615" s="1258" t="s">
        <v>2909</v>
      </c>
      <c r="C615" s="1262">
        <f t="shared" ref="C615:D615" si="59">SUM(C616:C618)</f>
        <v>11483000</v>
      </c>
      <c r="D615" s="1262">
        <f t="shared" si="59"/>
        <v>13964751.789999999</v>
      </c>
      <c r="E615" s="1262"/>
      <c r="F615" s="1256"/>
      <c r="G615" s="1663"/>
      <c r="H615" s="1663"/>
      <c r="I615" s="1662"/>
      <c r="J615" s="88">
        <v>11247960</v>
      </c>
      <c r="K615" s="2"/>
    </row>
    <row r="616" spans="1:11" customFormat="1" ht="30" customHeight="1" x14ac:dyDescent="0.2">
      <c r="A616" s="2425"/>
      <c r="B616" s="1258" t="s">
        <v>2910</v>
      </c>
      <c r="C616" s="1864">
        <f>10280000-612000</f>
        <v>9668000</v>
      </c>
      <c r="D616" s="1864">
        <f>10280000-612000+(9850+88650)+500000+(-7511.7-67605.3)+(348577.29+1464444.5)+51162+(9418.5+84766.5)</f>
        <v>12149751.789999999</v>
      </c>
      <c r="E616" s="1077"/>
      <c r="F616" s="1864"/>
      <c r="G616" s="2200"/>
      <c r="H616" s="2200"/>
      <c r="I616" s="2201"/>
      <c r="J616" s="88">
        <v>9824960</v>
      </c>
      <c r="K616" s="2"/>
    </row>
    <row r="617" spans="1:11" customFormat="1" ht="30" customHeight="1" x14ac:dyDescent="0.2">
      <c r="A617" s="2425"/>
      <c r="B617" s="1258" t="s">
        <v>3191</v>
      </c>
      <c r="C617" s="1077">
        <v>1815000</v>
      </c>
      <c r="D617" s="1077">
        <v>1815000</v>
      </c>
      <c r="E617" s="1077"/>
      <c r="F617" s="1077"/>
      <c r="G617" s="2200"/>
      <c r="H617" s="2200"/>
      <c r="I617" s="2201"/>
      <c r="J617" s="32">
        <v>1131000</v>
      </c>
      <c r="K617" s="2"/>
    </row>
    <row r="618" spans="1:11" customFormat="1" ht="30" customHeight="1" x14ac:dyDescent="0.2">
      <c r="A618" s="2425"/>
      <c r="B618" s="1258" t="s">
        <v>2912</v>
      </c>
      <c r="C618" s="1234">
        <v>0</v>
      </c>
      <c r="D618" s="1234">
        <v>0</v>
      </c>
      <c r="E618" s="1256"/>
      <c r="F618" s="1271"/>
      <c r="G618" s="2200"/>
      <c r="H618" s="2200"/>
      <c r="I618" s="2201"/>
      <c r="J618" s="88">
        <v>292000</v>
      </c>
      <c r="K618" s="2"/>
    </row>
    <row r="619" spans="1:11" customFormat="1" ht="30" customHeight="1" x14ac:dyDescent="0.2">
      <c r="A619" s="2425"/>
      <c r="B619" s="1258" t="s">
        <v>2913</v>
      </c>
      <c r="C619" s="1262">
        <f>SUM(C620:C622)</f>
        <v>7010000</v>
      </c>
      <c r="D619" s="1262">
        <f>SUM(D620:D622)</f>
        <v>8900609</v>
      </c>
      <c r="E619" s="1262"/>
      <c r="F619" s="1256"/>
      <c r="G619" s="1663"/>
      <c r="H619" s="1663"/>
      <c r="I619" s="1662"/>
      <c r="J619" s="88">
        <v>6100871</v>
      </c>
      <c r="K619" s="2"/>
    </row>
    <row r="620" spans="1:11" customFormat="1" ht="30" customHeight="1" x14ac:dyDescent="0.2">
      <c r="A620" s="2425"/>
      <c r="B620" s="1258" t="s">
        <v>2914</v>
      </c>
      <c r="C620" s="1864">
        <v>6033000</v>
      </c>
      <c r="D620" s="1864">
        <f>6033000-297792+(17098.2+153883.8)+300000+(-17098.2-153883.8)+207366+(291991.6+1226716.4)+(34051.5+306463.5)+117914</f>
        <v>8219711</v>
      </c>
      <c r="E620" s="1077"/>
      <c r="F620" s="1864"/>
      <c r="G620" s="2200"/>
      <c r="H620" s="2200"/>
      <c r="I620" s="2201"/>
      <c r="J620" s="88">
        <v>5800871</v>
      </c>
      <c r="K620" s="2"/>
    </row>
    <row r="621" spans="1:11" customFormat="1" ht="30" customHeight="1" x14ac:dyDescent="0.2">
      <c r="A621" s="2425"/>
      <c r="B621" s="1258" t="s">
        <v>2915</v>
      </c>
      <c r="C621" s="1077">
        <v>828000</v>
      </c>
      <c r="D621" s="1077">
        <f>828000+(-296102-137270)</f>
        <v>394628</v>
      </c>
      <c r="E621" s="1809"/>
      <c r="F621" s="1077"/>
      <c r="G621" s="2200"/>
      <c r="H621" s="2200"/>
      <c r="I621" s="2201"/>
      <c r="J621" s="32">
        <v>300000</v>
      </c>
      <c r="K621" s="2"/>
    </row>
    <row r="622" spans="1:11" customFormat="1" ht="30" customHeight="1" x14ac:dyDescent="0.2">
      <c r="A622" s="2425"/>
      <c r="B622" s="1258" t="s">
        <v>2916</v>
      </c>
      <c r="C622" s="1040">
        <v>149000</v>
      </c>
      <c r="D622" s="1040">
        <f>149000+137270</f>
        <v>286270</v>
      </c>
      <c r="E622" s="1809"/>
      <c r="F622" s="1864"/>
      <c r="G622" s="2200"/>
      <c r="H622" s="2200"/>
      <c r="I622" s="2201"/>
      <c r="J622" s="32">
        <v>0</v>
      </c>
      <c r="K622" s="2"/>
    </row>
    <row r="623" spans="1:11" customFormat="1" ht="30" customHeight="1" x14ac:dyDescent="0.2">
      <c r="A623" s="2425"/>
      <c r="B623" s="1258" t="s">
        <v>2917</v>
      </c>
      <c r="C623" s="1262">
        <f t="shared" ref="C623:D627" si="60">SUM(C624:C626)</f>
        <v>6230000</v>
      </c>
      <c r="D623" s="1262">
        <f t="shared" si="60"/>
        <v>8040059.6100000003</v>
      </c>
      <c r="E623" s="1262"/>
      <c r="F623" s="1256"/>
      <c r="G623" s="1663"/>
      <c r="H623" s="1663"/>
      <c r="I623" s="1662"/>
      <c r="J623" s="88">
        <v>16366259.6</v>
      </c>
      <c r="K623" s="2"/>
    </row>
    <row r="624" spans="1:11" customFormat="1" ht="30" customHeight="1" x14ac:dyDescent="0.2">
      <c r="A624" s="2425"/>
      <c r="B624" s="1258" t="s">
        <v>2918</v>
      </c>
      <c r="C624" s="1864">
        <v>5090000</v>
      </c>
      <c r="D624" s="1864">
        <f>5090000+(9159.75+82437.75)+(269533.32+1132364.58)+(-6672.7-60054.3)+(31360.5+282244.5)+115881</f>
        <v>6946254.4000000004</v>
      </c>
      <c r="E624" s="1809"/>
      <c r="F624" s="1864"/>
      <c r="G624" s="2200"/>
      <c r="H624" s="2200"/>
      <c r="I624" s="2201"/>
      <c r="J624" s="88">
        <v>10042160.550000001</v>
      </c>
      <c r="K624" s="2"/>
    </row>
    <row r="625" spans="1:11" customFormat="1" ht="30" customHeight="1" x14ac:dyDescent="0.2">
      <c r="A625" s="2425"/>
      <c r="B625" s="1258" t="s">
        <v>2919</v>
      </c>
      <c r="C625" s="1809">
        <v>690000</v>
      </c>
      <c r="D625" s="1809">
        <f>690000-3819.97</f>
        <v>686180.03</v>
      </c>
      <c r="E625" s="1077"/>
      <c r="F625" s="1077"/>
      <c r="G625" s="2200"/>
      <c r="H625" s="2200"/>
      <c r="I625" s="2201"/>
      <c r="J625" s="32">
        <v>265000</v>
      </c>
      <c r="K625" s="2"/>
    </row>
    <row r="626" spans="1:11" customFormat="1" ht="30" customHeight="1" x14ac:dyDescent="0.2">
      <c r="A626" s="2425"/>
      <c r="B626" s="1258" t="s">
        <v>2920</v>
      </c>
      <c r="C626" s="1040">
        <v>450000</v>
      </c>
      <c r="D626" s="1040">
        <f>450000-42374.82</f>
        <v>407625.18</v>
      </c>
      <c r="E626" s="1077"/>
      <c r="F626" s="1077"/>
      <c r="G626" s="2200"/>
      <c r="H626" s="2200"/>
      <c r="I626" s="2201"/>
      <c r="J626" s="88">
        <v>6059099.0499999998</v>
      </c>
      <c r="K626" s="2"/>
    </row>
    <row r="627" spans="1:11" customFormat="1" ht="30" customHeight="1" x14ac:dyDescent="0.2">
      <c r="A627" s="2425"/>
      <c r="B627" s="1258" t="s">
        <v>2921</v>
      </c>
      <c r="C627" s="1262">
        <f t="shared" si="60"/>
        <v>7600700</v>
      </c>
      <c r="D627" s="1262">
        <f t="shared" si="60"/>
        <v>9215301.540000001</v>
      </c>
      <c r="E627" s="1262"/>
      <c r="F627" s="1256"/>
      <c r="G627" s="1663"/>
      <c r="H627" s="1663"/>
      <c r="I627" s="1662"/>
      <c r="J627" s="88">
        <v>9974032</v>
      </c>
      <c r="K627" s="2"/>
    </row>
    <row r="628" spans="1:11" customFormat="1" ht="30" customHeight="1" x14ac:dyDescent="0.2">
      <c r="A628" s="2425"/>
      <c r="B628" s="1258" t="s">
        <v>3192</v>
      </c>
      <c r="C628" s="1864">
        <f>7404000+76700</f>
        <v>7480700</v>
      </c>
      <c r="D628" s="1864">
        <f>7404000+76700+(11663.45+104971.05)+(280004.26+1176355.23)+(-7299.9-65699.1)+(24290.45+113643)+(-24290.45+12627)+(-24290.45+12627)</f>
        <v>9095301.540000001</v>
      </c>
      <c r="E628" s="1809"/>
      <c r="F628" s="1864"/>
      <c r="G628" s="2200"/>
      <c r="H628" s="2200"/>
      <c r="I628" s="2201"/>
      <c r="J628" s="88">
        <v>7129634.5</v>
      </c>
      <c r="K628" s="2"/>
    </row>
    <row r="629" spans="1:11" customFormat="1" ht="36.75" customHeight="1" x14ac:dyDescent="0.2">
      <c r="A629" s="2425"/>
      <c r="B629" s="1258" t="s">
        <v>3193</v>
      </c>
      <c r="C629" s="1077">
        <v>120000</v>
      </c>
      <c r="D629" s="1077">
        <v>120000</v>
      </c>
      <c r="E629" s="1809"/>
      <c r="F629" s="1077"/>
      <c r="G629" s="2200"/>
      <c r="H629" s="2200"/>
      <c r="I629" s="2201"/>
      <c r="J629" s="32">
        <v>1174397.5</v>
      </c>
      <c r="K629" s="2"/>
    </row>
    <row r="630" spans="1:11" customFormat="1" ht="30" customHeight="1" x14ac:dyDescent="0.2">
      <c r="A630" s="2425"/>
      <c r="B630" s="1258" t="s">
        <v>2924</v>
      </c>
      <c r="C630" s="1234">
        <v>0</v>
      </c>
      <c r="D630" s="1234">
        <v>0</v>
      </c>
      <c r="E630" s="1077"/>
      <c r="F630" s="1864"/>
      <c r="G630" s="2200"/>
      <c r="H630" s="2200"/>
      <c r="I630" s="2201"/>
      <c r="J630" s="88">
        <v>1670000</v>
      </c>
      <c r="K630" s="2"/>
    </row>
    <row r="631" spans="1:11" customFormat="1" ht="30" customHeight="1" x14ac:dyDescent="0.2">
      <c r="A631" s="2296">
        <v>3233</v>
      </c>
      <c r="B631" s="1266" t="s">
        <v>671</v>
      </c>
      <c r="C631" s="1262">
        <f t="shared" ref="C631:D631" si="61">C632</f>
        <v>3023000</v>
      </c>
      <c r="D631" s="1262">
        <f t="shared" si="61"/>
        <v>4547187.84</v>
      </c>
      <c r="E631" s="1262"/>
      <c r="F631" s="1256"/>
      <c r="G631" s="1663"/>
      <c r="H631" s="1663"/>
      <c r="I631" s="1662"/>
      <c r="J631" s="88">
        <v>2938600</v>
      </c>
      <c r="K631" s="2"/>
    </row>
    <row r="632" spans="1:11" customFormat="1" ht="30" customHeight="1" x14ac:dyDescent="0.2">
      <c r="A632" s="2296"/>
      <c r="B632" s="1258" t="s">
        <v>1819</v>
      </c>
      <c r="C632" s="1256">
        <f t="shared" ref="C632:D632" si="62">SUM(C633:C635)</f>
        <v>3023000</v>
      </c>
      <c r="D632" s="1256">
        <f t="shared" si="62"/>
        <v>4547187.84</v>
      </c>
      <c r="E632" s="1256"/>
      <c r="F632" s="1256"/>
      <c r="G632" s="2200"/>
      <c r="H632" s="2200"/>
      <c r="I632" s="2201"/>
      <c r="J632" s="88">
        <v>2938600</v>
      </c>
      <c r="K632" s="2"/>
    </row>
    <row r="633" spans="1:11" customFormat="1" ht="30" customHeight="1" x14ac:dyDescent="0.2">
      <c r="A633" s="2296"/>
      <c r="B633" s="1258" t="s">
        <v>2925</v>
      </c>
      <c r="C633" s="1864">
        <v>2554000</v>
      </c>
      <c r="D633" s="1864">
        <f>2554000+239800+300000-300000+80800+169263+(198862.55+835462.29)</f>
        <v>4078187.84</v>
      </c>
      <c r="E633" s="1809"/>
      <c r="F633" s="1864"/>
      <c r="G633" s="2200"/>
      <c r="H633" s="2200"/>
      <c r="I633" s="2201"/>
      <c r="J633" s="88">
        <v>2938600</v>
      </c>
      <c r="K633" s="2"/>
    </row>
    <row r="634" spans="1:11" customFormat="1" ht="30" customHeight="1" x14ac:dyDescent="0.2">
      <c r="A634" s="2296"/>
      <c r="B634" s="1258" t="s">
        <v>3194</v>
      </c>
      <c r="C634" s="1077">
        <v>219000</v>
      </c>
      <c r="D634" s="1077">
        <v>219000</v>
      </c>
      <c r="E634" s="1809"/>
      <c r="F634" s="1077"/>
      <c r="G634" s="2200"/>
      <c r="H634" s="2200"/>
      <c r="I634" s="2201"/>
      <c r="J634" s="32">
        <v>0</v>
      </c>
      <c r="K634" s="2"/>
    </row>
    <row r="635" spans="1:11" customFormat="1" ht="30" customHeight="1" x14ac:dyDescent="0.2">
      <c r="A635" s="2296"/>
      <c r="B635" s="1258" t="s">
        <v>3195</v>
      </c>
      <c r="C635" s="1864">
        <v>250000</v>
      </c>
      <c r="D635" s="1864">
        <v>250000</v>
      </c>
      <c r="E635" s="1809"/>
      <c r="F635" s="1864"/>
      <c r="G635" s="2200"/>
      <c r="H635" s="2200"/>
      <c r="I635" s="2201"/>
      <c r="J635" s="88">
        <v>0</v>
      </c>
      <c r="K635" s="2"/>
    </row>
    <row r="636" spans="1:11" customFormat="1" ht="30" customHeight="1" x14ac:dyDescent="0.2">
      <c r="A636" s="2296">
        <v>3419</v>
      </c>
      <c r="B636" s="1266" t="s">
        <v>2477</v>
      </c>
      <c r="C636" s="722">
        <f>40000+100000</f>
        <v>140000</v>
      </c>
      <c r="D636" s="722">
        <f>(40000+100000)-54000</f>
        <v>86000</v>
      </c>
      <c r="E636" s="2029"/>
      <c r="F636" s="1864"/>
      <c r="G636" s="1663"/>
      <c r="H636" s="1663"/>
      <c r="I636" s="1662"/>
      <c r="J636" s="88">
        <v>225006.96</v>
      </c>
      <c r="K636" s="2"/>
    </row>
    <row r="637" spans="1:11" customFormat="1" ht="30" customHeight="1" x14ac:dyDescent="0.2">
      <c r="A637" s="2275"/>
      <c r="B637" s="1275"/>
      <c r="C637" s="1234"/>
      <c r="D637" s="1234"/>
      <c r="E637" s="2029"/>
      <c r="F637" s="1950"/>
      <c r="G637" s="1950"/>
      <c r="H637" s="1950"/>
      <c r="I637" s="1234"/>
      <c r="J637" s="88"/>
      <c r="K637" s="2"/>
    </row>
    <row r="638" spans="1:11" customFormat="1" ht="30" customHeight="1" x14ac:dyDescent="0.25">
      <c r="A638" s="2371"/>
      <c r="B638" s="1249" t="s">
        <v>677</v>
      </c>
      <c r="C638" s="1280">
        <f>SUM(C639,C643,C645,C651,C654,C661)</f>
        <v>49380647</v>
      </c>
      <c r="D638" s="1280">
        <f>SUM(D639,D643,D645,D651,D654,D661)</f>
        <v>54143253.549999997</v>
      </c>
      <c r="E638" s="1280"/>
      <c r="F638" s="2426"/>
      <c r="G638" s="2325"/>
      <c r="H638" s="2325"/>
      <c r="I638" s="2325"/>
      <c r="J638" s="88">
        <v>47730841.049999997</v>
      </c>
      <c r="K638" s="2"/>
    </row>
    <row r="639" spans="1:11" customFormat="1" ht="30" customHeight="1" x14ac:dyDescent="0.2">
      <c r="A639" s="2427">
        <v>3311</v>
      </c>
      <c r="B639" s="1284" t="s">
        <v>1824</v>
      </c>
      <c r="C639" s="1273">
        <f t="shared" ref="C639:D639" si="63">SUM(C640:C642)</f>
        <v>15881220</v>
      </c>
      <c r="D639" s="1273">
        <f t="shared" si="63"/>
        <v>15803257.550000001</v>
      </c>
      <c r="E639" s="1273"/>
      <c r="F639" s="1260"/>
      <c r="G639" s="1663"/>
      <c r="H639" s="1663"/>
      <c r="I639" s="1662"/>
      <c r="J639" s="88">
        <v>13527452</v>
      </c>
      <c r="K639" s="2"/>
    </row>
    <row r="640" spans="1:11" customFormat="1" ht="30" customHeight="1" x14ac:dyDescent="0.2">
      <c r="A640" s="2428"/>
      <c r="B640" s="1287" t="s">
        <v>2478</v>
      </c>
      <c r="C640" s="1864">
        <f>14369000+35000+292220</f>
        <v>14696220</v>
      </c>
      <c r="D640" s="1864">
        <f>14369000+35000+292220-85015+13641</f>
        <v>14624846</v>
      </c>
      <c r="E640" s="1809"/>
      <c r="F640" s="1864"/>
      <c r="G640" s="2200"/>
      <c r="H640" s="2200"/>
      <c r="I640" s="2201"/>
      <c r="J640" s="88">
        <v>13527452</v>
      </c>
      <c r="K640" s="2"/>
    </row>
    <row r="641" spans="1:11" customFormat="1" ht="30" customHeight="1" x14ac:dyDescent="0.2">
      <c r="A641" s="2428"/>
      <c r="B641" s="1287" t="s">
        <v>2479</v>
      </c>
      <c r="C641" s="1900">
        <v>847000</v>
      </c>
      <c r="D641" s="1900">
        <f>847000-6588.45</f>
        <v>840411.55</v>
      </c>
      <c r="E641" s="1809"/>
      <c r="F641" s="1864"/>
      <c r="G641" s="2200"/>
      <c r="H641" s="2200"/>
      <c r="I641" s="2201"/>
      <c r="J641" s="88">
        <v>0</v>
      </c>
      <c r="K641" s="2"/>
    </row>
    <row r="642" spans="1:11" customFormat="1" ht="30" customHeight="1" x14ac:dyDescent="0.2">
      <c r="A642" s="2428"/>
      <c r="B642" s="1258" t="s">
        <v>3196</v>
      </c>
      <c r="C642" s="1040">
        <v>338000</v>
      </c>
      <c r="D642" s="1040">
        <v>338000</v>
      </c>
      <c r="E642" s="1077"/>
      <c r="F642" s="1077"/>
      <c r="G642" s="2200"/>
      <c r="H642" s="2200"/>
      <c r="I642" s="2201"/>
      <c r="J642" s="32">
        <v>0</v>
      </c>
      <c r="K642" s="2"/>
    </row>
    <row r="643" spans="1:11" customFormat="1" ht="30" customHeight="1" x14ac:dyDescent="0.2">
      <c r="A643" s="2429">
        <v>3319</v>
      </c>
      <c r="B643" s="1290" t="s">
        <v>682</v>
      </c>
      <c r="C643" s="1262">
        <f>SUM(C644:C644)</f>
        <v>1520000</v>
      </c>
      <c r="D643" s="1262">
        <f>SUM(D644:D644)</f>
        <v>1340000</v>
      </c>
      <c r="E643" s="1262"/>
      <c r="F643" s="1256"/>
      <c r="G643" s="1663"/>
      <c r="H643" s="1663"/>
      <c r="I643" s="1662"/>
      <c r="J643" s="88">
        <v>990779.46</v>
      </c>
      <c r="K643" s="2"/>
    </row>
    <row r="644" spans="1:11" customFormat="1" ht="30" customHeight="1" x14ac:dyDescent="0.2">
      <c r="A644" s="2429"/>
      <c r="B644" s="1287" t="s">
        <v>2481</v>
      </c>
      <c r="C644" s="1864">
        <f>920000+(565000+35000)</f>
        <v>1520000</v>
      </c>
      <c r="D644" s="1864">
        <f>920000+(565000+35000)-180000</f>
        <v>1340000</v>
      </c>
      <c r="E644" s="1809"/>
      <c r="F644" s="1864"/>
      <c r="G644" s="2200"/>
      <c r="H644" s="2200"/>
      <c r="I644" s="2201"/>
      <c r="J644" s="88">
        <v>990778.46</v>
      </c>
      <c r="K644" s="2"/>
    </row>
    <row r="645" spans="1:11" customFormat="1" ht="30" customHeight="1" x14ac:dyDescent="0.2">
      <c r="A645" s="2429" t="s">
        <v>1829</v>
      </c>
      <c r="B645" s="1290" t="s">
        <v>685</v>
      </c>
      <c r="C645" s="1262">
        <f t="shared" ref="C645:D645" si="64">C646+C648+C649+C650+C647</f>
        <v>360000</v>
      </c>
      <c r="D645" s="1262">
        <f t="shared" si="64"/>
        <v>150000</v>
      </c>
      <c r="E645" s="1262"/>
      <c r="F645" s="1256"/>
      <c r="G645" s="1663"/>
      <c r="H645" s="1663"/>
      <c r="I645" s="1662"/>
      <c r="J645" s="88">
        <v>277751</v>
      </c>
      <c r="K645" s="2"/>
    </row>
    <row r="646" spans="1:11" customFormat="1" ht="30" customHeight="1" x14ac:dyDescent="0.2">
      <c r="A646" s="2428"/>
      <c r="B646" s="1287" t="s">
        <v>2483</v>
      </c>
      <c r="C646" s="1864">
        <v>120000</v>
      </c>
      <c r="D646" s="1864">
        <f>120000-120000</f>
        <v>0</v>
      </c>
      <c r="E646" s="1809"/>
      <c r="F646" s="1864"/>
      <c r="G646" s="2200"/>
      <c r="H646" s="2200"/>
      <c r="I646" s="2201"/>
      <c r="J646" s="88">
        <v>90000</v>
      </c>
      <c r="K646" s="2"/>
    </row>
    <row r="647" spans="1:11" customFormat="1" ht="30" customHeight="1" x14ac:dyDescent="0.2">
      <c r="A647" s="2428"/>
      <c r="B647" s="1287" t="s">
        <v>2929</v>
      </c>
      <c r="C647" s="1864">
        <v>10000</v>
      </c>
      <c r="D647" s="1864">
        <v>10000</v>
      </c>
      <c r="E647" s="1809"/>
      <c r="F647" s="1864"/>
      <c r="G647" s="2200"/>
      <c r="H647" s="2200"/>
      <c r="I647" s="2201"/>
      <c r="J647" s="88">
        <v>0</v>
      </c>
      <c r="K647" s="2"/>
    </row>
    <row r="648" spans="1:11" customFormat="1" ht="30" customHeight="1" x14ac:dyDescent="0.2">
      <c r="A648" s="2428"/>
      <c r="B648" s="1287" t="s">
        <v>2930</v>
      </c>
      <c r="C648" s="1864">
        <v>70000</v>
      </c>
      <c r="D648" s="1864">
        <v>70000</v>
      </c>
      <c r="E648" s="1809"/>
      <c r="F648" s="1864"/>
      <c r="G648" s="2200"/>
      <c r="H648" s="2200"/>
      <c r="I648" s="2201"/>
      <c r="J648" s="88">
        <v>26136</v>
      </c>
      <c r="K648" s="2"/>
    </row>
    <row r="649" spans="1:11" customFormat="1" ht="30" customHeight="1" x14ac:dyDescent="0.2">
      <c r="A649" s="2428"/>
      <c r="B649" s="1287" t="s">
        <v>2931</v>
      </c>
      <c r="C649" s="1077">
        <v>110000</v>
      </c>
      <c r="D649" s="1077">
        <f>110000-50000</f>
        <v>60000</v>
      </c>
      <c r="E649" s="1077"/>
      <c r="F649" s="1077"/>
      <c r="G649" s="2200"/>
      <c r="H649" s="2200"/>
      <c r="I649" s="2201"/>
      <c r="J649" s="32">
        <v>148305</v>
      </c>
      <c r="K649" s="2"/>
    </row>
    <row r="650" spans="1:11" customFormat="1" ht="30" customHeight="1" x14ac:dyDescent="0.2">
      <c r="A650" s="2428"/>
      <c r="B650" s="1287" t="s">
        <v>2932</v>
      </c>
      <c r="C650" s="1234">
        <v>50000</v>
      </c>
      <c r="D650" s="1234">
        <f>50000-40000</f>
        <v>10000</v>
      </c>
      <c r="E650" s="1809"/>
      <c r="F650" s="1864"/>
      <c r="G650" s="2200"/>
      <c r="H650" s="2200"/>
      <c r="I650" s="2201"/>
      <c r="J650" s="88">
        <v>13310</v>
      </c>
      <c r="K650" s="2"/>
    </row>
    <row r="651" spans="1:11" customFormat="1" ht="30" customHeight="1" x14ac:dyDescent="0.2">
      <c r="A651" s="2429" t="s">
        <v>1835</v>
      </c>
      <c r="B651" s="1290" t="s">
        <v>2487</v>
      </c>
      <c r="C651" s="1262">
        <f t="shared" ref="C651:D651" si="65">C652+C653</f>
        <v>375000</v>
      </c>
      <c r="D651" s="1262">
        <f t="shared" si="65"/>
        <v>55000</v>
      </c>
      <c r="E651" s="1262"/>
      <c r="F651" s="1256"/>
      <c r="G651" s="1663"/>
      <c r="H651" s="1663"/>
      <c r="I651" s="1662"/>
      <c r="J651" s="88">
        <v>714695.59</v>
      </c>
      <c r="K651" s="2"/>
    </row>
    <row r="652" spans="1:11" customFormat="1" ht="30" customHeight="1" x14ac:dyDescent="0.2">
      <c r="A652" s="2428"/>
      <c r="B652" s="1287" t="s">
        <v>2488</v>
      </c>
      <c r="C652" s="1077">
        <f>1170000-550000-260000</f>
        <v>360000</v>
      </c>
      <c r="D652" s="1077">
        <f>1170000-550000-260000-320000</f>
        <v>40000</v>
      </c>
      <c r="E652" s="1809"/>
      <c r="F652" s="1077"/>
      <c r="G652" s="2200"/>
      <c r="H652" s="2200"/>
      <c r="I652" s="2201"/>
      <c r="J652" s="32">
        <v>707539.88</v>
      </c>
      <c r="K652" s="2"/>
    </row>
    <row r="653" spans="1:11" customFormat="1" ht="30" customHeight="1" x14ac:dyDescent="0.2">
      <c r="A653" s="2428"/>
      <c r="B653" s="1287" t="s">
        <v>1837</v>
      </c>
      <c r="C653" s="1234">
        <v>15000</v>
      </c>
      <c r="D653" s="1234">
        <v>15000</v>
      </c>
      <c r="E653" s="1077"/>
      <c r="F653" s="1864"/>
      <c r="G653" s="2200"/>
      <c r="H653" s="2200"/>
      <c r="I653" s="2201"/>
      <c r="J653" s="88">
        <v>7155.71</v>
      </c>
      <c r="K653" s="2"/>
    </row>
    <row r="654" spans="1:11" customFormat="1" ht="30" customHeight="1" x14ac:dyDescent="0.2">
      <c r="A654" s="2429">
        <v>3392</v>
      </c>
      <c r="B654" s="1290" t="s">
        <v>693</v>
      </c>
      <c r="C654" s="1262">
        <f t="shared" ref="C654:D654" si="66">C656+C655</f>
        <v>30954427</v>
      </c>
      <c r="D654" s="1262">
        <f t="shared" si="66"/>
        <v>36561996</v>
      </c>
      <c r="E654" s="1262"/>
      <c r="F654" s="1256"/>
      <c r="G654" s="1663"/>
      <c r="H654" s="1663"/>
      <c r="I654" s="1662"/>
      <c r="J654" s="88">
        <v>32055958</v>
      </c>
      <c r="K654" s="2"/>
    </row>
    <row r="655" spans="1:11" customFormat="1" ht="30" customHeight="1" x14ac:dyDescent="0.2">
      <c r="A655" s="2429"/>
      <c r="B655" s="1287" t="s">
        <v>2489</v>
      </c>
      <c r="C655" s="1234">
        <v>26000</v>
      </c>
      <c r="D655" s="1234">
        <v>26000</v>
      </c>
      <c r="E655" s="1077"/>
      <c r="F655" s="1864"/>
      <c r="G655" s="2200"/>
      <c r="H655" s="2200"/>
      <c r="I655" s="2201"/>
      <c r="J655" s="88">
        <v>9987</v>
      </c>
      <c r="K655" s="2"/>
    </row>
    <row r="656" spans="1:11" customFormat="1" ht="30" customHeight="1" x14ac:dyDescent="0.2">
      <c r="A656" s="2428"/>
      <c r="B656" s="1287" t="s">
        <v>1838</v>
      </c>
      <c r="C656" s="1262">
        <f t="shared" ref="C656:D656" si="67">SUM(C657+C660+C659)</f>
        <v>30928427</v>
      </c>
      <c r="D656" s="1262">
        <f t="shared" si="67"/>
        <v>36535996</v>
      </c>
      <c r="E656" s="1262"/>
      <c r="F656" s="1256"/>
      <c r="G656" s="1663"/>
      <c r="H656" s="1663"/>
      <c r="I656" s="1662"/>
      <c r="J656" s="88">
        <v>32045971</v>
      </c>
      <c r="K656" s="2"/>
    </row>
    <row r="657" spans="1:11" customFormat="1" ht="30" customHeight="1" x14ac:dyDescent="0.2">
      <c r="A657" s="2428"/>
      <c r="B657" s="1287" t="s">
        <v>2490</v>
      </c>
      <c r="C657" s="1864">
        <f>27770000+12000+622427</f>
        <v>28404427</v>
      </c>
      <c r="D657" s="1864">
        <f>(27770000+12000+622427)+4737000+400000-472380+370000+110000+152000+30000+118459+123420</f>
        <v>33972926</v>
      </c>
      <c r="E657" s="1809"/>
      <c r="F657" s="1077"/>
      <c r="G657" s="2200"/>
      <c r="H657" s="2200"/>
      <c r="I657" s="2201"/>
      <c r="J657" s="88">
        <v>32045971</v>
      </c>
      <c r="K657" s="2"/>
    </row>
    <row r="658" spans="1:11" customFormat="1" ht="30" customHeight="1" x14ac:dyDescent="0.2">
      <c r="A658" s="2428"/>
      <c r="B658" s="1287" t="s">
        <v>697</v>
      </c>
      <c r="C658" s="1864">
        <v>4360000</v>
      </c>
      <c r="D658" s="1864">
        <f>4360000+400000</f>
        <v>4760000</v>
      </c>
      <c r="E658" s="1809"/>
      <c r="F658" s="815"/>
      <c r="G658" s="2200"/>
      <c r="H658" s="2200"/>
      <c r="I658" s="2201"/>
      <c r="J658" s="88"/>
      <c r="K658" s="2"/>
    </row>
    <row r="659" spans="1:11" customFormat="1" ht="38.25" x14ac:dyDescent="0.2">
      <c r="A659" s="2428"/>
      <c r="B659" s="1287" t="s">
        <v>2491</v>
      </c>
      <c r="C659" s="1077">
        <f>3800000-1600000</f>
        <v>2200000</v>
      </c>
      <c r="D659" s="1077">
        <f>3800000-1600000+109500+40000+910000-135000+135000-910000-109500</f>
        <v>2240000</v>
      </c>
      <c r="E659" s="1809"/>
      <c r="F659" s="1077"/>
      <c r="G659" s="2200"/>
      <c r="H659" s="2200"/>
      <c r="I659" s="2201"/>
      <c r="J659" s="32">
        <v>0</v>
      </c>
      <c r="K659" s="2"/>
    </row>
    <row r="660" spans="1:11" customFormat="1" ht="30" customHeight="1" x14ac:dyDescent="0.2">
      <c r="A660" s="2428"/>
      <c r="B660" s="1287" t="s">
        <v>2492</v>
      </c>
      <c r="C660" s="1864">
        <v>324000</v>
      </c>
      <c r="D660" s="1864">
        <f>324000-930</f>
        <v>323070</v>
      </c>
      <c r="E660" s="1809"/>
      <c r="F660" s="1077"/>
      <c r="G660" s="2200"/>
      <c r="H660" s="2200"/>
      <c r="I660" s="2201"/>
      <c r="J660" s="88">
        <v>0</v>
      </c>
      <c r="K660" s="2"/>
    </row>
    <row r="661" spans="1:11" customFormat="1" ht="30" customHeight="1" x14ac:dyDescent="0.2">
      <c r="A661" s="2429">
        <v>3399</v>
      </c>
      <c r="B661" s="1290" t="s">
        <v>700</v>
      </c>
      <c r="C661" s="1262">
        <f t="shared" ref="C661:D661" si="68">C662</f>
        <v>290000</v>
      </c>
      <c r="D661" s="1262">
        <f t="shared" si="68"/>
        <v>233000</v>
      </c>
      <c r="E661" s="1262"/>
      <c r="F661" s="1256"/>
      <c r="G661" s="1663"/>
      <c r="H661" s="1663"/>
      <c r="I661" s="1662"/>
      <c r="J661" s="88">
        <v>164206</v>
      </c>
      <c r="K661" s="2"/>
    </row>
    <row r="662" spans="1:11" customFormat="1" ht="30" customHeight="1" x14ac:dyDescent="0.2">
      <c r="A662" s="2428"/>
      <c r="B662" s="1287" t="s">
        <v>701</v>
      </c>
      <c r="C662" s="1864">
        <v>290000</v>
      </c>
      <c r="D662" s="1864">
        <f>290000-57000</f>
        <v>233000</v>
      </c>
      <c r="E662" s="1077"/>
      <c r="F662" s="1077"/>
      <c r="G662" s="2200"/>
      <c r="H662" s="2200"/>
      <c r="I662" s="2201"/>
      <c r="J662" s="88">
        <v>164206</v>
      </c>
      <c r="K662" s="2"/>
    </row>
    <row r="663" spans="1:11" customFormat="1" ht="30" customHeight="1" x14ac:dyDescent="0.2">
      <c r="A663" s="2430"/>
      <c r="B663" s="1296"/>
      <c r="C663" s="1950"/>
      <c r="D663" s="1950"/>
      <c r="E663" s="1809"/>
      <c r="F663" s="2431"/>
      <c r="G663" s="2431"/>
      <c r="H663" s="2431"/>
      <c r="I663" s="1234"/>
      <c r="J663" s="88"/>
      <c r="K663" s="2"/>
    </row>
    <row r="664" spans="1:11" customFormat="1" ht="30" customHeight="1" x14ac:dyDescent="0.25">
      <c r="A664" s="2371"/>
      <c r="B664" s="1249" t="s">
        <v>2934</v>
      </c>
      <c r="C664" s="1280">
        <f>SUM(C665)</f>
        <v>0</v>
      </c>
      <c r="D664" s="1280">
        <f>SUM(D665)</f>
        <v>4800000</v>
      </c>
      <c r="E664" s="1280"/>
      <c r="F664" s="2426"/>
      <c r="G664" s="2325"/>
      <c r="H664" s="2325"/>
      <c r="I664" s="2325"/>
      <c r="J664" s="88">
        <v>0</v>
      </c>
      <c r="K664" s="2"/>
    </row>
    <row r="665" spans="1:11" customFormat="1" ht="30" customHeight="1" x14ac:dyDescent="0.2">
      <c r="A665" s="2427" t="s">
        <v>2935</v>
      </c>
      <c r="B665" s="1284" t="s">
        <v>2936</v>
      </c>
      <c r="C665" s="1273">
        <v>0</v>
      </c>
      <c r="D665" s="1273">
        <f>5000000-200000</f>
        <v>4800000</v>
      </c>
      <c r="E665" s="1273"/>
      <c r="F665" s="1260"/>
      <c r="G665" s="1663"/>
      <c r="H665" s="1663"/>
      <c r="I665" s="1662"/>
      <c r="J665" s="88">
        <v>0</v>
      </c>
      <c r="K665" s="2"/>
    </row>
    <row r="666" spans="1:11" customFormat="1" ht="30" customHeight="1" x14ac:dyDescent="0.2">
      <c r="A666" s="2430"/>
      <c r="B666" s="1296"/>
      <c r="C666" s="1234"/>
      <c r="D666" s="1234"/>
      <c r="E666" s="1809"/>
      <c r="F666" s="2431"/>
      <c r="G666" s="2431"/>
      <c r="H666" s="2431"/>
      <c r="I666" s="1234"/>
      <c r="J666" s="88"/>
      <c r="K666" s="2"/>
    </row>
    <row r="667" spans="1:11" customFormat="1" ht="30" customHeight="1" x14ac:dyDescent="0.25">
      <c r="A667" s="2371"/>
      <c r="B667" s="1062" t="s">
        <v>702</v>
      </c>
      <c r="C667" s="1299">
        <f t="shared" ref="C667:D667" si="69">C668</f>
        <v>28598000</v>
      </c>
      <c r="D667" s="1299">
        <f t="shared" si="69"/>
        <v>25643353.490000002</v>
      </c>
      <c r="E667" s="1299"/>
      <c r="F667" s="2432"/>
      <c r="G667" s="2325"/>
      <c r="H667" s="2325"/>
      <c r="I667" s="2325"/>
      <c r="J667" s="88">
        <v>25254708.719999999</v>
      </c>
      <c r="K667" s="2"/>
    </row>
    <row r="668" spans="1:11" customFormat="1" ht="30" customHeight="1" x14ac:dyDescent="0.2">
      <c r="A668" s="2296"/>
      <c r="B668" s="1251" t="s">
        <v>703</v>
      </c>
      <c r="C668" s="1301">
        <f>SUM(C669:C679)</f>
        <v>28598000</v>
      </c>
      <c r="D668" s="1301">
        <f>SUM(D669:D679)</f>
        <v>25643353.490000002</v>
      </c>
      <c r="E668" s="1301"/>
      <c r="F668" s="2433"/>
      <c r="G668" s="1663"/>
      <c r="H668" s="1663"/>
      <c r="I668" s="1662"/>
      <c r="J668" s="88">
        <v>25254708.719999999</v>
      </c>
      <c r="K668" s="2"/>
    </row>
    <row r="669" spans="1:11" customFormat="1" ht="30" customHeight="1" x14ac:dyDescent="0.2">
      <c r="A669" s="2425"/>
      <c r="B669" s="1258" t="s">
        <v>704</v>
      </c>
      <c r="C669" s="1864">
        <v>1500000</v>
      </c>
      <c r="D669" s="1864">
        <f>1500000-34000</f>
        <v>1466000</v>
      </c>
      <c r="E669" s="1809"/>
      <c r="F669" s="1864"/>
      <c r="G669" s="2200"/>
      <c r="H669" s="2200"/>
      <c r="I669" s="2201"/>
      <c r="J669" s="88">
        <v>1025000</v>
      </c>
      <c r="K669" s="2"/>
    </row>
    <row r="670" spans="1:11" customFormat="1" ht="30" customHeight="1" x14ac:dyDescent="0.2">
      <c r="A670" s="2425"/>
      <c r="B670" s="1258" t="s">
        <v>705</v>
      </c>
      <c r="C670" s="1900">
        <v>300000</v>
      </c>
      <c r="D670" s="1900">
        <f>300000-117900</f>
        <v>182100</v>
      </c>
      <c r="E670" s="1809"/>
      <c r="F670" s="1864"/>
      <c r="G670" s="2200"/>
      <c r="H670" s="2200"/>
      <c r="I670" s="2201"/>
      <c r="J670" s="88">
        <v>187224.87</v>
      </c>
      <c r="K670" s="2"/>
    </row>
    <row r="671" spans="1:11" customFormat="1" ht="30" customHeight="1" x14ac:dyDescent="0.2">
      <c r="A671" s="2425"/>
      <c r="B671" s="1258" t="s">
        <v>706</v>
      </c>
      <c r="C671" s="1900">
        <v>4800000</v>
      </c>
      <c r="D671" s="1900">
        <v>4800000</v>
      </c>
      <c r="E671" s="1809"/>
      <c r="F671" s="1864"/>
      <c r="G671" s="2200"/>
      <c r="H671" s="2200"/>
      <c r="I671" s="2201"/>
      <c r="J671" s="88">
        <v>4990000</v>
      </c>
      <c r="K671" s="2"/>
    </row>
    <row r="672" spans="1:11" customFormat="1" ht="30" customHeight="1" x14ac:dyDescent="0.2">
      <c r="A672" s="2425"/>
      <c r="B672" s="1258" t="s">
        <v>707</v>
      </c>
      <c r="C672" s="1900">
        <v>7250000</v>
      </c>
      <c r="D672" s="1900">
        <v>7250000</v>
      </c>
      <c r="E672" s="1809"/>
      <c r="F672" s="1864"/>
      <c r="G672" s="2200"/>
      <c r="H672" s="2200"/>
      <c r="I672" s="2201"/>
      <c r="J672" s="88">
        <v>7250000</v>
      </c>
      <c r="K672" s="2"/>
    </row>
    <row r="673" spans="1:11" customFormat="1" ht="30" customHeight="1" x14ac:dyDescent="0.2">
      <c r="A673" s="2425"/>
      <c r="B673" s="1258" t="s">
        <v>708</v>
      </c>
      <c r="C673" s="1900">
        <v>250000</v>
      </c>
      <c r="D673" s="1900">
        <f>250000-30000-70000-40000-30000-10000-34300</f>
        <v>35700</v>
      </c>
      <c r="E673" s="1809"/>
      <c r="F673" s="1864"/>
      <c r="G673" s="2200"/>
      <c r="H673" s="2200"/>
      <c r="I673" s="2201"/>
      <c r="J673" s="88">
        <v>48689</v>
      </c>
      <c r="K673" s="2"/>
    </row>
    <row r="674" spans="1:11" customFormat="1" ht="30" customHeight="1" x14ac:dyDescent="0.2">
      <c r="A674" s="2425"/>
      <c r="B674" s="1258" t="s">
        <v>709</v>
      </c>
      <c r="C674" s="1900">
        <v>1000000</v>
      </c>
      <c r="D674" s="1900">
        <f>1000000-50000-100000-10000</f>
        <v>840000</v>
      </c>
      <c r="E674" s="1809"/>
      <c r="F674" s="1864"/>
      <c r="G674" s="2200"/>
      <c r="H674" s="2200"/>
      <c r="I674" s="2201"/>
      <c r="J674" s="88">
        <v>7889995.8600000003</v>
      </c>
      <c r="K674" s="2"/>
    </row>
    <row r="675" spans="1:11" customFormat="1" ht="30" customHeight="1" x14ac:dyDescent="0.2">
      <c r="A675" s="2425"/>
      <c r="B675" s="1258" t="s">
        <v>712</v>
      </c>
      <c r="C675" s="1900">
        <v>1342000</v>
      </c>
      <c r="D675" s="1900">
        <f>1342000-225000</f>
        <v>1117000</v>
      </c>
      <c r="E675" s="1809"/>
      <c r="F675" s="1864"/>
      <c r="G675" s="2200"/>
      <c r="H675" s="2200"/>
      <c r="I675" s="2201"/>
      <c r="J675" s="88">
        <v>963000</v>
      </c>
      <c r="K675" s="2"/>
    </row>
    <row r="676" spans="1:11" customFormat="1" ht="30" customHeight="1" x14ac:dyDescent="0.2">
      <c r="A676" s="2425"/>
      <c r="B676" s="1258" t="s">
        <v>713</v>
      </c>
      <c r="C676" s="1900">
        <v>158000</v>
      </c>
      <c r="D676" s="1900">
        <f>158000-86000</f>
        <v>72000</v>
      </c>
      <c r="E676" s="1809"/>
      <c r="F676" s="1864"/>
      <c r="G676" s="2200"/>
      <c r="H676" s="2200"/>
      <c r="I676" s="2201"/>
      <c r="J676" s="88">
        <v>140198.99</v>
      </c>
      <c r="K676" s="2"/>
    </row>
    <row r="677" spans="1:11" customFormat="1" ht="30" customHeight="1" x14ac:dyDescent="0.2">
      <c r="A677" s="2425"/>
      <c r="B677" s="1258" t="s">
        <v>714</v>
      </c>
      <c r="C677" s="1900">
        <v>1300000</v>
      </c>
      <c r="D677" s="1900">
        <f>1300000-194200</f>
        <v>1105800</v>
      </c>
      <c r="E677" s="1809"/>
      <c r="F677" s="1864"/>
      <c r="G677" s="2200"/>
      <c r="H677" s="2200"/>
      <c r="I677" s="2201"/>
      <c r="J677" s="88">
        <v>966500</v>
      </c>
      <c r="K677" s="2"/>
    </row>
    <row r="678" spans="1:11" customFormat="1" ht="30" customHeight="1" x14ac:dyDescent="0.2">
      <c r="A678" s="2425"/>
      <c r="B678" s="1258" t="s">
        <v>3141</v>
      </c>
      <c r="C678" s="1900">
        <v>0</v>
      </c>
      <c r="D678" s="1900">
        <v>300000</v>
      </c>
      <c r="E678" s="1809"/>
      <c r="F678" s="1864"/>
      <c r="G678" s="2200"/>
      <c r="H678" s="2200"/>
      <c r="I678" s="2201"/>
      <c r="J678" s="88">
        <v>0</v>
      </c>
      <c r="K678" s="2"/>
    </row>
    <row r="679" spans="1:11" customFormat="1" ht="42" customHeight="1" x14ac:dyDescent="0.2">
      <c r="A679" s="2296"/>
      <c r="B679" s="1258" t="s">
        <v>2493</v>
      </c>
      <c r="C679" s="1809">
        <f>296000+644000+63000+90000+15000+200000+7600000-210000+2000000</f>
        <v>10698000</v>
      </c>
      <c r="D679" s="1809">
        <f>(296000+644000+63000+90000+15000+200000+7600000-210000+2000000)+595004.14+7500+15000+30000+30000+7500+80000+60000+30000+70000+40000+30000+30000+10000+10000+10000+10000+50000+10000+100000-3800400+30250+20000+203075.15-150000+248824.2</f>
        <v>8474753.4900000002</v>
      </c>
      <c r="E679" s="1809"/>
      <c r="F679" s="1077"/>
      <c r="G679" s="2200"/>
      <c r="H679" s="2200"/>
      <c r="I679" s="2201"/>
      <c r="J679" s="32">
        <v>1794100</v>
      </c>
      <c r="K679" s="2"/>
    </row>
    <row r="680" spans="1:11" ht="30" customHeight="1" x14ac:dyDescent="0.2">
      <c r="A680" s="2221"/>
      <c r="B680" s="1303"/>
      <c r="C680" s="742"/>
      <c r="D680" s="742"/>
      <c r="E680" s="1040"/>
      <c r="F680" s="743"/>
      <c r="G680" s="743"/>
      <c r="H680" s="743"/>
      <c r="I680" s="743"/>
    </row>
    <row r="681" spans="1:11" ht="30" customHeight="1" x14ac:dyDescent="0.3">
      <c r="A681" s="2373"/>
      <c r="B681" s="701" t="s">
        <v>716</v>
      </c>
      <c r="C681" s="2434">
        <f>C682</f>
        <v>30378980</v>
      </c>
      <c r="D681" s="2434">
        <f>D682</f>
        <v>31548124.350000001</v>
      </c>
      <c r="E681" s="2435"/>
      <c r="F681" s="2436"/>
      <c r="G681" s="949"/>
      <c r="H681" s="949"/>
      <c r="I681" s="949"/>
      <c r="J681" s="29">
        <v>27433084.420000002</v>
      </c>
    </row>
    <row r="682" spans="1:11" ht="30" customHeight="1" x14ac:dyDescent="0.2">
      <c r="A682" s="2221">
        <v>5311</v>
      </c>
      <c r="B682" s="717" t="s">
        <v>717</v>
      </c>
      <c r="C682" s="2040">
        <f>SUM(C683)</f>
        <v>30378980</v>
      </c>
      <c r="D682" s="2040">
        <f>SUM(D683)</f>
        <v>31548124.350000001</v>
      </c>
      <c r="E682" s="1311"/>
      <c r="F682" s="2045"/>
      <c r="G682" s="1663"/>
      <c r="H682" s="1663"/>
      <c r="I682" s="1662"/>
      <c r="J682" s="29">
        <v>27433084.420000002</v>
      </c>
    </row>
    <row r="683" spans="1:11" ht="64.5" customHeight="1" x14ac:dyDescent="0.2">
      <c r="A683" s="2221"/>
      <c r="B683" s="749" t="s">
        <v>2494</v>
      </c>
      <c r="C683" s="2042">
        <f>(19370+840+4803.76+208.32+1743.3+75.6+5+350+2+348+143+35+264+1+245+30+3+149+3+747+275+200+45+17+50+10+6+170+150+90)*1000</f>
        <v>30378980</v>
      </c>
      <c r="D683" s="2042">
        <f>((19370+840+4803.76+208.32+1743.3+75.6+5+350+2+348+143+35+264+1+245+30+3+149+3+747+275+200+45+17+50+10+6+170+150+90)*1000)+1169144.35</f>
        <v>31548124.350000001</v>
      </c>
      <c r="E683" s="2041"/>
      <c r="F683" s="2042"/>
      <c r="G683" s="2200"/>
      <c r="H683" s="2200"/>
      <c r="I683" s="2201"/>
      <c r="J683" s="1866">
        <v>27133084.420000002</v>
      </c>
    </row>
    <row r="684" spans="1:11" ht="30" customHeight="1" x14ac:dyDescent="0.2">
      <c r="A684" s="2419"/>
      <c r="B684" s="1318"/>
      <c r="C684" s="945"/>
      <c r="D684" s="945"/>
      <c r="E684" s="1158"/>
      <c r="F684" s="945"/>
      <c r="G684" s="945"/>
      <c r="H684" s="945"/>
      <c r="I684" s="945"/>
    </row>
    <row r="685" spans="1:11" ht="30" customHeight="1" x14ac:dyDescent="0.3">
      <c r="A685" s="2373"/>
      <c r="B685" s="701" t="s">
        <v>41</v>
      </c>
      <c r="C685" s="2437">
        <f>SUM(C686:C693)+C705</f>
        <v>37939410</v>
      </c>
      <c r="D685" s="2437">
        <f>SUM(D686:D693)+D705</f>
        <v>35738416.399999999</v>
      </c>
      <c r="E685" s="2437"/>
      <c r="F685" s="2426"/>
      <c r="G685" s="949"/>
      <c r="H685" s="949"/>
      <c r="I685" s="949"/>
      <c r="J685" s="29">
        <v>29950251.129999999</v>
      </c>
    </row>
    <row r="686" spans="1:11" ht="39" customHeight="1" x14ac:dyDescent="0.2">
      <c r="A686" s="2438">
        <v>3429</v>
      </c>
      <c r="B686" s="1525" t="s">
        <v>2495</v>
      </c>
      <c r="C686" s="1138">
        <f>SUM(80+20+11+200+12.3+1+30+120+20+500)*1000-500000</f>
        <v>494300</v>
      </c>
      <c r="D686" s="1138">
        <f>SUM((80+20+11+200+12.3+1+30+120+20+500)*1000-500000)-112000</f>
        <v>382300</v>
      </c>
      <c r="E686" s="765"/>
      <c r="F686" s="2439"/>
      <c r="G686" s="1663"/>
      <c r="H686" s="1663"/>
      <c r="I686" s="1662"/>
      <c r="J686" s="1866">
        <v>935599.86</v>
      </c>
    </row>
    <row r="687" spans="1:11" s="98" customFormat="1" ht="30" customHeight="1" x14ac:dyDescent="0.2">
      <c r="A687" s="2440">
        <v>5212</v>
      </c>
      <c r="B687" s="1208" t="s">
        <v>2496</v>
      </c>
      <c r="C687" s="727">
        <f>SUM(1+20+35+40+30)*1000</f>
        <v>126000</v>
      </c>
      <c r="D687" s="727">
        <f>SUM(1+20+35+40+30)*1000</f>
        <v>126000</v>
      </c>
      <c r="E687" s="731"/>
      <c r="F687" s="1256"/>
      <c r="G687" s="1663"/>
      <c r="H687" s="1663"/>
      <c r="I687" s="1662"/>
      <c r="J687" s="1866">
        <v>97090.4</v>
      </c>
    </row>
    <row r="688" spans="1:11" s="244" customFormat="1" ht="30" customHeight="1" x14ac:dyDescent="0.25">
      <c r="A688" s="2221">
        <v>5213</v>
      </c>
      <c r="B688" s="725" t="s">
        <v>2497</v>
      </c>
      <c r="C688" s="1262">
        <v>200000</v>
      </c>
      <c r="D688" s="1262">
        <f>200000-100000</f>
        <v>100000</v>
      </c>
      <c r="E688" s="731"/>
      <c r="F688" s="1256"/>
      <c r="G688" s="1663"/>
      <c r="H688" s="1663"/>
      <c r="I688" s="1662"/>
      <c r="J688" s="1866">
        <v>58853.67</v>
      </c>
    </row>
    <row r="689" spans="1:11" s="98" customFormat="1" ht="30" customHeight="1" x14ac:dyDescent="0.2">
      <c r="A689" s="2221">
        <v>5273</v>
      </c>
      <c r="B689" s="725" t="s">
        <v>1847</v>
      </c>
      <c r="C689" s="1262">
        <v>5000</v>
      </c>
      <c r="D689" s="1262">
        <v>5000</v>
      </c>
      <c r="E689" s="731"/>
      <c r="F689" s="1256"/>
      <c r="G689" s="1663"/>
      <c r="H689" s="1663"/>
      <c r="I689" s="1662"/>
      <c r="J689" s="1866">
        <v>0</v>
      </c>
    </row>
    <row r="690" spans="1:11" s="98" customFormat="1" ht="30" customHeight="1" x14ac:dyDescent="0.2">
      <c r="A690" s="2221">
        <v>5299</v>
      </c>
      <c r="B690" s="725" t="s">
        <v>2940</v>
      </c>
      <c r="C690" s="1262">
        <v>0</v>
      </c>
      <c r="D690" s="1262">
        <f>440000-40000</f>
        <v>400000</v>
      </c>
      <c r="E690" s="731"/>
      <c r="F690" s="1256"/>
      <c r="G690" s="1663"/>
      <c r="H690" s="1663"/>
      <c r="I690" s="1662"/>
      <c r="J690" s="1866">
        <v>0</v>
      </c>
    </row>
    <row r="691" spans="1:11" s="244" customFormat="1" ht="30" customHeight="1" x14ac:dyDescent="0.25">
      <c r="A691" s="2221">
        <v>5511</v>
      </c>
      <c r="B691" s="725" t="s">
        <v>2498</v>
      </c>
      <c r="C691" s="1262">
        <v>2500000</v>
      </c>
      <c r="D691" s="1262">
        <f>2500000-199496</f>
        <v>2300504</v>
      </c>
      <c r="E691" s="731"/>
      <c r="F691" s="1256"/>
      <c r="G691" s="1663"/>
      <c r="H691" s="1663"/>
      <c r="I691" s="1662"/>
      <c r="J691" s="1866">
        <v>2246586</v>
      </c>
    </row>
    <row r="692" spans="1:11" s="244" customFormat="1" ht="48.75" x14ac:dyDescent="0.25">
      <c r="A692" s="2221">
        <v>5512</v>
      </c>
      <c r="B692" s="725" t="s">
        <v>2499</v>
      </c>
      <c r="C692" s="1262">
        <f>SUM(12+44+10+15+5+14+10+30)*1000</f>
        <v>140000</v>
      </c>
      <c r="D692" s="1262">
        <f>SUM(12+44+10+15+5+14+10+30)*1000</f>
        <v>140000</v>
      </c>
      <c r="E692" s="731"/>
      <c r="F692" s="1256"/>
      <c r="G692" s="1663"/>
      <c r="H692" s="1663"/>
      <c r="I692" s="1662"/>
      <c r="J692" s="1866">
        <v>184955.83</v>
      </c>
    </row>
    <row r="693" spans="1:11" s="244" customFormat="1" ht="30" customHeight="1" x14ac:dyDescent="0.25">
      <c r="A693" s="2221">
        <v>6171</v>
      </c>
      <c r="B693" s="717" t="s">
        <v>725</v>
      </c>
      <c r="C693" s="1262">
        <f t="shared" ref="C693:D693" si="70">SUM(C694+C695+C699+C700+C702+C703+C704)</f>
        <v>32624110</v>
      </c>
      <c r="D693" s="1262">
        <f t="shared" si="70"/>
        <v>30049705.399999999</v>
      </c>
      <c r="E693" s="1334"/>
      <c r="F693" s="1256"/>
      <c r="G693" s="1663"/>
      <c r="H693" s="1663"/>
      <c r="I693" s="1662"/>
      <c r="J693" s="29">
        <v>25122995.829999998</v>
      </c>
    </row>
    <row r="694" spans="1:11" s="244" customFormat="1" ht="146.25" customHeight="1" x14ac:dyDescent="0.25">
      <c r="A694" s="2221"/>
      <c r="B694" s="1335" t="s">
        <v>2500</v>
      </c>
      <c r="C694" s="1077">
        <f>SUM(40+40+5+100+500+825+50+40+90+200+50+500+1075+600+3500+2550+1+170+4100+150+120+129.4+72.6+50+48+330+3900+300+20+100+450+30+1000+950+400+950+700+200+4.5+30+2)*1000</f>
        <v>24372500</v>
      </c>
      <c r="D694" s="1077">
        <f>(SUM(40+40+5+100+500+825+50+40+90+200+50+500+1075+600+3500+2550+1+170+4100+150+120+129.4+72.6+50+48+330+3900+300+20+100+450+30+1000+950+400+950+700+200+4.5+30+2)*1000)-1350000+86100+(-100000-600000)+(-160895-71798)+(-60703+50000)+(-5000-24000-30000-60000-18000-156307)</f>
        <v>21871897</v>
      </c>
      <c r="E694" s="1316"/>
      <c r="F694" s="1256"/>
      <c r="G694" s="2200"/>
      <c r="H694" s="2200"/>
      <c r="I694" s="2201"/>
      <c r="J694" s="1866">
        <v>17674300.949999999</v>
      </c>
    </row>
    <row r="695" spans="1:11" s="244" customFormat="1" ht="30" customHeight="1" x14ac:dyDescent="0.25">
      <c r="A695" s="2221"/>
      <c r="B695" s="1335" t="s">
        <v>2501</v>
      </c>
      <c r="C695" s="1077">
        <f>SUM(50+100+1000)*1000</f>
        <v>1150000</v>
      </c>
      <c r="D695" s="1077">
        <f>(SUM(50+100+1000)*1000)+10703</f>
        <v>1160703</v>
      </c>
      <c r="E695" s="1809"/>
      <c r="F695" s="1256"/>
      <c r="G695" s="2200"/>
      <c r="H695" s="2200"/>
      <c r="I695" s="2201"/>
      <c r="J695" s="29">
        <v>1427001</v>
      </c>
    </row>
    <row r="696" spans="1:11" s="244" customFormat="1" ht="156" hidden="1" customHeight="1" x14ac:dyDescent="0.25">
      <c r="A696" s="2221" t="s">
        <v>2502</v>
      </c>
      <c r="B696" s="1335" t="s">
        <v>2503</v>
      </c>
      <c r="C696" s="1256">
        <v>0</v>
      </c>
      <c r="D696" s="1256">
        <v>0</v>
      </c>
      <c r="E696" s="1256"/>
      <c r="F696" s="1256"/>
      <c r="G696" s="2200"/>
      <c r="H696" s="2200"/>
      <c r="I696" s="2201"/>
      <c r="J696" s="29"/>
    </row>
    <row r="697" spans="1:11" s="244" customFormat="1" ht="24" hidden="1" customHeight="1" x14ac:dyDescent="0.25">
      <c r="A697" s="2221"/>
      <c r="B697" s="1335" t="s">
        <v>2504</v>
      </c>
      <c r="C697" s="1256">
        <v>0</v>
      </c>
      <c r="D697" s="1256">
        <v>0</v>
      </c>
      <c r="E697" s="1256"/>
      <c r="F697" s="1256"/>
      <c r="G697" s="2200"/>
      <c r="H697" s="2200"/>
      <c r="I697" s="2201"/>
      <c r="J697" s="29"/>
    </row>
    <row r="698" spans="1:11" s="244" customFormat="1" ht="156" hidden="1" customHeight="1" x14ac:dyDescent="0.25">
      <c r="A698" s="2221" t="s">
        <v>2505</v>
      </c>
      <c r="B698" s="1335" t="s">
        <v>2506</v>
      </c>
      <c r="C698" s="1256">
        <v>0</v>
      </c>
      <c r="D698" s="1256">
        <v>0</v>
      </c>
      <c r="E698" s="1256"/>
      <c r="F698" s="1256"/>
      <c r="G698" s="2200"/>
      <c r="H698" s="2200"/>
      <c r="I698" s="2201"/>
      <c r="J698" s="29"/>
    </row>
    <row r="699" spans="1:11" s="98" customFormat="1" ht="37.5" customHeight="1" x14ac:dyDescent="0.2">
      <c r="A699" s="2221"/>
      <c r="B699" s="1337" t="s">
        <v>2507</v>
      </c>
      <c r="C699" s="1077">
        <f>SUM(200+590+225+40+20+3012.8+200+240+70)*1000</f>
        <v>4597800</v>
      </c>
      <c r="D699" s="1077">
        <f>(SUM(200+590+225+40+20+3012.8+200+240+70)*1000)+97090.4-100000-116000+230000+(-72600)</f>
        <v>4636290.4000000004</v>
      </c>
      <c r="E699" s="738"/>
      <c r="F699" s="1256"/>
      <c r="G699" s="2200"/>
      <c r="H699" s="2200"/>
      <c r="I699" s="2201"/>
      <c r="J699" s="1866">
        <v>3368742.14</v>
      </c>
    </row>
    <row r="700" spans="1:11" ht="24" x14ac:dyDescent="0.2">
      <c r="A700" s="2223"/>
      <c r="B700" s="1337" t="s">
        <v>2508</v>
      </c>
      <c r="C700" s="1077">
        <f>SUM(200+1162.81+100+300+100)*1000</f>
        <v>1862810</v>
      </c>
      <c r="D700" s="1077">
        <f>(SUM(200+1162.81+100+300+100)*1000)+116000-230000</f>
        <v>1748810</v>
      </c>
      <c r="E700" s="738"/>
      <c r="F700" s="1077"/>
      <c r="G700" s="2200"/>
      <c r="H700" s="2200"/>
      <c r="I700" s="2201"/>
      <c r="J700" s="1866">
        <v>2119785.27</v>
      </c>
    </row>
    <row r="701" spans="1:11" ht="48" hidden="1" customHeight="1" x14ac:dyDescent="0.2">
      <c r="A701" s="2221" t="s">
        <v>2502</v>
      </c>
      <c r="B701" s="1337" t="s">
        <v>2509</v>
      </c>
      <c r="C701" s="1256">
        <v>0</v>
      </c>
      <c r="D701" s="1256">
        <v>0</v>
      </c>
      <c r="E701" s="1256"/>
      <c r="F701" s="1256"/>
      <c r="G701" s="2200"/>
      <c r="H701" s="2200"/>
      <c r="I701" s="2201"/>
      <c r="J701" s="2047"/>
      <c r="K701" s="2047"/>
    </row>
    <row r="702" spans="1:11" ht="30" customHeight="1" x14ac:dyDescent="0.2">
      <c r="A702" s="2223"/>
      <c r="B702" s="737" t="s">
        <v>1855</v>
      </c>
      <c r="C702" s="1077">
        <v>210000</v>
      </c>
      <c r="D702" s="1077">
        <v>210000</v>
      </c>
      <c r="E702" s="738"/>
      <c r="F702" s="1077"/>
      <c r="G702" s="2200"/>
      <c r="H702" s="2200"/>
      <c r="I702" s="2201"/>
      <c r="J702" s="2047">
        <v>174611.8</v>
      </c>
    </row>
    <row r="703" spans="1:11" ht="30" customHeight="1" x14ac:dyDescent="0.2">
      <c r="A703" s="2223"/>
      <c r="B703" s="737" t="s">
        <v>1856</v>
      </c>
      <c r="C703" s="1077">
        <v>50000</v>
      </c>
      <c r="D703" s="1077">
        <v>50000</v>
      </c>
      <c r="E703" s="738"/>
      <c r="F703" s="1077"/>
      <c r="G703" s="2200"/>
      <c r="H703" s="2200"/>
      <c r="I703" s="2201"/>
      <c r="J703" s="29">
        <v>30711.84</v>
      </c>
    </row>
    <row r="704" spans="1:11" ht="30" customHeight="1" x14ac:dyDescent="0.2">
      <c r="A704" s="2223"/>
      <c r="B704" s="749" t="s">
        <v>2510</v>
      </c>
      <c r="C704" s="1077">
        <f>SUM(5+30+30+60+18+72.6+10+140.307+15.093)*1000</f>
        <v>381000</v>
      </c>
      <c r="D704" s="1077">
        <f>(SUM(5+30+30+60+18+72.6+10+140.307+15.093)*1000)-374902+(5000+24000+30000+60000+18000+72600+16000+140307)</f>
        <v>372005</v>
      </c>
      <c r="E704" s="738"/>
      <c r="F704" s="1077"/>
      <c r="G704" s="2200"/>
      <c r="H704" s="2200"/>
      <c r="I704" s="2201"/>
      <c r="J704" s="1866">
        <v>341891.31</v>
      </c>
    </row>
    <row r="705" spans="1:10" ht="30" customHeight="1" x14ac:dyDescent="0.2">
      <c r="A705" s="2221">
        <v>6320</v>
      </c>
      <c r="B705" s="717" t="s">
        <v>2511</v>
      </c>
      <c r="C705" s="727">
        <f>SUM(1800+50)*1000</f>
        <v>1850000</v>
      </c>
      <c r="D705" s="727">
        <f>(SUM(1800+50)*1000)+400000-15093</f>
        <v>2234907</v>
      </c>
      <c r="E705" s="731"/>
      <c r="F705" s="1077"/>
      <c r="G705" s="2200"/>
      <c r="H705" s="2200"/>
      <c r="I705" s="2201"/>
      <c r="J705" s="29">
        <v>1304169.54</v>
      </c>
    </row>
    <row r="706" spans="1:10" ht="30" customHeight="1" x14ac:dyDescent="0.2">
      <c r="A706" s="2412"/>
      <c r="B706" s="2048"/>
      <c r="C706" s="1535"/>
      <c r="D706" s="1535"/>
      <c r="E706" s="1158"/>
      <c r="F706" s="1047"/>
      <c r="G706" s="1047"/>
      <c r="H706" s="1047"/>
      <c r="I706" s="1047"/>
    </row>
    <row r="707" spans="1:10" ht="30" customHeight="1" x14ac:dyDescent="0.3">
      <c r="A707" s="2373"/>
      <c r="B707" s="701" t="s">
        <v>735</v>
      </c>
      <c r="C707" s="2441">
        <f>C708+C709+C710+C714</f>
        <v>190047550</v>
      </c>
      <c r="D707" s="2441">
        <f>D708+D709+D710+D714</f>
        <v>190893593</v>
      </c>
      <c r="E707" s="2442"/>
      <c r="F707" s="2443"/>
      <c r="G707" s="949"/>
      <c r="H707" s="949"/>
      <c r="I707" s="949"/>
      <c r="J707" s="1866">
        <v>167656076.84999999</v>
      </c>
    </row>
    <row r="708" spans="1:10" s="98" customFormat="1" ht="30" customHeight="1" x14ac:dyDescent="0.2">
      <c r="A708" s="2444">
        <v>3341</v>
      </c>
      <c r="B708" s="2050" t="s">
        <v>1860</v>
      </c>
      <c r="C708" s="1138">
        <v>3109200</v>
      </c>
      <c r="D708" s="1138">
        <v>3109200</v>
      </c>
      <c r="E708" s="731"/>
      <c r="F708" s="2364"/>
      <c r="G708" s="1663"/>
      <c r="H708" s="1663"/>
      <c r="I708" s="1662"/>
      <c r="J708" s="29">
        <v>3083322</v>
      </c>
    </row>
    <row r="709" spans="1:10" s="98" customFormat="1" ht="30" customHeight="1" x14ac:dyDescent="0.2">
      <c r="A709" s="2221">
        <v>6112</v>
      </c>
      <c r="B709" s="725" t="s">
        <v>2512</v>
      </c>
      <c r="C709" s="727">
        <f>30000+9270000+1071360+834300+12000+10000+500+20000+200000+7000+90000+30000</f>
        <v>11575160</v>
      </c>
      <c r="D709" s="727">
        <f>30000+9270000+1071360+834300+12000+10000+500+20000+200000+7000+90000+30000</f>
        <v>11575160</v>
      </c>
      <c r="E709" s="731"/>
      <c r="F709" s="2341"/>
      <c r="G709" s="2200"/>
      <c r="H709" s="2200"/>
      <c r="I709" s="2201"/>
      <c r="J709" s="1866">
        <v>10394214.08</v>
      </c>
    </row>
    <row r="710" spans="1:10" ht="30" customHeight="1" x14ac:dyDescent="0.2">
      <c r="A710" s="2221">
        <v>6171</v>
      </c>
      <c r="B710" s="717" t="s">
        <v>725</v>
      </c>
      <c r="C710" s="727">
        <f>+C711+C712+C713</f>
        <v>167563190</v>
      </c>
      <c r="D710" s="727">
        <f>+D711+D712+D713</f>
        <v>168409233</v>
      </c>
      <c r="E710" s="731"/>
      <c r="F710" s="1077"/>
      <c r="G710" s="1663"/>
      <c r="H710" s="1663"/>
      <c r="I710" s="1662"/>
      <c r="J710" s="29">
        <v>148178540.77000001</v>
      </c>
    </row>
    <row r="711" spans="1:10" ht="48" x14ac:dyDescent="0.2">
      <c r="A711" s="2219"/>
      <c r="B711" s="1353" t="s">
        <v>2513</v>
      </c>
      <c r="C711" s="2341">
        <f>(101960000+3850000)+10000+1500000+10000+(25658080+954800)+(9311400+346500)+600000+1000+900000+150000+25000+50000+2550000+300000+15000+204000+40000</f>
        <v>148435780</v>
      </c>
      <c r="D711" s="2341">
        <f>(101960000+3850000)+10000+1500000+10000+(25658080+954800)+(9311400+346500)+600000+1000+900000+150000+25000+50000+2550000+300000+15000+204000+40000+13905+(160895+71798)</f>
        <v>148682378</v>
      </c>
      <c r="E711" s="738"/>
      <c r="F711" s="2341"/>
      <c r="G711" s="2200"/>
      <c r="H711" s="2200"/>
      <c r="I711" s="2201"/>
      <c r="J711" s="1866">
        <v>131889188.53</v>
      </c>
    </row>
    <row r="712" spans="1:10" ht="30" customHeight="1" x14ac:dyDescent="0.25">
      <c r="A712" s="2445"/>
      <c r="B712" s="749" t="s">
        <v>2514</v>
      </c>
      <c r="C712" s="2341">
        <f>(7060000+275000)+30000+(1758320+68200)+(638100+24750)+180000+10000</f>
        <v>10044370</v>
      </c>
      <c r="D712" s="2341">
        <f>(7060000+275000)+30000+(1758320+68200)+(638100+24750)+180000+10000+294000+305445</f>
        <v>10643815</v>
      </c>
      <c r="E712" s="738"/>
      <c r="F712" s="2341"/>
      <c r="G712" s="2200"/>
      <c r="H712" s="2200"/>
      <c r="I712" s="2201"/>
      <c r="J712" s="1866">
        <v>8977328</v>
      </c>
    </row>
    <row r="713" spans="1:10" ht="36.75" x14ac:dyDescent="0.25">
      <c r="A713" s="2445"/>
      <c r="B713" s="725" t="s">
        <v>2515</v>
      </c>
      <c r="C713" s="2341">
        <f>4067040+60000+21000+3140000+160000+100000+320000+1150000+30000+26000+9000</f>
        <v>9083040</v>
      </c>
      <c r="D713" s="2341">
        <f>4067040+60000+21000+3140000+160000+100000+320000+1150000+30000+26000+9000</f>
        <v>9083040</v>
      </c>
      <c r="E713" s="738"/>
      <c r="F713" s="2341"/>
      <c r="G713" s="2200"/>
      <c r="H713" s="2200"/>
      <c r="I713" s="2201"/>
      <c r="J713" s="1866">
        <v>7312024.2400000002</v>
      </c>
    </row>
    <row r="714" spans="1:10" ht="30" customHeight="1" x14ac:dyDescent="0.2">
      <c r="A714" s="2221">
        <v>6330</v>
      </c>
      <c r="B714" s="717" t="s">
        <v>740</v>
      </c>
      <c r="C714" s="727">
        <v>7800000</v>
      </c>
      <c r="D714" s="727">
        <v>7800000</v>
      </c>
      <c r="E714" s="731"/>
      <c r="F714" s="1077"/>
      <c r="G714" s="1663"/>
      <c r="H714" s="1663"/>
      <c r="I714" s="1662"/>
      <c r="J714" s="29">
        <v>6000000</v>
      </c>
    </row>
    <row r="715" spans="1:10" ht="30" customHeight="1" x14ac:dyDescent="0.2">
      <c r="A715" s="2275"/>
      <c r="B715" s="1156"/>
      <c r="C715" s="945"/>
      <c r="D715" s="945"/>
      <c r="E715" s="1145"/>
      <c r="F715" s="2446"/>
      <c r="G715" s="2446"/>
      <c r="H715" s="2446"/>
      <c r="I715" s="945"/>
    </row>
    <row r="716" spans="1:10" ht="30" customHeight="1" x14ac:dyDescent="0.3">
      <c r="A716" s="2373"/>
      <c r="B716" s="701" t="s">
        <v>43</v>
      </c>
      <c r="C716" s="2447">
        <f>C717+C733</f>
        <v>16959056</v>
      </c>
      <c r="D716" s="2447">
        <f>D717+D733</f>
        <v>18156526</v>
      </c>
      <c r="E716" s="2447"/>
      <c r="F716" s="2448"/>
      <c r="G716" s="949"/>
      <c r="H716" s="949"/>
      <c r="I716" s="949"/>
      <c r="J716" s="29">
        <v>15319304.77</v>
      </c>
    </row>
    <row r="717" spans="1:10" ht="30" customHeight="1" x14ac:dyDescent="0.25">
      <c r="A717" s="2373"/>
      <c r="B717" s="763" t="s">
        <v>741</v>
      </c>
      <c r="C717" s="1363">
        <f t="shared" ref="C717:D717" si="71">C718+C719+C720+C723+C725+C731+C732</f>
        <v>1192000</v>
      </c>
      <c r="D717" s="1363">
        <f t="shared" si="71"/>
        <v>1234350</v>
      </c>
      <c r="E717" s="1363"/>
      <c r="F717" s="2448"/>
      <c r="G717" s="2325"/>
      <c r="H717" s="2325"/>
      <c r="I717" s="2325"/>
      <c r="J717" s="29">
        <v>834027.77</v>
      </c>
    </row>
    <row r="718" spans="1:10" ht="30" customHeight="1" x14ac:dyDescent="0.2">
      <c r="A718" s="2221">
        <v>3613</v>
      </c>
      <c r="B718" s="717" t="s">
        <v>1865</v>
      </c>
      <c r="C718" s="731">
        <v>7000</v>
      </c>
      <c r="D718" s="731">
        <v>7000</v>
      </c>
      <c r="E718" s="731"/>
      <c r="F718" s="738"/>
      <c r="G718" s="1663"/>
      <c r="H718" s="1663"/>
      <c r="I718" s="1662"/>
      <c r="J718" s="29">
        <v>109.7</v>
      </c>
    </row>
    <row r="719" spans="1:10" s="244" customFormat="1" ht="30" customHeight="1" x14ac:dyDescent="0.25">
      <c r="A719" s="2221">
        <v>3632</v>
      </c>
      <c r="B719" s="717" t="s">
        <v>1866</v>
      </c>
      <c r="C719" s="731">
        <v>270000</v>
      </c>
      <c r="D719" s="731">
        <v>270000</v>
      </c>
      <c r="E719" s="731"/>
      <c r="F719" s="738"/>
      <c r="G719" s="1663"/>
      <c r="H719" s="1663"/>
      <c r="I719" s="1662"/>
      <c r="J719" s="29">
        <v>211618.45</v>
      </c>
    </row>
    <row r="720" spans="1:10" s="244" customFormat="1" ht="30" customHeight="1" x14ac:dyDescent="0.25">
      <c r="A720" s="2221">
        <v>4329</v>
      </c>
      <c r="B720" s="717" t="s">
        <v>745</v>
      </c>
      <c r="C720" s="726">
        <f t="shared" ref="C720:D720" si="72">SUM(C721:C722)</f>
        <v>258000</v>
      </c>
      <c r="D720" s="726">
        <f t="shared" si="72"/>
        <v>258000</v>
      </c>
      <c r="E720" s="726"/>
      <c r="F720" s="750"/>
      <c r="G720" s="1663"/>
      <c r="H720" s="1663"/>
      <c r="I720" s="1662"/>
      <c r="J720" s="29">
        <v>256757.46</v>
      </c>
    </row>
    <row r="721" spans="1:10" s="98" customFormat="1" ht="30" customHeight="1" x14ac:dyDescent="0.2">
      <c r="A721" s="2221"/>
      <c r="B721" s="1035" t="s">
        <v>1867</v>
      </c>
      <c r="C721" s="738">
        <v>8000</v>
      </c>
      <c r="D721" s="738">
        <v>8000</v>
      </c>
      <c r="E721" s="738"/>
      <c r="F721" s="738"/>
      <c r="G721" s="2200"/>
      <c r="H721" s="2200"/>
      <c r="I721" s="2201"/>
      <c r="J721" s="29">
        <v>11757.46</v>
      </c>
    </row>
    <row r="722" spans="1:10" s="98" customFormat="1" ht="30" customHeight="1" x14ac:dyDescent="0.2">
      <c r="A722" s="2221"/>
      <c r="B722" s="1035" t="s">
        <v>1868</v>
      </c>
      <c r="C722" s="738">
        <v>250000</v>
      </c>
      <c r="D722" s="738">
        <v>250000</v>
      </c>
      <c r="E722" s="738"/>
      <c r="F722" s="738"/>
      <c r="G722" s="2200"/>
      <c r="H722" s="2200"/>
      <c r="I722" s="2201"/>
      <c r="J722" s="29">
        <v>245000</v>
      </c>
    </row>
    <row r="723" spans="1:10" ht="30" customHeight="1" x14ac:dyDescent="0.2">
      <c r="A723" s="2221">
        <v>4349</v>
      </c>
      <c r="B723" s="717" t="s">
        <v>753</v>
      </c>
      <c r="C723" s="726">
        <f t="shared" ref="C723:D723" si="73">SUM(C724:C724)</f>
        <v>300000</v>
      </c>
      <c r="D723" s="726">
        <f t="shared" si="73"/>
        <v>300000</v>
      </c>
      <c r="E723" s="726"/>
      <c r="F723" s="750"/>
      <c r="G723" s="1663"/>
      <c r="H723" s="1663"/>
      <c r="I723" s="1662"/>
      <c r="J723" s="29">
        <v>68297</v>
      </c>
    </row>
    <row r="724" spans="1:10" ht="30" customHeight="1" x14ac:dyDescent="0.2">
      <c r="A724" s="2223"/>
      <c r="B724" s="737" t="s">
        <v>1869</v>
      </c>
      <c r="C724" s="738">
        <v>300000</v>
      </c>
      <c r="D724" s="738">
        <v>300000</v>
      </c>
      <c r="E724" s="738"/>
      <c r="F724" s="738"/>
      <c r="G724" s="2200"/>
      <c r="H724" s="2200"/>
      <c r="I724" s="2201"/>
      <c r="J724" s="29">
        <v>68297</v>
      </c>
    </row>
    <row r="725" spans="1:10" s="98" customFormat="1" ht="30" customHeight="1" x14ac:dyDescent="0.2">
      <c r="A725" s="2221">
        <v>4379</v>
      </c>
      <c r="B725" s="717" t="s">
        <v>760</v>
      </c>
      <c r="C725" s="726">
        <f t="shared" ref="C725:D725" si="74">SUM(C726:C730)</f>
        <v>355000</v>
      </c>
      <c r="D725" s="726">
        <f t="shared" si="74"/>
        <v>397350</v>
      </c>
      <c r="E725" s="726"/>
      <c r="F725" s="750"/>
      <c r="G725" s="1663"/>
      <c r="H725" s="1663"/>
      <c r="I725" s="1662"/>
      <c r="J725" s="29">
        <v>292264.15999999997</v>
      </c>
    </row>
    <row r="726" spans="1:10" ht="30" customHeight="1" x14ac:dyDescent="0.2">
      <c r="A726" s="2223"/>
      <c r="B726" s="737" t="s">
        <v>1870</v>
      </c>
      <c r="C726" s="738">
        <v>230000</v>
      </c>
      <c r="D726" s="738">
        <f>230000-10000</f>
        <v>220000</v>
      </c>
      <c r="E726" s="738"/>
      <c r="F726" s="738"/>
      <c r="G726" s="2200"/>
      <c r="H726" s="2200"/>
      <c r="I726" s="2201"/>
      <c r="J726" s="29">
        <v>214204.19</v>
      </c>
    </row>
    <row r="727" spans="1:10" s="419" customFormat="1" ht="30" customHeight="1" x14ac:dyDescent="0.2">
      <c r="A727" s="2223"/>
      <c r="B727" s="737" t="s">
        <v>1871</v>
      </c>
      <c r="C727" s="738">
        <v>65000</v>
      </c>
      <c r="D727" s="738">
        <f>65000+10000</f>
        <v>75000</v>
      </c>
      <c r="E727" s="738"/>
      <c r="F727" s="738"/>
      <c r="G727" s="2200"/>
      <c r="H727" s="2200"/>
      <c r="I727" s="2201"/>
      <c r="J727" s="29">
        <v>50728.24</v>
      </c>
    </row>
    <row r="728" spans="1:10" ht="30" customHeight="1" x14ac:dyDescent="0.2">
      <c r="A728" s="2223"/>
      <c r="B728" s="737" t="s">
        <v>1872</v>
      </c>
      <c r="C728" s="738">
        <v>50000</v>
      </c>
      <c r="D728" s="738">
        <v>50000</v>
      </c>
      <c r="E728" s="738"/>
      <c r="F728" s="738"/>
      <c r="G728" s="2200"/>
      <c r="H728" s="2200"/>
      <c r="I728" s="2201"/>
      <c r="J728" s="29">
        <v>27331.73</v>
      </c>
    </row>
    <row r="729" spans="1:10" s="98" customFormat="1" ht="30" customHeight="1" x14ac:dyDescent="0.2">
      <c r="A729" s="2223"/>
      <c r="B729" s="737" t="s">
        <v>1873</v>
      </c>
      <c r="C729" s="738">
        <v>10000</v>
      </c>
      <c r="D729" s="738">
        <v>10000</v>
      </c>
      <c r="E729" s="738"/>
      <c r="F729" s="738"/>
      <c r="G729" s="2200"/>
      <c r="H729" s="2200"/>
      <c r="I729" s="2201"/>
      <c r="J729" s="29">
        <v>0</v>
      </c>
    </row>
    <row r="730" spans="1:10" s="98" customFormat="1" ht="30" customHeight="1" x14ac:dyDescent="0.2">
      <c r="A730" s="2223"/>
      <c r="B730" s="737" t="s">
        <v>3154</v>
      </c>
      <c r="C730" s="738">
        <v>0</v>
      </c>
      <c r="D730" s="738">
        <v>42350</v>
      </c>
      <c r="E730" s="738"/>
      <c r="F730" s="738"/>
      <c r="G730" s="2200"/>
      <c r="H730" s="2200"/>
      <c r="I730" s="2201"/>
      <c r="J730" s="29">
        <v>0</v>
      </c>
    </row>
    <row r="731" spans="1:10" ht="30" customHeight="1" x14ac:dyDescent="0.2">
      <c r="A731" s="2221">
        <v>4399</v>
      </c>
      <c r="B731" s="717" t="s">
        <v>2516</v>
      </c>
      <c r="C731" s="731">
        <v>2000</v>
      </c>
      <c r="D731" s="731">
        <v>2000</v>
      </c>
      <c r="E731" s="731"/>
      <c r="F731" s="738"/>
      <c r="G731" s="1663"/>
      <c r="H731" s="1663"/>
      <c r="I731" s="1662"/>
      <c r="J731" s="29">
        <v>4981</v>
      </c>
    </row>
    <row r="732" spans="1:10" ht="30" customHeight="1" x14ac:dyDescent="0.2">
      <c r="A732" s="2275">
        <v>6409</v>
      </c>
      <c r="B732" s="1156" t="s">
        <v>1876</v>
      </c>
      <c r="C732" s="731">
        <v>0</v>
      </c>
      <c r="D732" s="731">
        <v>0</v>
      </c>
      <c r="E732" s="1145"/>
      <c r="F732" s="738"/>
      <c r="G732" s="1663"/>
      <c r="H732" s="1663"/>
      <c r="I732" s="1662"/>
      <c r="J732" s="29">
        <v>0</v>
      </c>
    </row>
    <row r="733" spans="1:10" ht="30" customHeight="1" x14ac:dyDescent="0.25">
      <c r="A733" s="2373"/>
      <c r="B733" s="763" t="s">
        <v>767</v>
      </c>
      <c r="C733" s="1372">
        <f t="shared" ref="C733:D733" si="75">C734</f>
        <v>15767056</v>
      </c>
      <c r="D733" s="1372">
        <f t="shared" si="75"/>
        <v>16922176</v>
      </c>
      <c r="E733" s="1372"/>
      <c r="F733" s="2421"/>
      <c r="G733" s="2325"/>
      <c r="H733" s="2325"/>
      <c r="I733" s="2325"/>
      <c r="J733" s="29">
        <v>14485277</v>
      </c>
    </row>
    <row r="734" spans="1:10" ht="30" customHeight="1" x14ac:dyDescent="0.2">
      <c r="A734" s="2273"/>
      <c r="B734" s="709" t="s">
        <v>768</v>
      </c>
      <c r="C734" s="1366">
        <f>SUM(C735:C745)</f>
        <v>15767056</v>
      </c>
      <c r="D734" s="1366">
        <f>SUM(D735:D745)</f>
        <v>16922176</v>
      </c>
      <c r="E734" s="1366"/>
      <c r="F734" s="1368"/>
      <c r="G734" s="1663"/>
      <c r="H734" s="1663"/>
      <c r="I734" s="1662"/>
      <c r="J734" s="29">
        <v>14485277</v>
      </c>
    </row>
    <row r="735" spans="1:10" s="98" customFormat="1" ht="30" customHeight="1" x14ac:dyDescent="0.2">
      <c r="A735" s="2273"/>
      <c r="B735" s="737" t="s">
        <v>769</v>
      </c>
      <c r="C735" s="1045">
        <v>190500</v>
      </c>
      <c r="D735" s="1045">
        <v>190500</v>
      </c>
      <c r="E735" s="738"/>
      <c r="F735" s="1045"/>
      <c r="G735" s="2200"/>
      <c r="H735" s="2200"/>
      <c r="I735" s="2201"/>
      <c r="J735" s="29">
        <v>129000</v>
      </c>
    </row>
    <row r="736" spans="1:10" ht="30" customHeight="1" x14ac:dyDescent="0.2">
      <c r="A736" s="2273"/>
      <c r="B736" s="737" t="s">
        <v>770</v>
      </c>
      <c r="C736" s="1077">
        <v>200000</v>
      </c>
      <c r="D736" s="1077">
        <v>200000</v>
      </c>
      <c r="E736" s="738"/>
      <c r="F736" s="1809"/>
      <c r="G736" s="2200"/>
      <c r="H736" s="2200"/>
      <c r="I736" s="2201"/>
      <c r="J736" s="29">
        <v>97800</v>
      </c>
    </row>
    <row r="737" spans="1:11" ht="30" customHeight="1" x14ac:dyDescent="0.2">
      <c r="A737" s="2273"/>
      <c r="B737" s="737" t="s">
        <v>2517</v>
      </c>
      <c r="C737" s="1077">
        <v>12122400</v>
      </c>
      <c r="D737" s="1077">
        <v>12122400</v>
      </c>
      <c r="E737" s="738"/>
      <c r="F737" s="1809"/>
      <c r="G737" s="2200"/>
      <c r="H737" s="2200"/>
      <c r="I737" s="2201"/>
      <c r="J737" s="29">
        <v>8771200</v>
      </c>
    </row>
    <row r="738" spans="1:11" ht="30" customHeight="1" x14ac:dyDescent="0.2">
      <c r="A738" s="2273"/>
      <c r="B738" s="737" t="s">
        <v>2518</v>
      </c>
      <c r="C738" s="1077">
        <v>1736156</v>
      </c>
      <c r="D738" s="1077">
        <f>1736156-462062-502000</f>
        <v>772094</v>
      </c>
      <c r="E738" s="738"/>
      <c r="F738" s="1809"/>
      <c r="G738" s="2200"/>
      <c r="H738" s="2200"/>
      <c r="I738" s="2201"/>
      <c r="J738" s="29">
        <v>1314000</v>
      </c>
    </row>
    <row r="739" spans="1:11" ht="30" customHeight="1" x14ac:dyDescent="0.2">
      <c r="A739" s="2273"/>
      <c r="B739" s="737" t="s">
        <v>773</v>
      </c>
      <c r="C739" s="1077">
        <v>135000</v>
      </c>
      <c r="D739" s="1077">
        <v>135000</v>
      </c>
      <c r="E739" s="738"/>
      <c r="F739" s="1809"/>
      <c r="G739" s="2200"/>
      <c r="H739" s="2200"/>
      <c r="I739" s="2201"/>
      <c r="J739" s="29">
        <v>135000</v>
      </c>
    </row>
    <row r="740" spans="1:11" ht="30" customHeight="1" x14ac:dyDescent="0.2">
      <c r="A740" s="2273"/>
      <c r="B740" s="737" t="s">
        <v>774</v>
      </c>
      <c r="C740" s="1077">
        <v>235000</v>
      </c>
      <c r="D740" s="1077">
        <v>235000</v>
      </c>
      <c r="E740" s="738"/>
      <c r="F740" s="1809"/>
      <c r="G740" s="2200"/>
      <c r="H740" s="2200"/>
      <c r="I740" s="2201"/>
      <c r="J740" s="29">
        <v>235000</v>
      </c>
    </row>
    <row r="741" spans="1:11" ht="30" customHeight="1" x14ac:dyDescent="0.2">
      <c r="A741" s="2273"/>
      <c r="B741" s="737" t="s">
        <v>1879</v>
      </c>
      <c r="C741" s="1077">
        <v>1000000</v>
      </c>
      <c r="D741" s="1077">
        <v>1000000</v>
      </c>
      <c r="E741" s="738"/>
      <c r="F741" s="1809"/>
      <c r="G741" s="2200"/>
      <c r="H741" s="2200"/>
      <c r="I741" s="2201"/>
      <c r="J741" s="29">
        <v>0</v>
      </c>
    </row>
    <row r="742" spans="1:11" customFormat="1" ht="30" customHeight="1" x14ac:dyDescent="0.2">
      <c r="A742" s="2425"/>
      <c r="B742" s="1258" t="s">
        <v>3156</v>
      </c>
      <c r="C742" s="1900">
        <v>0</v>
      </c>
      <c r="D742" s="1900">
        <v>500000</v>
      </c>
      <c r="E742" s="1809"/>
      <c r="F742" s="1864"/>
      <c r="G742" s="2200"/>
      <c r="H742" s="2200"/>
      <c r="I742" s="2201"/>
      <c r="J742" s="88">
        <v>0</v>
      </c>
      <c r="K742" s="2"/>
    </row>
    <row r="743" spans="1:11" ht="30" customHeight="1" x14ac:dyDescent="0.2">
      <c r="A743" s="2221"/>
      <c r="B743" s="737" t="s">
        <v>775</v>
      </c>
      <c r="C743" s="1077">
        <v>100000</v>
      </c>
      <c r="D743" s="1077">
        <f>100000-42350</f>
        <v>57650</v>
      </c>
      <c r="E743" s="738"/>
      <c r="F743" s="1809"/>
      <c r="G743" s="2200"/>
      <c r="H743" s="2200"/>
      <c r="I743" s="2201"/>
      <c r="J743" s="29">
        <v>62424</v>
      </c>
    </row>
    <row r="744" spans="1:11" ht="30" customHeight="1" x14ac:dyDescent="0.2">
      <c r="A744" s="2221"/>
      <c r="B744" s="737" t="s">
        <v>776</v>
      </c>
      <c r="C744" s="1077">
        <v>0</v>
      </c>
      <c r="D744" s="1077">
        <f>214000+23725+4745+40000+10000+60000+335000+462062+502000+10000</f>
        <v>1661532</v>
      </c>
      <c r="E744" s="738"/>
      <c r="F744" s="1077"/>
      <c r="G744" s="2200"/>
      <c r="H744" s="2200"/>
      <c r="I744" s="2201"/>
      <c r="J744" s="29">
        <v>646930</v>
      </c>
    </row>
    <row r="745" spans="1:11" ht="30" customHeight="1" x14ac:dyDescent="0.2">
      <c r="A745" s="2221"/>
      <c r="B745" s="737" t="s">
        <v>1882</v>
      </c>
      <c r="C745" s="1077">
        <v>48000</v>
      </c>
      <c r="D745" s="1077">
        <v>48000</v>
      </c>
      <c r="E745" s="1077"/>
      <c r="F745" s="1809"/>
      <c r="G745" s="2200"/>
      <c r="H745" s="2200"/>
      <c r="I745" s="2201"/>
      <c r="J745" s="29">
        <v>48000</v>
      </c>
    </row>
    <row r="746" spans="1:11" ht="30" customHeight="1" x14ac:dyDescent="0.2">
      <c r="A746" s="2449"/>
      <c r="B746" s="1872"/>
      <c r="C746" s="2043"/>
      <c r="D746" s="2043"/>
      <c r="E746" s="1158"/>
      <c r="F746" s="979"/>
      <c r="G746" s="979"/>
      <c r="H746" s="979"/>
      <c r="I746" s="979"/>
    </row>
    <row r="747" spans="1:11" ht="30" customHeight="1" x14ac:dyDescent="0.3">
      <c r="A747" s="2449"/>
      <c r="B747" s="2056" t="s">
        <v>777</v>
      </c>
      <c r="C747" s="1205">
        <f>C748</f>
        <v>18612000</v>
      </c>
      <c r="D747" s="1205">
        <f>D748</f>
        <v>19169000</v>
      </c>
      <c r="E747" s="2057"/>
      <c r="F747" s="2384"/>
      <c r="G747" s="949"/>
      <c r="H747" s="949"/>
      <c r="I747" s="949"/>
      <c r="J747" s="29">
        <v>16803702.239999998</v>
      </c>
    </row>
    <row r="748" spans="1:11" ht="30" customHeight="1" x14ac:dyDescent="0.2">
      <c r="A748" s="2275">
        <v>4351</v>
      </c>
      <c r="B748" s="709" t="s">
        <v>778</v>
      </c>
      <c r="C748" s="1376">
        <f>SUM(C749:C751)</f>
        <v>18612000</v>
      </c>
      <c r="D748" s="1376">
        <f>SUM(D749:D751)</f>
        <v>19169000</v>
      </c>
      <c r="E748" s="1376"/>
      <c r="F748" s="2450"/>
      <c r="G748" s="1663"/>
      <c r="H748" s="1663"/>
      <c r="I748" s="1662"/>
      <c r="J748" s="29">
        <v>16803702.239999998</v>
      </c>
    </row>
    <row r="749" spans="1:11" ht="60.75" x14ac:dyDescent="0.2">
      <c r="A749" s="2223"/>
      <c r="B749" s="1353" t="s">
        <v>2519</v>
      </c>
      <c r="C749" s="1368">
        <f>8493500+32200+282000</f>
        <v>8807700</v>
      </c>
      <c r="D749" s="1368">
        <f>8493500+32200+282000+2980000+536000+(-682000-2624000)</f>
        <v>9017700</v>
      </c>
      <c r="E749" s="750"/>
      <c r="F749" s="750"/>
      <c r="G749" s="2200"/>
      <c r="H749" s="2200"/>
      <c r="I749" s="2201"/>
      <c r="J749" s="1866">
        <v>7134088.9400000004</v>
      </c>
    </row>
    <row r="750" spans="1:11" ht="48.75" x14ac:dyDescent="0.2">
      <c r="A750" s="2223"/>
      <c r="B750" s="1353" t="s">
        <v>2520</v>
      </c>
      <c r="C750" s="1368">
        <f>2332000+16100+66900</f>
        <v>2415000</v>
      </c>
      <c r="D750" s="1368">
        <f>2332000+16100+66900+586000+158000+(-133000-503000)</f>
        <v>2523000</v>
      </c>
      <c r="E750" s="1045"/>
      <c r="F750" s="1045"/>
      <c r="G750" s="2200"/>
      <c r="H750" s="2200"/>
      <c r="I750" s="2201"/>
      <c r="J750" s="1866">
        <v>1909961.88</v>
      </c>
    </row>
    <row r="751" spans="1:11" ht="36.75" x14ac:dyDescent="0.2">
      <c r="A751" s="2221"/>
      <c r="B751" s="1353" t="s">
        <v>2521</v>
      </c>
      <c r="C751" s="1368">
        <f>7117500+33400+238400</f>
        <v>7389300</v>
      </c>
      <c r="D751" s="1368">
        <f>7117500+33400+238400+1065000+244000+(-268000-802000)</f>
        <v>7628300</v>
      </c>
      <c r="E751" s="738"/>
      <c r="F751" s="738"/>
      <c r="G751" s="2200"/>
      <c r="H751" s="2200"/>
      <c r="I751" s="2201"/>
      <c r="J751" s="1866">
        <v>5800904.0899999999</v>
      </c>
    </row>
    <row r="752" spans="1:11" ht="30" customHeight="1" x14ac:dyDescent="0.2">
      <c r="A752" s="2419"/>
      <c r="B752" s="1383"/>
      <c r="C752" s="1384"/>
      <c r="D752" s="1384"/>
      <c r="E752" s="682"/>
      <c r="F752" s="2451"/>
      <c r="G752" s="2452"/>
      <c r="H752" s="2452"/>
      <c r="I752" s="1384"/>
    </row>
    <row r="753" spans="1:10" ht="30" customHeight="1" x14ac:dyDescent="0.3">
      <c r="A753" s="2373"/>
      <c r="B753" s="701" t="s">
        <v>2117</v>
      </c>
      <c r="C753" s="1217">
        <f>SUM(C754,C755,C756,C757,C758,C759,C760,C761,C766,C767,C768,C773,C774)</f>
        <v>72242000</v>
      </c>
      <c r="D753" s="1217">
        <f>SUM(D754,D755,D756,D757,D758,D759,D760,D761,D766,D767,D768,D773,D774)</f>
        <v>72703526.5</v>
      </c>
      <c r="E753" s="1217"/>
      <c r="F753" s="2411"/>
      <c r="G753" s="949"/>
      <c r="H753" s="949"/>
      <c r="I753" s="949"/>
      <c r="J753" s="29">
        <v>68882902.25</v>
      </c>
    </row>
    <row r="754" spans="1:10" ht="30" customHeight="1" x14ac:dyDescent="0.2">
      <c r="A754" s="2219">
        <v>1014</v>
      </c>
      <c r="B754" s="709" t="s">
        <v>2523</v>
      </c>
      <c r="C754" s="731">
        <v>490000</v>
      </c>
      <c r="D754" s="731">
        <f>490000+50000</f>
        <v>540000</v>
      </c>
      <c r="E754" s="172"/>
      <c r="F754" s="738"/>
      <c r="G754" s="1663"/>
      <c r="H754" s="1663"/>
      <c r="I754" s="1662"/>
      <c r="J754" s="29">
        <v>371943</v>
      </c>
    </row>
    <row r="755" spans="1:10" ht="30" customHeight="1" x14ac:dyDescent="0.2">
      <c r="A755" s="2221">
        <v>1031</v>
      </c>
      <c r="B755" s="717" t="s">
        <v>2524</v>
      </c>
      <c r="C755" s="731">
        <v>750000</v>
      </c>
      <c r="D755" s="731">
        <v>750000</v>
      </c>
      <c r="E755" s="181"/>
      <c r="F755" s="750"/>
      <c r="G755" s="1663"/>
      <c r="H755" s="1663"/>
      <c r="I755" s="1662"/>
      <c r="J755" s="29">
        <v>487986.83</v>
      </c>
    </row>
    <row r="756" spans="1:10" ht="30" customHeight="1" x14ac:dyDescent="0.2">
      <c r="A756" s="2221">
        <v>1036</v>
      </c>
      <c r="B756" s="717" t="s">
        <v>2525</v>
      </c>
      <c r="C756" s="731">
        <v>120000</v>
      </c>
      <c r="D756" s="731">
        <v>120000</v>
      </c>
      <c r="E756" s="181"/>
      <c r="F756" s="750"/>
      <c r="G756" s="1663"/>
      <c r="H756" s="1663"/>
      <c r="I756" s="1662"/>
      <c r="J756" s="29">
        <v>131667.28</v>
      </c>
    </row>
    <row r="757" spans="1:10" s="244" customFormat="1" ht="30" customHeight="1" x14ac:dyDescent="0.25">
      <c r="A757" s="2221">
        <v>1037</v>
      </c>
      <c r="B757" s="717" t="s">
        <v>2526</v>
      </c>
      <c r="C757" s="731">
        <v>28000</v>
      </c>
      <c r="D757" s="731">
        <f>28000+50000-50000</f>
        <v>28000</v>
      </c>
      <c r="E757" s="181"/>
      <c r="F757" s="1042"/>
      <c r="G757" s="1663"/>
      <c r="H757" s="1663"/>
      <c r="I757" s="1662"/>
      <c r="J757" s="29">
        <v>24668</v>
      </c>
    </row>
    <row r="758" spans="1:10" s="98" customFormat="1" ht="30" customHeight="1" x14ac:dyDescent="0.2">
      <c r="A758" s="2221">
        <v>1039</v>
      </c>
      <c r="B758" s="717" t="s">
        <v>2527</v>
      </c>
      <c r="C758" s="731">
        <v>260000</v>
      </c>
      <c r="D758" s="731">
        <v>260000</v>
      </c>
      <c r="E758" s="181"/>
      <c r="F758" s="750"/>
      <c r="G758" s="1663"/>
      <c r="H758" s="1663"/>
      <c r="I758" s="1662"/>
      <c r="J758" s="29">
        <v>378851.97</v>
      </c>
    </row>
    <row r="759" spans="1:10" s="98" customFormat="1" ht="30" customHeight="1" x14ac:dyDescent="0.2">
      <c r="A759" s="2221">
        <v>2369</v>
      </c>
      <c r="B759" s="717" t="s">
        <v>2528</v>
      </c>
      <c r="C759" s="731">
        <v>370000</v>
      </c>
      <c r="D759" s="731">
        <v>370000</v>
      </c>
      <c r="E759" s="181"/>
      <c r="F759" s="738"/>
      <c r="G759" s="1663"/>
      <c r="H759" s="1663"/>
      <c r="I759" s="1662"/>
      <c r="J759" s="29">
        <v>139699.92000000001</v>
      </c>
    </row>
    <row r="760" spans="1:10" s="98" customFormat="1" ht="30" customHeight="1" x14ac:dyDescent="0.2">
      <c r="A760" s="2221">
        <v>3721</v>
      </c>
      <c r="B760" s="717" t="s">
        <v>2529</v>
      </c>
      <c r="C760" s="731">
        <v>50000</v>
      </c>
      <c r="D760" s="731">
        <v>50000</v>
      </c>
      <c r="E760" s="181"/>
      <c r="F760" s="750"/>
      <c r="G760" s="1663"/>
      <c r="H760" s="1663"/>
      <c r="I760" s="1662"/>
      <c r="J760" s="29">
        <v>50000</v>
      </c>
    </row>
    <row r="761" spans="1:10" s="98" customFormat="1" ht="30" customHeight="1" x14ac:dyDescent="0.2">
      <c r="A761" s="2221">
        <v>3722</v>
      </c>
      <c r="B761" s="717" t="s">
        <v>789</v>
      </c>
      <c r="C761" s="726">
        <f>SUM(C762:C765)</f>
        <v>46605000</v>
      </c>
      <c r="D761" s="726">
        <f>SUM(D762:D765)</f>
        <v>46384650</v>
      </c>
      <c r="E761" s="181"/>
      <c r="F761" s="750"/>
      <c r="G761" s="1663"/>
      <c r="H761" s="1663"/>
      <c r="I761" s="1662"/>
      <c r="J761" s="29">
        <v>40554312.630000003</v>
      </c>
    </row>
    <row r="762" spans="1:10" s="98" customFormat="1" ht="30" customHeight="1" x14ac:dyDescent="0.2">
      <c r="A762" s="2221"/>
      <c r="B762" s="1035" t="s">
        <v>2530</v>
      </c>
      <c r="C762" s="738">
        <v>32350000</v>
      </c>
      <c r="D762" s="738">
        <f>32350000+21950+700000-500000</f>
        <v>32571950</v>
      </c>
      <c r="E762" s="178"/>
      <c r="F762" s="750"/>
      <c r="G762" s="2200"/>
      <c r="H762" s="2200"/>
      <c r="I762" s="2201"/>
      <c r="J762" s="29">
        <v>30260970</v>
      </c>
    </row>
    <row r="763" spans="1:10" s="98" customFormat="1" ht="30" customHeight="1" x14ac:dyDescent="0.2">
      <c r="A763" s="2221"/>
      <c r="B763" s="1035" t="s">
        <v>2531</v>
      </c>
      <c r="C763" s="738">
        <v>1910000</v>
      </c>
      <c r="D763" s="738">
        <v>1910000</v>
      </c>
      <c r="E763" s="178"/>
      <c r="F763" s="750"/>
      <c r="G763" s="2200"/>
      <c r="H763" s="2200"/>
      <c r="I763" s="2201"/>
      <c r="J763" s="29">
        <v>0</v>
      </c>
    </row>
    <row r="764" spans="1:10" s="98" customFormat="1" ht="30" customHeight="1" x14ac:dyDescent="0.2">
      <c r="A764" s="2221"/>
      <c r="B764" s="1035" t="s">
        <v>2532</v>
      </c>
      <c r="C764" s="738">
        <v>2695000</v>
      </c>
      <c r="D764" s="738">
        <f>2695000+30000+470000+250000+10000</f>
        <v>3455000</v>
      </c>
      <c r="E764" s="178"/>
      <c r="F764" s="750"/>
      <c r="G764" s="2200"/>
      <c r="H764" s="2200"/>
      <c r="I764" s="2201"/>
      <c r="J764" s="29">
        <v>2541707.63</v>
      </c>
    </row>
    <row r="765" spans="1:10" s="98" customFormat="1" ht="30" customHeight="1" x14ac:dyDescent="0.2">
      <c r="A765" s="2221"/>
      <c r="B765" s="749" t="s">
        <v>2533</v>
      </c>
      <c r="C765" s="738">
        <v>9650000</v>
      </c>
      <c r="D765" s="738">
        <f>9650000-1202300</f>
        <v>8447700</v>
      </c>
      <c r="E765" s="178"/>
      <c r="F765" s="750"/>
      <c r="G765" s="2200"/>
      <c r="H765" s="2200"/>
      <c r="I765" s="2201"/>
      <c r="J765" s="1866">
        <v>7751635</v>
      </c>
    </row>
    <row r="766" spans="1:10" s="98" customFormat="1" ht="30" customHeight="1" x14ac:dyDescent="0.2">
      <c r="A766" s="2221">
        <v>3733</v>
      </c>
      <c r="B766" s="717" t="s">
        <v>2534</v>
      </c>
      <c r="C766" s="731">
        <v>65000</v>
      </c>
      <c r="D766" s="731">
        <v>65000</v>
      </c>
      <c r="E766" s="181"/>
      <c r="F766" s="750"/>
      <c r="G766" s="1663"/>
      <c r="H766" s="1663"/>
      <c r="I766" s="1662"/>
      <c r="J766" s="29">
        <v>45195</v>
      </c>
    </row>
    <row r="767" spans="1:10" s="98" customFormat="1" ht="30" customHeight="1" x14ac:dyDescent="0.2">
      <c r="A767" s="2221">
        <v>3742</v>
      </c>
      <c r="B767" s="725" t="s">
        <v>2535</v>
      </c>
      <c r="C767" s="731">
        <v>100000</v>
      </c>
      <c r="D767" s="731">
        <f>100000-50000</f>
        <v>50000</v>
      </c>
      <c r="E767" s="1387"/>
      <c r="F767" s="1042"/>
      <c r="G767" s="1663"/>
      <c r="H767" s="1663"/>
      <c r="I767" s="1662"/>
      <c r="J767" s="29">
        <v>0</v>
      </c>
    </row>
    <row r="768" spans="1:10" s="98" customFormat="1" ht="30" customHeight="1" x14ac:dyDescent="0.2">
      <c r="A768" s="2221">
        <v>3745</v>
      </c>
      <c r="B768" s="717" t="s">
        <v>796</v>
      </c>
      <c r="C768" s="726">
        <f>SUM(C769:C772)</f>
        <v>23089000</v>
      </c>
      <c r="D768" s="726">
        <f>SUM(D769:D772)</f>
        <v>23743449</v>
      </c>
      <c r="E768" s="181"/>
      <c r="F768" s="750"/>
      <c r="G768" s="1663"/>
      <c r="H768" s="1663"/>
      <c r="I768" s="1662"/>
      <c r="J768" s="29">
        <v>24921969.149999999</v>
      </c>
    </row>
    <row r="769" spans="1:244" s="98" customFormat="1" ht="30" customHeight="1" x14ac:dyDescent="0.2">
      <c r="A769" s="2221"/>
      <c r="B769" s="1035" t="s">
        <v>1895</v>
      </c>
      <c r="C769" s="738">
        <v>260000</v>
      </c>
      <c r="D769" s="738">
        <v>260000</v>
      </c>
      <c r="E769" s="384"/>
      <c r="F769" s="738"/>
      <c r="G769" s="2200"/>
      <c r="H769" s="2200"/>
      <c r="I769" s="2201"/>
      <c r="J769" s="29">
        <v>248170</v>
      </c>
    </row>
    <row r="770" spans="1:244" s="98" customFormat="1" ht="30" customHeight="1" x14ac:dyDescent="0.2">
      <c r="A770" s="2223"/>
      <c r="B770" s="1035" t="s">
        <v>2536</v>
      </c>
      <c r="C770" s="738">
        <v>20700000</v>
      </c>
      <c r="D770" s="738">
        <f>20700000+700000</f>
        <v>21400000</v>
      </c>
      <c r="E770" s="384"/>
      <c r="F770" s="738"/>
      <c r="G770" s="2200"/>
      <c r="H770" s="2200"/>
      <c r="I770" s="2201"/>
      <c r="J770" s="29">
        <v>19900000</v>
      </c>
    </row>
    <row r="771" spans="1:244" s="98" customFormat="1" ht="30" customHeight="1" x14ac:dyDescent="0.2">
      <c r="A771" s="2223"/>
      <c r="B771" s="1035" t="s">
        <v>2537</v>
      </c>
      <c r="C771" s="738">
        <v>1979000</v>
      </c>
      <c r="D771" s="738">
        <v>1979000</v>
      </c>
      <c r="E771" s="178"/>
      <c r="F771" s="750"/>
      <c r="G771" s="2200"/>
      <c r="H771" s="2200"/>
      <c r="I771" s="2201"/>
      <c r="J771" s="29">
        <v>2283817.62</v>
      </c>
    </row>
    <row r="772" spans="1:244" s="98" customFormat="1" ht="30" customHeight="1" x14ac:dyDescent="0.2">
      <c r="A772" s="2221"/>
      <c r="B772" s="749" t="s">
        <v>2538</v>
      </c>
      <c r="C772" s="738">
        <v>150000</v>
      </c>
      <c r="D772" s="738">
        <f>150000+50000-18123.69-77427.31</f>
        <v>104449</v>
      </c>
      <c r="E772" s="384"/>
      <c r="F772" s="738"/>
      <c r="G772" s="2200"/>
      <c r="H772" s="2200"/>
      <c r="I772" s="2201"/>
      <c r="J772" s="29">
        <v>2489981.56</v>
      </c>
    </row>
    <row r="773" spans="1:244" ht="30" customHeight="1" x14ac:dyDescent="0.2">
      <c r="A773" s="2221">
        <v>3792</v>
      </c>
      <c r="B773" s="1236" t="s">
        <v>2539</v>
      </c>
      <c r="C773" s="731">
        <v>215000</v>
      </c>
      <c r="D773" s="731">
        <v>215000</v>
      </c>
      <c r="E773" s="181"/>
      <c r="F773" s="1042"/>
      <c r="G773" s="1663"/>
      <c r="H773" s="1663"/>
      <c r="I773" s="1662"/>
      <c r="J773" s="29">
        <v>103108.44</v>
      </c>
    </row>
    <row r="774" spans="1:244" ht="30" customHeight="1" x14ac:dyDescent="0.25">
      <c r="A774" s="2453"/>
      <c r="B774" s="690" t="s">
        <v>1897</v>
      </c>
      <c r="C774" s="1390">
        <f t="shared" ref="C774:D774" si="76">SUM(C775:C775)</f>
        <v>100000</v>
      </c>
      <c r="D774" s="1390">
        <f t="shared" si="76"/>
        <v>127427.5</v>
      </c>
      <c r="E774" s="1390"/>
      <c r="F774" s="2454"/>
      <c r="G774" s="2325"/>
      <c r="H774" s="2325"/>
      <c r="I774" s="2325"/>
      <c r="J774" s="29">
        <v>40000</v>
      </c>
    </row>
    <row r="775" spans="1:244" ht="30" customHeight="1" x14ac:dyDescent="0.2">
      <c r="A775" s="2455" t="s">
        <v>1898</v>
      </c>
      <c r="B775" s="2061" t="s">
        <v>1899</v>
      </c>
      <c r="C775" s="765">
        <v>100000</v>
      </c>
      <c r="D775" s="765">
        <f>100000+27427.5</f>
        <v>127427.5</v>
      </c>
      <c r="E775" s="1139"/>
      <c r="F775" s="2424"/>
      <c r="G775" s="1656"/>
      <c r="H775" s="1656"/>
      <c r="I775" s="1656"/>
      <c r="J775" s="29">
        <v>40000</v>
      </c>
    </row>
    <row r="776" spans="1:244" ht="30" customHeight="1" x14ac:dyDescent="0.2">
      <c r="A776" s="2456"/>
      <c r="B776" s="2063"/>
      <c r="C776" s="758"/>
      <c r="D776" s="758"/>
      <c r="E776" s="1399"/>
      <c r="F776" s="1158"/>
      <c r="G776" s="1048"/>
      <c r="H776" s="1048"/>
      <c r="I776" s="758"/>
    </row>
    <row r="777" spans="1:244" ht="30" customHeight="1" x14ac:dyDescent="0.3">
      <c r="A777" s="2457"/>
      <c r="B777" s="2056" t="s">
        <v>803</v>
      </c>
      <c r="C777" s="1403">
        <f>SUM(C778,C779,C802,C824,C862,C870,C871,C875)</f>
        <v>130474000</v>
      </c>
      <c r="D777" s="1403">
        <f>SUM(D778,D779,D802,D824,D862,D870,D871,D875)</f>
        <v>139851683.86000001</v>
      </c>
      <c r="E777" s="1403"/>
      <c r="F777" s="2361"/>
      <c r="G777" s="949"/>
      <c r="H777" s="949"/>
      <c r="I777" s="949"/>
      <c r="J777" s="88">
        <v>120915025.08</v>
      </c>
      <c r="K777" s="2"/>
      <c r="L777"/>
      <c r="M777"/>
      <c r="N777"/>
      <c r="O777"/>
      <c r="P777"/>
      <c r="Q777"/>
      <c r="R777"/>
      <c r="S777"/>
      <c r="T777"/>
      <c r="U777"/>
      <c r="V777"/>
      <c r="W777"/>
      <c r="X777"/>
      <c r="Y777"/>
      <c r="Z777"/>
      <c r="AA777"/>
      <c r="AB777"/>
      <c r="AC777"/>
      <c r="AD777"/>
      <c r="AE777"/>
      <c r="AF777"/>
      <c r="AG777"/>
      <c r="AH777"/>
      <c r="AI777"/>
      <c r="AJ777"/>
      <c r="AK777"/>
      <c r="AL777"/>
      <c r="AM777"/>
      <c r="AN777"/>
      <c r="AO777"/>
      <c r="AP777"/>
      <c r="AQ777"/>
      <c r="AR777"/>
      <c r="AS777"/>
      <c r="AT777"/>
      <c r="AU777"/>
      <c r="AV777"/>
      <c r="AW777"/>
      <c r="AX777"/>
      <c r="AY777"/>
      <c r="AZ777"/>
      <c r="BA777"/>
      <c r="BB777"/>
      <c r="BC777"/>
      <c r="BD777"/>
      <c r="BE777"/>
      <c r="BF777"/>
      <c r="BG777"/>
      <c r="BH777"/>
      <c r="BI777"/>
      <c r="BJ777"/>
      <c r="BK777"/>
      <c r="BL777"/>
      <c r="BM777"/>
      <c r="BN777"/>
      <c r="BO777"/>
      <c r="BP777"/>
      <c r="BQ777"/>
      <c r="BR777"/>
      <c r="BS777"/>
      <c r="BT777"/>
      <c r="BU777"/>
      <c r="BV777"/>
      <c r="BW777"/>
      <c r="BX777"/>
      <c r="BY777"/>
      <c r="BZ777"/>
      <c r="CA777"/>
      <c r="CB777"/>
      <c r="CC777"/>
      <c r="CD777"/>
      <c r="CE777"/>
      <c r="CF777"/>
      <c r="CG777"/>
      <c r="CH777"/>
      <c r="CI777"/>
      <c r="CJ777"/>
      <c r="CK777"/>
      <c r="CL777"/>
      <c r="CM777"/>
      <c r="CN777"/>
      <c r="CO777"/>
      <c r="CP777"/>
      <c r="CQ777"/>
      <c r="CR777"/>
      <c r="CS777"/>
      <c r="CT777"/>
      <c r="CU777"/>
      <c r="CV777"/>
      <c r="CW777"/>
      <c r="CX777"/>
      <c r="CY777"/>
      <c r="CZ777"/>
      <c r="DA777"/>
      <c r="DB777"/>
      <c r="DC777"/>
      <c r="DD777"/>
      <c r="DE777"/>
      <c r="DF777"/>
      <c r="DG777"/>
      <c r="DH777"/>
      <c r="DI777"/>
      <c r="DJ777"/>
      <c r="DK777"/>
      <c r="DL777"/>
      <c r="DM777"/>
      <c r="DN777"/>
      <c r="DO777"/>
      <c r="DP777"/>
      <c r="DQ777"/>
      <c r="DR777"/>
      <c r="DS777"/>
      <c r="DT777"/>
      <c r="DU777"/>
      <c r="DV777"/>
      <c r="DW777"/>
      <c r="DX777"/>
      <c r="DY777"/>
      <c r="DZ777"/>
      <c r="EA777"/>
      <c r="EB777"/>
      <c r="EC777"/>
      <c r="ED777"/>
      <c r="EE777"/>
      <c r="EF777"/>
      <c r="EG777"/>
      <c r="EH777"/>
      <c r="EI777"/>
      <c r="EJ777"/>
      <c r="EK777"/>
      <c r="EL777"/>
      <c r="EM777"/>
      <c r="EN777"/>
      <c r="EO777"/>
      <c r="EP777"/>
      <c r="EQ777"/>
      <c r="ER777"/>
      <c r="ES777"/>
      <c r="ET777"/>
      <c r="EU777"/>
      <c r="EV777"/>
      <c r="EW777"/>
      <c r="EX777"/>
      <c r="EY777"/>
      <c r="EZ777"/>
      <c r="FA777"/>
      <c r="FB777"/>
      <c r="FC777"/>
      <c r="FD777"/>
      <c r="FE777"/>
      <c r="FF777"/>
      <c r="FG777"/>
      <c r="FH777"/>
      <c r="FI777"/>
      <c r="FJ777"/>
      <c r="FK777"/>
      <c r="FL777"/>
      <c r="FM777"/>
      <c r="FN777"/>
      <c r="FO777"/>
      <c r="FP777"/>
      <c r="FQ777"/>
      <c r="FR777"/>
      <c r="FS777"/>
      <c r="FT777"/>
      <c r="FU777"/>
      <c r="FV777"/>
      <c r="FW777"/>
      <c r="FX777"/>
      <c r="FY777"/>
      <c r="FZ777"/>
      <c r="GA777"/>
      <c r="GB777"/>
      <c r="GC777"/>
      <c r="GD777"/>
      <c r="GE777"/>
      <c r="GF777"/>
      <c r="GG777"/>
      <c r="GH777"/>
      <c r="GI777"/>
      <c r="GJ777"/>
      <c r="GK777"/>
      <c r="GL777"/>
      <c r="GM777"/>
      <c r="GN777"/>
      <c r="GO777"/>
      <c r="GP777"/>
      <c r="GQ777"/>
      <c r="GR777"/>
      <c r="GS777"/>
      <c r="GT777"/>
      <c r="GU777"/>
      <c r="GV777"/>
      <c r="GW777"/>
      <c r="GX777"/>
      <c r="GY777"/>
      <c r="GZ777"/>
      <c r="HA777"/>
      <c r="HB777"/>
      <c r="HC777"/>
      <c r="HD777"/>
      <c r="HE777"/>
      <c r="HF777"/>
      <c r="HG777"/>
      <c r="HH777"/>
      <c r="HI777"/>
      <c r="HJ777"/>
      <c r="HK777"/>
      <c r="HL777"/>
      <c r="HM777"/>
      <c r="HN777"/>
      <c r="HO777"/>
      <c r="HP777"/>
      <c r="HQ777"/>
      <c r="HR777"/>
      <c r="HS777"/>
      <c r="HT777"/>
      <c r="HU777"/>
      <c r="HV777"/>
      <c r="HW777"/>
      <c r="HX777"/>
      <c r="HY777"/>
      <c r="HZ777"/>
      <c r="IA777"/>
      <c r="IB777"/>
      <c r="IC777"/>
      <c r="ID777"/>
      <c r="IE777"/>
      <c r="IF777"/>
      <c r="IG777"/>
      <c r="IH777"/>
      <c r="II777"/>
      <c r="IJ777"/>
    </row>
    <row r="778" spans="1:244" ht="30" customHeight="1" x14ac:dyDescent="0.2">
      <c r="A778" s="2458">
        <v>3122</v>
      </c>
      <c r="B778" s="2065" t="s">
        <v>1902</v>
      </c>
      <c r="C778" s="2067">
        <v>450000</v>
      </c>
      <c r="D778" s="2067">
        <f>450000+500000</f>
        <v>950000</v>
      </c>
      <c r="E778" s="2066"/>
      <c r="F778" s="1809"/>
      <c r="G778" s="1663"/>
      <c r="H778" s="1663"/>
      <c r="I778" s="1662"/>
      <c r="J778" s="88">
        <v>345109.16</v>
      </c>
      <c r="K778" s="2"/>
      <c r="L778"/>
      <c r="M778"/>
      <c r="N778"/>
      <c r="O778"/>
      <c r="P778"/>
      <c r="Q778"/>
      <c r="R778"/>
      <c r="S778"/>
      <c r="T778"/>
      <c r="U778"/>
      <c r="V778"/>
      <c r="W778"/>
      <c r="X778"/>
      <c r="Y778"/>
      <c r="Z778"/>
      <c r="AA778"/>
      <c r="AB778"/>
      <c r="AC778"/>
      <c r="AD778"/>
      <c r="AE778"/>
      <c r="AF778"/>
      <c r="AG778"/>
      <c r="AH778"/>
      <c r="AI778"/>
      <c r="AJ778"/>
      <c r="AK778"/>
      <c r="AL778"/>
      <c r="AM778"/>
      <c r="AN778"/>
      <c r="AO778"/>
      <c r="AP778"/>
      <c r="AQ778"/>
      <c r="AR778"/>
      <c r="AS778"/>
      <c r="AT778"/>
      <c r="AU778"/>
      <c r="AV778"/>
      <c r="AW778"/>
      <c r="AX778"/>
      <c r="AY778"/>
      <c r="AZ778"/>
      <c r="BA778"/>
      <c r="BB778"/>
      <c r="BC778"/>
      <c r="BD778"/>
      <c r="BE778"/>
      <c r="BF778"/>
      <c r="BG778"/>
      <c r="BH778"/>
      <c r="BI778"/>
      <c r="BJ778"/>
      <c r="BK778"/>
      <c r="BL778"/>
      <c r="BM778"/>
      <c r="BN778"/>
      <c r="BO778"/>
      <c r="BP778"/>
      <c r="BQ778"/>
      <c r="BR778"/>
      <c r="BS778"/>
      <c r="BT778"/>
      <c r="BU778"/>
      <c r="BV778"/>
      <c r="BW778"/>
      <c r="BX778"/>
      <c r="BY778"/>
      <c r="BZ778"/>
      <c r="CA778"/>
      <c r="CB778"/>
      <c r="CC778"/>
      <c r="CD778"/>
      <c r="CE778"/>
      <c r="CF778"/>
      <c r="CG778"/>
      <c r="CH778"/>
      <c r="CI778"/>
      <c r="CJ778"/>
      <c r="CK778"/>
      <c r="CL778"/>
      <c r="CM778"/>
      <c r="CN778"/>
      <c r="CO778"/>
      <c r="CP778"/>
      <c r="CQ778"/>
      <c r="CR778"/>
      <c r="CS778"/>
      <c r="CT778"/>
      <c r="CU778"/>
      <c r="CV778"/>
      <c r="CW778"/>
      <c r="CX778"/>
      <c r="CY778"/>
      <c r="CZ778"/>
      <c r="DA778"/>
      <c r="DB778"/>
      <c r="DC778"/>
      <c r="DD778"/>
      <c r="DE778"/>
      <c r="DF778"/>
      <c r="DG778"/>
      <c r="DH778"/>
      <c r="DI778"/>
      <c r="DJ778"/>
      <c r="DK778"/>
      <c r="DL778"/>
      <c r="DM778"/>
      <c r="DN778"/>
      <c r="DO778"/>
      <c r="DP778"/>
      <c r="DQ778"/>
      <c r="DR778"/>
      <c r="DS778"/>
      <c r="DT778"/>
      <c r="DU778"/>
      <c r="DV778"/>
      <c r="DW778"/>
      <c r="DX778"/>
      <c r="DY778"/>
      <c r="DZ778"/>
      <c r="EA778"/>
      <c r="EB778"/>
      <c r="EC778"/>
      <c r="ED778"/>
      <c r="EE778"/>
      <c r="EF778"/>
      <c r="EG778"/>
      <c r="EH778"/>
      <c r="EI778"/>
      <c r="EJ778"/>
      <c r="EK778"/>
      <c r="EL778"/>
      <c r="EM778"/>
      <c r="EN778"/>
      <c r="EO778"/>
      <c r="EP778"/>
      <c r="EQ778"/>
      <c r="ER778"/>
      <c r="ES778"/>
      <c r="ET778"/>
      <c r="EU778"/>
      <c r="EV778"/>
      <c r="EW778"/>
      <c r="EX778"/>
      <c r="EY778"/>
      <c r="EZ778"/>
      <c r="FA778"/>
      <c r="FB778"/>
      <c r="FC778"/>
      <c r="FD778"/>
      <c r="FE778"/>
      <c r="FF778"/>
      <c r="FG778"/>
      <c r="FH778"/>
      <c r="FI778"/>
      <c r="FJ778"/>
      <c r="FK778"/>
      <c r="FL778"/>
      <c r="FM778"/>
      <c r="FN778"/>
      <c r="FO778"/>
      <c r="FP778"/>
      <c r="FQ778"/>
      <c r="FR778"/>
      <c r="FS778"/>
      <c r="FT778"/>
      <c r="FU778"/>
      <c r="FV778"/>
      <c r="FW778"/>
      <c r="FX778"/>
      <c r="FY778"/>
      <c r="FZ778"/>
      <c r="GA778"/>
      <c r="GB778"/>
      <c r="GC778"/>
      <c r="GD778"/>
      <c r="GE778"/>
      <c r="GF778"/>
      <c r="GG778"/>
      <c r="GH778"/>
      <c r="GI778"/>
      <c r="GJ778"/>
      <c r="GK778"/>
      <c r="GL778"/>
      <c r="GM778"/>
      <c r="GN778"/>
      <c r="GO778"/>
      <c r="GP778"/>
      <c r="GQ778"/>
      <c r="GR778"/>
      <c r="GS778"/>
      <c r="GT778"/>
      <c r="GU778"/>
      <c r="GV778"/>
      <c r="GW778"/>
      <c r="GX778"/>
      <c r="GY778"/>
      <c r="GZ778"/>
      <c r="HA778"/>
      <c r="HB778"/>
      <c r="HC778"/>
      <c r="HD778"/>
      <c r="HE778"/>
      <c r="HF778"/>
      <c r="HG778"/>
      <c r="HH778"/>
      <c r="HI778"/>
      <c r="HJ778"/>
      <c r="HK778"/>
      <c r="HL778"/>
      <c r="HM778"/>
      <c r="HN778"/>
      <c r="HO778"/>
      <c r="HP778"/>
      <c r="HQ778"/>
      <c r="HR778"/>
      <c r="HS778"/>
      <c r="HT778"/>
      <c r="HU778"/>
      <c r="HV778"/>
      <c r="HW778"/>
      <c r="HX778"/>
      <c r="HY778"/>
      <c r="HZ778"/>
      <c r="IA778"/>
      <c r="IB778"/>
      <c r="IC778"/>
      <c r="ID778"/>
      <c r="IE778"/>
      <c r="IF778"/>
      <c r="IG778"/>
      <c r="IH778"/>
      <c r="II778"/>
      <c r="IJ778"/>
    </row>
    <row r="779" spans="1:244" ht="30" customHeight="1" x14ac:dyDescent="0.2">
      <c r="A779" s="2391">
        <v>3412</v>
      </c>
      <c r="B779" s="2069" t="s">
        <v>805</v>
      </c>
      <c r="C779" s="2070">
        <f>C780+C792</f>
        <v>52960000</v>
      </c>
      <c r="D779" s="2070">
        <f>D780+D792</f>
        <v>53962566.329999998</v>
      </c>
      <c r="E779" s="2070"/>
      <c r="F779" s="1077"/>
      <c r="G779" s="1663"/>
      <c r="H779" s="1663"/>
      <c r="I779" s="1662"/>
      <c r="J779" s="88">
        <v>50786503</v>
      </c>
      <c r="K779" s="2"/>
      <c r="L779"/>
      <c r="M779"/>
      <c r="N779"/>
      <c r="O779"/>
      <c r="P779"/>
      <c r="Q779"/>
      <c r="R779"/>
      <c r="S779"/>
      <c r="T779"/>
      <c r="U779"/>
      <c r="V779"/>
      <c r="W779"/>
      <c r="X779"/>
      <c r="Y779"/>
      <c r="Z779"/>
      <c r="AA779"/>
      <c r="AB779"/>
      <c r="AC779"/>
      <c r="AD779"/>
      <c r="AE779"/>
      <c r="AF779"/>
      <c r="AG779"/>
      <c r="AH779"/>
      <c r="AI779"/>
      <c r="AJ779"/>
      <c r="AK779"/>
      <c r="AL779"/>
      <c r="AM779"/>
      <c r="AN779"/>
      <c r="AO779"/>
      <c r="AP779"/>
      <c r="AQ779"/>
      <c r="AR779"/>
      <c r="AS779"/>
      <c r="AT779"/>
      <c r="AU779"/>
      <c r="AV779"/>
      <c r="AW779"/>
      <c r="AX779"/>
      <c r="AY779"/>
      <c r="AZ779"/>
      <c r="BA779"/>
      <c r="BB779"/>
      <c r="BC779"/>
      <c r="BD779"/>
      <c r="BE779"/>
      <c r="BF779"/>
      <c r="BG779"/>
      <c r="BH779"/>
      <c r="BI779"/>
      <c r="BJ779"/>
      <c r="BK779"/>
      <c r="BL779"/>
      <c r="BM779"/>
      <c r="BN779"/>
      <c r="BO779"/>
      <c r="BP779"/>
      <c r="BQ779"/>
      <c r="BR779"/>
      <c r="BS779"/>
      <c r="BT779"/>
      <c r="BU779"/>
      <c r="BV779"/>
      <c r="BW779"/>
      <c r="BX779"/>
      <c r="BY779"/>
      <c r="BZ779"/>
      <c r="CA779"/>
      <c r="CB779"/>
      <c r="CC779"/>
      <c r="CD779"/>
      <c r="CE779"/>
      <c r="CF779"/>
      <c r="CG779"/>
      <c r="CH779"/>
      <c r="CI779"/>
      <c r="CJ779"/>
      <c r="CK779"/>
      <c r="CL779"/>
      <c r="CM779"/>
      <c r="CN779"/>
      <c r="CO779"/>
      <c r="CP779"/>
      <c r="CQ779"/>
      <c r="CR779"/>
      <c r="CS779"/>
      <c r="CT779"/>
      <c r="CU779"/>
      <c r="CV779"/>
      <c r="CW779"/>
      <c r="CX779"/>
      <c r="CY779"/>
      <c r="CZ779"/>
      <c r="DA779"/>
      <c r="DB779"/>
      <c r="DC779"/>
      <c r="DD779"/>
      <c r="DE779"/>
      <c r="DF779"/>
      <c r="DG779"/>
      <c r="DH779"/>
      <c r="DI779"/>
      <c r="DJ779"/>
      <c r="DK779"/>
      <c r="DL779"/>
      <c r="DM779"/>
      <c r="DN779"/>
      <c r="DO779"/>
      <c r="DP779"/>
      <c r="DQ779"/>
      <c r="DR779"/>
      <c r="DS779"/>
      <c r="DT779"/>
      <c r="DU779"/>
      <c r="DV779"/>
      <c r="DW779"/>
      <c r="DX779"/>
      <c r="DY779"/>
      <c r="DZ779"/>
      <c r="EA779"/>
      <c r="EB779"/>
      <c r="EC779"/>
      <c r="ED779"/>
      <c r="EE779"/>
      <c r="EF779"/>
      <c r="EG779"/>
      <c r="EH779"/>
      <c r="EI779"/>
      <c r="EJ779"/>
      <c r="EK779"/>
      <c r="EL779"/>
      <c r="EM779"/>
      <c r="EN779"/>
      <c r="EO779"/>
      <c r="EP779"/>
      <c r="EQ779"/>
      <c r="ER779"/>
      <c r="ES779"/>
      <c r="ET779"/>
      <c r="EU779"/>
      <c r="EV779"/>
      <c r="EW779"/>
      <c r="EX779"/>
      <c r="EY779"/>
      <c r="EZ779"/>
      <c r="FA779"/>
      <c r="FB779"/>
      <c r="FC779"/>
      <c r="FD779"/>
      <c r="FE779"/>
      <c r="FF779"/>
      <c r="FG779"/>
      <c r="FH779"/>
      <c r="FI779"/>
      <c r="FJ779"/>
      <c r="FK779"/>
      <c r="FL779"/>
      <c r="FM779"/>
      <c r="FN779"/>
      <c r="FO779"/>
      <c r="FP779"/>
      <c r="FQ779"/>
      <c r="FR779"/>
      <c r="FS779"/>
      <c r="FT779"/>
      <c r="FU779"/>
      <c r="FV779"/>
      <c r="FW779"/>
      <c r="FX779"/>
      <c r="FY779"/>
      <c r="FZ779"/>
      <c r="GA779"/>
      <c r="GB779"/>
      <c r="GC779"/>
      <c r="GD779"/>
      <c r="GE779"/>
      <c r="GF779"/>
      <c r="GG779"/>
      <c r="GH779"/>
      <c r="GI779"/>
      <c r="GJ779"/>
      <c r="GK779"/>
      <c r="GL779"/>
      <c r="GM779"/>
      <c r="GN779"/>
      <c r="GO779"/>
      <c r="GP779"/>
      <c r="GQ779"/>
      <c r="GR779"/>
      <c r="GS779"/>
      <c r="GT779"/>
      <c r="GU779"/>
      <c r="GV779"/>
      <c r="GW779"/>
      <c r="GX779"/>
      <c r="GY779"/>
      <c r="GZ779"/>
      <c r="HA779"/>
      <c r="HB779"/>
      <c r="HC779"/>
      <c r="HD779"/>
      <c r="HE779"/>
      <c r="HF779"/>
      <c r="HG779"/>
      <c r="HH779"/>
      <c r="HI779"/>
      <c r="HJ779"/>
      <c r="HK779"/>
      <c r="HL779"/>
      <c r="HM779"/>
      <c r="HN779"/>
      <c r="HO779"/>
      <c r="HP779"/>
      <c r="HQ779"/>
      <c r="HR779"/>
      <c r="HS779"/>
      <c r="HT779"/>
      <c r="HU779"/>
      <c r="HV779"/>
      <c r="HW779"/>
      <c r="HX779"/>
      <c r="HY779"/>
      <c r="HZ779"/>
      <c r="IA779"/>
      <c r="IB779"/>
      <c r="IC779"/>
      <c r="ID779"/>
      <c r="IE779"/>
      <c r="IF779"/>
      <c r="IG779"/>
      <c r="IH779"/>
      <c r="II779"/>
      <c r="IJ779"/>
    </row>
    <row r="780" spans="1:244" ht="30" customHeight="1" x14ac:dyDescent="0.2">
      <c r="A780" s="2391"/>
      <c r="B780" s="2071" t="s">
        <v>1903</v>
      </c>
      <c r="C780" s="2070">
        <f>C781+C786+C789</f>
        <v>37650000</v>
      </c>
      <c r="D780" s="2070">
        <f>D781+D786+D789</f>
        <v>37650000</v>
      </c>
      <c r="E780" s="2070"/>
      <c r="F780" s="1077"/>
      <c r="G780" s="1663"/>
      <c r="H780" s="1663"/>
      <c r="I780" s="1662"/>
      <c r="J780" s="88">
        <v>35153400</v>
      </c>
      <c r="K780" s="2"/>
      <c r="L780"/>
      <c r="M780"/>
      <c r="N780"/>
      <c r="O780"/>
      <c r="P780"/>
      <c r="Q780"/>
      <c r="R780"/>
      <c r="S780"/>
      <c r="T780"/>
      <c r="U780"/>
      <c r="V780"/>
      <c r="W780"/>
      <c r="X780"/>
      <c r="Y780"/>
      <c r="Z780"/>
      <c r="AA780"/>
      <c r="AB780"/>
      <c r="AC780"/>
      <c r="AD780"/>
      <c r="AE780"/>
      <c r="AF780"/>
      <c r="AG780"/>
      <c r="AH780"/>
      <c r="AI780"/>
      <c r="AJ780"/>
      <c r="AK780"/>
      <c r="AL780"/>
      <c r="AM780"/>
      <c r="AN780"/>
      <c r="AO780"/>
      <c r="AP780"/>
      <c r="AQ780"/>
      <c r="AR780"/>
      <c r="AS780"/>
      <c r="AT780"/>
      <c r="AU780"/>
      <c r="AV780"/>
      <c r="AW780"/>
      <c r="AX780"/>
      <c r="AY780"/>
      <c r="AZ780"/>
      <c r="BA780"/>
      <c r="BB780"/>
      <c r="BC780"/>
      <c r="BD780"/>
      <c r="BE780"/>
      <c r="BF780"/>
      <c r="BG780"/>
      <c r="BH780"/>
      <c r="BI780"/>
      <c r="BJ780"/>
      <c r="BK780"/>
      <c r="BL780"/>
      <c r="BM780"/>
      <c r="BN780"/>
      <c r="BO780"/>
      <c r="BP780"/>
      <c r="BQ780"/>
      <c r="BR780"/>
      <c r="BS780"/>
      <c r="BT780"/>
      <c r="BU780"/>
      <c r="BV780"/>
      <c r="BW780"/>
      <c r="BX780"/>
      <c r="BY780"/>
      <c r="BZ780"/>
      <c r="CA780"/>
      <c r="CB780"/>
      <c r="CC780"/>
      <c r="CD780"/>
      <c r="CE780"/>
      <c r="CF780"/>
      <c r="CG780"/>
      <c r="CH780"/>
      <c r="CI780"/>
      <c r="CJ780"/>
      <c r="CK780"/>
      <c r="CL780"/>
      <c r="CM780"/>
      <c r="CN780"/>
      <c r="CO780"/>
      <c r="CP780"/>
      <c r="CQ780"/>
      <c r="CR780"/>
      <c r="CS780"/>
      <c r="CT780"/>
      <c r="CU780"/>
      <c r="CV780"/>
      <c r="CW780"/>
      <c r="CX780"/>
      <c r="CY780"/>
      <c r="CZ780"/>
      <c r="DA780"/>
      <c r="DB780"/>
      <c r="DC780"/>
      <c r="DD780"/>
      <c r="DE780"/>
      <c r="DF780"/>
      <c r="DG780"/>
      <c r="DH780"/>
      <c r="DI780"/>
      <c r="DJ780"/>
      <c r="DK780"/>
      <c r="DL780"/>
      <c r="DM780"/>
      <c r="DN780"/>
      <c r="DO780"/>
      <c r="DP780"/>
      <c r="DQ780"/>
      <c r="DR780"/>
      <c r="DS780"/>
      <c r="DT780"/>
      <c r="DU780"/>
      <c r="DV780"/>
      <c r="DW780"/>
      <c r="DX780"/>
      <c r="DY780"/>
      <c r="DZ780"/>
      <c r="EA780"/>
      <c r="EB780"/>
      <c r="EC780"/>
      <c r="ED780"/>
      <c r="EE780"/>
      <c r="EF780"/>
      <c r="EG780"/>
      <c r="EH780"/>
      <c r="EI780"/>
      <c r="EJ780"/>
      <c r="EK780"/>
      <c r="EL780"/>
      <c r="EM780"/>
      <c r="EN780"/>
      <c r="EO780"/>
      <c r="EP780"/>
      <c r="EQ780"/>
      <c r="ER780"/>
      <c r="ES780"/>
      <c r="ET780"/>
      <c r="EU780"/>
      <c r="EV780"/>
      <c r="EW780"/>
      <c r="EX780"/>
      <c r="EY780"/>
      <c r="EZ780"/>
      <c r="FA780"/>
      <c r="FB780"/>
      <c r="FC780"/>
      <c r="FD780"/>
      <c r="FE780"/>
      <c r="FF780"/>
      <c r="FG780"/>
      <c r="FH780"/>
      <c r="FI780"/>
      <c r="FJ780"/>
      <c r="FK780"/>
      <c r="FL780"/>
      <c r="FM780"/>
      <c r="FN780"/>
      <c r="FO780"/>
      <c r="FP780"/>
      <c r="FQ780"/>
      <c r="FR780"/>
      <c r="FS780"/>
      <c r="FT780"/>
      <c r="FU780"/>
      <c r="FV780"/>
      <c r="FW780"/>
      <c r="FX780"/>
      <c r="FY780"/>
      <c r="FZ780"/>
      <c r="GA780"/>
      <c r="GB780"/>
      <c r="GC780"/>
      <c r="GD780"/>
      <c r="GE780"/>
      <c r="GF780"/>
      <c r="GG780"/>
      <c r="GH780"/>
      <c r="GI780"/>
      <c r="GJ780"/>
      <c r="GK780"/>
      <c r="GL780"/>
      <c r="GM780"/>
      <c r="GN780"/>
      <c r="GO780"/>
      <c r="GP780"/>
      <c r="GQ780"/>
      <c r="GR780"/>
      <c r="GS780"/>
      <c r="GT780"/>
      <c r="GU780"/>
      <c r="GV780"/>
      <c r="GW780"/>
      <c r="GX780"/>
      <c r="GY780"/>
      <c r="GZ780"/>
      <c r="HA780"/>
      <c r="HB780"/>
      <c r="HC780"/>
      <c r="HD780"/>
      <c r="HE780"/>
      <c r="HF780"/>
      <c r="HG780"/>
      <c r="HH780"/>
      <c r="HI780"/>
      <c r="HJ780"/>
      <c r="HK780"/>
      <c r="HL780"/>
      <c r="HM780"/>
      <c r="HN780"/>
      <c r="HO780"/>
      <c r="HP780"/>
      <c r="HQ780"/>
      <c r="HR780"/>
      <c r="HS780"/>
      <c r="HT780"/>
      <c r="HU780"/>
      <c r="HV780"/>
      <c r="HW780"/>
      <c r="HX780"/>
      <c r="HY780"/>
      <c r="HZ780"/>
      <c r="IA780"/>
      <c r="IB780"/>
      <c r="IC780"/>
      <c r="ID780"/>
      <c r="IE780"/>
      <c r="IF780"/>
      <c r="IG780"/>
      <c r="IH780"/>
      <c r="II780"/>
      <c r="IJ780"/>
    </row>
    <row r="781" spans="1:244" ht="30" customHeight="1" x14ac:dyDescent="0.2">
      <c r="A781" s="2391"/>
      <c r="B781" s="2072" t="s">
        <v>807</v>
      </c>
      <c r="C781" s="2073">
        <f>SUM(C782:C785)</f>
        <v>0</v>
      </c>
      <c r="D781" s="2073">
        <f>SUM(D782:D785)</f>
        <v>1191089.3</v>
      </c>
      <c r="E781" s="2073"/>
      <c r="F781" s="2073"/>
      <c r="G781" s="2459"/>
      <c r="H781" s="2459"/>
      <c r="I781" s="2460"/>
      <c r="J781" s="88">
        <v>843826.2</v>
      </c>
      <c r="K781" s="2"/>
      <c r="L781"/>
      <c r="M781"/>
      <c r="N781"/>
      <c r="O781"/>
      <c r="P781"/>
      <c r="Q781"/>
      <c r="R781"/>
      <c r="S781"/>
      <c r="T781"/>
      <c r="U781"/>
      <c r="V781"/>
      <c r="W781"/>
      <c r="X781"/>
      <c r="Y781"/>
      <c r="Z781"/>
      <c r="AA781"/>
      <c r="AB781"/>
      <c r="AC781"/>
      <c r="AD781"/>
      <c r="AE781"/>
      <c r="AF781"/>
      <c r="AG781"/>
      <c r="AH781"/>
      <c r="AI781"/>
      <c r="AJ781"/>
      <c r="AK781"/>
      <c r="AL781"/>
      <c r="AM781"/>
      <c r="AN781"/>
      <c r="AO781"/>
      <c r="AP781"/>
      <c r="AQ781"/>
      <c r="AR781"/>
      <c r="AS781"/>
      <c r="AT781"/>
      <c r="AU781"/>
      <c r="AV781"/>
      <c r="AW781"/>
      <c r="AX781"/>
      <c r="AY781"/>
      <c r="AZ781"/>
      <c r="BA781"/>
      <c r="BB781"/>
      <c r="BC781"/>
      <c r="BD781"/>
      <c r="BE781"/>
      <c r="BF781"/>
      <c r="BG781"/>
      <c r="BH781"/>
      <c r="BI781"/>
      <c r="BJ781"/>
      <c r="BK781"/>
      <c r="BL781"/>
      <c r="BM781"/>
      <c r="BN781"/>
      <c r="BO781"/>
      <c r="BP781"/>
      <c r="BQ781"/>
      <c r="BR781"/>
      <c r="BS781"/>
      <c r="BT781"/>
      <c r="BU781"/>
      <c r="BV781"/>
      <c r="BW781"/>
      <c r="BX781"/>
      <c r="BY781"/>
      <c r="BZ781"/>
      <c r="CA781"/>
      <c r="CB781"/>
      <c r="CC781"/>
      <c r="CD781"/>
      <c r="CE781"/>
      <c r="CF781"/>
      <c r="CG781"/>
      <c r="CH781"/>
      <c r="CI781"/>
      <c r="CJ781"/>
      <c r="CK781"/>
      <c r="CL781"/>
      <c r="CM781"/>
      <c r="CN781"/>
      <c r="CO781"/>
      <c r="CP781"/>
      <c r="CQ781"/>
      <c r="CR781"/>
      <c r="CS781"/>
      <c r="CT781"/>
      <c r="CU781"/>
      <c r="CV781"/>
      <c r="CW781"/>
      <c r="CX781"/>
      <c r="CY781"/>
      <c r="CZ781"/>
      <c r="DA781"/>
      <c r="DB781"/>
      <c r="DC781"/>
      <c r="DD781"/>
      <c r="DE781"/>
      <c r="DF781"/>
      <c r="DG781"/>
      <c r="DH781"/>
      <c r="DI781"/>
      <c r="DJ781"/>
      <c r="DK781"/>
      <c r="DL781"/>
      <c r="DM781"/>
      <c r="DN781"/>
      <c r="DO781"/>
      <c r="DP781"/>
      <c r="DQ781"/>
      <c r="DR781"/>
      <c r="DS781"/>
      <c r="DT781"/>
      <c r="DU781"/>
      <c r="DV781"/>
      <c r="DW781"/>
      <c r="DX781"/>
      <c r="DY781"/>
      <c r="DZ781"/>
      <c r="EA781"/>
      <c r="EB781"/>
      <c r="EC781"/>
      <c r="ED781"/>
      <c r="EE781"/>
      <c r="EF781"/>
      <c r="EG781"/>
      <c r="EH781"/>
      <c r="EI781"/>
      <c r="EJ781"/>
      <c r="EK781"/>
      <c r="EL781"/>
      <c r="EM781"/>
      <c r="EN781"/>
      <c r="EO781"/>
      <c r="EP781"/>
      <c r="EQ781"/>
      <c r="ER781"/>
      <c r="ES781"/>
      <c r="ET781"/>
      <c r="EU781"/>
      <c r="EV781"/>
      <c r="EW781"/>
      <c r="EX781"/>
      <c r="EY781"/>
      <c r="EZ781"/>
      <c r="FA781"/>
      <c r="FB781"/>
      <c r="FC781"/>
      <c r="FD781"/>
      <c r="FE781"/>
      <c r="FF781"/>
      <c r="FG781"/>
      <c r="FH781"/>
      <c r="FI781"/>
      <c r="FJ781"/>
      <c r="FK781"/>
      <c r="FL781"/>
      <c r="FM781"/>
      <c r="FN781"/>
      <c r="FO781"/>
      <c r="FP781"/>
      <c r="FQ781"/>
      <c r="FR781"/>
      <c r="FS781"/>
      <c r="FT781"/>
      <c r="FU781"/>
      <c r="FV781"/>
      <c r="FW781"/>
      <c r="FX781"/>
      <c r="FY781"/>
      <c r="FZ781"/>
      <c r="GA781"/>
      <c r="GB781"/>
      <c r="GC781"/>
      <c r="GD781"/>
      <c r="GE781"/>
      <c r="GF781"/>
      <c r="GG781"/>
      <c r="GH781"/>
      <c r="GI781"/>
      <c r="GJ781"/>
      <c r="GK781"/>
      <c r="GL781"/>
      <c r="GM781"/>
      <c r="GN781"/>
      <c r="GO781"/>
      <c r="GP781"/>
      <c r="GQ781"/>
      <c r="GR781"/>
      <c r="GS781"/>
      <c r="GT781"/>
      <c r="GU781"/>
      <c r="GV781"/>
      <c r="GW781"/>
      <c r="GX781"/>
      <c r="GY781"/>
      <c r="GZ781"/>
      <c r="HA781"/>
      <c r="HB781"/>
      <c r="HC781"/>
      <c r="HD781"/>
      <c r="HE781"/>
      <c r="HF781"/>
      <c r="HG781"/>
      <c r="HH781"/>
      <c r="HI781"/>
      <c r="HJ781"/>
      <c r="HK781"/>
      <c r="HL781"/>
      <c r="HM781"/>
      <c r="HN781"/>
      <c r="HO781"/>
      <c r="HP781"/>
      <c r="HQ781"/>
      <c r="HR781"/>
      <c r="HS781"/>
      <c r="HT781"/>
      <c r="HU781"/>
      <c r="HV781"/>
      <c r="HW781"/>
      <c r="HX781"/>
      <c r="HY781"/>
      <c r="HZ781"/>
      <c r="IA781"/>
      <c r="IB781"/>
      <c r="IC781"/>
      <c r="ID781"/>
      <c r="IE781"/>
      <c r="IF781"/>
      <c r="IG781"/>
      <c r="IH781"/>
      <c r="II781"/>
      <c r="IJ781"/>
    </row>
    <row r="782" spans="1:244" ht="30" customHeight="1" x14ac:dyDescent="0.2">
      <c r="A782" s="2391"/>
      <c r="B782" s="2074" t="s">
        <v>2949</v>
      </c>
      <c r="C782" s="2075">
        <v>0</v>
      </c>
      <c r="D782" s="2075">
        <v>302065.3</v>
      </c>
      <c r="E782" s="2075"/>
      <c r="F782" s="2075"/>
      <c r="G782" s="2200"/>
      <c r="H782" s="2200"/>
      <c r="I782" s="2201"/>
      <c r="J782" s="88">
        <v>0</v>
      </c>
      <c r="K782" s="2"/>
      <c r="L782"/>
      <c r="M782"/>
      <c r="N782"/>
      <c r="O782"/>
      <c r="P782"/>
      <c r="Q782"/>
      <c r="R782"/>
      <c r="S782"/>
      <c r="T782"/>
      <c r="U782"/>
      <c r="V782"/>
      <c r="W782"/>
      <c r="X782"/>
      <c r="Y782"/>
      <c r="Z782"/>
      <c r="AA782"/>
      <c r="AB782"/>
      <c r="AC782"/>
      <c r="AD782"/>
      <c r="AE782"/>
      <c r="AF782"/>
      <c r="AG782"/>
      <c r="AH782"/>
      <c r="AI782"/>
      <c r="AJ782"/>
      <c r="AK782"/>
      <c r="AL782"/>
      <c r="AM782"/>
      <c r="AN782"/>
      <c r="AO782"/>
      <c r="AP782"/>
      <c r="AQ782"/>
      <c r="AR782"/>
      <c r="AS782"/>
      <c r="AT782"/>
      <c r="AU782"/>
      <c r="AV782"/>
      <c r="AW782"/>
      <c r="AX782"/>
      <c r="AY782"/>
      <c r="AZ782"/>
      <c r="BA782"/>
      <c r="BB782"/>
      <c r="BC782"/>
      <c r="BD782"/>
      <c r="BE782"/>
      <c r="BF782"/>
      <c r="BG782"/>
      <c r="BH782"/>
      <c r="BI782"/>
      <c r="BJ782"/>
      <c r="BK782"/>
      <c r="BL782"/>
      <c r="BM782"/>
      <c r="BN782"/>
      <c r="BO782"/>
      <c r="BP782"/>
      <c r="BQ782"/>
      <c r="BR782"/>
      <c r="BS782"/>
      <c r="BT782"/>
      <c r="BU782"/>
      <c r="BV782"/>
      <c r="BW782"/>
      <c r="BX782"/>
      <c r="BY782"/>
      <c r="BZ782"/>
      <c r="CA782"/>
      <c r="CB782"/>
      <c r="CC782"/>
      <c r="CD782"/>
      <c r="CE782"/>
      <c r="CF782"/>
      <c r="CG782"/>
      <c r="CH782"/>
      <c r="CI782"/>
      <c r="CJ782"/>
      <c r="CK782"/>
      <c r="CL782"/>
      <c r="CM782"/>
      <c r="CN782"/>
      <c r="CO782"/>
      <c r="CP782"/>
      <c r="CQ782"/>
      <c r="CR782"/>
      <c r="CS782"/>
      <c r="CT782"/>
      <c r="CU782"/>
      <c r="CV782"/>
      <c r="CW782"/>
      <c r="CX782"/>
      <c r="CY782"/>
      <c r="CZ782"/>
      <c r="DA782"/>
      <c r="DB782"/>
      <c r="DC782"/>
      <c r="DD782"/>
      <c r="DE782"/>
      <c r="DF782"/>
      <c r="DG782"/>
      <c r="DH782"/>
      <c r="DI782"/>
      <c r="DJ782"/>
      <c r="DK782"/>
      <c r="DL782"/>
      <c r="DM782"/>
      <c r="DN782"/>
      <c r="DO782"/>
      <c r="DP782"/>
      <c r="DQ782"/>
      <c r="DR782"/>
      <c r="DS782"/>
      <c r="DT782"/>
      <c r="DU782"/>
      <c r="DV782"/>
      <c r="DW782"/>
      <c r="DX782"/>
      <c r="DY782"/>
      <c r="DZ782"/>
      <c r="EA782"/>
      <c r="EB782"/>
      <c r="EC782"/>
      <c r="ED782"/>
      <c r="EE782"/>
      <c r="EF782"/>
      <c r="EG782"/>
      <c r="EH782"/>
      <c r="EI782"/>
      <c r="EJ782"/>
      <c r="EK782"/>
      <c r="EL782"/>
      <c r="EM782"/>
      <c r="EN782"/>
      <c r="EO782"/>
      <c r="EP782"/>
      <c r="EQ782"/>
      <c r="ER782"/>
      <c r="ES782"/>
      <c r="ET782"/>
      <c r="EU782"/>
      <c r="EV782"/>
      <c r="EW782"/>
      <c r="EX782"/>
      <c r="EY782"/>
      <c r="EZ782"/>
      <c r="FA782"/>
      <c r="FB782"/>
      <c r="FC782"/>
      <c r="FD782"/>
      <c r="FE782"/>
      <c r="FF782"/>
      <c r="FG782"/>
      <c r="FH782"/>
      <c r="FI782"/>
      <c r="FJ782"/>
      <c r="FK782"/>
      <c r="FL782"/>
      <c r="FM782"/>
      <c r="FN782"/>
      <c r="FO782"/>
      <c r="FP782"/>
      <c r="FQ782"/>
      <c r="FR782"/>
      <c r="FS782"/>
      <c r="FT782"/>
      <c r="FU782"/>
      <c r="FV782"/>
      <c r="FW782"/>
      <c r="FX782"/>
      <c r="FY782"/>
      <c r="FZ782"/>
      <c r="GA782"/>
      <c r="GB782"/>
      <c r="GC782"/>
      <c r="GD782"/>
      <c r="GE782"/>
      <c r="GF782"/>
      <c r="GG782"/>
      <c r="GH782"/>
      <c r="GI782"/>
      <c r="GJ782"/>
      <c r="GK782"/>
      <c r="GL782"/>
      <c r="GM782"/>
      <c r="GN782"/>
      <c r="GO782"/>
      <c r="GP782"/>
      <c r="GQ782"/>
      <c r="GR782"/>
      <c r="GS782"/>
      <c r="GT782"/>
      <c r="GU782"/>
      <c r="GV782"/>
      <c r="GW782"/>
      <c r="GX782"/>
      <c r="GY782"/>
      <c r="GZ782"/>
      <c r="HA782"/>
      <c r="HB782"/>
      <c r="HC782"/>
      <c r="HD782"/>
      <c r="HE782"/>
      <c r="HF782"/>
      <c r="HG782"/>
      <c r="HH782"/>
      <c r="HI782"/>
      <c r="HJ782"/>
      <c r="HK782"/>
      <c r="HL782"/>
      <c r="HM782"/>
      <c r="HN782"/>
      <c r="HO782"/>
      <c r="HP782"/>
      <c r="HQ782"/>
      <c r="HR782"/>
      <c r="HS782"/>
      <c r="HT782"/>
      <c r="HU782"/>
      <c r="HV782"/>
      <c r="HW782"/>
      <c r="HX782"/>
      <c r="HY782"/>
      <c r="HZ782"/>
      <c r="IA782"/>
      <c r="IB782"/>
      <c r="IC782"/>
      <c r="ID782"/>
      <c r="IE782"/>
      <c r="IF782"/>
      <c r="IG782"/>
      <c r="IH782"/>
      <c r="II782"/>
      <c r="IJ782"/>
    </row>
    <row r="783" spans="1:244" ht="30" customHeight="1" x14ac:dyDescent="0.2">
      <c r="A783" s="2391"/>
      <c r="B783" s="2074" t="s">
        <v>2950</v>
      </c>
      <c r="C783" s="2075">
        <v>0</v>
      </c>
      <c r="D783" s="2075">
        <v>798600</v>
      </c>
      <c r="E783" s="2075"/>
      <c r="F783" s="2075"/>
      <c r="G783" s="2200"/>
      <c r="H783" s="2200"/>
      <c r="I783" s="2201"/>
      <c r="J783" s="88">
        <v>0</v>
      </c>
      <c r="K783" s="2"/>
      <c r="L783"/>
      <c r="M783"/>
      <c r="N783"/>
      <c r="O783"/>
      <c r="P783"/>
      <c r="Q783"/>
      <c r="R783"/>
      <c r="S783"/>
      <c r="T783"/>
      <c r="U783"/>
      <c r="V783"/>
      <c r="W783"/>
      <c r="X783"/>
      <c r="Y783"/>
      <c r="Z783"/>
      <c r="AA783"/>
      <c r="AB783"/>
      <c r="AC783"/>
      <c r="AD783"/>
      <c r="AE783"/>
      <c r="AF783"/>
      <c r="AG783"/>
      <c r="AH783"/>
      <c r="AI783"/>
      <c r="AJ783"/>
      <c r="AK783"/>
      <c r="AL783"/>
      <c r="AM783"/>
      <c r="AN783"/>
      <c r="AO783"/>
      <c r="AP783"/>
      <c r="AQ783"/>
      <c r="AR783"/>
      <c r="AS783"/>
      <c r="AT783"/>
      <c r="AU783"/>
      <c r="AV783"/>
      <c r="AW783"/>
      <c r="AX783"/>
      <c r="AY783"/>
      <c r="AZ783"/>
      <c r="BA783"/>
      <c r="BB783"/>
      <c r="BC783"/>
      <c r="BD783"/>
      <c r="BE783"/>
      <c r="BF783"/>
      <c r="BG783"/>
      <c r="BH783"/>
      <c r="BI783"/>
      <c r="BJ783"/>
      <c r="BK783"/>
      <c r="BL783"/>
      <c r="BM783"/>
      <c r="BN783"/>
      <c r="BO783"/>
      <c r="BP783"/>
      <c r="BQ783"/>
      <c r="BR783"/>
      <c r="BS783"/>
      <c r="BT783"/>
      <c r="BU783"/>
      <c r="BV783"/>
      <c r="BW783"/>
      <c r="BX783"/>
      <c r="BY783"/>
      <c r="BZ783"/>
      <c r="CA783"/>
      <c r="CB783"/>
      <c r="CC783"/>
      <c r="CD783"/>
      <c r="CE783"/>
      <c r="CF783"/>
      <c r="CG783"/>
      <c r="CH783"/>
      <c r="CI783"/>
      <c r="CJ783"/>
      <c r="CK783"/>
      <c r="CL783"/>
      <c r="CM783"/>
      <c r="CN783"/>
      <c r="CO783"/>
      <c r="CP783"/>
      <c r="CQ783"/>
      <c r="CR783"/>
      <c r="CS783"/>
      <c r="CT783"/>
      <c r="CU783"/>
      <c r="CV783"/>
      <c r="CW783"/>
      <c r="CX783"/>
      <c r="CY783"/>
      <c r="CZ783"/>
      <c r="DA783"/>
      <c r="DB783"/>
      <c r="DC783"/>
      <c r="DD783"/>
      <c r="DE783"/>
      <c r="DF783"/>
      <c r="DG783"/>
      <c r="DH783"/>
      <c r="DI783"/>
      <c r="DJ783"/>
      <c r="DK783"/>
      <c r="DL783"/>
      <c r="DM783"/>
      <c r="DN783"/>
      <c r="DO783"/>
      <c r="DP783"/>
      <c r="DQ783"/>
      <c r="DR783"/>
      <c r="DS783"/>
      <c r="DT783"/>
      <c r="DU783"/>
      <c r="DV783"/>
      <c r="DW783"/>
      <c r="DX783"/>
      <c r="DY783"/>
      <c r="DZ783"/>
      <c r="EA783"/>
      <c r="EB783"/>
      <c r="EC783"/>
      <c r="ED783"/>
      <c r="EE783"/>
      <c r="EF783"/>
      <c r="EG783"/>
      <c r="EH783"/>
      <c r="EI783"/>
      <c r="EJ783"/>
      <c r="EK783"/>
      <c r="EL783"/>
      <c r="EM783"/>
      <c r="EN783"/>
      <c r="EO783"/>
      <c r="EP783"/>
      <c r="EQ783"/>
      <c r="ER783"/>
      <c r="ES783"/>
      <c r="ET783"/>
      <c r="EU783"/>
      <c r="EV783"/>
      <c r="EW783"/>
      <c r="EX783"/>
      <c r="EY783"/>
      <c r="EZ783"/>
      <c r="FA783"/>
      <c r="FB783"/>
      <c r="FC783"/>
      <c r="FD783"/>
      <c r="FE783"/>
      <c r="FF783"/>
      <c r="FG783"/>
      <c r="FH783"/>
      <c r="FI783"/>
      <c r="FJ783"/>
      <c r="FK783"/>
      <c r="FL783"/>
      <c r="FM783"/>
      <c r="FN783"/>
      <c r="FO783"/>
      <c r="FP783"/>
      <c r="FQ783"/>
      <c r="FR783"/>
      <c r="FS783"/>
      <c r="FT783"/>
      <c r="FU783"/>
      <c r="FV783"/>
      <c r="FW783"/>
      <c r="FX783"/>
      <c r="FY783"/>
      <c r="FZ783"/>
      <c r="GA783"/>
      <c r="GB783"/>
      <c r="GC783"/>
      <c r="GD783"/>
      <c r="GE783"/>
      <c r="GF783"/>
      <c r="GG783"/>
      <c r="GH783"/>
      <c r="GI783"/>
      <c r="GJ783"/>
      <c r="GK783"/>
      <c r="GL783"/>
      <c r="GM783"/>
      <c r="GN783"/>
      <c r="GO783"/>
      <c r="GP783"/>
      <c r="GQ783"/>
      <c r="GR783"/>
      <c r="GS783"/>
      <c r="GT783"/>
      <c r="GU783"/>
      <c r="GV783"/>
      <c r="GW783"/>
      <c r="GX783"/>
      <c r="GY783"/>
      <c r="GZ783"/>
      <c r="HA783"/>
      <c r="HB783"/>
      <c r="HC783"/>
      <c r="HD783"/>
      <c r="HE783"/>
      <c r="HF783"/>
      <c r="HG783"/>
      <c r="HH783"/>
      <c r="HI783"/>
      <c r="HJ783"/>
      <c r="HK783"/>
      <c r="HL783"/>
      <c r="HM783"/>
      <c r="HN783"/>
      <c r="HO783"/>
      <c r="HP783"/>
      <c r="HQ783"/>
      <c r="HR783"/>
      <c r="HS783"/>
      <c r="HT783"/>
      <c r="HU783"/>
      <c r="HV783"/>
      <c r="HW783"/>
      <c r="HX783"/>
      <c r="HY783"/>
      <c r="HZ783"/>
      <c r="IA783"/>
      <c r="IB783"/>
      <c r="IC783"/>
      <c r="ID783"/>
      <c r="IE783"/>
      <c r="IF783"/>
      <c r="IG783"/>
      <c r="IH783"/>
      <c r="II783"/>
      <c r="IJ783"/>
    </row>
    <row r="784" spans="1:244" ht="30" customHeight="1" x14ac:dyDescent="0.2">
      <c r="A784" s="2391"/>
      <c r="B784" s="2074" t="s">
        <v>3161</v>
      </c>
      <c r="C784" s="2075">
        <v>0</v>
      </c>
      <c r="D784" s="2075">
        <v>40424</v>
      </c>
      <c r="E784" s="2075"/>
      <c r="F784" s="2075"/>
      <c r="G784" s="2200"/>
      <c r="H784" s="2200"/>
      <c r="I784" s="2201"/>
      <c r="J784" s="88">
        <v>0</v>
      </c>
      <c r="K784" s="2"/>
      <c r="L784"/>
      <c r="M784"/>
      <c r="N784"/>
      <c r="O784"/>
      <c r="P784"/>
      <c r="Q784"/>
      <c r="R784"/>
      <c r="S784"/>
      <c r="T784"/>
      <c r="U784"/>
      <c r="V784"/>
      <c r="W784"/>
      <c r="X784"/>
      <c r="Y784"/>
      <c r="Z784"/>
      <c r="AA784"/>
      <c r="AB784"/>
      <c r="AC784"/>
      <c r="AD784"/>
      <c r="AE784"/>
      <c r="AF784"/>
      <c r="AG784"/>
      <c r="AH784"/>
      <c r="AI784"/>
      <c r="AJ784"/>
      <c r="AK784"/>
      <c r="AL784"/>
      <c r="AM784"/>
      <c r="AN784"/>
      <c r="AO784"/>
      <c r="AP784"/>
      <c r="AQ784"/>
      <c r="AR784"/>
      <c r="AS784"/>
      <c r="AT784"/>
      <c r="AU784"/>
      <c r="AV784"/>
      <c r="AW784"/>
      <c r="AX784"/>
      <c r="AY784"/>
      <c r="AZ784"/>
      <c r="BA784"/>
      <c r="BB784"/>
      <c r="BC784"/>
      <c r="BD784"/>
      <c r="BE784"/>
      <c r="BF784"/>
      <c r="BG784"/>
      <c r="BH784"/>
      <c r="BI784"/>
      <c r="BJ784"/>
      <c r="BK784"/>
      <c r="BL784"/>
      <c r="BM784"/>
      <c r="BN784"/>
      <c r="BO784"/>
      <c r="BP784"/>
      <c r="BQ784"/>
      <c r="BR784"/>
      <c r="BS784"/>
      <c r="BT784"/>
      <c r="BU784"/>
      <c r="BV784"/>
      <c r="BW784"/>
      <c r="BX784"/>
      <c r="BY784"/>
      <c r="BZ784"/>
      <c r="CA784"/>
      <c r="CB784"/>
      <c r="CC784"/>
      <c r="CD784"/>
      <c r="CE784"/>
      <c r="CF784"/>
      <c r="CG784"/>
      <c r="CH784"/>
      <c r="CI784"/>
      <c r="CJ784"/>
      <c r="CK784"/>
      <c r="CL784"/>
      <c r="CM784"/>
      <c r="CN784"/>
      <c r="CO784"/>
      <c r="CP784"/>
      <c r="CQ784"/>
      <c r="CR784"/>
      <c r="CS784"/>
      <c r="CT784"/>
      <c r="CU784"/>
      <c r="CV784"/>
      <c r="CW784"/>
      <c r="CX784"/>
      <c r="CY784"/>
      <c r="CZ784"/>
      <c r="DA784"/>
      <c r="DB784"/>
      <c r="DC784"/>
      <c r="DD784"/>
      <c r="DE784"/>
      <c r="DF784"/>
      <c r="DG784"/>
      <c r="DH784"/>
      <c r="DI784"/>
      <c r="DJ784"/>
      <c r="DK784"/>
      <c r="DL784"/>
      <c r="DM784"/>
      <c r="DN784"/>
      <c r="DO784"/>
      <c r="DP784"/>
      <c r="DQ784"/>
      <c r="DR784"/>
      <c r="DS784"/>
      <c r="DT784"/>
      <c r="DU784"/>
      <c r="DV784"/>
      <c r="DW784"/>
      <c r="DX784"/>
      <c r="DY784"/>
      <c r="DZ784"/>
      <c r="EA784"/>
      <c r="EB784"/>
      <c r="EC784"/>
      <c r="ED784"/>
      <c r="EE784"/>
      <c r="EF784"/>
      <c r="EG784"/>
      <c r="EH784"/>
      <c r="EI784"/>
      <c r="EJ784"/>
      <c r="EK784"/>
      <c r="EL784"/>
      <c r="EM784"/>
      <c r="EN784"/>
      <c r="EO784"/>
      <c r="EP784"/>
      <c r="EQ784"/>
      <c r="ER784"/>
      <c r="ES784"/>
      <c r="ET784"/>
      <c r="EU784"/>
      <c r="EV784"/>
      <c r="EW784"/>
      <c r="EX784"/>
      <c r="EY784"/>
      <c r="EZ784"/>
      <c r="FA784"/>
      <c r="FB784"/>
      <c r="FC784"/>
      <c r="FD784"/>
      <c r="FE784"/>
      <c r="FF784"/>
      <c r="FG784"/>
      <c r="FH784"/>
      <c r="FI784"/>
      <c r="FJ784"/>
      <c r="FK784"/>
      <c r="FL784"/>
      <c r="FM784"/>
      <c r="FN784"/>
      <c r="FO784"/>
      <c r="FP784"/>
      <c r="FQ784"/>
      <c r="FR784"/>
      <c r="FS784"/>
      <c r="FT784"/>
      <c r="FU784"/>
      <c r="FV784"/>
      <c r="FW784"/>
      <c r="FX784"/>
      <c r="FY784"/>
      <c r="FZ784"/>
      <c r="GA784"/>
      <c r="GB784"/>
      <c r="GC784"/>
      <c r="GD784"/>
      <c r="GE784"/>
      <c r="GF784"/>
      <c r="GG784"/>
      <c r="GH784"/>
      <c r="GI784"/>
      <c r="GJ784"/>
      <c r="GK784"/>
      <c r="GL784"/>
      <c r="GM784"/>
      <c r="GN784"/>
      <c r="GO784"/>
      <c r="GP784"/>
      <c r="GQ784"/>
      <c r="GR784"/>
      <c r="GS784"/>
      <c r="GT784"/>
      <c r="GU784"/>
      <c r="GV784"/>
      <c r="GW784"/>
      <c r="GX784"/>
      <c r="GY784"/>
      <c r="GZ784"/>
      <c r="HA784"/>
      <c r="HB784"/>
      <c r="HC784"/>
      <c r="HD784"/>
      <c r="HE784"/>
      <c r="HF784"/>
      <c r="HG784"/>
      <c r="HH784"/>
      <c r="HI784"/>
      <c r="HJ784"/>
      <c r="HK784"/>
      <c r="HL784"/>
      <c r="HM784"/>
      <c r="HN784"/>
      <c r="HO784"/>
      <c r="HP784"/>
      <c r="HQ784"/>
      <c r="HR784"/>
      <c r="HS784"/>
      <c r="HT784"/>
      <c r="HU784"/>
      <c r="HV784"/>
      <c r="HW784"/>
      <c r="HX784"/>
      <c r="HY784"/>
      <c r="HZ784"/>
      <c r="IA784"/>
      <c r="IB784"/>
      <c r="IC784"/>
      <c r="ID784"/>
      <c r="IE784"/>
      <c r="IF784"/>
      <c r="IG784"/>
      <c r="IH784"/>
      <c r="II784"/>
      <c r="IJ784"/>
    </row>
    <row r="785" spans="1:244" ht="30" customHeight="1" x14ac:dyDescent="0.2">
      <c r="A785" s="2391"/>
      <c r="B785" s="2074" t="s">
        <v>2951</v>
      </c>
      <c r="C785" s="2075">
        <v>0</v>
      </c>
      <c r="D785" s="2075">
        <v>50000</v>
      </c>
      <c r="E785" s="2075"/>
      <c r="F785" s="2075"/>
      <c r="G785" s="2200"/>
      <c r="H785" s="2200"/>
      <c r="I785" s="2201"/>
      <c r="J785" s="88">
        <v>0</v>
      </c>
      <c r="K785" s="2"/>
      <c r="L785"/>
      <c r="M785"/>
      <c r="N785"/>
      <c r="O785"/>
      <c r="P785"/>
      <c r="Q785"/>
      <c r="R785"/>
      <c r="S785"/>
      <c r="T785"/>
      <c r="U785"/>
      <c r="V785"/>
      <c r="W785"/>
      <c r="X785"/>
      <c r="Y785"/>
      <c r="Z785"/>
      <c r="AA785"/>
      <c r="AB785"/>
      <c r="AC785"/>
      <c r="AD785"/>
      <c r="AE785"/>
      <c r="AF785"/>
      <c r="AG785"/>
      <c r="AH785"/>
      <c r="AI785"/>
      <c r="AJ785"/>
      <c r="AK785"/>
      <c r="AL785"/>
      <c r="AM785"/>
      <c r="AN785"/>
      <c r="AO785"/>
      <c r="AP785"/>
      <c r="AQ785"/>
      <c r="AR785"/>
      <c r="AS785"/>
      <c r="AT785"/>
      <c r="AU785"/>
      <c r="AV785"/>
      <c r="AW785"/>
      <c r="AX785"/>
      <c r="AY785"/>
      <c r="AZ785"/>
      <c r="BA785"/>
      <c r="BB785"/>
      <c r="BC785"/>
      <c r="BD785"/>
      <c r="BE785"/>
      <c r="BF785"/>
      <c r="BG785"/>
      <c r="BH785"/>
      <c r="BI785"/>
      <c r="BJ785"/>
      <c r="BK785"/>
      <c r="BL785"/>
      <c r="BM785"/>
      <c r="BN785"/>
      <c r="BO785"/>
      <c r="BP785"/>
      <c r="BQ785"/>
      <c r="BR785"/>
      <c r="BS785"/>
      <c r="BT785"/>
      <c r="BU785"/>
      <c r="BV785"/>
      <c r="BW785"/>
      <c r="BX785"/>
      <c r="BY785"/>
      <c r="BZ785"/>
      <c r="CA785"/>
      <c r="CB785"/>
      <c r="CC785"/>
      <c r="CD785"/>
      <c r="CE785"/>
      <c r="CF785"/>
      <c r="CG785"/>
      <c r="CH785"/>
      <c r="CI785"/>
      <c r="CJ785"/>
      <c r="CK785"/>
      <c r="CL785"/>
      <c r="CM785"/>
      <c r="CN785"/>
      <c r="CO785"/>
      <c r="CP785"/>
      <c r="CQ785"/>
      <c r="CR785"/>
      <c r="CS785"/>
      <c r="CT785"/>
      <c r="CU785"/>
      <c r="CV785"/>
      <c r="CW785"/>
      <c r="CX785"/>
      <c r="CY785"/>
      <c r="CZ785"/>
      <c r="DA785"/>
      <c r="DB785"/>
      <c r="DC785"/>
      <c r="DD785"/>
      <c r="DE785"/>
      <c r="DF785"/>
      <c r="DG785"/>
      <c r="DH785"/>
      <c r="DI785"/>
      <c r="DJ785"/>
      <c r="DK785"/>
      <c r="DL785"/>
      <c r="DM785"/>
      <c r="DN785"/>
      <c r="DO785"/>
      <c r="DP785"/>
      <c r="DQ785"/>
      <c r="DR785"/>
      <c r="DS785"/>
      <c r="DT785"/>
      <c r="DU785"/>
      <c r="DV785"/>
      <c r="DW785"/>
      <c r="DX785"/>
      <c r="DY785"/>
      <c r="DZ785"/>
      <c r="EA785"/>
      <c r="EB785"/>
      <c r="EC785"/>
      <c r="ED785"/>
      <c r="EE785"/>
      <c r="EF785"/>
      <c r="EG785"/>
      <c r="EH785"/>
      <c r="EI785"/>
      <c r="EJ785"/>
      <c r="EK785"/>
      <c r="EL785"/>
      <c r="EM785"/>
      <c r="EN785"/>
      <c r="EO785"/>
      <c r="EP785"/>
      <c r="EQ785"/>
      <c r="ER785"/>
      <c r="ES785"/>
      <c r="ET785"/>
      <c r="EU785"/>
      <c r="EV785"/>
      <c r="EW785"/>
      <c r="EX785"/>
      <c r="EY785"/>
      <c r="EZ785"/>
      <c r="FA785"/>
      <c r="FB785"/>
      <c r="FC785"/>
      <c r="FD785"/>
      <c r="FE785"/>
      <c r="FF785"/>
      <c r="FG785"/>
      <c r="FH785"/>
      <c r="FI785"/>
      <c r="FJ785"/>
      <c r="FK785"/>
      <c r="FL785"/>
      <c r="FM785"/>
      <c r="FN785"/>
      <c r="FO785"/>
      <c r="FP785"/>
      <c r="FQ785"/>
      <c r="FR785"/>
      <c r="FS785"/>
      <c r="FT785"/>
      <c r="FU785"/>
      <c r="FV785"/>
      <c r="FW785"/>
      <c r="FX785"/>
      <c r="FY785"/>
      <c r="FZ785"/>
      <c r="GA785"/>
      <c r="GB785"/>
      <c r="GC785"/>
      <c r="GD785"/>
      <c r="GE785"/>
      <c r="GF785"/>
      <c r="GG785"/>
      <c r="GH785"/>
      <c r="GI785"/>
      <c r="GJ785"/>
      <c r="GK785"/>
      <c r="GL785"/>
      <c r="GM785"/>
      <c r="GN785"/>
      <c r="GO785"/>
      <c r="GP785"/>
      <c r="GQ785"/>
      <c r="GR785"/>
      <c r="GS785"/>
      <c r="GT785"/>
      <c r="GU785"/>
      <c r="GV785"/>
      <c r="GW785"/>
      <c r="GX785"/>
      <c r="GY785"/>
      <c r="GZ785"/>
      <c r="HA785"/>
      <c r="HB785"/>
      <c r="HC785"/>
      <c r="HD785"/>
      <c r="HE785"/>
      <c r="HF785"/>
      <c r="HG785"/>
      <c r="HH785"/>
      <c r="HI785"/>
      <c r="HJ785"/>
      <c r="HK785"/>
      <c r="HL785"/>
      <c r="HM785"/>
      <c r="HN785"/>
      <c r="HO785"/>
      <c r="HP785"/>
      <c r="HQ785"/>
      <c r="HR785"/>
      <c r="HS785"/>
      <c r="HT785"/>
      <c r="HU785"/>
      <c r="HV785"/>
      <c r="HW785"/>
      <c r="HX785"/>
      <c r="HY785"/>
      <c r="HZ785"/>
      <c r="IA785"/>
      <c r="IB785"/>
      <c r="IC785"/>
      <c r="ID785"/>
      <c r="IE785"/>
      <c r="IF785"/>
      <c r="IG785"/>
      <c r="IH785"/>
      <c r="II785"/>
      <c r="IJ785"/>
    </row>
    <row r="786" spans="1:244" ht="30" customHeight="1" x14ac:dyDescent="0.2">
      <c r="A786" s="2391"/>
      <c r="B786" s="2076" t="s">
        <v>829</v>
      </c>
      <c r="C786" s="2077">
        <f>SUM(C787:C788)</f>
        <v>750000</v>
      </c>
      <c r="D786" s="2077">
        <f>SUM(D787:D788)</f>
        <v>700000</v>
      </c>
      <c r="E786" s="2077"/>
      <c r="F786" s="2077"/>
      <c r="G786" s="2459"/>
      <c r="H786" s="2459"/>
      <c r="I786" s="2460"/>
      <c r="J786" s="88">
        <v>0</v>
      </c>
      <c r="K786" s="2"/>
      <c r="L786"/>
      <c r="M786"/>
      <c r="N786"/>
      <c r="O786"/>
      <c r="P786"/>
      <c r="Q786"/>
      <c r="R786"/>
      <c r="S786"/>
      <c r="T786"/>
      <c r="U786"/>
      <c r="V786"/>
      <c r="W786"/>
      <c r="X786"/>
      <c r="Y786"/>
      <c r="Z786"/>
      <c r="AA786"/>
      <c r="AB786"/>
      <c r="AC786"/>
      <c r="AD786"/>
      <c r="AE786"/>
      <c r="AF786"/>
      <c r="AG786"/>
      <c r="AH786"/>
      <c r="AI786"/>
      <c r="AJ786"/>
      <c r="AK786"/>
      <c r="AL786"/>
      <c r="AM786"/>
      <c r="AN786"/>
      <c r="AO786"/>
      <c r="AP786"/>
      <c r="AQ786"/>
      <c r="AR786"/>
      <c r="AS786"/>
      <c r="AT786"/>
      <c r="AU786"/>
      <c r="AV786"/>
      <c r="AW786"/>
      <c r="AX786"/>
      <c r="AY786"/>
      <c r="AZ786"/>
      <c r="BA786"/>
      <c r="BB786"/>
      <c r="BC786"/>
      <c r="BD786"/>
      <c r="BE786"/>
      <c r="BF786"/>
      <c r="BG786"/>
      <c r="BH786"/>
      <c r="BI786"/>
      <c r="BJ786"/>
      <c r="BK786"/>
      <c r="BL786"/>
      <c r="BM786"/>
      <c r="BN786"/>
      <c r="BO786"/>
      <c r="BP786"/>
      <c r="BQ786"/>
      <c r="BR786"/>
      <c r="BS786"/>
      <c r="BT786"/>
      <c r="BU786"/>
      <c r="BV786"/>
      <c r="BW786"/>
      <c r="BX786"/>
      <c r="BY786"/>
      <c r="BZ786"/>
      <c r="CA786"/>
      <c r="CB786"/>
      <c r="CC786"/>
      <c r="CD786"/>
      <c r="CE786"/>
      <c r="CF786"/>
      <c r="CG786"/>
      <c r="CH786"/>
      <c r="CI786"/>
      <c r="CJ786"/>
      <c r="CK786"/>
      <c r="CL786"/>
      <c r="CM786"/>
      <c r="CN786"/>
      <c r="CO786"/>
      <c r="CP786"/>
      <c r="CQ786"/>
      <c r="CR786"/>
      <c r="CS786"/>
      <c r="CT786"/>
      <c r="CU786"/>
      <c r="CV786"/>
      <c r="CW786"/>
      <c r="CX786"/>
      <c r="CY786"/>
      <c r="CZ786"/>
      <c r="DA786"/>
      <c r="DB786"/>
      <c r="DC786"/>
      <c r="DD786"/>
      <c r="DE786"/>
      <c r="DF786"/>
      <c r="DG786"/>
      <c r="DH786"/>
      <c r="DI786"/>
      <c r="DJ786"/>
      <c r="DK786"/>
      <c r="DL786"/>
      <c r="DM786"/>
      <c r="DN786"/>
      <c r="DO786"/>
      <c r="DP786"/>
      <c r="DQ786"/>
      <c r="DR786"/>
      <c r="DS786"/>
      <c r="DT786"/>
      <c r="DU786"/>
      <c r="DV786"/>
      <c r="DW786"/>
      <c r="DX786"/>
      <c r="DY786"/>
      <c r="DZ786"/>
      <c r="EA786"/>
      <c r="EB786"/>
      <c r="EC786"/>
      <c r="ED786"/>
      <c r="EE786"/>
      <c r="EF786"/>
      <c r="EG786"/>
      <c r="EH786"/>
      <c r="EI786"/>
      <c r="EJ786"/>
      <c r="EK786"/>
      <c r="EL786"/>
      <c r="EM786"/>
      <c r="EN786"/>
      <c r="EO786"/>
      <c r="EP786"/>
      <c r="EQ786"/>
      <c r="ER786"/>
      <c r="ES786"/>
      <c r="ET786"/>
      <c r="EU786"/>
      <c r="EV786"/>
      <c r="EW786"/>
      <c r="EX786"/>
      <c r="EY786"/>
      <c r="EZ786"/>
      <c r="FA786"/>
      <c r="FB786"/>
      <c r="FC786"/>
      <c r="FD786"/>
      <c r="FE786"/>
      <c r="FF786"/>
      <c r="FG786"/>
      <c r="FH786"/>
      <c r="FI786"/>
      <c r="FJ786"/>
      <c r="FK786"/>
      <c r="FL786"/>
      <c r="FM786"/>
      <c r="FN786"/>
      <c r="FO786"/>
      <c r="FP786"/>
      <c r="FQ786"/>
      <c r="FR786"/>
      <c r="FS786"/>
      <c r="FT786"/>
      <c r="FU786"/>
      <c r="FV786"/>
      <c r="FW786"/>
      <c r="FX786"/>
      <c r="FY786"/>
      <c r="FZ786"/>
      <c r="GA786"/>
      <c r="GB786"/>
      <c r="GC786"/>
      <c r="GD786"/>
      <c r="GE786"/>
      <c r="GF786"/>
      <c r="GG786"/>
      <c r="GH786"/>
      <c r="GI786"/>
      <c r="GJ786"/>
      <c r="GK786"/>
      <c r="GL786"/>
      <c r="GM786"/>
      <c r="GN786"/>
      <c r="GO786"/>
      <c r="GP786"/>
      <c r="GQ786"/>
      <c r="GR786"/>
      <c r="GS786"/>
      <c r="GT786"/>
      <c r="GU786"/>
      <c r="GV786"/>
      <c r="GW786"/>
      <c r="GX786"/>
      <c r="GY786"/>
      <c r="GZ786"/>
      <c r="HA786"/>
      <c r="HB786"/>
      <c r="HC786"/>
      <c r="HD786"/>
      <c r="HE786"/>
      <c r="HF786"/>
      <c r="HG786"/>
      <c r="HH786"/>
      <c r="HI786"/>
      <c r="HJ786"/>
      <c r="HK786"/>
      <c r="HL786"/>
      <c r="HM786"/>
      <c r="HN786"/>
      <c r="HO786"/>
      <c r="HP786"/>
      <c r="HQ786"/>
      <c r="HR786"/>
      <c r="HS786"/>
      <c r="HT786"/>
      <c r="HU786"/>
      <c r="HV786"/>
      <c r="HW786"/>
      <c r="HX786"/>
      <c r="HY786"/>
      <c r="HZ786"/>
      <c r="IA786"/>
      <c r="IB786"/>
      <c r="IC786"/>
      <c r="ID786"/>
      <c r="IE786"/>
      <c r="IF786"/>
      <c r="IG786"/>
      <c r="IH786"/>
      <c r="II786"/>
      <c r="IJ786"/>
    </row>
    <row r="787" spans="1:244" s="1417" customFormat="1" ht="30" customHeight="1" x14ac:dyDescent="0.2">
      <c r="A787" s="2391"/>
      <c r="B787" s="2078" t="s">
        <v>2541</v>
      </c>
      <c r="C787" s="2075">
        <v>600000</v>
      </c>
      <c r="D787" s="2075">
        <v>600000</v>
      </c>
      <c r="E787" s="2075"/>
      <c r="F787" s="2075"/>
      <c r="G787" s="2200"/>
      <c r="H787" s="2200"/>
      <c r="I787" s="2201"/>
      <c r="J787" s="2461">
        <v>0</v>
      </c>
    </row>
    <row r="788" spans="1:244" ht="30" customHeight="1" x14ac:dyDescent="0.2">
      <c r="A788" s="2391"/>
      <c r="B788" s="2080" t="s">
        <v>2542</v>
      </c>
      <c r="C788" s="2075">
        <v>150000</v>
      </c>
      <c r="D788" s="2075">
        <f>150000-50000</f>
        <v>100000</v>
      </c>
      <c r="E788" s="2075"/>
      <c r="F788" s="2075"/>
      <c r="G788" s="2200"/>
      <c r="H788" s="2200"/>
      <c r="I788" s="2201"/>
      <c r="J788" s="88">
        <v>0</v>
      </c>
      <c r="K788" s="2"/>
      <c r="L788"/>
      <c r="M788"/>
      <c r="N788"/>
      <c r="O788"/>
      <c r="P788"/>
      <c r="Q788"/>
      <c r="R788"/>
      <c r="S788"/>
      <c r="T788"/>
      <c r="U788"/>
      <c r="V788"/>
      <c r="W788"/>
      <c r="X788"/>
      <c r="Y788"/>
      <c r="Z788"/>
      <c r="AA788"/>
      <c r="AB788"/>
      <c r="AC788"/>
      <c r="AD788"/>
      <c r="AE788"/>
      <c r="AF788"/>
      <c r="AG788"/>
      <c r="AH788"/>
      <c r="AI788"/>
      <c r="AJ788"/>
      <c r="AK788"/>
      <c r="AL788"/>
      <c r="AM788"/>
      <c r="AN788"/>
      <c r="AO788"/>
      <c r="AP788"/>
      <c r="AQ788"/>
      <c r="AR788"/>
      <c r="AS788"/>
      <c r="AT788"/>
      <c r="AU788"/>
      <c r="AV788"/>
      <c r="AW788"/>
      <c r="AX788"/>
      <c r="AY788"/>
      <c r="AZ788"/>
      <c r="BA788"/>
      <c r="BB788"/>
      <c r="BC788"/>
      <c r="BD788"/>
      <c r="BE788"/>
      <c r="BF788"/>
      <c r="BG788"/>
      <c r="BH788"/>
      <c r="BI788"/>
      <c r="BJ788"/>
      <c r="BK788"/>
      <c r="BL788"/>
      <c r="BM788"/>
      <c r="BN788"/>
      <c r="BO788"/>
      <c r="BP788"/>
      <c r="BQ788"/>
      <c r="BR788"/>
      <c r="BS788"/>
      <c r="BT788"/>
      <c r="BU788"/>
      <c r="BV788"/>
      <c r="BW788"/>
      <c r="BX788"/>
      <c r="BY788"/>
      <c r="BZ788"/>
      <c r="CA788"/>
      <c r="CB788"/>
      <c r="CC788"/>
      <c r="CD788"/>
      <c r="CE788"/>
      <c r="CF788"/>
      <c r="CG788"/>
      <c r="CH788"/>
      <c r="CI788"/>
      <c r="CJ788"/>
      <c r="CK788"/>
      <c r="CL788"/>
      <c r="CM788"/>
      <c r="CN788"/>
      <c r="CO788"/>
      <c r="CP788"/>
      <c r="CQ788"/>
      <c r="CR788"/>
      <c r="CS788"/>
      <c r="CT788"/>
      <c r="CU788"/>
      <c r="CV788"/>
      <c r="CW788"/>
      <c r="CX788"/>
      <c r="CY788"/>
      <c r="CZ788"/>
      <c r="DA788"/>
      <c r="DB788"/>
      <c r="DC788"/>
      <c r="DD788"/>
      <c r="DE788"/>
      <c r="DF788"/>
      <c r="DG788"/>
      <c r="DH788"/>
      <c r="DI788"/>
      <c r="DJ788"/>
      <c r="DK788"/>
      <c r="DL788"/>
      <c r="DM788"/>
      <c r="DN788"/>
      <c r="DO788"/>
      <c r="DP788"/>
      <c r="DQ788"/>
      <c r="DR788"/>
      <c r="DS788"/>
      <c r="DT788"/>
      <c r="DU788"/>
      <c r="DV788"/>
      <c r="DW788"/>
      <c r="DX788"/>
      <c r="DY788"/>
      <c r="DZ788"/>
      <c r="EA788"/>
      <c r="EB788"/>
      <c r="EC788"/>
      <c r="ED788"/>
      <c r="EE788"/>
      <c r="EF788"/>
      <c r="EG788"/>
      <c r="EH788"/>
      <c r="EI788"/>
      <c r="EJ788"/>
      <c r="EK788"/>
      <c r="EL788"/>
      <c r="EM788"/>
      <c r="EN788"/>
      <c r="EO788"/>
      <c r="EP788"/>
      <c r="EQ788"/>
      <c r="ER788"/>
      <c r="ES788"/>
      <c r="ET788"/>
      <c r="EU788"/>
      <c r="EV788"/>
      <c r="EW788"/>
      <c r="EX788"/>
      <c r="EY788"/>
      <c r="EZ788"/>
      <c r="FA788"/>
      <c r="FB788"/>
      <c r="FC788"/>
      <c r="FD788"/>
      <c r="FE788"/>
      <c r="FF788"/>
      <c r="FG788"/>
      <c r="FH788"/>
      <c r="FI788"/>
      <c r="FJ788"/>
      <c r="FK788"/>
      <c r="FL788"/>
      <c r="FM788"/>
      <c r="FN788"/>
      <c r="FO788"/>
      <c r="FP788"/>
      <c r="FQ788"/>
      <c r="FR788"/>
      <c r="FS788"/>
      <c r="FT788"/>
      <c r="FU788"/>
      <c r="FV788"/>
      <c r="FW788"/>
      <c r="FX788"/>
      <c r="FY788"/>
      <c r="FZ788"/>
      <c r="GA788"/>
      <c r="GB788"/>
      <c r="GC788"/>
      <c r="GD788"/>
      <c r="GE788"/>
      <c r="GF788"/>
      <c r="GG788"/>
      <c r="GH788"/>
      <c r="GI788"/>
      <c r="GJ788"/>
      <c r="GK788"/>
      <c r="GL788"/>
      <c r="GM788"/>
      <c r="GN788"/>
      <c r="GO788"/>
      <c r="GP788"/>
      <c r="GQ788"/>
      <c r="GR788"/>
      <c r="GS788"/>
      <c r="GT788"/>
      <c r="GU788"/>
      <c r="GV788"/>
      <c r="GW788"/>
      <c r="GX788"/>
      <c r="GY788"/>
      <c r="GZ788"/>
      <c r="HA788"/>
      <c r="HB788"/>
      <c r="HC788"/>
      <c r="HD788"/>
      <c r="HE788"/>
      <c r="HF788"/>
      <c r="HG788"/>
      <c r="HH788"/>
      <c r="HI788"/>
      <c r="HJ788"/>
      <c r="HK788"/>
      <c r="HL788"/>
      <c r="HM788"/>
      <c r="HN788"/>
      <c r="HO788"/>
      <c r="HP788"/>
      <c r="HQ788"/>
      <c r="HR788"/>
      <c r="HS788"/>
      <c r="HT788"/>
      <c r="HU788"/>
      <c r="HV788"/>
      <c r="HW788"/>
      <c r="HX788"/>
      <c r="HY788"/>
      <c r="HZ788"/>
      <c r="IA788"/>
      <c r="IB788"/>
      <c r="IC788"/>
      <c r="ID788"/>
      <c r="IE788"/>
      <c r="IF788"/>
      <c r="IG788"/>
      <c r="IH788"/>
      <c r="II788"/>
      <c r="IJ788"/>
    </row>
    <row r="789" spans="1:244" ht="30" customHeight="1" x14ac:dyDescent="0.2">
      <c r="A789" s="2391"/>
      <c r="B789" s="2081" t="s">
        <v>819</v>
      </c>
      <c r="C789" s="2082">
        <f>SUM(C790:C791)</f>
        <v>36900000</v>
      </c>
      <c r="D789" s="2082">
        <f>SUM(D790:D791)</f>
        <v>35758910.700000003</v>
      </c>
      <c r="E789" s="2082"/>
      <c r="F789" s="2082"/>
      <c r="G789" s="2459"/>
      <c r="H789" s="2459"/>
      <c r="I789" s="2460"/>
      <c r="J789" s="88">
        <v>34309573.799999997</v>
      </c>
      <c r="K789" s="2"/>
      <c r="L789"/>
      <c r="M789"/>
      <c r="N789"/>
      <c r="O789"/>
      <c r="P789"/>
      <c r="Q789"/>
      <c r="R789"/>
      <c r="S789"/>
      <c r="T789"/>
      <c r="U789"/>
      <c r="V789"/>
      <c r="W789"/>
      <c r="X789"/>
      <c r="Y789"/>
      <c r="Z789"/>
      <c r="AA789"/>
      <c r="AB789"/>
      <c r="AC789"/>
      <c r="AD789"/>
      <c r="AE789"/>
      <c r="AF789"/>
      <c r="AG789"/>
      <c r="AH789"/>
      <c r="AI789"/>
      <c r="AJ789"/>
      <c r="AK789"/>
      <c r="AL789"/>
      <c r="AM789"/>
      <c r="AN789"/>
      <c r="AO789"/>
      <c r="AP789"/>
      <c r="AQ789"/>
      <c r="AR789"/>
      <c r="AS789"/>
      <c r="AT789"/>
      <c r="AU789"/>
      <c r="AV789"/>
      <c r="AW789"/>
      <c r="AX789"/>
      <c r="AY789"/>
      <c r="AZ789"/>
      <c r="BA789"/>
      <c r="BB789"/>
      <c r="BC789"/>
      <c r="BD789"/>
      <c r="BE789"/>
      <c r="BF789"/>
      <c r="BG789"/>
      <c r="BH789"/>
      <c r="BI789"/>
      <c r="BJ789"/>
      <c r="BK789"/>
      <c r="BL789"/>
      <c r="BM789"/>
      <c r="BN789"/>
      <c r="BO789"/>
      <c r="BP789"/>
      <c r="BQ789"/>
      <c r="BR789"/>
      <c r="BS789"/>
      <c r="BT789"/>
      <c r="BU789"/>
      <c r="BV789"/>
      <c r="BW789"/>
      <c r="BX789"/>
      <c r="BY789"/>
      <c r="BZ789"/>
      <c r="CA789"/>
      <c r="CB789"/>
      <c r="CC789"/>
      <c r="CD789"/>
      <c r="CE789"/>
      <c r="CF789"/>
      <c r="CG789"/>
      <c r="CH789"/>
      <c r="CI789"/>
      <c r="CJ789"/>
      <c r="CK789"/>
      <c r="CL789"/>
      <c r="CM789"/>
      <c r="CN789"/>
      <c r="CO789"/>
      <c r="CP789"/>
      <c r="CQ789"/>
      <c r="CR789"/>
      <c r="CS789"/>
      <c r="CT789"/>
      <c r="CU789"/>
      <c r="CV789"/>
      <c r="CW789"/>
      <c r="CX789"/>
      <c r="CY789"/>
      <c r="CZ789"/>
      <c r="DA789"/>
      <c r="DB789"/>
      <c r="DC789"/>
      <c r="DD789"/>
      <c r="DE789"/>
      <c r="DF789"/>
      <c r="DG789"/>
      <c r="DH789"/>
      <c r="DI789"/>
      <c r="DJ789"/>
      <c r="DK789"/>
      <c r="DL789"/>
      <c r="DM789"/>
      <c r="DN789"/>
      <c r="DO789"/>
      <c r="DP789"/>
      <c r="DQ789"/>
      <c r="DR789"/>
      <c r="DS789"/>
      <c r="DT789"/>
      <c r="DU789"/>
      <c r="DV789"/>
      <c r="DW789"/>
      <c r="DX789"/>
      <c r="DY789"/>
      <c r="DZ789"/>
      <c r="EA789"/>
      <c r="EB789"/>
      <c r="EC789"/>
      <c r="ED789"/>
      <c r="EE789"/>
      <c r="EF789"/>
      <c r="EG789"/>
      <c r="EH789"/>
      <c r="EI789"/>
      <c r="EJ789"/>
      <c r="EK789"/>
      <c r="EL789"/>
      <c r="EM789"/>
      <c r="EN789"/>
      <c r="EO789"/>
      <c r="EP789"/>
      <c r="EQ789"/>
      <c r="ER789"/>
      <c r="ES789"/>
      <c r="ET789"/>
      <c r="EU789"/>
      <c r="EV789"/>
      <c r="EW789"/>
      <c r="EX789"/>
      <c r="EY789"/>
      <c r="EZ789"/>
      <c r="FA789"/>
      <c r="FB789"/>
      <c r="FC789"/>
      <c r="FD789"/>
      <c r="FE789"/>
      <c r="FF789"/>
      <c r="FG789"/>
      <c r="FH789"/>
      <c r="FI789"/>
      <c r="FJ789"/>
      <c r="FK789"/>
      <c r="FL789"/>
      <c r="FM789"/>
      <c r="FN789"/>
      <c r="FO789"/>
      <c r="FP789"/>
      <c r="FQ789"/>
      <c r="FR789"/>
      <c r="FS789"/>
      <c r="FT789"/>
      <c r="FU789"/>
      <c r="FV789"/>
      <c r="FW789"/>
      <c r="FX789"/>
      <c r="FY789"/>
      <c r="FZ789"/>
      <c r="GA789"/>
      <c r="GB789"/>
      <c r="GC789"/>
      <c r="GD789"/>
      <c r="GE789"/>
      <c r="GF789"/>
      <c r="GG789"/>
      <c r="GH789"/>
      <c r="GI789"/>
      <c r="GJ789"/>
      <c r="GK789"/>
      <c r="GL789"/>
      <c r="GM789"/>
      <c r="GN789"/>
      <c r="GO789"/>
      <c r="GP789"/>
      <c r="GQ789"/>
      <c r="GR789"/>
      <c r="GS789"/>
      <c r="GT789"/>
      <c r="GU789"/>
      <c r="GV789"/>
      <c r="GW789"/>
      <c r="GX789"/>
      <c r="GY789"/>
      <c r="GZ789"/>
      <c r="HA789"/>
      <c r="HB789"/>
      <c r="HC789"/>
      <c r="HD789"/>
      <c r="HE789"/>
      <c r="HF789"/>
      <c r="HG789"/>
      <c r="HH789"/>
      <c r="HI789"/>
      <c r="HJ789"/>
      <c r="HK789"/>
      <c r="HL789"/>
      <c r="HM789"/>
      <c r="HN789"/>
      <c r="HO789"/>
      <c r="HP789"/>
      <c r="HQ789"/>
      <c r="HR789"/>
      <c r="HS789"/>
      <c r="HT789"/>
      <c r="HU789"/>
      <c r="HV789"/>
      <c r="HW789"/>
      <c r="HX789"/>
      <c r="HY789"/>
      <c r="HZ789"/>
      <c r="IA789"/>
      <c r="IB789"/>
      <c r="IC789"/>
      <c r="ID789"/>
      <c r="IE789"/>
      <c r="IF789"/>
      <c r="IG789"/>
      <c r="IH789"/>
      <c r="II789"/>
      <c r="IJ789"/>
    </row>
    <row r="790" spans="1:244" ht="30" customHeight="1" x14ac:dyDescent="0.2">
      <c r="A790" s="2391"/>
      <c r="B790" s="2080" t="s">
        <v>2543</v>
      </c>
      <c r="C790" s="2075">
        <v>36900000</v>
      </c>
      <c r="D790" s="2075">
        <f>36900000-312434.9-847352-256165.19-6955-40397</f>
        <v>35436695.910000004</v>
      </c>
      <c r="E790" s="2075"/>
      <c r="F790" s="2075"/>
      <c r="G790" s="2200"/>
      <c r="H790" s="2200"/>
      <c r="I790" s="2201"/>
      <c r="J790" s="88">
        <v>34227717.090000004</v>
      </c>
      <c r="K790" s="2"/>
      <c r="L790"/>
      <c r="M790"/>
      <c r="N790"/>
      <c r="O790"/>
      <c r="P790"/>
      <c r="Q790"/>
      <c r="R790"/>
      <c r="S790"/>
      <c r="T790"/>
      <c r="U790"/>
      <c r="V790"/>
      <c r="W790"/>
      <c r="X790"/>
      <c r="Y790"/>
      <c r="Z790"/>
      <c r="AA790"/>
      <c r="AB790"/>
      <c r="AC790"/>
      <c r="AD790"/>
      <c r="AE790"/>
      <c r="AF790"/>
      <c r="AG790"/>
      <c r="AH790"/>
      <c r="AI790"/>
      <c r="AJ790"/>
      <c r="AK790"/>
      <c r="AL790"/>
      <c r="AM790"/>
      <c r="AN790"/>
      <c r="AO790"/>
      <c r="AP790"/>
      <c r="AQ790"/>
      <c r="AR790"/>
      <c r="AS790"/>
      <c r="AT790"/>
      <c r="AU790"/>
      <c r="AV790"/>
      <c r="AW790"/>
      <c r="AX790"/>
      <c r="AY790"/>
      <c r="AZ790"/>
      <c r="BA790"/>
      <c r="BB790"/>
      <c r="BC790"/>
      <c r="BD790"/>
      <c r="BE790"/>
      <c r="BF790"/>
      <c r="BG790"/>
      <c r="BH790"/>
      <c r="BI790"/>
      <c r="BJ790"/>
      <c r="BK790"/>
      <c r="BL790"/>
      <c r="BM790"/>
      <c r="BN790"/>
      <c r="BO790"/>
      <c r="BP790"/>
      <c r="BQ790"/>
      <c r="BR790"/>
      <c r="BS790"/>
      <c r="BT790"/>
      <c r="BU790"/>
      <c r="BV790"/>
      <c r="BW790"/>
      <c r="BX790"/>
      <c r="BY790"/>
      <c r="BZ790"/>
      <c r="CA790"/>
      <c r="CB790"/>
      <c r="CC790"/>
      <c r="CD790"/>
      <c r="CE790"/>
      <c r="CF790"/>
      <c r="CG790"/>
      <c r="CH790"/>
      <c r="CI790"/>
      <c r="CJ790"/>
      <c r="CK790"/>
      <c r="CL790"/>
      <c r="CM790"/>
      <c r="CN790"/>
      <c r="CO790"/>
      <c r="CP790"/>
      <c r="CQ790"/>
      <c r="CR790"/>
      <c r="CS790"/>
      <c r="CT790"/>
      <c r="CU790"/>
      <c r="CV790"/>
      <c r="CW790"/>
      <c r="CX790"/>
      <c r="CY790"/>
      <c r="CZ790"/>
      <c r="DA790"/>
      <c r="DB790"/>
      <c r="DC790"/>
      <c r="DD790"/>
      <c r="DE790"/>
      <c r="DF790"/>
      <c r="DG790"/>
      <c r="DH790"/>
      <c r="DI790"/>
      <c r="DJ790"/>
      <c r="DK790"/>
      <c r="DL790"/>
      <c r="DM790"/>
      <c r="DN790"/>
      <c r="DO790"/>
      <c r="DP790"/>
      <c r="DQ790"/>
      <c r="DR790"/>
      <c r="DS790"/>
      <c r="DT790"/>
      <c r="DU790"/>
      <c r="DV790"/>
      <c r="DW790"/>
      <c r="DX790"/>
      <c r="DY790"/>
      <c r="DZ790"/>
      <c r="EA790"/>
      <c r="EB790"/>
      <c r="EC790"/>
      <c r="ED790"/>
      <c r="EE790"/>
      <c r="EF790"/>
      <c r="EG790"/>
      <c r="EH790"/>
      <c r="EI790"/>
      <c r="EJ790"/>
      <c r="EK790"/>
      <c r="EL790"/>
      <c r="EM790"/>
      <c r="EN790"/>
      <c r="EO790"/>
      <c r="EP790"/>
      <c r="EQ790"/>
      <c r="ER790"/>
      <c r="ES790"/>
      <c r="ET790"/>
      <c r="EU790"/>
      <c r="EV790"/>
      <c r="EW790"/>
      <c r="EX790"/>
      <c r="EY790"/>
      <c r="EZ790"/>
      <c r="FA790"/>
      <c r="FB790"/>
      <c r="FC790"/>
      <c r="FD790"/>
      <c r="FE790"/>
      <c r="FF790"/>
      <c r="FG790"/>
      <c r="FH790"/>
      <c r="FI790"/>
      <c r="FJ790"/>
      <c r="FK790"/>
      <c r="FL790"/>
      <c r="FM790"/>
      <c r="FN790"/>
      <c r="FO790"/>
      <c r="FP790"/>
      <c r="FQ790"/>
      <c r="FR790"/>
      <c r="FS790"/>
      <c r="FT790"/>
      <c r="FU790"/>
      <c r="FV790"/>
      <c r="FW790"/>
      <c r="FX790"/>
      <c r="FY790"/>
      <c r="FZ790"/>
      <c r="GA790"/>
      <c r="GB790"/>
      <c r="GC790"/>
      <c r="GD790"/>
      <c r="GE790"/>
      <c r="GF790"/>
      <c r="GG790"/>
      <c r="GH790"/>
      <c r="GI790"/>
      <c r="GJ790"/>
      <c r="GK790"/>
      <c r="GL790"/>
      <c r="GM790"/>
      <c r="GN790"/>
      <c r="GO790"/>
      <c r="GP790"/>
      <c r="GQ790"/>
      <c r="GR790"/>
      <c r="GS790"/>
      <c r="GT790"/>
      <c r="GU790"/>
      <c r="GV790"/>
      <c r="GW790"/>
      <c r="GX790"/>
      <c r="GY790"/>
      <c r="GZ790"/>
      <c r="HA790"/>
      <c r="HB790"/>
      <c r="HC790"/>
      <c r="HD790"/>
      <c r="HE790"/>
      <c r="HF790"/>
      <c r="HG790"/>
      <c r="HH790"/>
      <c r="HI790"/>
      <c r="HJ790"/>
      <c r="HK790"/>
      <c r="HL790"/>
      <c r="HM790"/>
      <c r="HN790"/>
      <c r="HO790"/>
      <c r="HP790"/>
      <c r="HQ790"/>
      <c r="HR790"/>
      <c r="HS790"/>
      <c r="HT790"/>
      <c r="HU790"/>
      <c r="HV790"/>
      <c r="HW790"/>
      <c r="HX790"/>
      <c r="HY790"/>
      <c r="HZ790"/>
      <c r="IA790"/>
      <c r="IB790"/>
      <c r="IC790"/>
      <c r="ID790"/>
      <c r="IE790"/>
      <c r="IF790"/>
      <c r="IG790"/>
      <c r="IH790"/>
      <c r="II790"/>
      <c r="IJ790"/>
    </row>
    <row r="791" spans="1:244" s="98" customFormat="1" ht="30" customHeight="1" x14ac:dyDescent="0.2">
      <c r="A791" s="2391"/>
      <c r="B791" s="2083" t="s">
        <v>3197</v>
      </c>
      <c r="C791" s="2075">
        <v>0</v>
      </c>
      <c r="D791" s="2075">
        <f>10369.6+48752+215741.19+6955+40397</f>
        <v>322214.78999999998</v>
      </c>
      <c r="E791" s="2075"/>
      <c r="F791" s="2075"/>
      <c r="G791" s="2200"/>
      <c r="H791" s="2200"/>
      <c r="I791" s="2201"/>
      <c r="J791" s="88">
        <v>81856.710000000006</v>
      </c>
    </row>
    <row r="792" spans="1:244" ht="30" customHeight="1" x14ac:dyDescent="0.2">
      <c r="A792" s="2391"/>
      <c r="B792" s="2084" t="s">
        <v>1917</v>
      </c>
      <c r="C792" s="2085">
        <f>C793+C795+C799</f>
        <v>15310000</v>
      </c>
      <c r="D792" s="2085">
        <f>D793+D795+D799</f>
        <v>16312566.33</v>
      </c>
      <c r="E792" s="2085"/>
      <c r="F792" s="2075"/>
      <c r="G792" s="1663"/>
      <c r="H792" s="1663"/>
      <c r="I792" s="1662"/>
      <c r="J792" s="88">
        <v>15633103</v>
      </c>
      <c r="K792" s="2"/>
      <c r="L792"/>
      <c r="M792"/>
      <c r="N792"/>
      <c r="O792"/>
      <c r="P792"/>
      <c r="Q792"/>
      <c r="R792"/>
      <c r="S792"/>
      <c r="T792"/>
      <c r="U792"/>
      <c r="V792"/>
      <c r="W792"/>
      <c r="X792"/>
      <c r="Y792"/>
      <c r="Z792"/>
      <c r="AA792"/>
      <c r="AB792"/>
      <c r="AC792"/>
      <c r="AD792"/>
      <c r="AE792"/>
      <c r="AF792"/>
      <c r="AG792"/>
      <c r="AH792"/>
      <c r="AI792"/>
      <c r="AJ792"/>
      <c r="AK792"/>
      <c r="AL792"/>
      <c r="AM792"/>
      <c r="AN792"/>
      <c r="AO792"/>
      <c r="AP792"/>
      <c r="AQ792"/>
      <c r="AR792"/>
      <c r="AS792"/>
      <c r="AT792"/>
      <c r="AU792"/>
      <c r="AV792"/>
      <c r="AW792"/>
      <c r="AX792"/>
      <c r="AY792"/>
      <c r="AZ792"/>
      <c r="BA792"/>
      <c r="BB792"/>
      <c r="BC792"/>
      <c r="BD792"/>
      <c r="BE792"/>
      <c r="BF792"/>
      <c r="BG792"/>
      <c r="BH792"/>
      <c r="BI792"/>
      <c r="BJ792"/>
      <c r="BK792"/>
      <c r="BL792"/>
      <c r="BM792"/>
      <c r="BN792"/>
      <c r="BO792"/>
      <c r="BP792"/>
      <c r="BQ792"/>
      <c r="BR792"/>
      <c r="BS792"/>
      <c r="BT792"/>
      <c r="BU792"/>
      <c r="BV792"/>
      <c r="BW792"/>
      <c r="BX792"/>
      <c r="BY792"/>
      <c r="BZ792"/>
      <c r="CA792"/>
      <c r="CB792"/>
      <c r="CC792"/>
      <c r="CD792"/>
      <c r="CE792"/>
      <c r="CF792"/>
      <c r="CG792"/>
      <c r="CH792"/>
      <c r="CI792"/>
      <c r="CJ792"/>
      <c r="CK792"/>
      <c r="CL792"/>
      <c r="CM792"/>
      <c r="CN792"/>
      <c r="CO792"/>
      <c r="CP792"/>
      <c r="CQ792"/>
      <c r="CR792"/>
      <c r="CS792"/>
      <c r="CT792"/>
      <c r="CU792"/>
      <c r="CV792"/>
      <c r="CW792"/>
      <c r="CX792"/>
      <c r="CY792"/>
      <c r="CZ792"/>
      <c r="DA792"/>
      <c r="DB792"/>
      <c r="DC792"/>
      <c r="DD792"/>
      <c r="DE792"/>
      <c r="DF792"/>
      <c r="DG792"/>
      <c r="DH792"/>
      <c r="DI792"/>
      <c r="DJ792"/>
      <c r="DK792"/>
      <c r="DL792"/>
      <c r="DM792"/>
      <c r="DN792"/>
      <c r="DO792"/>
      <c r="DP792"/>
      <c r="DQ792"/>
      <c r="DR792"/>
      <c r="DS792"/>
      <c r="DT792"/>
      <c r="DU792"/>
      <c r="DV792"/>
      <c r="DW792"/>
      <c r="DX792"/>
      <c r="DY792"/>
      <c r="DZ792"/>
      <c r="EA792"/>
      <c r="EB792"/>
      <c r="EC792"/>
      <c r="ED792"/>
      <c r="EE792"/>
      <c r="EF792"/>
      <c r="EG792"/>
      <c r="EH792"/>
      <c r="EI792"/>
      <c r="EJ792"/>
      <c r="EK792"/>
      <c r="EL792"/>
      <c r="EM792"/>
      <c r="EN792"/>
      <c r="EO792"/>
      <c r="EP792"/>
      <c r="EQ792"/>
      <c r="ER792"/>
      <c r="ES792"/>
      <c r="ET792"/>
      <c r="EU792"/>
      <c r="EV792"/>
      <c r="EW792"/>
      <c r="EX792"/>
      <c r="EY792"/>
      <c r="EZ792"/>
      <c r="FA792"/>
      <c r="FB792"/>
      <c r="FC792"/>
      <c r="FD792"/>
      <c r="FE792"/>
      <c r="FF792"/>
      <c r="FG792"/>
      <c r="FH792"/>
      <c r="FI792"/>
      <c r="FJ792"/>
      <c r="FK792"/>
      <c r="FL792"/>
      <c r="FM792"/>
      <c r="FN792"/>
      <c r="FO792"/>
      <c r="FP792"/>
      <c r="FQ792"/>
      <c r="FR792"/>
      <c r="FS792"/>
      <c r="FT792"/>
      <c r="FU792"/>
      <c r="FV792"/>
      <c r="FW792"/>
      <c r="FX792"/>
      <c r="FY792"/>
      <c r="FZ792"/>
      <c r="GA792"/>
      <c r="GB792"/>
      <c r="GC792"/>
      <c r="GD792"/>
      <c r="GE792"/>
      <c r="GF792"/>
      <c r="GG792"/>
      <c r="GH792"/>
      <c r="GI792"/>
      <c r="GJ792"/>
      <c r="GK792"/>
      <c r="GL792"/>
      <c r="GM792"/>
      <c r="GN792"/>
      <c r="GO792"/>
      <c r="GP792"/>
      <c r="GQ792"/>
      <c r="GR792"/>
      <c r="GS792"/>
      <c r="GT792"/>
      <c r="GU792"/>
      <c r="GV792"/>
      <c r="GW792"/>
      <c r="GX792"/>
      <c r="GY792"/>
      <c r="GZ792"/>
      <c r="HA792"/>
      <c r="HB792"/>
      <c r="HC792"/>
      <c r="HD792"/>
      <c r="HE792"/>
      <c r="HF792"/>
      <c r="HG792"/>
      <c r="HH792"/>
      <c r="HI792"/>
      <c r="HJ792"/>
      <c r="HK792"/>
      <c r="HL792"/>
      <c r="HM792"/>
      <c r="HN792"/>
      <c r="HO792"/>
      <c r="HP792"/>
      <c r="HQ792"/>
      <c r="HR792"/>
      <c r="HS792"/>
      <c r="HT792"/>
      <c r="HU792"/>
      <c r="HV792"/>
      <c r="HW792"/>
      <c r="HX792"/>
      <c r="HY792"/>
      <c r="HZ792"/>
      <c r="IA792"/>
      <c r="IB792"/>
      <c r="IC792"/>
      <c r="ID792"/>
      <c r="IE792"/>
      <c r="IF792"/>
      <c r="IG792"/>
      <c r="IH792"/>
      <c r="II792"/>
      <c r="IJ792"/>
    </row>
    <row r="793" spans="1:244" ht="30" customHeight="1" x14ac:dyDescent="0.2">
      <c r="A793" s="2462"/>
      <c r="B793" s="2087" t="s">
        <v>807</v>
      </c>
      <c r="C793" s="2082">
        <f>C794</f>
        <v>170000</v>
      </c>
      <c r="D793" s="2082">
        <f>D794</f>
        <v>170000</v>
      </c>
      <c r="E793" s="2082"/>
      <c r="F793" s="2082"/>
      <c r="G793" s="2459"/>
      <c r="H793" s="2459"/>
      <c r="I793" s="2460"/>
      <c r="J793" s="88">
        <v>0</v>
      </c>
      <c r="K793" s="2"/>
      <c r="L793"/>
      <c r="M793"/>
      <c r="N793"/>
      <c r="O793"/>
      <c r="P793"/>
      <c r="Q793"/>
      <c r="R793"/>
      <c r="S793"/>
      <c r="T793"/>
      <c r="U793"/>
      <c r="V793"/>
      <c r="W793"/>
      <c r="X793"/>
      <c r="Y793"/>
      <c r="Z793"/>
      <c r="AA793"/>
      <c r="AB793"/>
      <c r="AC793"/>
      <c r="AD793"/>
      <c r="AE793"/>
      <c r="AF793"/>
      <c r="AG793"/>
      <c r="AH793"/>
      <c r="AI793"/>
      <c r="AJ793"/>
      <c r="AK793"/>
      <c r="AL793"/>
      <c r="AM793"/>
      <c r="AN793"/>
      <c r="AO793"/>
      <c r="AP793"/>
      <c r="AQ793"/>
      <c r="AR793"/>
      <c r="AS793"/>
      <c r="AT793"/>
      <c r="AU793"/>
      <c r="AV793"/>
      <c r="AW793"/>
      <c r="AX793"/>
      <c r="AY793"/>
      <c r="AZ793"/>
      <c r="BA793"/>
      <c r="BB793"/>
      <c r="BC793"/>
      <c r="BD793"/>
      <c r="BE793"/>
      <c r="BF793"/>
      <c r="BG793"/>
      <c r="BH793"/>
      <c r="BI793"/>
      <c r="BJ793"/>
      <c r="BK793"/>
      <c r="BL793"/>
      <c r="BM793"/>
      <c r="BN793"/>
      <c r="BO793"/>
      <c r="BP793"/>
      <c r="BQ793"/>
      <c r="BR793"/>
      <c r="BS793"/>
      <c r="BT793"/>
      <c r="BU793"/>
      <c r="BV793"/>
      <c r="BW793"/>
      <c r="BX793"/>
      <c r="BY793"/>
      <c r="BZ793"/>
      <c r="CA793"/>
      <c r="CB793"/>
      <c r="CC793"/>
      <c r="CD793"/>
      <c r="CE793"/>
      <c r="CF793"/>
      <c r="CG793"/>
      <c r="CH793"/>
      <c r="CI793"/>
      <c r="CJ793"/>
      <c r="CK793"/>
      <c r="CL793"/>
      <c r="CM793"/>
      <c r="CN793"/>
      <c r="CO793"/>
      <c r="CP793"/>
      <c r="CQ793"/>
      <c r="CR793"/>
      <c r="CS793"/>
      <c r="CT793"/>
      <c r="CU793"/>
      <c r="CV793"/>
      <c r="CW793"/>
      <c r="CX793"/>
      <c r="CY793"/>
      <c r="CZ793"/>
      <c r="DA793"/>
      <c r="DB793"/>
      <c r="DC793"/>
      <c r="DD793"/>
      <c r="DE793"/>
      <c r="DF793"/>
      <c r="DG793"/>
      <c r="DH793"/>
      <c r="DI793"/>
      <c r="DJ793"/>
      <c r="DK793"/>
      <c r="DL793"/>
      <c r="DM793"/>
      <c r="DN793"/>
      <c r="DO793"/>
      <c r="DP793"/>
      <c r="DQ793"/>
      <c r="DR793"/>
      <c r="DS793"/>
      <c r="DT793"/>
      <c r="DU793"/>
      <c r="DV793"/>
      <c r="DW793"/>
      <c r="DX793"/>
      <c r="DY793"/>
      <c r="DZ793"/>
      <c r="EA793"/>
      <c r="EB793"/>
      <c r="EC793"/>
      <c r="ED793"/>
      <c r="EE793"/>
      <c r="EF793"/>
      <c r="EG793"/>
      <c r="EH793"/>
      <c r="EI793"/>
      <c r="EJ793"/>
      <c r="EK793"/>
      <c r="EL793"/>
      <c r="EM793"/>
      <c r="EN793"/>
      <c r="EO793"/>
      <c r="EP793"/>
      <c r="EQ793"/>
      <c r="ER793"/>
      <c r="ES793"/>
      <c r="ET793"/>
      <c r="EU793"/>
      <c r="EV793"/>
      <c r="EW793"/>
      <c r="EX793"/>
      <c r="EY793"/>
      <c r="EZ793"/>
      <c r="FA793"/>
      <c r="FB793"/>
      <c r="FC793"/>
      <c r="FD793"/>
      <c r="FE793"/>
      <c r="FF793"/>
      <c r="FG793"/>
      <c r="FH793"/>
      <c r="FI793"/>
      <c r="FJ793"/>
      <c r="FK793"/>
      <c r="FL793"/>
      <c r="FM793"/>
      <c r="FN793"/>
      <c r="FO793"/>
      <c r="FP793"/>
      <c r="FQ793"/>
      <c r="FR793"/>
      <c r="FS793"/>
      <c r="FT793"/>
      <c r="FU793"/>
      <c r="FV793"/>
      <c r="FW793"/>
      <c r="FX793"/>
      <c r="FY793"/>
      <c r="FZ793"/>
      <c r="GA793"/>
      <c r="GB793"/>
      <c r="GC793"/>
      <c r="GD793"/>
      <c r="GE793"/>
      <c r="GF793"/>
      <c r="GG793"/>
      <c r="GH793"/>
      <c r="GI793"/>
      <c r="GJ793"/>
      <c r="GK793"/>
      <c r="GL793"/>
      <c r="GM793"/>
      <c r="GN793"/>
      <c r="GO793"/>
      <c r="GP793"/>
      <c r="GQ793"/>
      <c r="GR793"/>
      <c r="GS793"/>
      <c r="GT793"/>
      <c r="GU793"/>
      <c r="GV793"/>
      <c r="GW793"/>
      <c r="GX793"/>
      <c r="GY793"/>
      <c r="GZ793"/>
      <c r="HA793"/>
      <c r="HB793"/>
      <c r="HC793"/>
      <c r="HD793"/>
      <c r="HE793"/>
      <c r="HF793"/>
      <c r="HG793"/>
      <c r="HH793"/>
      <c r="HI793"/>
      <c r="HJ793"/>
      <c r="HK793"/>
      <c r="HL793"/>
      <c r="HM793"/>
      <c r="HN793"/>
      <c r="HO793"/>
      <c r="HP793"/>
      <c r="HQ793"/>
      <c r="HR793"/>
      <c r="HS793"/>
      <c r="HT793"/>
      <c r="HU793"/>
      <c r="HV793"/>
      <c r="HW793"/>
      <c r="HX793"/>
      <c r="HY793"/>
      <c r="HZ793"/>
      <c r="IA793"/>
      <c r="IB793"/>
      <c r="IC793"/>
      <c r="ID793"/>
      <c r="IE793"/>
      <c r="IF793"/>
      <c r="IG793"/>
      <c r="IH793"/>
      <c r="II793"/>
      <c r="IJ793"/>
    </row>
    <row r="794" spans="1:244" ht="30" customHeight="1" x14ac:dyDescent="0.2">
      <c r="A794" s="2462"/>
      <c r="B794" s="2088" t="s">
        <v>2544</v>
      </c>
      <c r="C794" s="1781">
        <v>170000</v>
      </c>
      <c r="D794" s="1781">
        <v>170000</v>
      </c>
      <c r="E794" s="1809"/>
      <c r="F794" s="1809"/>
      <c r="G794" s="2200"/>
      <c r="H794" s="2200"/>
      <c r="I794" s="2201"/>
      <c r="J794" s="88">
        <v>0</v>
      </c>
      <c r="K794" s="2"/>
      <c r="L794"/>
      <c r="M794"/>
      <c r="N794"/>
      <c r="O794"/>
      <c r="P794"/>
      <c r="Q794"/>
      <c r="R794"/>
      <c r="S794"/>
      <c r="T794"/>
      <c r="U794"/>
      <c r="V794"/>
      <c r="W794"/>
      <c r="X794"/>
      <c r="Y794"/>
      <c r="Z794"/>
      <c r="AA794"/>
      <c r="AB794"/>
      <c r="AC794"/>
      <c r="AD794"/>
      <c r="AE794"/>
      <c r="AF794"/>
      <c r="AG794"/>
      <c r="AH794"/>
      <c r="AI794"/>
      <c r="AJ794"/>
      <c r="AK794"/>
      <c r="AL794"/>
      <c r="AM794"/>
      <c r="AN794"/>
      <c r="AO794"/>
      <c r="AP794"/>
      <c r="AQ794"/>
      <c r="AR794"/>
      <c r="AS794"/>
      <c r="AT794"/>
      <c r="AU794"/>
      <c r="AV794"/>
      <c r="AW794"/>
      <c r="AX794"/>
      <c r="AY794"/>
      <c r="AZ794"/>
      <c r="BA794"/>
      <c r="BB794"/>
      <c r="BC794"/>
      <c r="BD794"/>
      <c r="BE794"/>
      <c r="BF794"/>
      <c r="BG794"/>
      <c r="BH794"/>
      <c r="BI794"/>
      <c r="BJ794"/>
      <c r="BK794"/>
      <c r="BL794"/>
      <c r="BM794"/>
      <c r="BN794"/>
      <c r="BO794"/>
      <c r="BP794"/>
      <c r="BQ794"/>
      <c r="BR794"/>
      <c r="BS794"/>
      <c r="BT794"/>
      <c r="BU794"/>
      <c r="BV794"/>
      <c r="BW794"/>
      <c r="BX794"/>
      <c r="BY794"/>
      <c r="BZ794"/>
      <c r="CA794"/>
      <c r="CB794"/>
      <c r="CC794"/>
      <c r="CD794"/>
      <c r="CE794"/>
      <c r="CF794"/>
      <c r="CG794"/>
      <c r="CH794"/>
      <c r="CI794"/>
      <c r="CJ794"/>
      <c r="CK794"/>
      <c r="CL794"/>
      <c r="CM794"/>
      <c r="CN794"/>
      <c r="CO794"/>
      <c r="CP794"/>
      <c r="CQ794"/>
      <c r="CR794"/>
      <c r="CS794"/>
      <c r="CT794"/>
      <c r="CU794"/>
      <c r="CV794"/>
      <c r="CW794"/>
      <c r="CX794"/>
      <c r="CY794"/>
      <c r="CZ794"/>
      <c r="DA794"/>
      <c r="DB794"/>
      <c r="DC794"/>
      <c r="DD794"/>
      <c r="DE794"/>
      <c r="DF794"/>
      <c r="DG794"/>
      <c r="DH794"/>
      <c r="DI794"/>
      <c r="DJ794"/>
      <c r="DK794"/>
      <c r="DL794"/>
      <c r="DM794"/>
      <c r="DN794"/>
      <c r="DO794"/>
      <c r="DP794"/>
      <c r="DQ794"/>
      <c r="DR794"/>
      <c r="DS794"/>
      <c r="DT794"/>
      <c r="DU794"/>
      <c r="DV794"/>
      <c r="DW794"/>
      <c r="DX794"/>
      <c r="DY794"/>
      <c r="DZ794"/>
      <c r="EA794"/>
      <c r="EB794"/>
      <c r="EC794"/>
      <c r="ED794"/>
      <c r="EE794"/>
      <c r="EF794"/>
      <c r="EG794"/>
      <c r="EH794"/>
      <c r="EI794"/>
      <c r="EJ794"/>
      <c r="EK794"/>
      <c r="EL794"/>
      <c r="EM794"/>
      <c r="EN794"/>
      <c r="EO794"/>
      <c r="EP794"/>
      <c r="EQ794"/>
      <c r="ER794"/>
      <c r="ES794"/>
      <c r="ET794"/>
      <c r="EU794"/>
      <c r="EV794"/>
      <c r="EW794"/>
      <c r="EX794"/>
      <c r="EY794"/>
      <c r="EZ794"/>
      <c r="FA794"/>
      <c r="FB794"/>
      <c r="FC794"/>
      <c r="FD794"/>
      <c r="FE794"/>
      <c r="FF794"/>
      <c r="FG794"/>
      <c r="FH794"/>
      <c r="FI794"/>
      <c r="FJ794"/>
      <c r="FK794"/>
      <c r="FL794"/>
      <c r="FM794"/>
      <c r="FN794"/>
      <c r="FO794"/>
      <c r="FP794"/>
      <c r="FQ794"/>
      <c r="FR794"/>
      <c r="FS794"/>
      <c r="FT794"/>
      <c r="FU794"/>
      <c r="FV794"/>
      <c r="FW794"/>
      <c r="FX794"/>
      <c r="FY794"/>
      <c r="FZ794"/>
      <c r="GA794"/>
      <c r="GB794"/>
      <c r="GC794"/>
      <c r="GD794"/>
      <c r="GE794"/>
      <c r="GF794"/>
      <c r="GG794"/>
      <c r="GH794"/>
      <c r="GI794"/>
      <c r="GJ794"/>
      <c r="GK794"/>
      <c r="GL794"/>
      <c r="GM794"/>
      <c r="GN794"/>
      <c r="GO794"/>
      <c r="GP794"/>
      <c r="GQ794"/>
      <c r="GR794"/>
      <c r="GS794"/>
      <c r="GT794"/>
      <c r="GU794"/>
      <c r="GV794"/>
      <c r="GW794"/>
      <c r="GX794"/>
      <c r="GY794"/>
      <c r="GZ794"/>
      <c r="HA794"/>
      <c r="HB794"/>
      <c r="HC794"/>
      <c r="HD794"/>
      <c r="HE794"/>
      <c r="HF794"/>
      <c r="HG794"/>
      <c r="HH794"/>
      <c r="HI794"/>
      <c r="HJ794"/>
      <c r="HK794"/>
      <c r="HL794"/>
      <c r="HM794"/>
      <c r="HN794"/>
      <c r="HO794"/>
      <c r="HP794"/>
      <c r="HQ794"/>
      <c r="HR794"/>
      <c r="HS794"/>
      <c r="HT794"/>
      <c r="HU794"/>
      <c r="HV794"/>
      <c r="HW794"/>
      <c r="HX794"/>
      <c r="HY794"/>
      <c r="HZ794"/>
      <c r="IA794"/>
      <c r="IB794"/>
      <c r="IC794"/>
      <c r="ID794"/>
      <c r="IE794"/>
      <c r="IF794"/>
      <c r="IG794"/>
      <c r="IH794"/>
      <c r="II794"/>
      <c r="IJ794"/>
    </row>
    <row r="795" spans="1:244" s="98" customFormat="1" ht="30" customHeight="1" x14ac:dyDescent="0.2">
      <c r="A795" s="2462"/>
      <c r="B795" s="2087" t="s">
        <v>819</v>
      </c>
      <c r="C795" s="2089">
        <f>SUM(C796:C798)</f>
        <v>14550000</v>
      </c>
      <c r="D795" s="2089">
        <f>SUM(D796:D798)</f>
        <v>15552566.33</v>
      </c>
      <c r="E795" s="2089"/>
      <c r="F795" s="2089"/>
      <c r="G795" s="2459"/>
      <c r="H795" s="2459"/>
      <c r="I795" s="2460"/>
      <c r="J795" s="88">
        <v>15235125.289999999</v>
      </c>
    </row>
    <row r="796" spans="1:244" ht="30" customHeight="1" x14ac:dyDescent="0.2">
      <c r="A796" s="2462"/>
      <c r="B796" s="2080" t="s">
        <v>1920</v>
      </c>
      <c r="C796" s="2075">
        <v>14500000</v>
      </c>
      <c r="D796" s="2075">
        <f>14500000-1756+1307000-8425-304433.67</f>
        <v>15492385.33</v>
      </c>
      <c r="E796" s="2075"/>
      <c r="F796" s="2075"/>
      <c r="G796" s="2200"/>
      <c r="H796" s="2200"/>
      <c r="I796" s="2201"/>
      <c r="J796" s="88">
        <v>15221005.289999999</v>
      </c>
      <c r="K796" s="2"/>
      <c r="L796"/>
      <c r="M796"/>
      <c r="N796"/>
      <c r="O796"/>
      <c r="P796"/>
      <c r="Q796"/>
      <c r="R796"/>
      <c r="S796"/>
      <c r="T796"/>
      <c r="U796"/>
      <c r="V796"/>
      <c r="W796"/>
      <c r="X796"/>
      <c r="Y796"/>
      <c r="Z796"/>
      <c r="AA796"/>
      <c r="AB796"/>
      <c r="AC796"/>
      <c r="AD796"/>
      <c r="AE796"/>
      <c r="AF796"/>
      <c r="AG796"/>
      <c r="AH796"/>
      <c r="AI796"/>
      <c r="AJ796"/>
      <c r="AK796"/>
      <c r="AL796"/>
      <c r="AM796"/>
      <c r="AN796"/>
      <c r="AO796"/>
      <c r="AP796"/>
      <c r="AQ796"/>
      <c r="AR796"/>
      <c r="AS796"/>
      <c r="AT796"/>
      <c r="AU796"/>
      <c r="AV796"/>
      <c r="AW796"/>
      <c r="AX796"/>
      <c r="AY796"/>
      <c r="AZ796"/>
      <c r="BA796"/>
      <c r="BB796"/>
      <c r="BC796"/>
      <c r="BD796"/>
      <c r="BE796"/>
      <c r="BF796"/>
      <c r="BG796"/>
      <c r="BH796"/>
      <c r="BI796"/>
      <c r="BJ796"/>
      <c r="BK796"/>
      <c r="BL796"/>
      <c r="BM796"/>
      <c r="BN796"/>
      <c r="BO796"/>
      <c r="BP796"/>
      <c r="BQ796"/>
      <c r="BR796"/>
      <c r="BS796"/>
      <c r="BT796"/>
      <c r="BU796"/>
      <c r="BV796"/>
      <c r="BW796"/>
      <c r="BX796"/>
      <c r="BY796"/>
      <c r="BZ796"/>
      <c r="CA796"/>
      <c r="CB796"/>
      <c r="CC796"/>
      <c r="CD796"/>
      <c r="CE796"/>
      <c r="CF796"/>
      <c r="CG796"/>
      <c r="CH796"/>
      <c r="CI796"/>
      <c r="CJ796"/>
      <c r="CK796"/>
      <c r="CL796"/>
      <c r="CM796"/>
      <c r="CN796"/>
      <c r="CO796"/>
      <c r="CP796"/>
      <c r="CQ796"/>
      <c r="CR796"/>
      <c r="CS796"/>
      <c r="CT796"/>
      <c r="CU796"/>
      <c r="CV796"/>
      <c r="CW796"/>
      <c r="CX796"/>
      <c r="CY796"/>
      <c r="CZ796"/>
      <c r="DA796"/>
      <c r="DB796"/>
      <c r="DC796"/>
      <c r="DD796"/>
      <c r="DE796"/>
      <c r="DF796"/>
      <c r="DG796"/>
      <c r="DH796"/>
      <c r="DI796"/>
      <c r="DJ796"/>
      <c r="DK796"/>
      <c r="DL796"/>
      <c r="DM796"/>
      <c r="DN796"/>
      <c r="DO796"/>
      <c r="DP796"/>
      <c r="DQ796"/>
      <c r="DR796"/>
      <c r="DS796"/>
      <c r="DT796"/>
      <c r="DU796"/>
      <c r="DV796"/>
      <c r="DW796"/>
      <c r="DX796"/>
      <c r="DY796"/>
      <c r="DZ796"/>
      <c r="EA796"/>
      <c r="EB796"/>
      <c r="EC796"/>
      <c r="ED796"/>
      <c r="EE796"/>
      <c r="EF796"/>
      <c r="EG796"/>
      <c r="EH796"/>
      <c r="EI796"/>
      <c r="EJ796"/>
      <c r="EK796"/>
      <c r="EL796"/>
      <c r="EM796"/>
      <c r="EN796"/>
      <c r="EO796"/>
      <c r="EP796"/>
      <c r="EQ796"/>
      <c r="ER796"/>
      <c r="ES796"/>
      <c r="ET796"/>
      <c r="EU796"/>
      <c r="EV796"/>
      <c r="EW796"/>
      <c r="EX796"/>
      <c r="EY796"/>
      <c r="EZ796"/>
      <c r="FA796"/>
      <c r="FB796"/>
      <c r="FC796"/>
      <c r="FD796"/>
      <c r="FE796"/>
      <c r="FF796"/>
      <c r="FG796"/>
      <c r="FH796"/>
      <c r="FI796"/>
      <c r="FJ796"/>
      <c r="FK796"/>
      <c r="FL796"/>
      <c r="FM796"/>
      <c r="FN796"/>
      <c r="FO796"/>
      <c r="FP796"/>
      <c r="FQ796"/>
      <c r="FR796"/>
      <c r="FS796"/>
      <c r="FT796"/>
      <c r="FU796"/>
      <c r="FV796"/>
      <c r="FW796"/>
      <c r="FX796"/>
      <c r="FY796"/>
      <c r="FZ796"/>
      <c r="GA796"/>
      <c r="GB796"/>
      <c r="GC796"/>
      <c r="GD796"/>
      <c r="GE796"/>
      <c r="GF796"/>
      <c r="GG796"/>
      <c r="GH796"/>
      <c r="GI796"/>
      <c r="GJ796"/>
      <c r="GK796"/>
      <c r="GL796"/>
      <c r="GM796"/>
      <c r="GN796"/>
      <c r="GO796"/>
      <c r="GP796"/>
      <c r="GQ796"/>
      <c r="GR796"/>
      <c r="GS796"/>
      <c r="GT796"/>
      <c r="GU796"/>
      <c r="GV796"/>
      <c r="GW796"/>
      <c r="GX796"/>
      <c r="GY796"/>
      <c r="GZ796"/>
      <c r="HA796"/>
      <c r="HB796"/>
      <c r="HC796"/>
      <c r="HD796"/>
      <c r="HE796"/>
      <c r="HF796"/>
      <c r="HG796"/>
      <c r="HH796"/>
      <c r="HI796"/>
      <c r="HJ796"/>
      <c r="HK796"/>
      <c r="HL796"/>
      <c r="HM796"/>
      <c r="HN796"/>
      <c r="HO796"/>
      <c r="HP796"/>
      <c r="HQ796"/>
      <c r="HR796"/>
      <c r="HS796"/>
      <c r="HT796"/>
      <c r="HU796"/>
      <c r="HV796"/>
      <c r="HW796"/>
      <c r="HX796"/>
      <c r="HY796"/>
      <c r="HZ796"/>
      <c r="IA796"/>
      <c r="IB796"/>
      <c r="IC796"/>
      <c r="ID796"/>
      <c r="IE796"/>
      <c r="IF796"/>
      <c r="IG796"/>
      <c r="IH796"/>
      <c r="II796"/>
      <c r="IJ796"/>
    </row>
    <row r="797" spans="1:244" ht="30" customHeight="1" x14ac:dyDescent="0.2">
      <c r="A797" s="2462"/>
      <c r="B797" s="2078" t="s">
        <v>2545</v>
      </c>
      <c r="C797" s="2075">
        <v>0</v>
      </c>
      <c r="D797" s="2075">
        <f>1756+8425</f>
        <v>10181</v>
      </c>
      <c r="E797" s="2075"/>
      <c r="F797" s="2075"/>
      <c r="G797" s="2200"/>
      <c r="H797" s="2200"/>
      <c r="I797" s="2201"/>
      <c r="J797" s="88">
        <v>14120</v>
      </c>
      <c r="K797" s="2"/>
      <c r="L797"/>
      <c r="M797"/>
      <c r="N797"/>
      <c r="O797"/>
      <c r="P797"/>
      <c r="Q797"/>
      <c r="R797"/>
      <c r="S797"/>
      <c r="T797"/>
      <c r="U797"/>
      <c r="V797"/>
      <c r="W797"/>
      <c r="X797"/>
      <c r="Y797"/>
      <c r="Z797"/>
      <c r="AA797"/>
      <c r="AB797"/>
      <c r="AC797"/>
      <c r="AD797"/>
      <c r="AE797"/>
      <c r="AF797"/>
      <c r="AG797"/>
      <c r="AH797"/>
      <c r="AI797"/>
      <c r="AJ797"/>
      <c r="AK797"/>
      <c r="AL797"/>
      <c r="AM797"/>
      <c r="AN797"/>
      <c r="AO797"/>
      <c r="AP797"/>
      <c r="AQ797"/>
      <c r="AR797"/>
      <c r="AS797"/>
      <c r="AT797"/>
      <c r="AU797"/>
      <c r="AV797"/>
      <c r="AW797"/>
      <c r="AX797"/>
      <c r="AY797"/>
      <c r="AZ797"/>
      <c r="BA797"/>
      <c r="BB797"/>
      <c r="BC797"/>
      <c r="BD797"/>
      <c r="BE797"/>
      <c r="BF797"/>
      <c r="BG797"/>
      <c r="BH797"/>
      <c r="BI797"/>
      <c r="BJ797"/>
      <c r="BK797"/>
      <c r="BL797"/>
      <c r="BM797"/>
      <c r="BN797"/>
      <c r="BO797"/>
      <c r="BP797"/>
      <c r="BQ797"/>
      <c r="BR797"/>
      <c r="BS797"/>
      <c r="BT797"/>
      <c r="BU797"/>
      <c r="BV797"/>
      <c r="BW797"/>
      <c r="BX797"/>
      <c r="BY797"/>
      <c r="BZ797"/>
      <c r="CA797"/>
      <c r="CB797"/>
      <c r="CC797"/>
      <c r="CD797"/>
      <c r="CE797"/>
      <c r="CF797"/>
      <c r="CG797"/>
      <c r="CH797"/>
      <c r="CI797"/>
      <c r="CJ797"/>
      <c r="CK797"/>
      <c r="CL797"/>
      <c r="CM797"/>
      <c r="CN797"/>
      <c r="CO797"/>
      <c r="CP797"/>
      <c r="CQ797"/>
      <c r="CR797"/>
      <c r="CS797"/>
      <c r="CT797"/>
      <c r="CU797"/>
      <c r="CV797"/>
      <c r="CW797"/>
      <c r="CX797"/>
      <c r="CY797"/>
      <c r="CZ797"/>
      <c r="DA797"/>
      <c r="DB797"/>
      <c r="DC797"/>
      <c r="DD797"/>
      <c r="DE797"/>
      <c r="DF797"/>
      <c r="DG797"/>
      <c r="DH797"/>
      <c r="DI797"/>
      <c r="DJ797"/>
      <c r="DK797"/>
      <c r="DL797"/>
      <c r="DM797"/>
      <c r="DN797"/>
      <c r="DO797"/>
      <c r="DP797"/>
      <c r="DQ797"/>
      <c r="DR797"/>
      <c r="DS797"/>
      <c r="DT797"/>
      <c r="DU797"/>
      <c r="DV797"/>
      <c r="DW797"/>
      <c r="DX797"/>
      <c r="DY797"/>
      <c r="DZ797"/>
      <c r="EA797"/>
      <c r="EB797"/>
      <c r="EC797"/>
      <c r="ED797"/>
      <c r="EE797"/>
      <c r="EF797"/>
      <c r="EG797"/>
      <c r="EH797"/>
      <c r="EI797"/>
      <c r="EJ797"/>
      <c r="EK797"/>
      <c r="EL797"/>
      <c r="EM797"/>
      <c r="EN797"/>
      <c r="EO797"/>
      <c r="EP797"/>
      <c r="EQ797"/>
      <c r="ER797"/>
      <c r="ES797"/>
      <c r="ET797"/>
      <c r="EU797"/>
      <c r="EV797"/>
      <c r="EW797"/>
      <c r="EX797"/>
      <c r="EY797"/>
      <c r="EZ797"/>
      <c r="FA797"/>
      <c r="FB797"/>
      <c r="FC797"/>
      <c r="FD797"/>
      <c r="FE797"/>
      <c r="FF797"/>
      <c r="FG797"/>
      <c r="FH797"/>
      <c r="FI797"/>
      <c r="FJ797"/>
      <c r="FK797"/>
      <c r="FL797"/>
      <c r="FM797"/>
      <c r="FN797"/>
      <c r="FO797"/>
      <c r="FP797"/>
      <c r="FQ797"/>
      <c r="FR797"/>
      <c r="FS797"/>
      <c r="FT797"/>
      <c r="FU797"/>
      <c r="FV797"/>
      <c r="FW797"/>
      <c r="FX797"/>
      <c r="FY797"/>
      <c r="FZ797"/>
      <c r="GA797"/>
      <c r="GB797"/>
      <c r="GC797"/>
      <c r="GD797"/>
      <c r="GE797"/>
      <c r="GF797"/>
      <c r="GG797"/>
      <c r="GH797"/>
      <c r="GI797"/>
      <c r="GJ797"/>
      <c r="GK797"/>
      <c r="GL797"/>
      <c r="GM797"/>
      <c r="GN797"/>
      <c r="GO797"/>
      <c r="GP797"/>
      <c r="GQ797"/>
      <c r="GR797"/>
      <c r="GS797"/>
      <c r="GT797"/>
      <c r="GU797"/>
      <c r="GV797"/>
      <c r="GW797"/>
      <c r="GX797"/>
      <c r="GY797"/>
      <c r="GZ797"/>
      <c r="HA797"/>
      <c r="HB797"/>
      <c r="HC797"/>
      <c r="HD797"/>
      <c r="HE797"/>
      <c r="HF797"/>
      <c r="HG797"/>
      <c r="HH797"/>
      <c r="HI797"/>
      <c r="HJ797"/>
      <c r="HK797"/>
      <c r="HL797"/>
      <c r="HM797"/>
      <c r="HN797"/>
      <c r="HO797"/>
      <c r="HP797"/>
      <c r="HQ797"/>
      <c r="HR797"/>
      <c r="HS797"/>
      <c r="HT797"/>
      <c r="HU797"/>
      <c r="HV797"/>
      <c r="HW797"/>
      <c r="HX797"/>
      <c r="HY797"/>
      <c r="HZ797"/>
      <c r="IA797"/>
      <c r="IB797"/>
      <c r="IC797"/>
      <c r="ID797"/>
      <c r="IE797"/>
      <c r="IF797"/>
      <c r="IG797"/>
      <c r="IH797"/>
      <c r="II797"/>
      <c r="IJ797"/>
    </row>
    <row r="798" spans="1:244" ht="30" customHeight="1" x14ac:dyDescent="0.2">
      <c r="A798" s="2462"/>
      <c r="B798" s="2090" t="s">
        <v>1921</v>
      </c>
      <c r="C798" s="2075">
        <v>50000</v>
      </c>
      <c r="D798" s="2075">
        <v>50000</v>
      </c>
      <c r="E798" s="2075"/>
      <c r="F798" s="2075"/>
      <c r="G798" s="2200"/>
      <c r="H798" s="2200"/>
      <c r="I798" s="2201"/>
      <c r="J798" s="88">
        <v>0</v>
      </c>
      <c r="K798" s="2"/>
      <c r="L798"/>
      <c r="M798"/>
      <c r="N798"/>
      <c r="O798"/>
      <c r="P798"/>
      <c r="Q798"/>
      <c r="R798"/>
      <c r="S798"/>
      <c r="T798"/>
      <c r="U798"/>
      <c r="V798"/>
      <c r="W798"/>
      <c r="X798"/>
      <c r="Y798"/>
      <c r="Z798"/>
      <c r="AA798"/>
      <c r="AB798"/>
      <c r="AC798"/>
      <c r="AD798"/>
      <c r="AE798"/>
      <c r="AF798"/>
      <c r="AG798"/>
      <c r="AH798"/>
      <c r="AI798"/>
      <c r="AJ798"/>
      <c r="AK798"/>
      <c r="AL798"/>
      <c r="AM798"/>
      <c r="AN798"/>
      <c r="AO798"/>
      <c r="AP798"/>
      <c r="AQ798"/>
      <c r="AR798"/>
      <c r="AS798"/>
      <c r="AT798"/>
      <c r="AU798"/>
      <c r="AV798"/>
      <c r="AW798"/>
      <c r="AX798"/>
      <c r="AY798"/>
      <c r="AZ798"/>
      <c r="BA798"/>
      <c r="BB798"/>
      <c r="BC798"/>
      <c r="BD798"/>
      <c r="BE798"/>
      <c r="BF798"/>
      <c r="BG798"/>
      <c r="BH798"/>
      <c r="BI798"/>
      <c r="BJ798"/>
      <c r="BK798"/>
      <c r="BL798"/>
      <c r="BM798"/>
      <c r="BN798"/>
      <c r="BO798"/>
      <c r="BP798"/>
      <c r="BQ798"/>
      <c r="BR798"/>
      <c r="BS798"/>
      <c r="BT798"/>
      <c r="BU798"/>
      <c r="BV798"/>
      <c r="BW798"/>
      <c r="BX798"/>
      <c r="BY798"/>
      <c r="BZ798"/>
      <c r="CA798"/>
      <c r="CB798"/>
      <c r="CC798"/>
      <c r="CD798"/>
      <c r="CE798"/>
      <c r="CF798"/>
      <c r="CG798"/>
      <c r="CH798"/>
      <c r="CI798"/>
      <c r="CJ798"/>
      <c r="CK798"/>
      <c r="CL798"/>
      <c r="CM798"/>
      <c r="CN798"/>
      <c r="CO798"/>
      <c r="CP798"/>
      <c r="CQ798"/>
      <c r="CR798"/>
      <c r="CS798"/>
      <c r="CT798"/>
      <c r="CU798"/>
      <c r="CV798"/>
      <c r="CW798"/>
      <c r="CX798"/>
      <c r="CY798"/>
      <c r="CZ798"/>
      <c r="DA798"/>
      <c r="DB798"/>
      <c r="DC798"/>
      <c r="DD798"/>
      <c r="DE798"/>
      <c r="DF798"/>
      <c r="DG798"/>
      <c r="DH798"/>
      <c r="DI798"/>
      <c r="DJ798"/>
      <c r="DK798"/>
      <c r="DL798"/>
      <c r="DM798"/>
      <c r="DN798"/>
      <c r="DO798"/>
      <c r="DP798"/>
      <c r="DQ798"/>
      <c r="DR798"/>
      <c r="DS798"/>
      <c r="DT798"/>
      <c r="DU798"/>
      <c r="DV798"/>
      <c r="DW798"/>
      <c r="DX798"/>
      <c r="DY798"/>
      <c r="DZ798"/>
      <c r="EA798"/>
      <c r="EB798"/>
      <c r="EC798"/>
      <c r="ED798"/>
      <c r="EE798"/>
      <c r="EF798"/>
      <c r="EG798"/>
      <c r="EH798"/>
      <c r="EI798"/>
      <c r="EJ798"/>
      <c r="EK798"/>
      <c r="EL798"/>
      <c r="EM798"/>
      <c r="EN798"/>
      <c r="EO798"/>
      <c r="EP798"/>
      <c r="EQ798"/>
      <c r="ER798"/>
      <c r="ES798"/>
      <c r="ET798"/>
      <c r="EU798"/>
      <c r="EV798"/>
      <c r="EW798"/>
      <c r="EX798"/>
      <c r="EY798"/>
      <c r="EZ798"/>
      <c r="FA798"/>
      <c r="FB798"/>
      <c r="FC798"/>
      <c r="FD798"/>
      <c r="FE798"/>
      <c r="FF798"/>
      <c r="FG798"/>
      <c r="FH798"/>
      <c r="FI798"/>
      <c r="FJ798"/>
      <c r="FK798"/>
      <c r="FL798"/>
      <c r="FM798"/>
      <c r="FN798"/>
      <c r="FO798"/>
      <c r="FP798"/>
      <c r="FQ798"/>
      <c r="FR798"/>
      <c r="FS798"/>
      <c r="FT798"/>
      <c r="FU798"/>
      <c r="FV798"/>
      <c r="FW798"/>
      <c r="FX798"/>
      <c r="FY798"/>
      <c r="FZ798"/>
      <c r="GA798"/>
      <c r="GB798"/>
      <c r="GC798"/>
      <c r="GD798"/>
      <c r="GE798"/>
      <c r="GF798"/>
      <c r="GG798"/>
      <c r="GH798"/>
      <c r="GI798"/>
      <c r="GJ798"/>
      <c r="GK798"/>
      <c r="GL798"/>
      <c r="GM798"/>
      <c r="GN798"/>
      <c r="GO798"/>
      <c r="GP798"/>
      <c r="GQ798"/>
      <c r="GR798"/>
      <c r="GS798"/>
      <c r="GT798"/>
      <c r="GU798"/>
      <c r="GV798"/>
      <c r="GW798"/>
      <c r="GX798"/>
      <c r="GY798"/>
      <c r="GZ798"/>
      <c r="HA798"/>
      <c r="HB798"/>
      <c r="HC798"/>
      <c r="HD798"/>
      <c r="HE798"/>
      <c r="HF798"/>
      <c r="HG798"/>
      <c r="HH798"/>
      <c r="HI798"/>
      <c r="HJ798"/>
      <c r="HK798"/>
      <c r="HL798"/>
      <c r="HM798"/>
      <c r="HN798"/>
      <c r="HO798"/>
      <c r="HP798"/>
      <c r="HQ798"/>
      <c r="HR798"/>
      <c r="HS798"/>
      <c r="HT798"/>
      <c r="HU798"/>
      <c r="HV798"/>
      <c r="HW798"/>
      <c r="HX798"/>
      <c r="HY798"/>
      <c r="HZ798"/>
      <c r="IA798"/>
      <c r="IB798"/>
      <c r="IC798"/>
      <c r="ID798"/>
      <c r="IE798"/>
      <c r="IF798"/>
      <c r="IG798"/>
      <c r="IH798"/>
      <c r="II798"/>
      <c r="IJ798"/>
    </row>
    <row r="799" spans="1:244" ht="30" customHeight="1" x14ac:dyDescent="0.2">
      <c r="A799" s="2463"/>
      <c r="B799" s="2092" t="s">
        <v>829</v>
      </c>
      <c r="C799" s="2093">
        <f>SUM(C800:C801)</f>
        <v>590000</v>
      </c>
      <c r="D799" s="2093">
        <f>SUM(D800:D801)</f>
        <v>590000</v>
      </c>
      <c r="E799" s="2093"/>
      <c r="F799" s="2093"/>
      <c r="G799" s="2459"/>
      <c r="H799" s="2459"/>
      <c r="I799" s="2460"/>
      <c r="J799" s="88">
        <v>397977.71</v>
      </c>
      <c r="K799" s="2"/>
      <c r="L799"/>
      <c r="M799"/>
      <c r="N799"/>
      <c r="O799"/>
      <c r="P799"/>
      <c r="Q799"/>
      <c r="R799"/>
      <c r="S799"/>
      <c r="T799"/>
      <c r="U799"/>
      <c r="V799"/>
      <c r="W799"/>
      <c r="X799"/>
      <c r="Y799"/>
      <c r="Z799"/>
      <c r="AA799"/>
      <c r="AB799"/>
      <c r="AC799"/>
      <c r="AD799"/>
      <c r="AE799"/>
      <c r="AF799"/>
      <c r="AG799"/>
      <c r="AH799"/>
      <c r="AI799"/>
      <c r="AJ799"/>
      <c r="AK799"/>
      <c r="AL799"/>
      <c r="AM799"/>
      <c r="AN799"/>
      <c r="AO799"/>
      <c r="AP799"/>
      <c r="AQ799"/>
      <c r="AR799"/>
      <c r="AS799"/>
      <c r="AT799"/>
      <c r="AU799"/>
      <c r="AV799"/>
      <c r="AW799"/>
      <c r="AX799"/>
      <c r="AY799"/>
      <c r="AZ799"/>
      <c r="BA799"/>
      <c r="BB799"/>
      <c r="BC799"/>
      <c r="BD799"/>
      <c r="BE799"/>
      <c r="BF799"/>
      <c r="BG799"/>
      <c r="BH799"/>
      <c r="BI799"/>
      <c r="BJ799"/>
      <c r="BK799"/>
      <c r="BL799"/>
      <c r="BM799"/>
      <c r="BN799"/>
      <c r="BO799"/>
      <c r="BP799"/>
      <c r="BQ799"/>
      <c r="BR799"/>
      <c r="BS799"/>
      <c r="BT799"/>
      <c r="BU799"/>
      <c r="BV799"/>
      <c r="BW799"/>
      <c r="BX799"/>
      <c r="BY799"/>
      <c r="BZ799"/>
      <c r="CA799"/>
      <c r="CB799"/>
      <c r="CC799"/>
      <c r="CD799"/>
      <c r="CE799"/>
      <c r="CF799"/>
      <c r="CG799"/>
      <c r="CH799"/>
      <c r="CI799"/>
      <c r="CJ799"/>
      <c r="CK799"/>
      <c r="CL799"/>
      <c r="CM799"/>
      <c r="CN799"/>
      <c r="CO799"/>
      <c r="CP799"/>
      <c r="CQ799"/>
      <c r="CR799"/>
      <c r="CS799"/>
      <c r="CT799"/>
      <c r="CU799"/>
      <c r="CV799"/>
      <c r="CW799"/>
      <c r="CX799"/>
      <c r="CY799"/>
      <c r="CZ799"/>
      <c r="DA799"/>
      <c r="DB799"/>
      <c r="DC799"/>
      <c r="DD799"/>
      <c r="DE799"/>
      <c r="DF799"/>
      <c r="DG799"/>
      <c r="DH799"/>
      <c r="DI799"/>
      <c r="DJ799"/>
      <c r="DK799"/>
      <c r="DL799"/>
      <c r="DM799"/>
      <c r="DN799"/>
      <c r="DO799"/>
      <c r="DP799"/>
      <c r="DQ799"/>
      <c r="DR799"/>
      <c r="DS799"/>
      <c r="DT799"/>
      <c r="DU799"/>
      <c r="DV799"/>
      <c r="DW799"/>
      <c r="DX799"/>
      <c r="DY799"/>
      <c r="DZ799"/>
      <c r="EA799"/>
      <c r="EB799"/>
      <c r="EC799"/>
      <c r="ED799"/>
      <c r="EE799"/>
      <c r="EF799"/>
      <c r="EG799"/>
      <c r="EH799"/>
      <c r="EI799"/>
      <c r="EJ799"/>
      <c r="EK799"/>
      <c r="EL799"/>
      <c r="EM799"/>
      <c r="EN799"/>
      <c r="EO799"/>
      <c r="EP799"/>
      <c r="EQ799"/>
      <c r="ER799"/>
      <c r="ES799"/>
      <c r="ET799"/>
      <c r="EU799"/>
      <c r="EV799"/>
      <c r="EW799"/>
      <c r="EX799"/>
      <c r="EY799"/>
      <c r="EZ799"/>
      <c r="FA799"/>
      <c r="FB799"/>
      <c r="FC799"/>
      <c r="FD799"/>
      <c r="FE799"/>
      <c r="FF799"/>
      <c r="FG799"/>
      <c r="FH799"/>
      <c r="FI799"/>
      <c r="FJ799"/>
      <c r="FK799"/>
      <c r="FL799"/>
      <c r="FM799"/>
      <c r="FN799"/>
      <c r="FO799"/>
      <c r="FP799"/>
      <c r="FQ799"/>
      <c r="FR799"/>
      <c r="FS799"/>
      <c r="FT799"/>
      <c r="FU799"/>
      <c r="FV799"/>
      <c r="FW799"/>
      <c r="FX799"/>
      <c r="FY799"/>
      <c r="FZ799"/>
      <c r="GA799"/>
      <c r="GB799"/>
      <c r="GC799"/>
      <c r="GD799"/>
      <c r="GE799"/>
      <c r="GF799"/>
      <c r="GG799"/>
      <c r="GH799"/>
      <c r="GI799"/>
      <c r="GJ799"/>
      <c r="GK799"/>
      <c r="GL799"/>
      <c r="GM799"/>
      <c r="GN799"/>
      <c r="GO799"/>
      <c r="GP799"/>
      <c r="GQ799"/>
      <c r="GR799"/>
      <c r="GS799"/>
      <c r="GT799"/>
      <c r="GU799"/>
      <c r="GV799"/>
      <c r="GW799"/>
      <c r="GX799"/>
      <c r="GY799"/>
      <c r="GZ799"/>
      <c r="HA799"/>
      <c r="HB799"/>
      <c r="HC799"/>
      <c r="HD799"/>
      <c r="HE799"/>
      <c r="HF799"/>
      <c r="HG799"/>
      <c r="HH799"/>
      <c r="HI799"/>
      <c r="HJ799"/>
      <c r="HK799"/>
      <c r="HL799"/>
      <c r="HM799"/>
      <c r="HN799"/>
      <c r="HO799"/>
      <c r="HP799"/>
      <c r="HQ799"/>
      <c r="HR799"/>
      <c r="HS799"/>
      <c r="HT799"/>
      <c r="HU799"/>
      <c r="HV799"/>
      <c r="HW799"/>
      <c r="HX799"/>
      <c r="HY799"/>
      <c r="HZ799"/>
      <c r="IA799"/>
      <c r="IB799"/>
      <c r="IC799"/>
      <c r="ID799"/>
      <c r="IE799"/>
      <c r="IF799"/>
      <c r="IG799"/>
      <c r="IH799"/>
      <c r="II799"/>
      <c r="IJ799"/>
    </row>
    <row r="800" spans="1:244" ht="30" customHeight="1" x14ac:dyDescent="0.2">
      <c r="A800" s="2462"/>
      <c r="B800" s="2088" t="s">
        <v>2546</v>
      </c>
      <c r="C800" s="2075">
        <v>150000</v>
      </c>
      <c r="D800" s="2075">
        <v>150000</v>
      </c>
      <c r="E800" s="2094"/>
      <c r="F800" s="2094"/>
      <c r="G800" s="2200"/>
      <c r="H800" s="2200"/>
      <c r="I800" s="2201"/>
      <c r="J800" s="88">
        <v>0</v>
      </c>
      <c r="K800" s="2"/>
      <c r="L800"/>
      <c r="M800"/>
      <c r="N800"/>
      <c r="O800"/>
      <c r="P800"/>
      <c r="Q800"/>
      <c r="R800"/>
      <c r="S800"/>
      <c r="T800"/>
      <c r="U800"/>
      <c r="V800"/>
      <c r="W800"/>
      <c r="X800"/>
      <c r="Y800"/>
      <c r="Z800"/>
      <c r="AA800"/>
      <c r="AB800"/>
      <c r="AC800"/>
      <c r="AD800"/>
      <c r="AE800"/>
      <c r="AF800"/>
      <c r="AG800"/>
      <c r="AH800"/>
      <c r="AI800"/>
      <c r="AJ800"/>
      <c r="AK800"/>
      <c r="AL800"/>
      <c r="AM800"/>
      <c r="AN800"/>
      <c r="AO800"/>
      <c r="AP800"/>
      <c r="AQ800"/>
      <c r="AR800"/>
      <c r="AS800"/>
      <c r="AT800"/>
      <c r="AU800"/>
      <c r="AV800"/>
      <c r="AW800"/>
      <c r="AX800"/>
      <c r="AY800"/>
      <c r="AZ800"/>
      <c r="BA800"/>
      <c r="BB800"/>
      <c r="BC800"/>
      <c r="BD800"/>
      <c r="BE800"/>
      <c r="BF800"/>
      <c r="BG800"/>
      <c r="BH800"/>
      <c r="BI800"/>
      <c r="BJ800"/>
      <c r="BK800"/>
      <c r="BL800"/>
      <c r="BM800"/>
      <c r="BN800"/>
      <c r="BO800"/>
      <c r="BP800"/>
      <c r="BQ800"/>
      <c r="BR800"/>
      <c r="BS800"/>
      <c r="BT800"/>
      <c r="BU800"/>
      <c r="BV800"/>
      <c r="BW800"/>
      <c r="BX800"/>
      <c r="BY800"/>
      <c r="BZ800"/>
      <c r="CA800"/>
      <c r="CB800"/>
      <c r="CC800"/>
      <c r="CD800"/>
      <c r="CE800"/>
      <c r="CF800"/>
      <c r="CG800"/>
      <c r="CH800"/>
      <c r="CI800"/>
      <c r="CJ800"/>
      <c r="CK800"/>
      <c r="CL800"/>
      <c r="CM800"/>
      <c r="CN800"/>
      <c r="CO800"/>
      <c r="CP800"/>
      <c r="CQ800"/>
      <c r="CR800"/>
      <c r="CS800"/>
      <c r="CT800"/>
      <c r="CU800"/>
      <c r="CV800"/>
      <c r="CW800"/>
      <c r="CX800"/>
      <c r="CY800"/>
      <c r="CZ800"/>
      <c r="DA800"/>
      <c r="DB800"/>
      <c r="DC800"/>
      <c r="DD800"/>
      <c r="DE800"/>
      <c r="DF800"/>
      <c r="DG800"/>
      <c r="DH800"/>
      <c r="DI800"/>
      <c r="DJ800"/>
      <c r="DK800"/>
      <c r="DL800"/>
      <c r="DM800"/>
      <c r="DN800"/>
      <c r="DO800"/>
      <c r="DP800"/>
      <c r="DQ800"/>
      <c r="DR800"/>
      <c r="DS800"/>
      <c r="DT800"/>
      <c r="DU800"/>
      <c r="DV800"/>
      <c r="DW800"/>
      <c r="DX800"/>
      <c r="DY800"/>
      <c r="DZ800"/>
      <c r="EA800"/>
      <c r="EB800"/>
      <c r="EC800"/>
      <c r="ED800"/>
      <c r="EE800"/>
      <c r="EF800"/>
      <c r="EG800"/>
      <c r="EH800"/>
      <c r="EI800"/>
      <c r="EJ800"/>
      <c r="EK800"/>
      <c r="EL800"/>
      <c r="EM800"/>
      <c r="EN800"/>
      <c r="EO800"/>
      <c r="EP800"/>
      <c r="EQ800"/>
      <c r="ER800"/>
      <c r="ES800"/>
      <c r="ET800"/>
      <c r="EU800"/>
      <c r="EV800"/>
      <c r="EW800"/>
      <c r="EX800"/>
      <c r="EY800"/>
      <c r="EZ800"/>
      <c r="FA800"/>
      <c r="FB800"/>
      <c r="FC800"/>
      <c r="FD800"/>
      <c r="FE800"/>
      <c r="FF800"/>
      <c r="FG800"/>
      <c r="FH800"/>
      <c r="FI800"/>
      <c r="FJ800"/>
      <c r="FK800"/>
      <c r="FL800"/>
      <c r="FM800"/>
      <c r="FN800"/>
      <c r="FO800"/>
      <c r="FP800"/>
      <c r="FQ800"/>
      <c r="FR800"/>
      <c r="FS800"/>
      <c r="FT800"/>
      <c r="FU800"/>
      <c r="FV800"/>
      <c r="FW800"/>
      <c r="FX800"/>
      <c r="FY800"/>
      <c r="FZ800"/>
      <c r="GA800"/>
      <c r="GB800"/>
      <c r="GC800"/>
      <c r="GD800"/>
      <c r="GE800"/>
      <c r="GF800"/>
      <c r="GG800"/>
      <c r="GH800"/>
      <c r="GI800"/>
      <c r="GJ800"/>
      <c r="GK800"/>
      <c r="GL800"/>
      <c r="GM800"/>
      <c r="GN800"/>
      <c r="GO800"/>
      <c r="GP800"/>
      <c r="GQ800"/>
      <c r="GR800"/>
      <c r="GS800"/>
      <c r="GT800"/>
      <c r="GU800"/>
      <c r="GV800"/>
      <c r="GW800"/>
      <c r="GX800"/>
      <c r="GY800"/>
      <c r="GZ800"/>
      <c r="HA800"/>
      <c r="HB800"/>
      <c r="HC800"/>
      <c r="HD800"/>
      <c r="HE800"/>
      <c r="HF800"/>
      <c r="HG800"/>
      <c r="HH800"/>
      <c r="HI800"/>
      <c r="HJ800"/>
      <c r="HK800"/>
      <c r="HL800"/>
      <c r="HM800"/>
      <c r="HN800"/>
      <c r="HO800"/>
      <c r="HP800"/>
      <c r="HQ800"/>
      <c r="HR800"/>
      <c r="HS800"/>
      <c r="HT800"/>
      <c r="HU800"/>
      <c r="HV800"/>
      <c r="HW800"/>
      <c r="HX800"/>
      <c r="HY800"/>
      <c r="HZ800"/>
      <c r="IA800"/>
      <c r="IB800"/>
      <c r="IC800"/>
      <c r="ID800"/>
      <c r="IE800"/>
      <c r="IF800"/>
      <c r="IG800"/>
      <c r="IH800"/>
      <c r="II800"/>
      <c r="IJ800"/>
    </row>
    <row r="801" spans="1:244" ht="30" customHeight="1" x14ac:dyDescent="0.2">
      <c r="A801" s="2462"/>
      <c r="B801" s="2080" t="s">
        <v>2547</v>
      </c>
      <c r="C801" s="854">
        <v>440000</v>
      </c>
      <c r="D801" s="854">
        <v>440000</v>
      </c>
      <c r="E801" s="2075"/>
      <c r="F801" s="2075"/>
      <c r="G801" s="2200"/>
      <c r="H801" s="2200"/>
      <c r="I801" s="2201"/>
      <c r="J801" s="88">
        <v>0</v>
      </c>
      <c r="K801" s="2"/>
      <c r="L801"/>
      <c r="M801"/>
      <c r="N801"/>
      <c r="O801"/>
      <c r="P801"/>
      <c r="Q801"/>
      <c r="R801"/>
      <c r="S801"/>
      <c r="T801"/>
      <c r="U801"/>
      <c r="V801"/>
      <c r="W801"/>
      <c r="X801"/>
      <c r="Y801"/>
      <c r="Z801"/>
      <c r="AA801"/>
      <c r="AB801"/>
      <c r="AC801"/>
      <c r="AD801"/>
      <c r="AE801"/>
      <c r="AF801"/>
      <c r="AG801"/>
      <c r="AH801"/>
      <c r="AI801"/>
      <c r="AJ801"/>
      <c r="AK801"/>
      <c r="AL801"/>
      <c r="AM801"/>
      <c r="AN801"/>
      <c r="AO801"/>
      <c r="AP801"/>
      <c r="AQ801"/>
      <c r="AR801"/>
      <c r="AS801"/>
      <c r="AT801"/>
      <c r="AU801"/>
      <c r="AV801"/>
      <c r="AW801"/>
      <c r="AX801"/>
      <c r="AY801"/>
      <c r="AZ801"/>
      <c r="BA801"/>
      <c r="BB801"/>
      <c r="BC801"/>
      <c r="BD801"/>
      <c r="BE801"/>
      <c r="BF801"/>
      <c r="BG801"/>
      <c r="BH801"/>
      <c r="BI801"/>
      <c r="BJ801"/>
      <c r="BK801"/>
      <c r="BL801"/>
      <c r="BM801"/>
      <c r="BN801"/>
      <c r="BO801"/>
      <c r="BP801"/>
      <c r="BQ801"/>
      <c r="BR801"/>
      <c r="BS801"/>
      <c r="BT801"/>
      <c r="BU801"/>
      <c r="BV801"/>
      <c r="BW801"/>
      <c r="BX801"/>
      <c r="BY801"/>
      <c r="BZ801"/>
      <c r="CA801"/>
      <c r="CB801"/>
      <c r="CC801"/>
      <c r="CD801"/>
      <c r="CE801"/>
      <c r="CF801"/>
      <c r="CG801"/>
      <c r="CH801"/>
      <c r="CI801"/>
      <c r="CJ801"/>
      <c r="CK801"/>
      <c r="CL801"/>
      <c r="CM801"/>
      <c r="CN801"/>
      <c r="CO801"/>
      <c r="CP801"/>
      <c r="CQ801"/>
      <c r="CR801"/>
      <c r="CS801"/>
      <c r="CT801"/>
      <c r="CU801"/>
      <c r="CV801"/>
      <c r="CW801"/>
      <c r="CX801"/>
      <c r="CY801"/>
      <c r="CZ801"/>
      <c r="DA801"/>
      <c r="DB801"/>
      <c r="DC801"/>
      <c r="DD801"/>
      <c r="DE801"/>
      <c r="DF801"/>
      <c r="DG801"/>
      <c r="DH801"/>
      <c r="DI801"/>
      <c r="DJ801"/>
      <c r="DK801"/>
      <c r="DL801"/>
      <c r="DM801"/>
      <c r="DN801"/>
      <c r="DO801"/>
      <c r="DP801"/>
      <c r="DQ801"/>
      <c r="DR801"/>
      <c r="DS801"/>
      <c r="DT801"/>
      <c r="DU801"/>
      <c r="DV801"/>
      <c r="DW801"/>
      <c r="DX801"/>
      <c r="DY801"/>
      <c r="DZ801"/>
      <c r="EA801"/>
      <c r="EB801"/>
      <c r="EC801"/>
      <c r="ED801"/>
      <c r="EE801"/>
      <c r="EF801"/>
      <c r="EG801"/>
      <c r="EH801"/>
      <c r="EI801"/>
      <c r="EJ801"/>
      <c r="EK801"/>
      <c r="EL801"/>
      <c r="EM801"/>
      <c r="EN801"/>
      <c r="EO801"/>
      <c r="EP801"/>
      <c r="EQ801"/>
      <c r="ER801"/>
      <c r="ES801"/>
      <c r="ET801"/>
      <c r="EU801"/>
      <c r="EV801"/>
      <c r="EW801"/>
      <c r="EX801"/>
      <c r="EY801"/>
      <c r="EZ801"/>
      <c r="FA801"/>
      <c r="FB801"/>
      <c r="FC801"/>
      <c r="FD801"/>
      <c r="FE801"/>
      <c r="FF801"/>
      <c r="FG801"/>
      <c r="FH801"/>
      <c r="FI801"/>
      <c r="FJ801"/>
      <c r="FK801"/>
      <c r="FL801"/>
      <c r="FM801"/>
      <c r="FN801"/>
      <c r="FO801"/>
      <c r="FP801"/>
      <c r="FQ801"/>
      <c r="FR801"/>
      <c r="FS801"/>
      <c r="FT801"/>
      <c r="FU801"/>
      <c r="FV801"/>
      <c r="FW801"/>
      <c r="FX801"/>
      <c r="FY801"/>
      <c r="FZ801"/>
      <c r="GA801"/>
      <c r="GB801"/>
      <c r="GC801"/>
      <c r="GD801"/>
      <c r="GE801"/>
      <c r="GF801"/>
      <c r="GG801"/>
      <c r="GH801"/>
      <c r="GI801"/>
      <c r="GJ801"/>
      <c r="GK801"/>
      <c r="GL801"/>
      <c r="GM801"/>
      <c r="GN801"/>
      <c r="GO801"/>
      <c r="GP801"/>
      <c r="GQ801"/>
      <c r="GR801"/>
      <c r="GS801"/>
      <c r="GT801"/>
      <c r="GU801"/>
      <c r="GV801"/>
      <c r="GW801"/>
      <c r="GX801"/>
      <c r="GY801"/>
      <c r="GZ801"/>
      <c r="HA801"/>
      <c r="HB801"/>
      <c r="HC801"/>
      <c r="HD801"/>
      <c r="HE801"/>
      <c r="HF801"/>
      <c r="HG801"/>
      <c r="HH801"/>
      <c r="HI801"/>
      <c r="HJ801"/>
      <c r="HK801"/>
      <c r="HL801"/>
      <c r="HM801"/>
      <c r="HN801"/>
      <c r="HO801"/>
      <c r="HP801"/>
      <c r="HQ801"/>
      <c r="HR801"/>
      <c r="HS801"/>
      <c r="HT801"/>
      <c r="HU801"/>
      <c r="HV801"/>
      <c r="HW801"/>
      <c r="HX801"/>
      <c r="HY801"/>
      <c r="HZ801"/>
      <c r="IA801"/>
      <c r="IB801"/>
      <c r="IC801"/>
      <c r="ID801"/>
      <c r="IE801"/>
      <c r="IF801"/>
      <c r="IG801"/>
      <c r="IH801"/>
      <c r="II801"/>
      <c r="IJ801"/>
    </row>
    <row r="802" spans="1:244" ht="30" customHeight="1" x14ac:dyDescent="0.2">
      <c r="A802" s="2391">
        <v>3612</v>
      </c>
      <c r="B802" s="2095" t="s">
        <v>833</v>
      </c>
      <c r="C802" s="2085">
        <f>C803+C805</f>
        <v>52220000</v>
      </c>
      <c r="D802" s="2085">
        <f>D803+D805</f>
        <v>58234434</v>
      </c>
      <c r="E802" s="2085"/>
      <c r="F802" s="2075"/>
      <c r="G802" s="1663"/>
      <c r="H802" s="1663"/>
      <c r="I802" s="1662"/>
      <c r="J802" s="88">
        <v>48842770.340000004</v>
      </c>
      <c r="K802" s="2"/>
      <c r="L802"/>
      <c r="M802"/>
      <c r="N802"/>
      <c r="O802"/>
      <c r="P802"/>
      <c r="Q802"/>
      <c r="R802"/>
      <c r="S802"/>
      <c r="T802"/>
      <c r="U802"/>
      <c r="V802"/>
      <c r="W802"/>
      <c r="X802"/>
      <c r="Y802"/>
      <c r="Z802"/>
      <c r="AA802"/>
      <c r="AB802"/>
      <c r="AC802"/>
      <c r="AD802"/>
      <c r="AE802"/>
      <c r="AF802"/>
      <c r="AG802"/>
      <c r="AH802"/>
      <c r="AI802"/>
      <c r="AJ802"/>
      <c r="AK802"/>
      <c r="AL802"/>
      <c r="AM802"/>
      <c r="AN802"/>
      <c r="AO802"/>
      <c r="AP802"/>
      <c r="AQ802"/>
      <c r="AR802"/>
      <c r="AS802"/>
      <c r="AT802"/>
      <c r="AU802"/>
      <c r="AV802"/>
      <c r="AW802"/>
      <c r="AX802"/>
      <c r="AY802"/>
      <c r="AZ802"/>
      <c r="BA802"/>
      <c r="BB802"/>
      <c r="BC802"/>
      <c r="BD802"/>
      <c r="BE802"/>
      <c r="BF802"/>
      <c r="BG802"/>
      <c r="BH802"/>
      <c r="BI802"/>
      <c r="BJ802"/>
      <c r="BK802"/>
      <c r="BL802"/>
      <c r="BM802"/>
      <c r="BN802"/>
      <c r="BO802"/>
      <c r="BP802"/>
      <c r="BQ802"/>
      <c r="BR802"/>
      <c r="BS802"/>
      <c r="BT802"/>
      <c r="BU802"/>
      <c r="BV802"/>
      <c r="BW802"/>
      <c r="BX802"/>
      <c r="BY802"/>
      <c r="BZ802"/>
      <c r="CA802"/>
      <c r="CB802"/>
      <c r="CC802"/>
      <c r="CD802"/>
      <c r="CE802"/>
      <c r="CF802"/>
      <c r="CG802"/>
      <c r="CH802"/>
      <c r="CI802"/>
      <c r="CJ802"/>
      <c r="CK802"/>
      <c r="CL802"/>
      <c r="CM802"/>
      <c r="CN802"/>
      <c r="CO802"/>
      <c r="CP802"/>
      <c r="CQ802"/>
      <c r="CR802"/>
      <c r="CS802"/>
      <c r="CT802"/>
      <c r="CU802"/>
      <c r="CV802"/>
      <c r="CW802"/>
      <c r="CX802"/>
      <c r="CY802"/>
      <c r="CZ802"/>
      <c r="DA802"/>
      <c r="DB802"/>
      <c r="DC802"/>
      <c r="DD802"/>
      <c r="DE802"/>
      <c r="DF802"/>
      <c r="DG802"/>
      <c r="DH802"/>
      <c r="DI802"/>
      <c r="DJ802"/>
      <c r="DK802"/>
      <c r="DL802"/>
      <c r="DM802"/>
      <c r="DN802"/>
      <c r="DO802"/>
      <c r="DP802"/>
      <c r="DQ802"/>
      <c r="DR802"/>
      <c r="DS802"/>
      <c r="DT802"/>
      <c r="DU802"/>
      <c r="DV802"/>
      <c r="DW802"/>
      <c r="DX802"/>
      <c r="DY802"/>
      <c r="DZ802"/>
      <c r="EA802"/>
      <c r="EB802"/>
      <c r="EC802"/>
      <c r="ED802"/>
      <c r="EE802"/>
      <c r="EF802"/>
      <c r="EG802"/>
      <c r="EH802"/>
      <c r="EI802"/>
      <c r="EJ802"/>
      <c r="EK802"/>
      <c r="EL802"/>
      <c r="EM802"/>
      <c r="EN802"/>
      <c r="EO802"/>
      <c r="EP802"/>
      <c r="EQ802"/>
      <c r="ER802"/>
      <c r="ES802"/>
      <c r="ET802"/>
      <c r="EU802"/>
      <c r="EV802"/>
      <c r="EW802"/>
      <c r="EX802"/>
      <c r="EY802"/>
      <c r="EZ802"/>
      <c r="FA802"/>
      <c r="FB802"/>
      <c r="FC802"/>
      <c r="FD802"/>
      <c r="FE802"/>
      <c r="FF802"/>
      <c r="FG802"/>
      <c r="FH802"/>
      <c r="FI802"/>
      <c r="FJ802"/>
      <c r="FK802"/>
      <c r="FL802"/>
      <c r="FM802"/>
      <c r="FN802"/>
      <c r="FO802"/>
      <c r="FP802"/>
      <c r="FQ802"/>
      <c r="FR802"/>
      <c r="FS802"/>
      <c r="FT802"/>
      <c r="FU802"/>
      <c r="FV802"/>
      <c r="FW802"/>
      <c r="FX802"/>
      <c r="FY802"/>
      <c r="FZ802"/>
      <c r="GA802"/>
      <c r="GB802"/>
      <c r="GC802"/>
      <c r="GD802"/>
      <c r="GE802"/>
      <c r="GF802"/>
      <c r="GG802"/>
      <c r="GH802"/>
      <c r="GI802"/>
      <c r="GJ802"/>
      <c r="GK802"/>
      <c r="GL802"/>
      <c r="GM802"/>
      <c r="GN802"/>
      <c r="GO802"/>
      <c r="GP802"/>
      <c r="GQ802"/>
      <c r="GR802"/>
      <c r="GS802"/>
      <c r="GT802"/>
      <c r="GU802"/>
      <c r="GV802"/>
      <c r="GW802"/>
      <c r="GX802"/>
      <c r="GY802"/>
      <c r="GZ802"/>
      <c r="HA802"/>
      <c r="HB802"/>
      <c r="HC802"/>
      <c r="HD802"/>
      <c r="HE802"/>
      <c r="HF802"/>
      <c r="HG802"/>
      <c r="HH802"/>
      <c r="HI802"/>
      <c r="HJ802"/>
      <c r="HK802"/>
      <c r="HL802"/>
      <c r="HM802"/>
      <c r="HN802"/>
      <c r="HO802"/>
      <c r="HP802"/>
      <c r="HQ802"/>
      <c r="HR802"/>
      <c r="HS802"/>
      <c r="HT802"/>
      <c r="HU802"/>
      <c r="HV802"/>
      <c r="HW802"/>
      <c r="HX802"/>
      <c r="HY802"/>
      <c r="HZ802"/>
      <c r="IA802"/>
      <c r="IB802"/>
      <c r="IC802"/>
      <c r="ID802"/>
      <c r="IE802"/>
      <c r="IF802"/>
      <c r="IG802"/>
      <c r="IH802"/>
      <c r="II802"/>
      <c r="IJ802"/>
    </row>
    <row r="803" spans="1:244" ht="30" customHeight="1" x14ac:dyDescent="0.2">
      <c r="A803" s="2462"/>
      <c r="B803" s="2087" t="s">
        <v>807</v>
      </c>
      <c r="C803" s="2082">
        <f>SUM(C804)</f>
        <v>150000</v>
      </c>
      <c r="D803" s="2082">
        <f>SUM(D804)</f>
        <v>150000</v>
      </c>
      <c r="E803" s="2082"/>
      <c r="F803" s="2082"/>
      <c r="G803" s="2459"/>
      <c r="H803" s="2459"/>
      <c r="I803" s="2460"/>
      <c r="J803" s="88">
        <v>0</v>
      </c>
      <c r="K803" s="2"/>
      <c r="L803"/>
      <c r="M803"/>
      <c r="N803"/>
      <c r="O803"/>
      <c r="P803"/>
      <c r="Q803"/>
      <c r="R803"/>
      <c r="S803"/>
      <c r="T803"/>
      <c r="U803"/>
      <c r="V803"/>
      <c r="W803"/>
      <c r="X803"/>
      <c r="Y803"/>
      <c r="Z803"/>
      <c r="AA803"/>
      <c r="AB803"/>
      <c r="AC803"/>
      <c r="AD803"/>
      <c r="AE803"/>
      <c r="AF803"/>
      <c r="AG803"/>
      <c r="AH803"/>
      <c r="AI803"/>
      <c r="AJ803"/>
      <c r="AK803"/>
      <c r="AL803"/>
      <c r="AM803"/>
      <c r="AN803"/>
      <c r="AO803"/>
      <c r="AP803"/>
      <c r="AQ803"/>
      <c r="AR803"/>
      <c r="AS803"/>
      <c r="AT803"/>
      <c r="AU803"/>
      <c r="AV803"/>
      <c r="AW803"/>
      <c r="AX803"/>
      <c r="AY803"/>
      <c r="AZ803"/>
      <c r="BA803"/>
      <c r="BB803"/>
      <c r="BC803"/>
      <c r="BD803"/>
      <c r="BE803"/>
      <c r="BF803"/>
      <c r="BG803"/>
      <c r="BH803"/>
      <c r="BI803"/>
      <c r="BJ803"/>
      <c r="BK803"/>
      <c r="BL803"/>
      <c r="BM803"/>
      <c r="BN803"/>
      <c r="BO803"/>
      <c r="BP803"/>
      <c r="BQ803"/>
      <c r="BR803"/>
      <c r="BS803"/>
      <c r="BT803"/>
      <c r="BU803"/>
      <c r="BV803"/>
      <c r="BW803"/>
      <c r="BX803"/>
      <c r="BY803"/>
      <c r="BZ803"/>
      <c r="CA803"/>
      <c r="CB803"/>
      <c r="CC803"/>
      <c r="CD803"/>
      <c r="CE803"/>
      <c r="CF803"/>
      <c r="CG803"/>
      <c r="CH803"/>
      <c r="CI803"/>
      <c r="CJ803"/>
      <c r="CK803"/>
      <c r="CL803"/>
      <c r="CM803"/>
      <c r="CN803"/>
      <c r="CO803"/>
      <c r="CP803"/>
      <c r="CQ803"/>
      <c r="CR803"/>
      <c r="CS803"/>
      <c r="CT803"/>
      <c r="CU803"/>
      <c r="CV803"/>
      <c r="CW803"/>
      <c r="CX803"/>
      <c r="CY803"/>
      <c r="CZ803"/>
      <c r="DA803"/>
      <c r="DB803"/>
      <c r="DC803"/>
      <c r="DD803"/>
      <c r="DE803"/>
      <c r="DF803"/>
      <c r="DG803"/>
      <c r="DH803"/>
      <c r="DI803"/>
      <c r="DJ803"/>
      <c r="DK803"/>
      <c r="DL803"/>
      <c r="DM803"/>
      <c r="DN803"/>
      <c r="DO803"/>
      <c r="DP803"/>
      <c r="DQ803"/>
      <c r="DR803"/>
      <c r="DS803"/>
      <c r="DT803"/>
      <c r="DU803"/>
      <c r="DV803"/>
      <c r="DW803"/>
      <c r="DX803"/>
      <c r="DY803"/>
      <c r="DZ803"/>
      <c r="EA803"/>
      <c r="EB803"/>
      <c r="EC803"/>
      <c r="ED803"/>
      <c r="EE803"/>
      <c r="EF803"/>
      <c r="EG803"/>
      <c r="EH803"/>
      <c r="EI803"/>
      <c r="EJ803"/>
      <c r="EK803"/>
      <c r="EL803"/>
      <c r="EM803"/>
      <c r="EN803"/>
      <c r="EO803"/>
      <c r="EP803"/>
      <c r="EQ803"/>
      <c r="ER803"/>
      <c r="ES803"/>
      <c r="ET803"/>
      <c r="EU803"/>
      <c r="EV803"/>
      <c r="EW803"/>
      <c r="EX803"/>
      <c r="EY803"/>
      <c r="EZ803"/>
      <c r="FA803"/>
      <c r="FB803"/>
      <c r="FC803"/>
      <c r="FD803"/>
      <c r="FE803"/>
      <c r="FF803"/>
      <c r="FG803"/>
      <c r="FH803"/>
      <c r="FI803"/>
      <c r="FJ803"/>
      <c r="FK803"/>
      <c r="FL803"/>
      <c r="FM803"/>
      <c r="FN803"/>
      <c r="FO803"/>
      <c r="FP803"/>
      <c r="FQ803"/>
      <c r="FR803"/>
      <c r="FS803"/>
      <c r="FT803"/>
      <c r="FU803"/>
      <c r="FV803"/>
      <c r="FW803"/>
      <c r="FX803"/>
      <c r="FY803"/>
      <c r="FZ803"/>
      <c r="GA803"/>
      <c r="GB803"/>
      <c r="GC803"/>
      <c r="GD803"/>
      <c r="GE803"/>
      <c r="GF803"/>
      <c r="GG803"/>
      <c r="GH803"/>
      <c r="GI803"/>
      <c r="GJ803"/>
      <c r="GK803"/>
      <c r="GL803"/>
      <c r="GM803"/>
      <c r="GN803"/>
      <c r="GO803"/>
      <c r="GP803"/>
      <c r="GQ803"/>
      <c r="GR803"/>
      <c r="GS803"/>
      <c r="GT803"/>
      <c r="GU803"/>
      <c r="GV803"/>
      <c r="GW803"/>
      <c r="GX803"/>
      <c r="GY803"/>
      <c r="GZ803"/>
      <c r="HA803"/>
      <c r="HB803"/>
      <c r="HC803"/>
      <c r="HD803"/>
      <c r="HE803"/>
      <c r="HF803"/>
      <c r="HG803"/>
      <c r="HH803"/>
      <c r="HI803"/>
      <c r="HJ803"/>
      <c r="HK803"/>
      <c r="HL803"/>
      <c r="HM803"/>
      <c r="HN803"/>
      <c r="HO803"/>
      <c r="HP803"/>
      <c r="HQ803"/>
      <c r="HR803"/>
      <c r="HS803"/>
      <c r="HT803"/>
      <c r="HU803"/>
      <c r="HV803"/>
      <c r="HW803"/>
      <c r="HX803"/>
      <c r="HY803"/>
      <c r="HZ803"/>
      <c r="IA803"/>
      <c r="IB803"/>
      <c r="IC803"/>
      <c r="ID803"/>
      <c r="IE803"/>
      <c r="IF803"/>
      <c r="IG803"/>
      <c r="IH803"/>
      <c r="II803"/>
      <c r="IJ803"/>
    </row>
    <row r="804" spans="1:244" ht="30" customHeight="1" x14ac:dyDescent="0.2">
      <c r="A804" s="2462"/>
      <c r="B804" s="2088" t="s">
        <v>1924</v>
      </c>
      <c r="C804" s="2075">
        <v>150000</v>
      </c>
      <c r="D804" s="2075">
        <v>150000</v>
      </c>
      <c r="E804" s="2075"/>
      <c r="F804" s="2075"/>
      <c r="G804" s="2200"/>
      <c r="H804" s="2200"/>
      <c r="I804" s="2201"/>
      <c r="J804" s="88">
        <v>0</v>
      </c>
      <c r="K804" s="2"/>
      <c r="L804"/>
      <c r="M804"/>
      <c r="N804"/>
      <c r="O804"/>
      <c r="P804"/>
      <c r="Q804"/>
      <c r="R804"/>
      <c r="S804"/>
      <c r="T804"/>
      <c r="U804"/>
      <c r="V804"/>
      <c r="W804"/>
      <c r="X804"/>
      <c r="Y804"/>
      <c r="Z804"/>
      <c r="AA804"/>
      <c r="AB804"/>
      <c r="AC804"/>
      <c r="AD804"/>
      <c r="AE804"/>
      <c r="AF804"/>
      <c r="AG804"/>
      <c r="AH804"/>
      <c r="AI804"/>
      <c r="AJ804"/>
      <c r="AK804"/>
      <c r="AL804"/>
      <c r="AM804"/>
      <c r="AN804"/>
      <c r="AO804"/>
      <c r="AP804"/>
      <c r="AQ804"/>
      <c r="AR804"/>
      <c r="AS804"/>
      <c r="AT804"/>
      <c r="AU804"/>
      <c r="AV804"/>
      <c r="AW804"/>
      <c r="AX804"/>
      <c r="AY804"/>
      <c r="AZ804"/>
      <c r="BA804"/>
      <c r="BB804"/>
      <c r="BC804"/>
      <c r="BD804"/>
      <c r="BE804"/>
      <c r="BF804"/>
      <c r="BG804"/>
      <c r="BH804"/>
      <c r="BI804"/>
      <c r="BJ804"/>
      <c r="BK804"/>
      <c r="BL804"/>
      <c r="BM804"/>
      <c r="BN804"/>
      <c r="BO804"/>
      <c r="BP804"/>
      <c r="BQ804"/>
      <c r="BR804"/>
      <c r="BS804"/>
      <c r="BT804"/>
      <c r="BU804"/>
      <c r="BV804"/>
      <c r="BW804"/>
      <c r="BX804"/>
      <c r="BY804"/>
      <c r="BZ804"/>
      <c r="CA804"/>
      <c r="CB804"/>
      <c r="CC804"/>
      <c r="CD804"/>
      <c r="CE804"/>
      <c r="CF804"/>
      <c r="CG804"/>
      <c r="CH804"/>
      <c r="CI804"/>
      <c r="CJ804"/>
      <c r="CK804"/>
      <c r="CL804"/>
      <c r="CM804"/>
      <c r="CN804"/>
      <c r="CO804"/>
      <c r="CP804"/>
      <c r="CQ804"/>
      <c r="CR804"/>
      <c r="CS804"/>
      <c r="CT804"/>
      <c r="CU804"/>
      <c r="CV804"/>
      <c r="CW804"/>
      <c r="CX804"/>
      <c r="CY804"/>
      <c r="CZ804"/>
      <c r="DA804"/>
      <c r="DB804"/>
      <c r="DC804"/>
      <c r="DD804"/>
      <c r="DE804"/>
      <c r="DF804"/>
      <c r="DG804"/>
      <c r="DH804"/>
      <c r="DI804"/>
      <c r="DJ804"/>
      <c r="DK804"/>
      <c r="DL804"/>
      <c r="DM804"/>
      <c r="DN804"/>
      <c r="DO804"/>
      <c r="DP804"/>
      <c r="DQ804"/>
      <c r="DR804"/>
      <c r="DS804"/>
      <c r="DT804"/>
      <c r="DU804"/>
      <c r="DV804"/>
      <c r="DW804"/>
      <c r="DX804"/>
      <c r="DY804"/>
      <c r="DZ804"/>
      <c r="EA804"/>
      <c r="EB804"/>
      <c r="EC804"/>
      <c r="ED804"/>
      <c r="EE804"/>
      <c r="EF804"/>
      <c r="EG804"/>
      <c r="EH804"/>
      <c r="EI804"/>
      <c r="EJ804"/>
      <c r="EK804"/>
      <c r="EL804"/>
      <c r="EM804"/>
      <c r="EN804"/>
      <c r="EO804"/>
      <c r="EP804"/>
      <c r="EQ804"/>
      <c r="ER804"/>
      <c r="ES804"/>
      <c r="ET804"/>
      <c r="EU804"/>
      <c r="EV804"/>
      <c r="EW804"/>
      <c r="EX804"/>
      <c r="EY804"/>
      <c r="EZ804"/>
      <c r="FA804"/>
      <c r="FB804"/>
      <c r="FC804"/>
      <c r="FD804"/>
      <c r="FE804"/>
      <c r="FF804"/>
      <c r="FG804"/>
      <c r="FH804"/>
      <c r="FI804"/>
      <c r="FJ804"/>
      <c r="FK804"/>
      <c r="FL804"/>
      <c r="FM804"/>
      <c r="FN804"/>
      <c r="FO804"/>
      <c r="FP804"/>
      <c r="FQ804"/>
      <c r="FR804"/>
      <c r="FS804"/>
      <c r="FT804"/>
      <c r="FU804"/>
      <c r="FV804"/>
      <c r="FW804"/>
      <c r="FX804"/>
      <c r="FY804"/>
      <c r="FZ804"/>
      <c r="GA804"/>
      <c r="GB804"/>
      <c r="GC804"/>
      <c r="GD804"/>
      <c r="GE804"/>
      <c r="GF804"/>
      <c r="GG804"/>
      <c r="GH804"/>
      <c r="GI804"/>
      <c r="GJ804"/>
      <c r="GK804"/>
      <c r="GL804"/>
      <c r="GM804"/>
      <c r="GN804"/>
      <c r="GO804"/>
      <c r="GP804"/>
      <c r="GQ804"/>
      <c r="GR804"/>
      <c r="GS804"/>
      <c r="GT804"/>
      <c r="GU804"/>
      <c r="GV804"/>
      <c r="GW804"/>
      <c r="GX804"/>
      <c r="GY804"/>
      <c r="GZ804"/>
      <c r="HA804"/>
      <c r="HB804"/>
      <c r="HC804"/>
      <c r="HD804"/>
      <c r="HE804"/>
      <c r="HF804"/>
      <c r="HG804"/>
      <c r="HH804"/>
      <c r="HI804"/>
      <c r="HJ804"/>
      <c r="HK804"/>
      <c r="HL804"/>
      <c r="HM804"/>
      <c r="HN804"/>
      <c r="HO804"/>
      <c r="HP804"/>
      <c r="HQ804"/>
      <c r="HR804"/>
      <c r="HS804"/>
      <c r="HT804"/>
      <c r="HU804"/>
      <c r="HV804"/>
      <c r="HW804"/>
      <c r="HX804"/>
      <c r="HY804"/>
      <c r="HZ804"/>
      <c r="IA804"/>
      <c r="IB804"/>
      <c r="IC804"/>
      <c r="ID804"/>
      <c r="IE804"/>
      <c r="IF804"/>
      <c r="IG804"/>
      <c r="IH804"/>
      <c r="II804"/>
      <c r="IJ804"/>
    </row>
    <row r="805" spans="1:244" ht="30" customHeight="1" x14ac:dyDescent="0.2">
      <c r="A805" s="2391"/>
      <c r="B805" s="2096" t="s">
        <v>844</v>
      </c>
      <c r="C805" s="2097">
        <f>C806+C810+C812+C814+C815+C816+C817+C818+C819</f>
        <v>52070000</v>
      </c>
      <c r="D805" s="2097">
        <f>D806+D810+D812+D814+D815+D816+D817+D818+D819</f>
        <v>58084434</v>
      </c>
      <c r="E805" s="2097"/>
      <c r="F805" s="2097"/>
      <c r="G805" s="2459"/>
      <c r="H805" s="2459"/>
      <c r="I805" s="2460"/>
      <c r="J805" s="88">
        <v>48842770.340000004</v>
      </c>
      <c r="K805" s="2"/>
      <c r="L805"/>
      <c r="M805"/>
      <c r="N805"/>
      <c r="O805"/>
      <c r="P805"/>
      <c r="Q805"/>
      <c r="R805"/>
      <c r="S805"/>
      <c r="T805"/>
      <c r="U805"/>
      <c r="V805"/>
      <c r="W805"/>
      <c r="X805"/>
      <c r="Y805"/>
      <c r="Z805"/>
      <c r="AA805"/>
      <c r="AB805"/>
      <c r="AC805"/>
      <c r="AD805"/>
      <c r="AE805"/>
      <c r="AF805"/>
      <c r="AG805"/>
      <c r="AH805"/>
      <c r="AI805"/>
      <c r="AJ805"/>
      <c r="AK805"/>
      <c r="AL805"/>
      <c r="AM805"/>
      <c r="AN805"/>
      <c r="AO805"/>
      <c r="AP805"/>
      <c r="AQ805"/>
      <c r="AR805"/>
      <c r="AS805"/>
      <c r="AT805"/>
      <c r="AU805"/>
      <c r="AV805"/>
      <c r="AW805"/>
      <c r="AX805"/>
      <c r="AY805"/>
      <c r="AZ805"/>
      <c r="BA805"/>
      <c r="BB805"/>
      <c r="BC805"/>
      <c r="BD805"/>
      <c r="BE805"/>
      <c r="BF805"/>
      <c r="BG805"/>
      <c r="BH805"/>
      <c r="BI805"/>
      <c r="BJ805"/>
      <c r="BK805"/>
      <c r="BL805"/>
      <c r="BM805"/>
      <c r="BN805"/>
      <c r="BO805"/>
      <c r="BP805"/>
      <c r="BQ805"/>
      <c r="BR805"/>
      <c r="BS805"/>
      <c r="BT805"/>
      <c r="BU805"/>
      <c r="BV805"/>
      <c r="BW805"/>
      <c r="BX805"/>
      <c r="BY805"/>
      <c r="BZ805"/>
      <c r="CA805"/>
      <c r="CB805"/>
      <c r="CC805"/>
      <c r="CD805"/>
      <c r="CE805"/>
      <c r="CF805"/>
      <c r="CG805"/>
      <c r="CH805"/>
      <c r="CI805"/>
      <c r="CJ805"/>
      <c r="CK805"/>
      <c r="CL805"/>
      <c r="CM805"/>
      <c r="CN805"/>
      <c r="CO805"/>
      <c r="CP805"/>
      <c r="CQ805"/>
      <c r="CR805"/>
      <c r="CS805"/>
      <c r="CT805"/>
      <c r="CU805"/>
      <c r="CV805"/>
      <c r="CW805"/>
      <c r="CX805"/>
      <c r="CY805"/>
      <c r="CZ805"/>
      <c r="DA805"/>
      <c r="DB805"/>
      <c r="DC805"/>
      <c r="DD805"/>
      <c r="DE805"/>
      <c r="DF805"/>
      <c r="DG805"/>
      <c r="DH805"/>
      <c r="DI805"/>
      <c r="DJ805"/>
      <c r="DK805"/>
      <c r="DL805"/>
      <c r="DM805"/>
      <c r="DN805"/>
      <c r="DO805"/>
      <c r="DP805"/>
      <c r="DQ805"/>
      <c r="DR805"/>
      <c r="DS805"/>
      <c r="DT805"/>
      <c r="DU805"/>
      <c r="DV805"/>
      <c r="DW805"/>
      <c r="DX805"/>
      <c r="DY805"/>
      <c r="DZ805"/>
      <c r="EA805"/>
      <c r="EB805"/>
      <c r="EC805"/>
      <c r="ED805"/>
      <c r="EE805"/>
      <c r="EF805"/>
      <c r="EG805"/>
      <c r="EH805"/>
      <c r="EI805"/>
      <c r="EJ805"/>
      <c r="EK805"/>
      <c r="EL805"/>
      <c r="EM805"/>
      <c r="EN805"/>
      <c r="EO805"/>
      <c r="EP805"/>
      <c r="EQ805"/>
      <c r="ER805"/>
      <c r="ES805"/>
      <c r="ET805"/>
      <c r="EU805"/>
      <c r="EV805"/>
      <c r="EW805"/>
      <c r="EX805"/>
      <c r="EY805"/>
      <c r="EZ805"/>
      <c r="FA805"/>
      <c r="FB805"/>
      <c r="FC805"/>
      <c r="FD805"/>
      <c r="FE805"/>
      <c r="FF805"/>
      <c r="FG805"/>
      <c r="FH805"/>
      <c r="FI805"/>
      <c r="FJ805"/>
      <c r="FK805"/>
      <c r="FL805"/>
      <c r="FM805"/>
      <c r="FN805"/>
      <c r="FO805"/>
      <c r="FP805"/>
      <c r="FQ805"/>
      <c r="FR805"/>
      <c r="FS805"/>
      <c r="FT805"/>
      <c r="FU805"/>
      <c r="FV805"/>
      <c r="FW805"/>
      <c r="FX805"/>
      <c r="FY805"/>
      <c r="FZ805"/>
      <c r="GA805"/>
      <c r="GB805"/>
      <c r="GC805"/>
      <c r="GD805"/>
      <c r="GE805"/>
      <c r="GF805"/>
      <c r="GG805"/>
      <c r="GH805"/>
      <c r="GI805"/>
      <c r="GJ805"/>
      <c r="GK805"/>
      <c r="GL805"/>
      <c r="GM805"/>
      <c r="GN805"/>
      <c r="GO805"/>
      <c r="GP805"/>
      <c r="GQ805"/>
      <c r="GR805"/>
      <c r="GS805"/>
      <c r="GT805"/>
      <c r="GU805"/>
      <c r="GV805"/>
      <c r="GW805"/>
      <c r="GX805"/>
      <c r="GY805"/>
      <c r="GZ805"/>
      <c r="HA805"/>
      <c r="HB805"/>
      <c r="HC805"/>
      <c r="HD805"/>
      <c r="HE805"/>
      <c r="HF805"/>
      <c r="HG805"/>
      <c r="HH805"/>
      <c r="HI805"/>
      <c r="HJ805"/>
      <c r="HK805"/>
      <c r="HL805"/>
      <c r="HM805"/>
      <c r="HN805"/>
      <c r="HO805"/>
      <c r="HP805"/>
      <c r="HQ805"/>
      <c r="HR805"/>
      <c r="HS805"/>
      <c r="HT805"/>
      <c r="HU805"/>
      <c r="HV805"/>
      <c r="HW805"/>
      <c r="HX805"/>
      <c r="HY805"/>
      <c r="HZ805"/>
      <c r="IA805"/>
      <c r="IB805"/>
      <c r="IC805"/>
      <c r="ID805"/>
      <c r="IE805"/>
      <c r="IF805"/>
      <c r="IG805"/>
      <c r="IH805"/>
      <c r="II805"/>
      <c r="IJ805"/>
    </row>
    <row r="806" spans="1:244" ht="30" customHeight="1" x14ac:dyDescent="0.2">
      <c r="A806" s="2464"/>
      <c r="B806" s="2099" t="s">
        <v>845</v>
      </c>
      <c r="C806" s="2100">
        <f>SUM(C807:C809)</f>
        <v>7700000</v>
      </c>
      <c r="D806" s="2100">
        <f>SUM(D807:D809)</f>
        <v>7700000</v>
      </c>
      <c r="E806" s="2100"/>
      <c r="F806" s="2465"/>
      <c r="G806" s="2466"/>
      <c r="H806" s="2466"/>
      <c r="I806" s="2467"/>
      <c r="J806" s="88">
        <v>7608558.0300000003</v>
      </c>
      <c r="K806" s="2"/>
      <c r="L806"/>
      <c r="M806"/>
      <c r="N806"/>
      <c r="O806"/>
      <c r="P806"/>
      <c r="Q806"/>
      <c r="R806"/>
      <c r="S806"/>
      <c r="T806"/>
      <c r="U806"/>
      <c r="V806"/>
      <c r="W806"/>
      <c r="X806"/>
      <c r="Y806"/>
      <c r="Z806"/>
      <c r="AA806"/>
      <c r="AB806"/>
      <c r="AC806"/>
      <c r="AD806"/>
      <c r="AE806"/>
      <c r="AF806"/>
      <c r="AG806"/>
      <c r="AH806"/>
      <c r="AI806"/>
      <c r="AJ806"/>
      <c r="AK806"/>
      <c r="AL806"/>
      <c r="AM806"/>
      <c r="AN806"/>
      <c r="AO806"/>
      <c r="AP806"/>
      <c r="AQ806"/>
      <c r="AR806"/>
      <c r="AS806"/>
      <c r="AT806"/>
      <c r="AU806"/>
      <c r="AV806"/>
      <c r="AW806"/>
      <c r="AX806"/>
      <c r="AY806"/>
      <c r="AZ806"/>
      <c r="BA806"/>
      <c r="BB806"/>
      <c r="BC806"/>
      <c r="BD806"/>
      <c r="BE806"/>
      <c r="BF806"/>
      <c r="BG806"/>
      <c r="BH806"/>
      <c r="BI806"/>
      <c r="BJ806"/>
      <c r="BK806"/>
      <c r="BL806"/>
      <c r="BM806"/>
      <c r="BN806"/>
      <c r="BO806"/>
      <c r="BP806"/>
      <c r="BQ806"/>
      <c r="BR806"/>
      <c r="BS806"/>
      <c r="BT806"/>
      <c r="BU806"/>
      <c r="BV806"/>
      <c r="BW806"/>
      <c r="BX806"/>
      <c r="BY806"/>
      <c r="BZ806"/>
      <c r="CA806"/>
      <c r="CB806"/>
      <c r="CC806"/>
      <c r="CD806"/>
      <c r="CE806"/>
      <c r="CF806"/>
      <c r="CG806"/>
      <c r="CH806"/>
      <c r="CI806"/>
      <c r="CJ806"/>
      <c r="CK806"/>
      <c r="CL806"/>
      <c r="CM806"/>
      <c r="CN806"/>
      <c r="CO806"/>
      <c r="CP806"/>
      <c r="CQ806"/>
      <c r="CR806"/>
      <c r="CS806"/>
      <c r="CT806"/>
      <c r="CU806"/>
      <c r="CV806"/>
      <c r="CW806"/>
      <c r="CX806"/>
      <c r="CY806"/>
      <c r="CZ806"/>
      <c r="DA806"/>
      <c r="DB806"/>
      <c r="DC806"/>
      <c r="DD806"/>
      <c r="DE806"/>
      <c r="DF806"/>
      <c r="DG806"/>
      <c r="DH806"/>
      <c r="DI806"/>
      <c r="DJ806"/>
      <c r="DK806"/>
      <c r="DL806"/>
      <c r="DM806"/>
      <c r="DN806"/>
      <c r="DO806"/>
      <c r="DP806"/>
      <c r="DQ806"/>
      <c r="DR806"/>
      <c r="DS806"/>
      <c r="DT806"/>
      <c r="DU806"/>
      <c r="DV806"/>
      <c r="DW806"/>
      <c r="DX806"/>
      <c r="DY806"/>
      <c r="DZ806"/>
      <c r="EA806"/>
      <c r="EB806"/>
      <c r="EC806"/>
      <c r="ED806"/>
      <c r="EE806"/>
      <c r="EF806"/>
      <c r="EG806"/>
      <c r="EH806"/>
      <c r="EI806"/>
      <c r="EJ806"/>
      <c r="EK806"/>
      <c r="EL806"/>
      <c r="EM806"/>
      <c r="EN806"/>
      <c r="EO806"/>
      <c r="EP806"/>
      <c r="EQ806"/>
      <c r="ER806"/>
      <c r="ES806"/>
      <c r="ET806"/>
      <c r="EU806"/>
      <c r="EV806"/>
      <c r="EW806"/>
      <c r="EX806"/>
      <c r="EY806"/>
      <c r="EZ806"/>
      <c r="FA806"/>
      <c r="FB806"/>
      <c r="FC806"/>
      <c r="FD806"/>
      <c r="FE806"/>
      <c r="FF806"/>
      <c r="FG806"/>
      <c r="FH806"/>
      <c r="FI806"/>
      <c r="FJ806"/>
      <c r="FK806"/>
      <c r="FL806"/>
      <c r="FM806"/>
      <c r="FN806"/>
      <c r="FO806"/>
      <c r="FP806"/>
      <c r="FQ806"/>
      <c r="FR806"/>
      <c r="FS806"/>
      <c r="FT806"/>
      <c r="FU806"/>
      <c r="FV806"/>
      <c r="FW806"/>
      <c r="FX806"/>
      <c r="FY806"/>
      <c r="FZ806"/>
      <c r="GA806"/>
      <c r="GB806"/>
      <c r="GC806"/>
      <c r="GD806"/>
      <c r="GE806"/>
      <c r="GF806"/>
      <c r="GG806"/>
      <c r="GH806"/>
      <c r="GI806"/>
      <c r="GJ806"/>
      <c r="GK806"/>
      <c r="GL806"/>
      <c r="GM806"/>
      <c r="GN806"/>
      <c r="GO806"/>
      <c r="GP806"/>
      <c r="GQ806"/>
      <c r="GR806"/>
      <c r="GS806"/>
      <c r="GT806"/>
      <c r="GU806"/>
      <c r="GV806"/>
      <c r="GW806"/>
      <c r="GX806"/>
      <c r="GY806"/>
      <c r="GZ806"/>
      <c r="HA806"/>
      <c r="HB806"/>
      <c r="HC806"/>
      <c r="HD806"/>
      <c r="HE806"/>
      <c r="HF806"/>
      <c r="HG806"/>
      <c r="HH806"/>
      <c r="HI806"/>
      <c r="HJ806"/>
      <c r="HK806"/>
      <c r="HL806"/>
      <c r="HM806"/>
      <c r="HN806"/>
      <c r="HO806"/>
      <c r="HP806"/>
      <c r="HQ806"/>
      <c r="HR806"/>
      <c r="HS806"/>
      <c r="HT806"/>
      <c r="HU806"/>
      <c r="HV806"/>
      <c r="HW806"/>
      <c r="HX806"/>
      <c r="HY806"/>
      <c r="HZ806"/>
      <c r="IA806"/>
      <c r="IB806"/>
      <c r="IC806"/>
      <c r="ID806"/>
      <c r="IE806"/>
      <c r="IF806"/>
      <c r="IG806"/>
      <c r="IH806"/>
      <c r="II806"/>
      <c r="IJ806"/>
    </row>
    <row r="807" spans="1:244" ht="30" customHeight="1" x14ac:dyDescent="0.2">
      <c r="A807" s="2391"/>
      <c r="B807" s="2080" t="s">
        <v>2548</v>
      </c>
      <c r="C807" s="2101">
        <v>6000000</v>
      </c>
      <c r="D807" s="2101">
        <v>6000000</v>
      </c>
      <c r="E807" s="2101"/>
      <c r="F807" s="2101"/>
      <c r="G807" s="2200"/>
      <c r="H807" s="2200"/>
      <c r="I807" s="2201"/>
      <c r="J807" s="88">
        <v>4266529.17</v>
      </c>
      <c r="K807" s="2"/>
      <c r="L807"/>
      <c r="M807"/>
      <c r="N807"/>
      <c r="O807"/>
      <c r="P807"/>
      <c r="Q807"/>
      <c r="R807"/>
      <c r="S807"/>
      <c r="T807"/>
      <c r="U807"/>
      <c r="V807"/>
      <c r="W807"/>
      <c r="X807"/>
      <c r="Y807"/>
      <c r="Z807"/>
      <c r="AA807"/>
      <c r="AB807"/>
      <c r="AC807"/>
      <c r="AD807"/>
      <c r="AE807"/>
      <c r="AF807"/>
      <c r="AG807"/>
      <c r="AH807"/>
      <c r="AI807"/>
      <c r="AJ807"/>
      <c r="AK807"/>
      <c r="AL807"/>
      <c r="AM807"/>
      <c r="AN807"/>
      <c r="AO807"/>
      <c r="AP807"/>
      <c r="AQ807"/>
      <c r="AR807"/>
      <c r="AS807"/>
      <c r="AT807"/>
      <c r="AU807"/>
      <c r="AV807"/>
      <c r="AW807"/>
      <c r="AX807"/>
      <c r="AY807"/>
      <c r="AZ807"/>
      <c r="BA807"/>
      <c r="BB807"/>
      <c r="BC807"/>
      <c r="BD807"/>
      <c r="BE807"/>
      <c r="BF807"/>
      <c r="BG807"/>
      <c r="BH807"/>
      <c r="BI807"/>
      <c r="BJ807"/>
      <c r="BK807"/>
      <c r="BL807"/>
      <c r="BM807"/>
      <c r="BN807"/>
      <c r="BO807"/>
      <c r="BP807"/>
      <c r="BQ807"/>
      <c r="BR807"/>
      <c r="BS807"/>
      <c r="BT807"/>
      <c r="BU807"/>
      <c r="BV807"/>
      <c r="BW807"/>
      <c r="BX807"/>
      <c r="BY807"/>
      <c r="BZ807"/>
      <c r="CA807"/>
      <c r="CB807"/>
      <c r="CC807"/>
      <c r="CD807"/>
      <c r="CE807"/>
      <c r="CF807"/>
      <c r="CG807"/>
      <c r="CH807"/>
      <c r="CI807"/>
      <c r="CJ807"/>
      <c r="CK807"/>
      <c r="CL807"/>
      <c r="CM807"/>
      <c r="CN807"/>
      <c r="CO807"/>
      <c r="CP807"/>
      <c r="CQ807"/>
      <c r="CR807"/>
      <c r="CS807"/>
      <c r="CT807"/>
      <c r="CU807"/>
      <c r="CV807"/>
      <c r="CW807"/>
      <c r="CX807"/>
      <c r="CY807"/>
      <c r="CZ807"/>
      <c r="DA807"/>
      <c r="DB807"/>
      <c r="DC807"/>
      <c r="DD807"/>
      <c r="DE807"/>
      <c r="DF807"/>
      <c r="DG807"/>
      <c r="DH807"/>
      <c r="DI807"/>
      <c r="DJ807"/>
      <c r="DK807"/>
      <c r="DL807"/>
      <c r="DM807"/>
      <c r="DN807"/>
      <c r="DO807"/>
      <c r="DP807"/>
      <c r="DQ807"/>
      <c r="DR807"/>
      <c r="DS807"/>
      <c r="DT807"/>
      <c r="DU807"/>
      <c r="DV807"/>
      <c r="DW807"/>
      <c r="DX807"/>
      <c r="DY807"/>
      <c r="DZ807"/>
      <c r="EA807"/>
      <c r="EB807"/>
      <c r="EC807"/>
      <c r="ED807"/>
      <c r="EE807"/>
      <c r="EF807"/>
      <c r="EG807"/>
      <c r="EH807"/>
      <c r="EI807"/>
      <c r="EJ807"/>
      <c r="EK807"/>
      <c r="EL807"/>
      <c r="EM807"/>
      <c r="EN807"/>
      <c r="EO807"/>
      <c r="EP807"/>
      <c r="EQ807"/>
      <c r="ER807"/>
      <c r="ES807"/>
      <c r="ET807"/>
      <c r="EU807"/>
      <c r="EV807"/>
      <c r="EW807"/>
      <c r="EX807"/>
      <c r="EY807"/>
      <c r="EZ807"/>
      <c r="FA807"/>
      <c r="FB807"/>
      <c r="FC807"/>
      <c r="FD807"/>
      <c r="FE807"/>
      <c r="FF807"/>
      <c r="FG807"/>
      <c r="FH807"/>
      <c r="FI807"/>
      <c r="FJ807"/>
      <c r="FK807"/>
      <c r="FL807"/>
      <c r="FM807"/>
      <c r="FN807"/>
      <c r="FO807"/>
      <c r="FP807"/>
      <c r="FQ807"/>
      <c r="FR807"/>
      <c r="FS807"/>
      <c r="FT807"/>
      <c r="FU807"/>
      <c r="FV807"/>
      <c r="FW807"/>
      <c r="FX807"/>
      <c r="FY807"/>
      <c r="FZ807"/>
      <c r="GA807"/>
      <c r="GB807"/>
      <c r="GC807"/>
      <c r="GD807"/>
      <c r="GE807"/>
      <c r="GF807"/>
      <c r="GG807"/>
      <c r="GH807"/>
      <c r="GI807"/>
      <c r="GJ807"/>
      <c r="GK807"/>
      <c r="GL807"/>
      <c r="GM807"/>
      <c r="GN807"/>
      <c r="GO807"/>
      <c r="GP807"/>
      <c r="GQ807"/>
      <c r="GR807"/>
      <c r="GS807"/>
      <c r="GT807"/>
      <c r="GU807"/>
      <c r="GV807"/>
      <c r="GW807"/>
      <c r="GX807"/>
      <c r="GY807"/>
      <c r="GZ807"/>
      <c r="HA807"/>
      <c r="HB807"/>
      <c r="HC807"/>
      <c r="HD807"/>
      <c r="HE807"/>
      <c r="HF807"/>
      <c r="HG807"/>
      <c r="HH807"/>
      <c r="HI807"/>
      <c r="HJ807"/>
      <c r="HK807"/>
      <c r="HL807"/>
      <c r="HM807"/>
      <c r="HN807"/>
      <c r="HO807"/>
      <c r="HP807"/>
      <c r="HQ807"/>
      <c r="HR807"/>
      <c r="HS807"/>
      <c r="HT807"/>
      <c r="HU807"/>
      <c r="HV807"/>
      <c r="HW807"/>
      <c r="HX807"/>
      <c r="HY807"/>
      <c r="HZ807"/>
      <c r="IA807"/>
      <c r="IB807"/>
      <c r="IC807"/>
      <c r="ID807"/>
      <c r="IE807"/>
      <c r="IF807"/>
      <c r="IG807"/>
      <c r="IH807"/>
      <c r="II807"/>
      <c r="IJ807"/>
    </row>
    <row r="808" spans="1:244" ht="30" customHeight="1" x14ac:dyDescent="0.2">
      <c r="A808" s="2391"/>
      <c r="B808" s="2080" t="s">
        <v>1926</v>
      </c>
      <c r="C808" s="2102">
        <v>200000</v>
      </c>
      <c r="D808" s="2102">
        <v>200000</v>
      </c>
      <c r="E808" s="2102"/>
      <c r="F808" s="2102"/>
      <c r="G808" s="2200"/>
      <c r="H808" s="2200"/>
      <c r="I808" s="2201"/>
      <c r="J808" s="88">
        <v>168795</v>
      </c>
      <c r="K808" s="2"/>
      <c r="L808"/>
      <c r="M808"/>
      <c r="N808"/>
      <c r="O808"/>
      <c r="P808"/>
      <c r="Q808"/>
      <c r="R808"/>
      <c r="S808"/>
      <c r="T808"/>
      <c r="U808"/>
      <c r="V808"/>
      <c r="W808"/>
      <c r="X808"/>
      <c r="Y808"/>
      <c r="Z808"/>
      <c r="AA808"/>
      <c r="AB808"/>
      <c r="AC808"/>
      <c r="AD808"/>
      <c r="AE808"/>
      <c r="AF808"/>
      <c r="AG808"/>
      <c r="AH808"/>
      <c r="AI808"/>
      <c r="AJ808"/>
      <c r="AK808"/>
      <c r="AL808"/>
      <c r="AM808"/>
      <c r="AN808"/>
      <c r="AO808"/>
      <c r="AP808"/>
      <c r="AQ808"/>
      <c r="AR808"/>
      <c r="AS808"/>
      <c r="AT808"/>
      <c r="AU808"/>
      <c r="AV808"/>
      <c r="AW808"/>
      <c r="AX808"/>
      <c r="AY808"/>
      <c r="AZ808"/>
      <c r="BA808"/>
      <c r="BB808"/>
      <c r="BC808"/>
      <c r="BD808"/>
      <c r="BE808"/>
      <c r="BF808"/>
      <c r="BG808"/>
      <c r="BH808"/>
      <c r="BI808"/>
      <c r="BJ808"/>
      <c r="BK808"/>
      <c r="BL808"/>
      <c r="BM808"/>
      <c r="BN808"/>
      <c r="BO808"/>
      <c r="BP808"/>
      <c r="BQ808"/>
      <c r="BR808"/>
      <c r="BS808"/>
      <c r="BT808"/>
      <c r="BU808"/>
      <c r="BV808"/>
      <c r="BW808"/>
      <c r="BX808"/>
      <c r="BY808"/>
      <c r="BZ808"/>
      <c r="CA808"/>
      <c r="CB808"/>
      <c r="CC808"/>
      <c r="CD808"/>
      <c r="CE808"/>
      <c r="CF808"/>
      <c r="CG808"/>
      <c r="CH808"/>
      <c r="CI808"/>
      <c r="CJ808"/>
      <c r="CK808"/>
      <c r="CL808"/>
      <c r="CM808"/>
      <c r="CN808"/>
      <c r="CO808"/>
      <c r="CP808"/>
      <c r="CQ808"/>
      <c r="CR808"/>
      <c r="CS808"/>
      <c r="CT808"/>
      <c r="CU808"/>
      <c r="CV808"/>
      <c r="CW808"/>
      <c r="CX808"/>
      <c r="CY808"/>
      <c r="CZ808"/>
      <c r="DA808"/>
      <c r="DB808"/>
      <c r="DC808"/>
      <c r="DD808"/>
      <c r="DE808"/>
      <c r="DF808"/>
      <c r="DG808"/>
      <c r="DH808"/>
      <c r="DI808"/>
      <c r="DJ808"/>
      <c r="DK808"/>
      <c r="DL808"/>
      <c r="DM808"/>
      <c r="DN808"/>
      <c r="DO808"/>
      <c r="DP808"/>
      <c r="DQ808"/>
      <c r="DR808"/>
      <c r="DS808"/>
      <c r="DT808"/>
      <c r="DU808"/>
      <c r="DV808"/>
      <c r="DW808"/>
      <c r="DX808"/>
      <c r="DY808"/>
      <c r="DZ808"/>
      <c r="EA808"/>
      <c r="EB808"/>
      <c r="EC808"/>
      <c r="ED808"/>
      <c r="EE808"/>
      <c r="EF808"/>
      <c r="EG808"/>
      <c r="EH808"/>
      <c r="EI808"/>
      <c r="EJ808"/>
      <c r="EK808"/>
      <c r="EL808"/>
      <c r="EM808"/>
      <c r="EN808"/>
      <c r="EO808"/>
      <c r="EP808"/>
      <c r="EQ808"/>
      <c r="ER808"/>
      <c r="ES808"/>
      <c r="ET808"/>
      <c r="EU808"/>
      <c r="EV808"/>
      <c r="EW808"/>
      <c r="EX808"/>
      <c r="EY808"/>
      <c r="EZ808"/>
      <c r="FA808"/>
      <c r="FB808"/>
      <c r="FC808"/>
      <c r="FD808"/>
      <c r="FE808"/>
      <c r="FF808"/>
      <c r="FG808"/>
      <c r="FH808"/>
      <c r="FI808"/>
      <c r="FJ808"/>
      <c r="FK808"/>
      <c r="FL808"/>
      <c r="FM808"/>
      <c r="FN808"/>
      <c r="FO808"/>
      <c r="FP808"/>
      <c r="FQ808"/>
      <c r="FR808"/>
      <c r="FS808"/>
      <c r="FT808"/>
      <c r="FU808"/>
      <c r="FV808"/>
      <c r="FW808"/>
      <c r="FX808"/>
      <c r="FY808"/>
      <c r="FZ808"/>
      <c r="GA808"/>
      <c r="GB808"/>
      <c r="GC808"/>
      <c r="GD808"/>
      <c r="GE808"/>
      <c r="GF808"/>
      <c r="GG808"/>
      <c r="GH808"/>
      <c r="GI808"/>
      <c r="GJ808"/>
      <c r="GK808"/>
      <c r="GL808"/>
      <c r="GM808"/>
      <c r="GN808"/>
      <c r="GO808"/>
      <c r="GP808"/>
      <c r="GQ808"/>
      <c r="GR808"/>
      <c r="GS808"/>
      <c r="GT808"/>
      <c r="GU808"/>
      <c r="GV808"/>
      <c r="GW808"/>
      <c r="GX808"/>
      <c r="GY808"/>
      <c r="GZ808"/>
      <c r="HA808"/>
      <c r="HB808"/>
      <c r="HC808"/>
      <c r="HD808"/>
      <c r="HE808"/>
      <c r="HF808"/>
      <c r="HG808"/>
      <c r="HH808"/>
      <c r="HI808"/>
      <c r="HJ808"/>
      <c r="HK808"/>
      <c r="HL808"/>
      <c r="HM808"/>
      <c r="HN808"/>
      <c r="HO808"/>
      <c r="HP808"/>
      <c r="HQ808"/>
      <c r="HR808"/>
      <c r="HS808"/>
      <c r="HT808"/>
      <c r="HU808"/>
      <c r="HV808"/>
      <c r="HW808"/>
      <c r="HX808"/>
      <c r="HY808"/>
      <c r="HZ808"/>
      <c r="IA808"/>
      <c r="IB808"/>
      <c r="IC808"/>
      <c r="ID808"/>
      <c r="IE808"/>
      <c r="IF808"/>
      <c r="IG808"/>
      <c r="IH808"/>
      <c r="II808"/>
      <c r="IJ808"/>
    </row>
    <row r="809" spans="1:244" ht="30" customHeight="1" x14ac:dyDescent="0.2">
      <c r="A809" s="2391"/>
      <c r="B809" s="2080" t="s">
        <v>1927</v>
      </c>
      <c r="C809" s="2102">
        <v>1500000</v>
      </c>
      <c r="D809" s="2102">
        <v>1500000</v>
      </c>
      <c r="E809" s="2102"/>
      <c r="F809" s="2102"/>
      <c r="G809" s="2200"/>
      <c r="H809" s="2200"/>
      <c r="I809" s="2201"/>
      <c r="J809" s="88">
        <v>1715245.86</v>
      </c>
      <c r="K809" s="2"/>
      <c r="L809"/>
      <c r="M809"/>
      <c r="N809"/>
      <c r="O809"/>
      <c r="P809"/>
      <c r="Q809"/>
      <c r="R809"/>
      <c r="S809"/>
      <c r="T809"/>
      <c r="U809"/>
      <c r="V809"/>
      <c r="W809"/>
      <c r="X809"/>
      <c r="Y809"/>
      <c r="Z809"/>
      <c r="AA809"/>
      <c r="AB809"/>
      <c r="AC809"/>
      <c r="AD809"/>
      <c r="AE809"/>
      <c r="AF809"/>
      <c r="AG809"/>
      <c r="AH809"/>
      <c r="AI809"/>
      <c r="AJ809"/>
      <c r="AK809"/>
      <c r="AL809"/>
      <c r="AM809"/>
      <c r="AN809"/>
      <c r="AO809"/>
      <c r="AP809"/>
      <c r="AQ809"/>
      <c r="AR809"/>
      <c r="AS809"/>
      <c r="AT809"/>
      <c r="AU809"/>
      <c r="AV809"/>
      <c r="AW809"/>
      <c r="AX809"/>
      <c r="AY809"/>
      <c r="AZ809"/>
      <c r="BA809"/>
      <c r="BB809"/>
      <c r="BC809"/>
      <c r="BD809"/>
      <c r="BE809"/>
      <c r="BF809"/>
      <c r="BG809"/>
      <c r="BH809"/>
      <c r="BI809"/>
      <c r="BJ809"/>
      <c r="BK809"/>
      <c r="BL809"/>
      <c r="BM809"/>
      <c r="BN809"/>
      <c r="BO809"/>
      <c r="BP809"/>
      <c r="BQ809"/>
      <c r="BR809"/>
      <c r="BS809"/>
      <c r="BT809"/>
      <c r="BU809"/>
      <c r="BV809"/>
      <c r="BW809"/>
      <c r="BX809"/>
      <c r="BY809"/>
      <c r="BZ809"/>
      <c r="CA809"/>
      <c r="CB809"/>
      <c r="CC809"/>
      <c r="CD809"/>
      <c r="CE809"/>
      <c r="CF809"/>
      <c r="CG809"/>
      <c r="CH809"/>
      <c r="CI809"/>
      <c r="CJ809"/>
      <c r="CK809"/>
      <c r="CL809"/>
      <c r="CM809"/>
      <c r="CN809"/>
      <c r="CO809"/>
      <c r="CP809"/>
      <c r="CQ809"/>
      <c r="CR809"/>
      <c r="CS809"/>
      <c r="CT809"/>
      <c r="CU809"/>
      <c r="CV809"/>
      <c r="CW809"/>
      <c r="CX809"/>
      <c r="CY809"/>
      <c r="CZ809"/>
      <c r="DA809"/>
      <c r="DB809"/>
      <c r="DC809"/>
      <c r="DD809"/>
      <c r="DE809"/>
      <c r="DF809"/>
      <c r="DG809"/>
      <c r="DH809"/>
      <c r="DI809"/>
      <c r="DJ809"/>
      <c r="DK809"/>
      <c r="DL809"/>
      <c r="DM809"/>
      <c r="DN809"/>
      <c r="DO809"/>
      <c r="DP809"/>
      <c r="DQ809"/>
      <c r="DR809"/>
      <c r="DS809"/>
      <c r="DT809"/>
      <c r="DU809"/>
      <c r="DV809"/>
      <c r="DW809"/>
      <c r="DX809"/>
      <c r="DY809"/>
      <c r="DZ809"/>
      <c r="EA809"/>
      <c r="EB809"/>
      <c r="EC809"/>
      <c r="ED809"/>
      <c r="EE809"/>
      <c r="EF809"/>
      <c r="EG809"/>
      <c r="EH809"/>
      <c r="EI809"/>
      <c r="EJ809"/>
      <c r="EK809"/>
      <c r="EL809"/>
      <c r="EM809"/>
      <c r="EN809"/>
      <c r="EO809"/>
      <c r="EP809"/>
      <c r="EQ809"/>
      <c r="ER809"/>
      <c r="ES809"/>
      <c r="ET809"/>
      <c r="EU809"/>
      <c r="EV809"/>
      <c r="EW809"/>
      <c r="EX809"/>
      <c r="EY809"/>
      <c r="EZ809"/>
      <c r="FA809"/>
      <c r="FB809"/>
      <c r="FC809"/>
      <c r="FD809"/>
      <c r="FE809"/>
      <c r="FF809"/>
      <c r="FG809"/>
      <c r="FH809"/>
      <c r="FI809"/>
      <c r="FJ809"/>
      <c r="FK809"/>
      <c r="FL809"/>
      <c r="FM809"/>
      <c r="FN809"/>
      <c r="FO809"/>
      <c r="FP809"/>
      <c r="FQ809"/>
      <c r="FR809"/>
      <c r="FS809"/>
      <c r="FT809"/>
      <c r="FU809"/>
      <c r="FV809"/>
      <c r="FW809"/>
      <c r="FX809"/>
      <c r="FY809"/>
      <c r="FZ809"/>
      <c r="GA809"/>
      <c r="GB809"/>
      <c r="GC809"/>
      <c r="GD809"/>
      <c r="GE809"/>
      <c r="GF809"/>
      <c r="GG809"/>
      <c r="GH809"/>
      <c r="GI809"/>
      <c r="GJ809"/>
      <c r="GK809"/>
      <c r="GL809"/>
      <c r="GM809"/>
      <c r="GN809"/>
      <c r="GO809"/>
      <c r="GP809"/>
      <c r="GQ809"/>
      <c r="GR809"/>
      <c r="GS809"/>
      <c r="GT809"/>
      <c r="GU809"/>
      <c r="GV809"/>
      <c r="GW809"/>
      <c r="GX809"/>
      <c r="GY809"/>
      <c r="GZ809"/>
      <c r="HA809"/>
      <c r="HB809"/>
      <c r="HC809"/>
      <c r="HD809"/>
      <c r="HE809"/>
      <c r="HF809"/>
      <c r="HG809"/>
      <c r="HH809"/>
      <c r="HI809"/>
      <c r="HJ809"/>
      <c r="HK809"/>
      <c r="HL809"/>
      <c r="HM809"/>
      <c r="HN809"/>
      <c r="HO809"/>
      <c r="HP809"/>
      <c r="HQ809"/>
      <c r="HR809"/>
      <c r="HS809"/>
      <c r="HT809"/>
      <c r="HU809"/>
      <c r="HV809"/>
      <c r="HW809"/>
      <c r="HX809"/>
      <c r="HY809"/>
      <c r="HZ809"/>
      <c r="IA809"/>
      <c r="IB809"/>
      <c r="IC809"/>
      <c r="ID809"/>
      <c r="IE809"/>
      <c r="IF809"/>
      <c r="IG809"/>
      <c r="IH809"/>
      <c r="II809"/>
      <c r="IJ809"/>
    </row>
    <row r="810" spans="1:244" ht="30" customHeight="1" x14ac:dyDescent="0.2">
      <c r="A810" s="2391"/>
      <c r="B810" s="2103" t="s">
        <v>1929</v>
      </c>
      <c r="C810" s="2104">
        <f>C811</f>
        <v>3000000</v>
      </c>
      <c r="D810" s="2104">
        <f>D811</f>
        <v>5000000</v>
      </c>
      <c r="E810" s="2104"/>
      <c r="F810" s="2082"/>
      <c r="G810" s="2466"/>
      <c r="H810" s="2466"/>
      <c r="I810" s="2467"/>
      <c r="J810" s="88">
        <v>3158709.21</v>
      </c>
      <c r="K810" s="2"/>
      <c r="L810"/>
      <c r="M810"/>
      <c r="N810"/>
      <c r="O810"/>
      <c r="P810"/>
      <c r="Q810"/>
      <c r="R810"/>
      <c r="S810"/>
      <c r="T810"/>
      <c r="U810"/>
      <c r="V810"/>
      <c r="W810"/>
      <c r="X810"/>
      <c r="Y810"/>
      <c r="Z810"/>
      <c r="AA810"/>
      <c r="AB810"/>
      <c r="AC810"/>
      <c r="AD810"/>
      <c r="AE810"/>
      <c r="AF810"/>
      <c r="AG810"/>
      <c r="AH810"/>
      <c r="AI810"/>
      <c r="AJ810"/>
      <c r="AK810"/>
      <c r="AL810"/>
      <c r="AM810"/>
      <c r="AN810"/>
      <c r="AO810"/>
      <c r="AP810"/>
      <c r="AQ810"/>
      <c r="AR810"/>
      <c r="AS810"/>
      <c r="AT810"/>
      <c r="AU810"/>
      <c r="AV810"/>
      <c r="AW810"/>
      <c r="AX810"/>
      <c r="AY810"/>
      <c r="AZ810"/>
      <c r="BA810"/>
      <c r="BB810"/>
      <c r="BC810"/>
      <c r="BD810"/>
      <c r="BE810"/>
      <c r="BF810"/>
      <c r="BG810"/>
      <c r="BH810"/>
      <c r="BI810"/>
      <c r="BJ810"/>
      <c r="BK810"/>
      <c r="BL810"/>
      <c r="BM810"/>
      <c r="BN810"/>
      <c r="BO810"/>
      <c r="BP810"/>
      <c r="BQ810"/>
      <c r="BR810"/>
      <c r="BS810"/>
      <c r="BT810"/>
      <c r="BU810"/>
      <c r="BV810"/>
      <c r="BW810"/>
      <c r="BX810"/>
      <c r="BY810"/>
      <c r="BZ810"/>
      <c r="CA810"/>
      <c r="CB810"/>
      <c r="CC810"/>
      <c r="CD810"/>
      <c r="CE810"/>
      <c r="CF810"/>
      <c r="CG810"/>
      <c r="CH810"/>
      <c r="CI810"/>
      <c r="CJ810"/>
      <c r="CK810"/>
      <c r="CL810"/>
      <c r="CM810"/>
      <c r="CN810"/>
      <c r="CO810"/>
      <c r="CP810"/>
      <c r="CQ810"/>
      <c r="CR810"/>
      <c r="CS810"/>
      <c r="CT810"/>
      <c r="CU810"/>
      <c r="CV810"/>
      <c r="CW810"/>
      <c r="CX810"/>
      <c r="CY810"/>
      <c r="CZ810"/>
      <c r="DA810"/>
      <c r="DB810"/>
      <c r="DC810"/>
      <c r="DD810"/>
      <c r="DE810"/>
      <c r="DF810"/>
      <c r="DG810"/>
      <c r="DH810"/>
      <c r="DI810"/>
      <c r="DJ810"/>
      <c r="DK810"/>
      <c r="DL810"/>
      <c r="DM810"/>
      <c r="DN810"/>
      <c r="DO810"/>
      <c r="DP810"/>
      <c r="DQ810"/>
      <c r="DR810"/>
      <c r="DS810"/>
      <c r="DT810"/>
      <c r="DU810"/>
      <c r="DV810"/>
      <c r="DW810"/>
      <c r="DX810"/>
      <c r="DY810"/>
      <c r="DZ810"/>
      <c r="EA810"/>
      <c r="EB810"/>
      <c r="EC810"/>
      <c r="ED810"/>
      <c r="EE810"/>
      <c r="EF810"/>
      <c r="EG810"/>
      <c r="EH810"/>
      <c r="EI810"/>
      <c r="EJ810"/>
      <c r="EK810"/>
      <c r="EL810"/>
      <c r="EM810"/>
      <c r="EN810"/>
      <c r="EO810"/>
      <c r="EP810"/>
      <c r="EQ810"/>
      <c r="ER810"/>
      <c r="ES810"/>
      <c r="ET810"/>
      <c r="EU810"/>
      <c r="EV810"/>
      <c r="EW810"/>
      <c r="EX810"/>
      <c r="EY810"/>
      <c r="EZ810"/>
      <c r="FA810"/>
      <c r="FB810"/>
      <c r="FC810"/>
      <c r="FD810"/>
      <c r="FE810"/>
      <c r="FF810"/>
      <c r="FG810"/>
      <c r="FH810"/>
      <c r="FI810"/>
      <c r="FJ810"/>
      <c r="FK810"/>
      <c r="FL810"/>
      <c r="FM810"/>
      <c r="FN810"/>
      <c r="FO810"/>
      <c r="FP810"/>
      <c r="FQ810"/>
      <c r="FR810"/>
      <c r="FS810"/>
      <c r="FT810"/>
      <c r="FU810"/>
      <c r="FV810"/>
      <c r="FW810"/>
      <c r="FX810"/>
      <c r="FY810"/>
      <c r="FZ810"/>
      <c r="GA810"/>
      <c r="GB810"/>
      <c r="GC810"/>
      <c r="GD810"/>
      <c r="GE810"/>
      <c r="GF810"/>
      <c r="GG810"/>
      <c r="GH810"/>
      <c r="GI810"/>
      <c r="GJ810"/>
      <c r="GK810"/>
      <c r="GL810"/>
      <c r="GM810"/>
      <c r="GN810"/>
      <c r="GO810"/>
      <c r="GP810"/>
      <c r="GQ810"/>
      <c r="GR810"/>
      <c r="GS810"/>
      <c r="GT810"/>
      <c r="GU810"/>
      <c r="GV810"/>
      <c r="GW810"/>
      <c r="GX810"/>
      <c r="GY810"/>
      <c r="GZ810"/>
      <c r="HA810"/>
      <c r="HB810"/>
      <c r="HC810"/>
      <c r="HD810"/>
      <c r="HE810"/>
      <c r="HF810"/>
      <c r="HG810"/>
      <c r="HH810"/>
      <c r="HI810"/>
      <c r="HJ810"/>
      <c r="HK810"/>
      <c r="HL810"/>
      <c r="HM810"/>
      <c r="HN810"/>
      <c r="HO810"/>
      <c r="HP810"/>
      <c r="HQ810"/>
      <c r="HR810"/>
      <c r="HS810"/>
      <c r="HT810"/>
      <c r="HU810"/>
      <c r="HV810"/>
      <c r="HW810"/>
      <c r="HX810"/>
      <c r="HY810"/>
      <c r="HZ810"/>
      <c r="IA810"/>
      <c r="IB810"/>
      <c r="IC810"/>
      <c r="ID810"/>
      <c r="IE810"/>
      <c r="IF810"/>
      <c r="IG810"/>
      <c r="IH810"/>
      <c r="II810"/>
      <c r="IJ810"/>
    </row>
    <row r="811" spans="1:244" s="488" customFormat="1" ht="30" customHeight="1" x14ac:dyDescent="0.2">
      <c r="A811" s="2462"/>
      <c r="B811" s="2080" t="s">
        <v>1930</v>
      </c>
      <c r="C811" s="2075">
        <v>3000000</v>
      </c>
      <c r="D811" s="2075">
        <f>3000000+2000000</f>
        <v>5000000</v>
      </c>
      <c r="E811" s="2075"/>
      <c r="F811" s="2075"/>
      <c r="G811" s="2200"/>
      <c r="H811" s="2200"/>
      <c r="I811" s="2201"/>
      <c r="J811" s="88">
        <v>2847883.61</v>
      </c>
    </row>
    <row r="812" spans="1:244" ht="30" customHeight="1" x14ac:dyDescent="0.2">
      <c r="A812" s="2468"/>
      <c r="B812" s="2109" t="s">
        <v>1934</v>
      </c>
      <c r="C812" s="2104">
        <f>C813</f>
        <v>4000000</v>
      </c>
      <c r="D812" s="2104">
        <f>D813</f>
        <v>6324000</v>
      </c>
      <c r="E812" s="2104"/>
      <c r="F812" s="2082"/>
      <c r="G812" s="2466"/>
      <c r="H812" s="2466"/>
      <c r="I812" s="2467"/>
      <c r="J812" s="88">
        <v>4625465.6900000004</v>
      </c>
      <c r="K812" s="2"/>
      <c r="L812"/>
      <c r="M812"/>
      <c r="N812"/>
      <c r="O812"/>
      <c r="P812"/>
      <c r="Q812"/>
      <c r="R812"/>
      <c r="S812"/>
      <c r="T812"/>
      <c r="U812"/>
      <c r="V812"/>
      <c r="W812"/>
      <c r="X812"/>
      <c r="Y812"/>
      <c r="Z812"/>
      <c r="AA812"/>
      <c r="AB812"/>
      <c r="AC812"/>
      <c r="AD812"/>
      <c r="AE812"/>
      <c r="AF812"/>
      <c r="AG812"/>
      <c r="AH812"/>
      <c r="AI812"/>
      <c r="AJ812"/>
      <c r="AK812"/>
      <c r="AL812"/>
      <c r="AM812"/>
      <c r="AN812"/>
      <c r="AO812"/>
      <c r="AP812"/>
      <c r="AQ812"/>
      <c r="AR812"/>
      <c r="AS812"/>
      <c r="AT812"/>
      <c r="AU812"/>
      <c r="AV812"/>
      <c r="AW812"/>
      <c r="AX812"/>
      <c r="AY812"/>
      <c r="AZ812"/>
      <c r="BA812"/>
      <c r="BB812"/>
      <c r="BC812"/>
      <c r="BD812"/>
      <c r="BE812"/>
      <c r="BF812"/>
      <c r="BG812"/>
      <c r="BH812"/>
      <c r="BI812"/>
      <c r="BJ812"/>
      <c r="BK812"/>
      <c r="BL812"/>
      <c r="BM812"/>
      <c r="BN812"/>
      <c r="BO812"/>
      <c r="BP812"/>
      <c r="BQ812"/>
      <c r="BR812"/>
      <c r="BS812"/>
      <c r="BT812"/>
      <c r="BU812"/>
      <c r="BV812"/>
      <c r="BW812"/>
      <c r="BX812"/>
      <c r="BY812"/>
      <c r="BZ812"/>
      <c r="CA812"/>
      <c r="CB812"/>
      <c r="CC812"/>
      <c r="CD812"/>
      <c r="CE812"/>
      <c r="CF812"/>
      <c r="CG812"/>
      <c r="CH812"/>
      <c r="CI812"/>
      <c r="CJ812"/>
      <c r="CK812"/>
      <c r="CL812"/>
      <c r="CM812"/>
      <c r="CN812"/>
      <c r="CO812"/>
      <c r="CP812"/>
      <c r="CQ812"/>
      <c r="CR812"/>
      <c r="CS812"/>
      <c r="CT812"/>
      <c r="CU812"/>
      <c r="CV812"/>
      <c r="CW812"/>
      <c r="CX812"/>
      <c r="CY812"/>
      <c r="CZ812"/>
      <c r="DA812"/>
      <c r="DB812"/>
      <c r="DC812"/>
      <c r="DD812"/>
      <c r="DE812"/>
      <c r="DF812"/>
      <c r="DG812"/>
      <c r="DH812"/>
      <c r="DI812"/>
      <c r="DJ812"/>
      <c r="DK812"/>
      <c r="DL812"/>
      <c r="DM812"/>
      <c r="DN812"/>
      <c r="DO812"/>
      <c r="DP812"/>
      <c r="DQ812"/>
      <c r="DR812"/>
      <c r="DS812"/>
      <c r="DT812"/>
      <c r="DU812"/>
      <c r="DV812"/>
      <c r="DW812"/>
      <c r="DX812"/>
      <c r="DY812"/>
      <c r="DZ812"/>
      <c r="EA812"/>
      <c r="EB812"/>
      <c r="EC812"/>
      <c r="ED812"/>
      <c r="EE812"/>
      <c r="EF812"/>
      <c r="EG812"/>
      <c r="EH812"/>
      <c r="EI812"/>
      <c r="EJ812"/>
      <c r="EK812"/>
      <c r="EL812"/>
      <c r="EM812"/>
      <c r="EN812"/>
      <c r="EO812"/>
      <c r="EP812"/>
      <c r="EQ812"/>
      <c r="ER812"/>
      <c r="ES812"/>
      <c r="ET812"/>
      <c r="EU812"/>
      <c r="EV812"/>
      <c r="EW812"/>
      <c r="EX812"/>
      <c r="EY812"/>
      <c r="EZ812"/>
      <c r="FA812"/>
      <c r="FB812"/>
      <c r="FC812"/>
      <c r="FD812"/>
      <c r="FE812"/>
      <c r="FF812"/>
      <c r="FG812"/>
      <c r="FH812"/>
      <c r="FI812"/>
      <c r="FJ812"/>
      <c r="FK812"/>
      <c r="FL812"/>
      <c r="FM812"/>
      <c r="FN812"/>
      <c r="FO812"/>
      <c r="FP812"/>
      <c r="FQ812"/>
      <c r="FR812"/>
      <c r="FS812"/>
      <c r="FT812"/>
      <c r="FU812"/>
      <c r="FV812"/>
      <c r="FW812"/>
      <c r="FX812"/>
      <c r="FY812"/>
      <c r="FZ812"/>
      <c r="GA812"/>
      <c r="GB812"/>
      <c r="GC812"/>
      <c r="GD812"/>
      <c r="GE812"/>
      <c r="GF812"/>
      <c r="GG812"/>
      <c r="GH812"/>
      <c r="GI812"/>
      <c r="GJ812"/>
      <c r="GK812"/>
      <c r="GL812"/>
      <c r="GM812"/>
      <c r="GN812"/>
      <c r="GO812"/>
      <c r="GP812"/>
      <c r="GQ812"/>
      <c r="GR812"/>
      <c r="GS812"/>
      <c r="GT812"/>
      <c r="GU812"/>
      <c r="GV812"/>
      <c r="GW812"/>
      <c r="GX812"/>
      <c r="GY812"/>
      <c r="GZ812"/>
      <c r="HA812"/>
      <c r="HB812"/>
      <c r="HC812"/>
      <c r="HD812"/>
      <c r="HE812"/>
      <c r="HF812"/>
      <c r="HG812"/>
      <c r="HH812"/>
      <c r="HI812"/>
      <c r="HJ812"/>
      <c r="HK812"/>
      <c r="HL812"/>
      <c r="HM812"/>
      <c r="HN812"/>
      <c r="HO812"/>
      <c r="HP812"/>
      <c r="HQ812"/>
      <c r="HR812"/>
      <c r="HS812"/>
      <c r="HT812"/>
      <c r="HU812"/>
      <c r="HV812"/>
      <c r="HW812"/>
      <c r="HX812"/>
      <c r="HY812"/>
      <c r="HZ812"/>
      <c r="IA812"/>
      <c r="IB812"/>
      <c r="IC812"/>
      <c r="ID812"/>
      <c r="IE812"/>
      <c r="IF812"/>
      <c r="IG812"/>
      <c r="IH812"/>
      <c r="II812"/>
      <c r="IJ812"/>
    </row>
    <row r="813" spans="1:244" ht="30" customHeight="1" x14ac:dyDescent="0.2">
      <c r="A813" s="2468"/>
      <c r="B813" s="2110" t="s">
        <v>850</v>
      </c>
      <c r="C813" s="2111">
        <v>4000000</v>
      </c>
      <c r="D813" s="2111">
        <f>4000000+324000+2000000</f>
        <v>6324000</v>
      </c>
      <c r="E813" s="2111"/>
      <c r="F813" s="2111"/>
      <c r="G813" s="2200"/>
      <c r="H813" s="2200"/>
      <c r="I813" s="2201"/>
      <c r="J813" s="88">
        <v>3677082.87</v>
      </c>
      <c r="K813" s="2"/>
      <c r="L813"/>
      <c r="M813"/>
      <c r="N813"/>
      <c r="O813"/>
      <c r="P813"/>
      <c r="Q813"/>
      <c r="R813"/>
      <c r="S813"/>
      <c r="T813"/>
      <c r="U813"/>
      <c r="V813"/>
      <c r="W813"/>
      <c r="X813"/>
      <c r="Y813"/>
      <c r="Z813"/>
      <c r="AA813"/>
      <c r="AB813"/>
      <c r="AC813"/>
      <c r="AD813"/>
      <c r="AE813"/>
      <c r="AF813"/>
      <c r="AG813"/>
      <c r="AH813"/>
      <c r="AI813"/>
      <c r="AJ813"/>
      <c r="AK813"/>
      <c r="AL813"/>
      <c r="AM813"/>
      <c r="AN813"/>
      <c r="AO813"/>
      <c r="AP813"/>
      <c r="AQ813"/>
      <c r="AR813"/>
      <c r="AS813"/>
      <c r="AT813"/>
      <c r="AU813"/>
      <c r="AV813"/>
      <c r="AW813"/>
      <c r="AX813"/>
      <c r="AY813"/>
      <c r="AZ813"/>
      <c r="BA813"/>
      <c r="BB813"/>
      <c r="BC813"/>
      <c r="BD813"/>
      <c r="BE813"/>
      <c r="BF813"/>
      <c r="BG813"/>
      <c r="BH813"/>
      <c r="BI813"/>
      <c r="BJ813"/>
      <c r="BK813"/>
      <c r="BL813"/>
      <c r="BM813"/>
      <c r="BN813"/>
      <c r="BO813"/>
      <c r="BP813"/>
      <c r="BQ813"/>
      <c r="BR813"/>
      <c r="BS813"/>
      <c r="BT813"/>
      <c r="BU813"/>
      <c r="BV813"/>
      <c r="BW813"/>
      <c r="BX813"/>
      <c r="BY813"/>
      <c r="BZ813"/>
      <c r="CA813"/>
      <c r="CB813"/>
      <c r="CC813"/>
      <c r="CD813"/>
      <c r="CE813"/>
      <c r="CF813"/>
      <c r="CG813"/>
      <c r="CH813"/>
      <c r="CI813"/>
      <c r="CJ813"/>
      <c r="CK813"/>
      <c r="CL813"/>
      <c r="CM813"/>
      <c r="CN813"/>
      <c r="CO813"/>
      <c r="CP813"/>
      <c r="CQ813"/>
      <c r="CR813"/>
      <c r="CS813"/>
      <c r="CT813"/>
      <c r="CU813"/>
      <c r="CV813"/>
      <c r="CW813"/>
      <c r="CX813"/>
      <c r="CY813"/>
      <c r="CZ813"/>
      <c r="DA813"/>
      <c r="DB813"/>
      <c r="DC813"/>
      <c r="DD813"/>
      <c r="DE813"/>
      <c r="DF813"/>
      <c r="DG813"/>
      <c r="DH813"/>
      <c r="DI813"/>
      <c r="DJ813"/>
      <c r="DK813"/>
      <c r="DL813"/>
      <c r="DM813"/>
      <c r="DN813"/>
      <c r="DO813"/>
      <c r="DP813"/>
      <c r="DQ813"/>
      <c r="DR813"/>
      <c r="DS813"/>
      <c r="DT813"/>
      <c r="DU813"/>
      <c r="DV813"/>
      <c r="DW813"/>
      <c r="DX813"/>
      <c r="DY813"/>
      <c r="DZ813"/>
      <c r="EA813"/>
      <c r="EB813"/>
      <c r="EC813"/>
      <c r="ED813"/>
      <c r="EE813"/>
      <c r="EF813"/>
      <c r="EG813"/>
      <c r="EH813"/>
      <c r="EI813"/>
      <c r="EJ813"/>
      <c r="EK813"/>
      <c r="EL813"/>
      <c r="EM813"/>
      <c r="EN813"/>
      <c r="EO813"/>
      <c r="EP813"/>
      <c r="EQ813"/>
      <c r="ER813"/>
      <c r="ES813"/>
      <c r="ET813"/>
      <c r="EU813"/>
      <c r="EV813"/>
      <c r="EW813"/>
      <c r="EX813"/>
      <c r="EY813"/>
      <c r="EZ813"/>
      <c r="FA813"/>
      <c r="FB813"/>
      <c r="FC813"/>
      <c r="FD813"/>
      <c r="FE813"/>
      <c r="FF813"/>
      <c r="FG813"/>
      <c r="FH813"/>
      <c r="FI813"/>
      <c r="FJ813"/>
      <c r="FK813"/>
      <c r="FL813"/>
      <c r="FM813"/>
      <c r="FN813"/>
      <c r="FO813"/>
      <c r="FP813"/>
      <c r="FQ813"/>
      <c r="FR813"/>
      <c r="FS813"/>
      <c r="FT813"/>
      <c r="FU813"/>
      <c r="FV813"/>
      <c r="FW813"/>
      <c r="FX813"/>
      <c r="FY813"/>
      <c r="FZ813"/>
      <c r="GA813"/>
      <c r="GB813"/>
      <c r="GC813"/>
      <c r="GD813"/>
      <c r="GE813"/>
      <c r="GF813"/>
      <c r="GG813"/>
      <c r="GH813"/>
      <c r="GI813"/>
      <c r="GJ813"/>
      <c r="GK813"/>
      <c r="GL813"/>
      <c r="GM813"/>
      <c r="GN813"/>
      <c r="GO813"/>
      <c r="GP813"/>
      <c r="GQ813"/>
      <c r="GR813"/>
      <c r="GS813"/>
      <c r="GT813"/>
      <c r="GU813"/>
      <c r="GV813"/>
      <c r="GW813"/>
      <c r="GX813"/>
      <c r="GY813"/>
      <c r="GZ813"/>
      <c r="HA813"/>
      <c r="HB813"/>
      <c r="HC813"/>
      <c r="HD813"/>
      <c r="HE813"/>
      <c r="HF813"/>
      <c r="HG813"/>
      <c r="HH813"/>
      <c r="HI813"/>
      <c r="HJ813"/>
      <c r="HK813"/>
      <c r="HL813"/>
      <c r="HM813"/>
      <c r="HN813"/>
      <c r="HO813"/>
      <c r="HP813"/>
      <c r="HQ813"/>
      <c r="HR813"/>
      <c r="HS813"/>
      <c r="HT813"/>
      <c r="HU813"/>
      <c r="HV813"/>
      <c r="HW813"/>
      <c r="HX813"/>
      <c r="HY813"/>
      <c r="HZ813"/>
      <c r="IA813"/>
      <c r="IB813"/>
      <c r="IC813"/>
      <c r="ID813"/>
      <c r="IE813"/>
      <c r="IF813"/>
      <c r="IG813"/>
      <c r="IH813"/>
      <c r="II813"/>
      <c r="IJ813"/>
    </row>
    <row r="814" spans="1:244" s="488" customFormat="1" ht="30" customHeight="1" x14ac:dyDescent="0.2">
      <c r="A814" s="2468"/>
      <c r="B814" s="2112" t="s">
        <v>2549</v>
      </c>
      <c r="C814" s="2107">
        <v>200000</v>
      </c>
      <c r="D814" s="2107">
        <v>200000</v>
      </c>
      <c r="E814" s="2107"/>
      <c r="F814" s="2107"/>
      <c r="G814" s="2200"/>
      <c r="H814" s="2200"/>
      <c r="I814" s="2201"/>
      <c r="J814" s="88">
        <v>119907</v>
      </c>
    </row>
    <row r="815" spans="1:244" ht="30" customHeight="1" x14ac:dyDescent="0.2">
      <c r="A815" s="2468"/>
      <c r="B815" s="2112" t="s">
        <v>2550</v>
      </c>
      <c r="C815" s="2107">
        <v>3000000</v>
      </c>
      <c r="D815" s="2107">
        <v>3000000</v>
      </c>
      <c r="E815" s="2107"/>
      <c r="F815" s="2107"/>
      <c r="G815" s="2200"/>
      <c r="H815" s="2200"/>
      <c r="I815" s="2201"/>
      <c r="J815" s="88">
        <v>2783725.27</v>
      </c>
      <c r="K815" s="2"/>
      <c r="L815"/>
      <c r="M815"/>
      <c r="N815"/>
      <c r="O815"/>
      <c r="P815"/>
      <c r="Q815"/>
      <c r="R815"/>
      <c r="S815"/>
      <c r="T815"/>
      <c r="U815"/>
      <c r="V815"/>
      <c r="W815"/>
      <c r="X815"/>
      <c r="Y815"/>
      <c r="Z815"/>
      <c r="AA815"/>
      <c r="AB815"/>
      <c r="AC815"/>
      <c r="AD815"/>
      <c r="AE815"/>
      <c r="AF815"/>
      <c r="AG815"/>
      <c r="AH815"/>
      <c r="AI815"/>
      <c r="AJ815"/>
      <c r="AK815"/>
      <c r="AL815"/>
      <c r="AM815"/>
      <c r="AN815"/>
      <c r="AO815"/>
      <c r="AP815"/>
      <c r="AQ815"/>
      <c r="AR815"/>
      <c r="AS815"/>
      <c r="AT815"/>
      <c r="AU815"/>
      <c r="AV815"/>
      <c r="AW815"/>
      <c r="AX815"/>
      <c r="AY815"/>
      <c r="AZ815"/>
      <c r="BA815"/>
      <c r="BB815"/>
      <c r="BC815"/>
      <c r="BD815"/>
      <c r="BE815"/>
      <c r="BF815"/>
      <c r="BG815"/>
      <c r="BH815"/>
      <c r="BI815"/>
      <c r="BJ815"/>
      <c r="BK815"/>
      <c r="BL815"/>
      <c r="BM815"/>
      <c r="BN815"/>
      <c r="BO815"/>
      <c r="BP815"/>
      <c r="BQ815"/>
      <c r="BR815"/>
      <c r="BS815"/>
      <c r="BT815"/>
      <c r="BU815"/>
      <c r="BV815"/>
      <c r="BW815"/>
      <c r="BX815"/>
      <c r="BY815"/>
      <c r="BZ815"/>
      <c r="CA815"/>
      <c r="CB815"/>
      <c r="CC815"/>
      <c r="CD815"/>
      <c r="CE815"/>
      <c r="CF815"/>
      <c r="CG815"/>
      <c r="CH815"/>
      <c r="CI815"/>
      <c r="CJ815"/>
      <c r="CK815"/>
      <c r="CL815"/>
      <c r="CM815"/>
      <c r="CN815"/>
      <c r="CO815"/>
      <c r="CP815"/>
      <c r="CQ815"/>
      <c r="CR815"/>
      <c r="CS815"/>
      <c r="CT815"/>
      <c r="CU815"/>
      <c r="CV815"/>
      <c r="CW815"/>
      <c r="CX815"/>
      <c r="CY815"/>
      <c r="CZ815"/>
      <c r="DA815"/>
      <c r="DB815"/>
      <c r="DC815"/>
      <c r="DD815"/>
      <c r="DE815"/>
      <c r="DF815"/>
      <c r="DG815"/>
      <c r="DH815"/>
      <c r="DI815"/>
      <c r="DJ815"/>
      <c r="DK815"/>
      <c r="DL815"/>
      <c r="DM815"/>
      <c r="DN815"/>
      <c r="DO815"/>
      <c r="DP815"/>
      <c r="DQ815"/>
      <c r="DR815"/>
      <c r="DS815"/>
      <c r="DT815"/>
      <c r="DU815"/>
      <c r="DV815"/>
      <c r="DW815"/>
      <c r="DX815"/>
      <c r="DY815"/>
      <c r="DZ815"/>
      <c r="EA815"/>
      <c r="EB815"/>
      <c r="EC815"/>
      <c r="ED815"/>
      <c r="EE815"/>
      <c r="EF815"/>
      <c r="EG815"/>
      <c r="EH815"/>
      <c r="EI815"/>
      <c r="EJ815"/>
      <c r="EK815"/>
      <c r="EL815"/>
      <c r="EM815"/>
      <c r="EN815"/>
      <c r="EO815"/>
      <c r="EP815"/>
      <c r="EQ815"/>
      <c r="ER815"/>
      <c r="ES815"/>
      <c r="ET815"/>
      <c r="EU815"/>
      <c r="EV815"/>
      <c r="EW815"/>
      <c r="EX815"/>
      <c r="EY815"/>
      <c r="EZ815"/>
      <c r="FA815"/>
      <c r="FB815"/>
      <c r="FC815"/>
      <c r="FD815"/>
      <c r="FE815"/>
      <c r="FF815"/>
      <c r="FG815"/>
      <c r="FH815"/>
      <c r="FI815"/>
      <c r="FJ815"/>
      <c r="FK815"/>
      <c r="FL815"/>
      <c r="FM815"/>
      <c r="FN815"/>
      <c r="FO815"/>
      <c r="FP815"/>
      <c r="FQ815"/>
      <c r="FR815"/>
      <c r="FS815"/>
      <c r="FT815"/>
      <c r="FU815"/>
      <c r="FV815"/>
      <c r="FW815"/>
      <c r="FX815"/>
      <c r="FY815"/>
      <c r="FZ815"/>
      <c r="GA815"/>
      <c r="GB815"/>
      <c r="GC815"/>
      <c r="GD815"/>
      <c r="GE815"/>
      <c r="GF815"/>
      <c r="GG815"/>
      <c r="GH815"/>
      <c r="GI815"/>
      <c r="GJ815"/>
      <c r="GK815"/>
      <c r="GL815"/>
      <c r="GM815"/>
      <c r="GN815"/>
      <c r="GO815"/>
      <c r="GP815"/>
      <c r="GQ815"/>
      <c r="GR815"/>
      <c r="GS815"/>
      <c r="GT815"/>
      <c r="GU815"/>
      <c r="GV815"/>
      <c r="GW815"/>
      <c r="GX815"/>
      <c r="GY815"/>
      <c r="GZ815"/>
      <c r="HA815"/>
      <c r="HB815"/>
      <c r="HC815"/>
      <c r="HD815"/>
      <c r="HE815"/>
      <c r="HF815"/>
      <c r="HG815"/>
      <c r="HH815"/>
      <c r="HI815"/>
      <c r="HJ815"/>
      <c r="HK815"/>
      <c r="HL815"/>
      <c r="HM815"/>
      <c r="HN815"/>
      <c r="HO815"/>
      <c r="HP815"/>
      <c r="HQ815"/>
      <c r="HR815"/>
      <c r="HS815"/>
      <c r="HT815"/>
      <c r="HU815"/>
      <c r="HV815"/>
      <c r="HW815"/>
      <c r="HX815"/>
      <c r="HY815"/>
      <c r="HZ815"/>
      <c r="IA815"/>
      <c r="IB815"/>
      <c r="IC815"/>
      <c r="ID815"/>
      <c r="IE815"/>
      <c r="IF815"/>
      <c r="IG815"/>
      <c r="IH815"/>
      <c r="II815"/>
      <c r="IJ815"/>
    </row>
    <row r="816" spans="1:244" ht="30" customHeight="1" x14ac:dyDescent="0.2">
      <c r="A816" s="2468"/>
      <c r="B816" s="2113" t="s">
        <v>1942</v>
      </c>
      <c r="C816" s="2107">
        <v>120000</v>
      </c>
      <c r="D816" s="2107">
        <v>120000</v>
      </c>
      <c r="E816" s="2107"/>
      <c r="F816" s="2107"/>
      <c r="G816" s="2200"/>
      <c r="H816" s="2200"/>
      <c r="I816" s="2201"/>
      <c r="J816" s="88">
        <v>105653</v>
      </c>
      <c r="K816" s="2"/>
      <c r="L816"/>
      <c r="M816"/>
      <c r="N816"/>
      <c r="O816"/>
      <c r="P816"/>
      <c r="Q816"/>
      <c r="R816"/>
      <c r="S816"/>
      <c r="T816"/>
      <c r="U816"/>
      <c r="V816"/>
      <c r="W816"/>
      <c r="X816"/>
      <c r="Y816"/>
      <c r="Z816"/>
      <c r="AA816"/>
      <c r="AB816"/>
      <c r="AC816"/>
      <c r="AD816"/>
      <c r="AE816"/>
      <c r="AF816"/>
      <c r="AG816"/>
      <c r="AH816"/>
      <c r="AI816"/>
      <c r="AJ816"/>
      <c r="AK816"/>
      <c r="AL816"/>
      <c r="AM816"/>
      <c r="AN816"/>
      <c r="AO816"/>
      <c r="AP816"/>
      <c r="AQ816"/>
      <c r="AR816"/>
      <c r="AS816"/>
      <c r="AT816"/>
      <c r="AU816"/>
      <c r="AV816"/>
      <c r="AW816"/>
      <c r="AX816"/>
      <c r="AY816"/>
      <c r="AZ816"/>
      <c r="BA816"/>
      <c r="BB816"/>
      <c r="BC816"/>
      <c r="BD816"/>
      <c r="BE816"/>
      <c r="BF816"/>
      <c r="BG816"/>
      <c r="BH816"/>
      <c r="BI816"/>
      <c r="BJ816"/>
      <c r="BK816"/>
      <c r="BL816"/>
      <c r="BM816"/>
      <c r="BN816"/>
      <c r="BO816"/>
      <c r="BP816"/>
      <c r="BQ816"/>
      <c r="BR816"/>
      <c r="BS816"/>
      <c r="BT816"/>
      <c r="BU816"/>
      <c r="BV816"/>
      <c r="BW816"/>
      <c r="BX816"/>
      <c r="BY816"/>
      <c r="BZ816"/>
      <c r="CA816"/>
      <c r="CB816"/>
      <c r="CC816"/>
      <c r="CD816"/>
      <c r="CE816"/>
      <c r="CF816"/>
      <c r="CG816"/>
      <c r="CH816"/>
      <c r="CI816"/>
      <c r="CJ816"/>
      <c r="CK816"/>
      <c r="CL816"/>
      <c r="CM816"/>
      <c r="CN816"/>
      <c r="CO816"/>
      <c r="CP816"/>
      <c r="CQ816"/>
      <c r="CR816"/>
      <c r="CS816"/>
      <c r="CT816"/>
      <c r="CU816"/>
      <c r="CV816"/>
      <c r="CW816"/>
      <c r="CX816"/>
      <c r="CY816"/>
      <c r="CZ816"/>
      <c r="DA816"/>
      <c r="DB816"/>
      <c r="DC816"/>
      <c r="DD816"/>
      <c r="DE816"/>
      <c r="DF816"/>
      <c r="DG816"/>
      <c r="DH816"/>
      <c r="DI816"/>
      <c r="DJ816"/>
      <c r="DK816"/>
      <c r="DL816"/>
      <c r="DM816"/>
      <c r="DN816"/>
      <c r="DO816"/>
      <c r="DP816"/>
      <c r="DQ816"/>
      <c r="DR816"/>
      <c r="DS816"/>
      <c r="DT816"/>
      <c r="DU816"/>
      <c r="DV816"/>
      <c r="DW816"/>
      <c r="DX816"/>
      <c r="DY816"/>
      <c r="DZ816"/>
      <c r="EA816"/>
      <c r="EB816"/>
      <c r="EC816"/>
      <c r="ED816"/>
      <c r="EE816"/>
      <c r="EF816"/>
      <c r="EG816"/>
      <c r="EH816"/>
      <c r="EI816"/>
      <c r="EJ816"/>
      <c r="EK816"/>
      <c r="EL816"/>
      <c r="EM816"/>
      <c r="EN816"/>
      <c r="EO816"/>
      <c r="EP816"/>
      <c r="EQ816"/>
      <c r="ER816"/>
      <c r="ES816"/>
      <c r="ET816"/>
      <c r="EU816"/>
      <c r="EV816"/>
      <c r="EW816"/>
      <c r="EX816"/>
      <c r="EY816"/>
      <c r="EZ816"/>
      <c r="FA816"/>
      <c r="FB816"/>
      <c r="FC816"/>
      <c r="FD816"/>
      <c r="FE816"/>
      <c r="FF816"/>
      <c r="FG816"/>
      <c r="FH816"/>
      <c r="FI816"/>
      <c r="FJ816"/>
      <c r="FK816"/>
      <c r="FL816"/>
      <c r="FM816"/>
      <c r="FN816"/>
      <c r="FO816"/>
      <c r="FP816"/>
      <c r="FQ816"/>
      <c r="FR816"/>
      <c r="FS816"/>
      <c r="FT816"/>
      <c r="FU816"/>
      <c r="FV816"/>
      <c r="FW816"/>
      <c r="FX816"/>
      <c r="FY816"/>
      <c r="FZ816"/>
      <c r="GA816"/>
      <c r="GB816"/>
      <c r="GC816"/>
      <c r="GD816"/>
      <c r="GE816"/>
      <c r="GF816"/>
      <c r="GG816"/>
      <c r="GH816"/>
      <c r="GI816"/>
      <c r="GJ816"/>
      <c r="GK816"/>
      <c r="GL816"/>
      <c r="GM816"/>
      <c r="GN816"/>
      <c r="GO816"/>
      <c r="GP816"/>
      <c r="GQ816"/>
      <c r="GR816"/>
      <c r="GS816"/>
      <c r="GT816"/>
      <c r="GU816"/>
      <c r="GV816"/>
      <c r="GW816"/>
      <c r="GX816"/>
      <c r="GY816"/>
      <c r="GZ816"/>
      <c r="HA816"/>
      <c r="HB816"/>
      <c r="HC816"/>
      <c r="HD816"/>
      <c r="HE816"/>
      <c r="HF816"/>
      <c r="HG816"/>
      <c r="HH816"/>
      <c r="HI816"/>
      <c r="HJ816"/>
      <c r="HK816"/>
      <c r="HL816"/>
      <c r="HM816"/>
      <c r="HN816"/>
      <c r="HO816"/>
      <c r="HP816"/>
      <c r="HQ816"/>
      <c r="HR816"/>
      <c r="HS816"/>
      <c r="HT816"/>
      <c r="HU816"/>
      <c r="HV816"/>
      <c r="HW816"/>
      <c r="HX816"/>
      <c r="HY816"/>
      <c r="HZ816"/>
      <c r="IA816"/>
      <c r="IB816"/>
      <c r="IC816"/>
      <c r="ID816"/>
      <c r="IE816"/>
      <c r="IF816"/>
      <c r="IG816"/>
      <c r="IH816"/>
      <c r="II816"/>
      <c r="IJ816"/>
    </row>
    <row r="817" spans="1:244" ht="30" customHeight="1" x14ac:dyDescent="0.2">
      <c r="A817" s="2468"/>
      <c r="B817" s="2113" t="s">
        <v>3164</v>
      </c>
      <c r="C817" s="2107">
        <v>0</v>
      </c>
      <c r="D817" s="2107">
        <f>1690434+2000000</f>
        <v>3690434</v>
      </c>
      <c r="E817" s="2107"/>
      <c r="F817" s="2107"/>
      <c r="G817" s="2200"/>
      <c r="H817" s="2200"/>
      <c r="I817" s="2201"/>
      <c r="J817" s="88">
        <v>0</v>
      </c>
      <c r="K817" s="2"/>
      <c r="L817"/>
      <c r="M817"/>
      <c r="N817"/>
      <c r="O817"/>
      <c r="P817"/>
      <c r="Q817"/>
      <c r="R817"/>
      <c r="S817"/>
      <c r="T817"/>
      <c r="U817"/>
      <c r="V817"/>
      <c r="W817"/>
      <c r="X817"/>
      <c r="Y817"/>
      <c r="Z817"/>
      <c r="AA817"/>
      <c r="AB817"/>
      <c r="AC817"/>
      <c r="AD817"/>
      <c r="AE817"/>
      <c r="AF817"/>
      <c r="AG817"/>
      <c r="AH817"/>
      <c r="AI817"/>
      <c r="AJ817"/>
      <c r="AK817"/>
      <c r="AL817"/>
      <c r="AM817"/>
      <c r="AN817"/>
      <c r="AO817"/>
      <c r="AP817"/>
      <c r="AQ817"/>
      <c r="AR817"/>
      <c r="AS817"/>
      <c r="AT817"/>
      <c r="AU817"/>
      <c r="AV817"/>
      <c r="AW817"/>
      <c r="AX817"/>
      <c r="AY817"/>
      <c r="AZ817"/>
      <c r="BA817"/>
      <c r="BB817"/>
      <c r="BC817"/>
      <c r="BD817"/>
      <c r="BE817"/>
      <c r="BF817"/>
      <c r="BG817"/>
      <c r="BH817"/>
      <c r="BI817"/>
      <c r="BJ817"/>
      <c r="BK817"/>
      <c r="BL817"/>
      <c r="BM817"/>
      <c r="BN817"/>
      <c r="BO817"/>
      <c r="BP817"/>
      <c r="BQ817"/>
      <c r="BR817"/>
      <c r="BS817"/>
      <c r="BT817"/>
      <c r="BU817"/>
      <c r="BV817"/>
      <c r="BW817"/>
      <c r="BX817"/>
      <c r="BY817"/>
      <c r="BZ817"/>
      <c r="CA817"/>
      <c r="CB817"/>
      <c r="CC817"/>
      <c r="CD817"/>
      <c r="CE817"/>
      <c r="CF817"/>
      <c r="CG817"/>
      <c r="CH817"/>
      <c r="CI817"/>
      <c r="CJ817"/>
      <c r="CK817"/>
      <c r="CL817"/>
      <c r="CM817"/>
      <c r="CN817"/>
      <c r="CO817"/>
      <c r="CP817"/>
      <c r="CQ817"/>
      <c r="CR817"/>
      <c r="CS817"/>
      <c r="CT817"/>
      <c r="CU817"/>
      <c r="CV817"/>
      <c r="CW817"/>
      <c r="CX817"/>
      <c r="CY817"/>
      <c r="CZ817"/>
      <c r="DA817"/>
      <c r="DB817"/>
      <c r="DC817"/>
      <c r="DD817"/>
      <c r="DE817"/>
      <c r="DF817"/>
      <c r="DG817"/>
      <c r="DH817"/>
      <c r="DI817"/>
      <c r="DJ817"/>
      <c r="DK817"/>
      <c r="DL817"/>
      <c r="DM817"/>
      <c r="DN817"/>
      <c r="DO817"/>
      <c r="DP817"/>
      <c r="DQ817"/>
      <c r="DR817"/>
      <c r="DS817"/>
      <c r="DT817"/>
      <c r="DU817"/>
      <c r="DV817"/>
      <c r="DW817"/>
      <c r="DX817"/>
      <c r="DY817"/>
      <c r="DZ817"/>
      <c r="EA817"/>
      <c r="EB817"/>
      <c r="EC817"/>
      <c r="ED817"/>
      <c r="EE817"/>
      <c r="EF817"/>
      <c r="EG817"/>
      <c r="EH817"/>
      <c r="EI817"/>
      <c r="EJ817"/>
      <c r="EK817"/>
      <c r="EL817"/>
      <c r="EM817"/>
      <c r="EN817"/>
      <c r="EO817"/>
      <c r="EP817"/>
      <c r="EQ817"/>
      <c r="ER817"/>
      <c r="ES817"/>
      <c r="ET817"/>
      <c r="EU817"/>
      <c r="EV817"/>
      <c r="EW817"/>
      <c r="EX817"/>
      <c r="EY817"/>
      <c r="EZ817"/>
      <c r="FA817"/>
      <c r="FB817"/>
      <c r="FC817"/>
      <c r="FD817"/>
      <c r="FE817"/>
      <c r="FF817"/>
      <c r="FG817"/>
      <c r="FH817"/>
      <c r="FI817"/>
      <c r="FJ817"/>
      <c r="FK817"/>
      <c r="FL817"/>
      <c r="FM817"/>
      <c r="FN817"/>
      <c r="FO817"/>
      <c r="FP817"/>
      <c r="FQ817"/>
      <c r="FR817"/>
      <c r="FS817"/>
      <c r="FT817"/>
      <c r="FU817"/>
      <c r="FV817"/>
      <c r="FW817"/>
      <c r="FX817"/>
      <c r="FY817"/>
      <c r="FZ817"/>
      <c r="GA817"/>
      <c r="GB817"/>
      <c r="GC817"/>
      <c r="GD817"/>
      <c r="GE817"/>
      <c r="GF817"/>
      <c r="GG817"/>
      <c r="GH817"/>
      <c r="GI817"/>
      <c r="GJ817"/>
      <c r="GK817"/>
      <c r="GL817"/>
      <c r="GM817"/>
      <c r="GN817"/>
      <c r="GO817"/>
      <c r="GP817"/>
      <c r="GQ817"/>
      <c r="GR817"/>
      <c r="GS817"/>
      <c r="GT817"/>
      <c r="GU817"/>
      <c r="GV817"/>
      <c r="GW817"/>
      <c r="GX817"/>
      <c r="GY817"/>
      <c r="GZ817"/>
      <c r="HA817"/>
      <c r="HB817"/>
      <c r="HC817"/>
      <c r="HD817"/>
      <c r="HE817"/>
      <c r="HF817"/>
      <c r="HG817"/>
      <c r="HH817"/>
      <c r="HI817"/>
      <c r="HJ817"/>
      <c r="HK817"/>
      <c r="HL817"/>
      <c r="HM817"/>
      <c r="HN817"/>
      <c r="HO817"/>
      <c r="HP817"/>
      <c r="HQ817"/>
      <c r="HR817"/>
      <c r="HS817"/>
      <c r="HT817"/>
      <c r="HU817"/>
      <c r="HV817"/>
      <c r="HW817"/>
      <c r="HX817"/>
      <c r="HY817"/>
      <c r="HZ817"/>
      <c r="IA817"/>
      <c r="IB817"/>
      <c r="IC817"/>
      <c r="ID817"/>
      <c r="IE817"/>
      <c r="IF817"/>
      <c r="IG817"/>
      <c r="IH817"/>
      <c r="II817"/>
      <c r="IJ817"/>
    </row>
    <row r="818" spans="1:244" ht="30" customHeight="1" x14ac:dyDescent="0.2">
      <c r="A818" s="2468"/>
      <c r="B818" s="2114" t="s">
        <v>1943</v>
      </c>
      <c r="C818" s="2075">
        <v>50000</v>
      </c>
      <c r="D818" s="2075">
        <v>50000</v>
      </c>
      <c r="E818" s="2075"/>
      <c r="F818" s="2075"/>
      <c r="G818" s="2200"/>
      <c r="H818" s="2200"/>
      <c r="I818" s="2201"/>
      <c r="J818" s="88">
        <v>29516.5</v>
      </c>
      <c r="K818" s="2"/>
      <c r="L818"/>
      <c r="M818"/>
      <c r="N818"/>
      <c r="O818"/>
      <c r="P818"/>
      <c r="Q818"/>
      <c r="R818"/>
      <c r="S818"/>
      <c r="T818"/>
      <c r="U818"/>
      <c r="V818"/>
      <c r="W818"/>
      <c r="X818"/>
      <c r="Y818"/>
      <c r="Z818"/>
      <c r="AA818"/>
      <c r="AB818"/>
      <c r="AC818"/>
      <c r="AD818"/>
      <c r="AE818"/>
      <c r="AF818"/>
      <c r="AG818"/>
      <c r="AH818"/>
      <c r="AI818"/>
      <c r="AJ818"/>
      <c r="AK818"/>
      <c r="AL818"/>
      <c r="AM818"/>
      <c r="AN818"/>
      <c r="AO818"/>
      <c r="AP818"/>
      <c r="AQ818"/>
      <c r="AR818"/>
      <c r="AS818"/>
      <c r="AT818"/>
      <c r="AU818"/>
      <c r="AV818"/>
      <c r="AW818"/>
      <c r="AX818"/>
      <c r="AY818"/>
      <c r="AZ818"/>
      <c r="BA818"/>
      <c r="BB818"/>
      <c r="BC818"/>
      <c r="BD818"/>
      <c r="BE818"/>
      <c r="BF818"/>
      <c r="BG818"/>
      <c r="BH818"/>
      <c r="BI818"/>
      <c r="BJ818"/>
      <c r="BK818"/>
      <c r="BL818"/>
      <c r="BM818"/>
      <c r="BN818"/>
      <c r="BO818"/>
      <c r="BP818"/>
      <c r="BQ818"/>
      <c r="BR818"/>
      <c r="BS818"/>
      <c r="BT818"/>
      <c r="BU818"/>
      <c r="BV818"/>
      <c r="BW818"/>
      <c r="BX818"/>
      <c r="BY818"/>
      <c r="BZ818"/>
      <c r="CA818"/>
      <c r="CB818"/>
      <c r="CC818"/>
      <c r="CD818"/>
      <c r="CE818"/>
      <c r="CF818"/>
      <c r="CG818"/>
      <c r="CH818"/>
      <c r="CI818"/>
      <c r="CJ818"/>
      <c r="CK818"/>
      <c r="CL818"/>
      <c r="CM818"/>
      <c r="CN818"/>
      <c r="CO818"/>
      <c r="CP818"/>
      <c r="CQ818"/>
      <c r="CR818"/>
      <c r="CS818"/>
      <c r="CT818"/>
      <c r="CU818"/>
      <c r="CV818"/>
      <c r="CW818"/>
      <c r="CX818"/>
      <c r="CY818"/>
      <c r="CZ818"/>
      <c r="DA818"/>
      <c r="DB818"/>
      <c r="DC818"/>
      <c r="DD818"/>
      <c r="DE818"/>
      <c r="DF818"/>
      <c r="DG818"/>
      <c r="DH818"/>
      <c r="DI818"/>
      <c r="DJ818"/>
      <c r="DK818"/>
      <c r="DL818"/>
      <c r="DM818"/>
      <c r="DN818"/>
      <c r="DO818"/>
      <c r="DP818"/>
      <c r="DQ818"/>
      <c r="DR818"/>
      <c r="DS818"/>
      <c r="DT818"/>
      <c r="DU818"/>
      <c r="DV818"/>
      <c r="DW818"/>
      <c r="DX818"/>
      <c r="DY818"/>
      <c r="DZ818"/>
      <c r="EA818"/>
      <c r="EB818"/>
      <c r="EC818"/>
      <c r="ED818"/>
      <c r="EE818"/>
      <c r="EF818"/>
      <c r="EG818"/>
      <c r="EH818"/>
      <c r="EI818"/>
      <c r="EJ818"/>
      <c r="EK818"/>
      <c r="EL818"/>
      <c r="EM818"/>
      <c r="EN818"/>
      <c r="EO818"/>
      <c r="EP818"/>
      <c r="EQ818"/>
      <c r="ER818"/>
      <c r="ES818"/>
      <c r="ET818"/>
      <c r="EU818"/>
      <c r="EV818"/>
      <c r="EW818"/>
      <c r="EX818"/>
      <c r="EY818"/>
      <c r="EZ818"/>
      <c r="FA818"/>
      <c r="FB818"/>
      <c r="FC818"/>
      <c r="FD818"/>
      <c r="FE818"/>
      <c r="FF818"/>
      <c r="FG818"/>
      <c r="FH818"/>
      <c r="FI818"/>
      <c r="FJ818"/>
      <c r="FK818"/>
      <c r="FL818"/>
      <c r="FM818"/>
      <c r="FN818"/>
      <c r="FO818"/>
      <c r="FP818"/>
      <c r="FQ818"/>
      <c r="FR818"/>
      <c r="FS818"/>
      <c r="FT818"/>
      <c r="FU818"/>
      <c r="FV818"/>
      <c r="FW818"/>
      <c r="FX818"/>
      <c r="FY818"/>
      <c r="FZ818"/>
      <c r="GA818"/>
      <c r="GB818"/>
      <c r="GC818"/>
      <c r="GD818"/>
      <c r="GE818"/>
      <c r="GF818"/>
      <c r="GG818"/>
      <c r="GH818"/>
      <c r="GI818"/>
      <c r="GJ818"/>
      <c r="GK818"/>
      <c r="GL818"/>
      <c r="GM818"/>
      <c r="GN818"/>
      <c r="GO818"/>
      <c r="GP818"/>
      <c r="GQ818"/>
      <c r="GR818"/>
      <c r="GS818"/>
      <c r="GT818"/>
      <c r="GU818"/>
      <c r="GV818"/>
      <c r="GW818"/>
      <c r="GX818"/>
      <c r="GY818"/>
      <c r="GZ818"/>
      <c r="HA818"/>
      <c r="HB818"/>
      <c r="HC818"/>
      <c r="HD818"/>
      <c r="HE818"/>
      <c r="HF818"/>
      <c r="HG818"/>
      <c r="HH818"/>
      <c r="HI818"/>
      <c r="HJ818"/>
      <c r="HK818"/>
      <c r="HL818"/>
      <c r="HM818"/>
      <c r="HN818"/>
      <c r="HO818"/>
      <c r="HP818"/>
      <c r="HQ818"/>
      <c r="HR818"/>
      <c r="HS818"/>
      <c r="HT818"/>
      <c r="HU818"/>
      <c r="HV818"/>
      <c r="HW818"/>
      <c r="HX818"/>
      <c r="HY818"/>
      <c r="HZ818"/>
      <c r="IA818"/>
      <c r="IB818"/>
      <c r="IC818"/>
      <c r="ID818"/>
      <c r="IE818"/>
      <c r="IF818"/>
      <c r="IG818"/>
      <c r="IH818"/>
      <c r="II818"/>
      <c r="IJ818"/>
    </row>
    <row r="819" spans="1:244" ht="30" customHeight="1" x14ac:dyDescent="0.2">
      <c r="A819" s="2468"/>
      <c r="B819" s="2114" t="s">
        <v>1944</v>
      </c>
      <c r="C819" s="2107">
        <f>C820+C821+C822+C823</f>
        <v>34000000</v>
      </c>
      <c r="D819" s="2107">
        <f>D820+D821+D822+D823</f>
        <v>32000000</v>
      </c>
      <c r="E819" s="2107"/>
      <c r="F819" s="2107"/>
      <c r="G819" s="2200"/>
      <c r="H819" s="2200"/>
      <c r="I819" s="2201"/>
      <c r="J819" s="88">
        <v>30413235.640000001</v>
      </c>
      <c r="K819" s="2"/>
      <c r="L819"/>
      <c r="M819"/>
      <c r="N819"/>
      <c r="O819"/>
      <c r="P819"/>
      <c r="Q819"/>
      <c r="R819"/>
      <c r="S819"/>
      <c r="T819"/>
      <c r="U819"/>
      <c r="V819"/>
      <c r="W819"/>
      <c r="X819"/>
      <c r="Y819"/>
      <c r="Z819"/>
      <c r="AA819"/>
      <c r="AB819"/>
      <c r="AC819"/>
      <c r="AD819"/>
      <c r="AE819"/>
      <c r="AF819"/>
      <c r="AG819"/>
      <c r="AH819"/>
      <c r="AI819"/>
      <c r="AJ819"/>
      <c r="AK819"/>
      <c r="AL819"/>
      <c r="AM819"/>
      <c r="AN819"/>
      <c r="AO819"/>
      <c r="AP819"/>
      <c r="AQ819"/>
      <c r="AR819"/>
      <c r="AS819"/>
      <c r="AT819"/>
      <c r="AU819"/>
      <c r="AV819"/>
      <c r="AW819"/>
      <c r="AX819"/>
      <c r="AY819"/>
      <c r="AZ819"/>
      <c r="BA819"/>
      <c r="BB819"/>
      <c r="BC819"/>
      <c r="BD819"/>
      <c r="BE819"/>
      <c r="BF819"/>
      <c r="BG819"/>
      <c r="BH819"/>
      <c r="BI819"/>
      <c r="BJ819"/>
      <c r="BK819"/>
      <c r="BL819"/>
      <c r="BM819"/>
      <c r="BN819"/>
      <c r="BO819"/>
      <c r="BP819"/>
      <c r="BQ819"/>
      <c r="BR819"/>
      <c r="BS819"/>
      <c r="BT819"/>
      <c r="BU819"/>
      <c r="BV819"/>
      <c r="BW819"/>
      <c r="BX819"/>
      <c r="BY819"/>
      <c r="BZ819"/>
      <c r="CA819"/>
      <c r="CB819"/>
      <c r="CC819"/>
      <c r="CD819"/>
      <c r="CE819"/>
      <c r="CF819"/>
      <c r="CG819"/>
      <c r="CH819"/>
      <c r="CI819"/>
      <c r="CJ819"/>
      <c r="CK819"/>
      <c r="CL819"/>
      <c r="CM819"/>
      <c r="CN819"/>
      <c r="CO819"/>
      <c r="CP819"/>
      <c r="CQ819"/>
      <c r="CR819"/>
      <c r="CS819"/>
      <c r="CT819"/>
      <c r="CU819"/>
      <c r="CV819"/>
      <c r="CW819"/>
      <c r="CX819"/>
      <c r="CY819"/>
      <c r="CZ819"/>
      <c r="DA819"/>
      <c r="DB819"/>
      <c r="DC819"/>
      <c r="DD819"/>
      <c r="DE819"/>
      <c r="DF819"/>
      <c r="DG819"/>
      <c r="DH819"/>
      <c r="DI819"/>
      <c r="DJ819"/>
      <c r="DK819"/>
      <c r="DL819"/>
      <c r="DM819"/>
      <c r="DN819"/>
      <c r="DO819"/>
      <c r="DP819"/>
      <c r="DQ819"/>
      <c r="DR819"/>
      <c r="DS819"/>
      <c r="DT819"/>
      <c r="DU819"/>
      <c r="DV819"/>
      <c r="DW819"/>
      <c r="DX819"/>
      <c r="DY819"/>
      <c r="DZ819"/>
      <c r="EA819"/>
      <c r="EB819"/>
      <c r="EC819"/>
      <c r="ED819"/>
      <c r="EE819"/>
      <c r="EF819"/>
      <c r="EG819"/>
      <c r="EH819"/>
      <c r="EI819"/>
      <c r="EJ819"/>
      <c r="EK819"/>
      <c r="EL819"/>
      <c r="EM819"/>
      <c r="EN819"/>
      <c r="EO819"/>
      <c r="EP819"/>
      <c r="EQ819"/>
      <c r="ER819"/>
      <c r="ES819"/>
      <c r="ET819"/>
      <c r="EU819"/>
      <c r="EV819"/>
      <c r="EW819"/>
      <c r="EX819"/>
      <c r="EY819"/>
      <c r="EZ819"/>
      <c r="FA819"/>
      <c r="FB819"/>
      <c r="FC819"/>
      <c r="FD819"/>
      <c r="FE819"/>
      <c r="FF819"/>
      <c r="FG819"/>
      <c r="FH819"/>
      <c r="FI819"/>
      <c r="FJ819"/>
      <c r="FK819"/>
      <c r="FL819"/>
      <c r="FM819"/>
      <c r="FN819"/>
      <c r="FO819"/>
      <c r="FP819"/>
      <c r="FQ819"/>
      <c r="FR819"/>
      <c r="FS819"/>
      <c r="FT819"/>
      <c r="FU819"/>
      <c r="FV819"/>
      <c r="FW819"/>
      <c r="FX819"/>
      <c r="FY819"/>
      <c r="FZ819"/>
      <c r="GA819"/>
      <c r="GB819"/>
      <c r="GC819"/>
      <c r="GD819"/>
      <c r="GE819"/>
      <c r="GF819"/>
      <c r="GG819"/>
      <c r="GH819"/>
      <c r="GI819"/>
      <c r="GJ819"/>
      <c r="GK819"/>
      <c r="GL819"/>
      <c r="GM819"/>
      <c r="GN819"/>
      <c r="GO819"/>
      <c r="GP819"/>
      <c r="GQ819"/>
      <c r="GR819"/>
      <c r="GS819"/>
      <c r="GT819"/>
      <c r="GU819"/>
      <c r="GV819"/>
      <c r="GW819"/>
      <c r="GX819"/>
      <c r="GY819"/>
      <c r="GZ819"/>
      <c r="HA819"/>
      <c r="HB819"/>
      <c r="HC819"/>
      <c r="HD819"/>
      <c r="HE819"/>
      <c r="HF819"/>
      <c r="HG819"/>
      <c r="HH819"/>
      <c r="HI819"/>
      <c r="HJ819"/>
      <c r="HK819"/>
      <c r="HL819"/>
      <c r="HM819"/>
      <c r="HN819"/>
      <c r="HO819"/>
      <c r="HP819"/>
      <c r="HQ819"/>
      <c r="HR819"/>
      <c r="HS819"/>
      <c r="HT819"/>
      <c r="HU819"/>
      <c r="HV819"/>
      <c r="HW819"/>
      <c r="HX819"/>
      <c r="HY819"/>
      <c r="HZ819"/>
      <c r="IA819"/>
      <c r="IB819"/>
      <c r="IC819"/>
      <c r="ID819"/>
      <c r="IE819"/>
      <c r="IF819"/>
      <c r="IG819"/>
      <c r="IH819"/>
      <c r="II819"/>
      <c r="IJ819"/>
    </row>
    <row r="820" spans="1:244" s="488" customFormat="1" ht="30" customHeight="1" x14ac:dyDescent="0.2">
      <c r="A820" s="2468"/>
      <c r="B820" s="2115" t="s">
        <v>1945</v>
      </c>
      <c r="C820" s="2075">
        <v>9000000</v>
      </c>
      <c r="D820" s="2075">
        <f>9000000+500000+100000</f>
        <v>9600000</v>
      </c>
      <c r="E820" s="2075"/>
      <c r="F820" s="2075"/>
      <c r="G820" s="2200"/>
      <c r="H820" s="2200"/>
      <c r="I820" s="2201"/>
      <c r="J820" s="88">
        <v>9143444.8399999999</v>
      </c>
    </row>
    <row r="821" spans="1:244" s="488" customFormat="1" ht="30" customHeight="1" x14ac:dyDescent="0.2">
      <c r="A821" s="2462"/>
      <c r="B821" s="2116" t="s">
        <v>1946</v>
      </c>
      <c r="C821" s="2107">
        <v>22000000</v>
      </c>
      <c r="D821" s="2107">
        <f>22000000-100000</f>
        <v>21900000</v>
      </c>
      <c r="E821" s="2107"/>
      <c r="F821" s="2107"/>
      <c r="G821" s="2200"/>
      <c r="H821" s="2200"/>
      <c r="I821" s="2201"/>
      <c r="J821" s="88">
        <v>19013460.27</v>
      </c>
    </row>
    <row r="822" spans="1:244" s="488" customFormat="1" ht="30" customHeight="1" x14ac:dyDescent="0.2">
      <c r="A822" s="2462"/>
      <c r="B822" s="2088" t="s">
        <v>1947</v>
      </c>
      <c r="C822" s="2107">
        <v>500000</v>
      </c>
      <c r="D822" s="2107">
        <f>500000-500000</f>
        <v>0</v>
      </c>
      <c r="E822" s="2107"/>
      <c r="F822" s="2107"/>
      <c r="G822" s="2200"/>
      <c r="H822" s="2200"/>
      <c r="I822" s="2201"/>
      <c r="J822" s="88">
        <v>6063.27</v>
      </c>
    </row>
    <row r="823" spans="1:244" s="488" customFormat="1" ht="30" customHeight="1" x14ac:dyDescent="0.2">
      <c r="A823" s="2462"/>
      <c r="B823" s="2080" t="s">
        <v>1948</v>
      </c>
      <c r="C823" s="2107">
        <v>2500000</v>
      </c>
      <c r="D823" s="2107">
        <f>2500000-2000000</f>
        <v>500000</v>
      </c>
      <c r="E823" s="2107"/>
      <c r="F823" s="2107"/>
      <c r="G823" s="2200"/>
      <c r="H823" s="2200"/>
      <c r="I823" s="2201"/>
      <c r="J823" s="88">
        <v>2250267.2599999998</v>
      </c>
    </row>
    <row r="824" spans="1:244" ht="30" customHeight="1" x14ac:dyDescent="0.2">
      <c r="A824" s="2391">
        <v>3613</v>
      </c>
      <c r="B824" s="2117" t="s">
        <v>879</v>
      </c>
      <c r="C824" s="2118">
        <f>C825+C829+C830+C831+C836+C846+C847-165000</f>
        <v>18279000</v>
      </c>
      <c r="D824" s="2118">
        <f>D825+D829+D830+D831+D836+D846+D847+145000+813.99</f>
        <v>19889683.530000001</v>
      </c>
      <c r="E824" s="2118"/>
      <c r="F824" s="2469"/>
      <c r="G824" s="1663"/>
      <c r="H824" s="1663"/>
      <c r="I824" s="1662"/>
      <c r="J824" s="88">
        <v>14969914.5</v>
      </c>
      <c r="K824" s="2"/>
      <c r="L824"/>
      <c r="M824"/>
      <c r="N824"/>
      <c r="O824"/>
      <c r="P824"/>
      <c r="Q824"/>
      <c r="R824"/>
      <c r="S824"/>
      <c r="T824"/>
      <c r="U824"/>
      <c r="V824"/>
      <c r="W824"/>
      <c r="X824"/>
      <c r="Y824"/>
      <c r="Z824"/>
      <c r="AA824"/>
      <c r="AB824"/>
      <c r="AC824"/>
      <c r="AD824"/>
      <c r="AE824"/>
      <c r="AF824"/>
      <c r="AG824"/>
      <c r="AH824"/>
      <c r="AI824"/>
      <c r="AJ824"/>
      <c r="AK824"/>
      <c r="AL824"/>
      <c r="AM824"/>
      <c r="AN824"/>
      <c r="AO824"/>
      <c r="AP824"/>
      <c r="AQ824"/>
      <c r="AR824"/>
      <c r="AS824"/>
      <c r="AT824"/>
      <c r="AU824"/>
      <c r="AV824"/>
      <c r="AW824"/>
      <c r="AX824"/>
      <c r="AY824"/>
      <c r="AZ824"/>
      <c r="BA824"/>
      <c r="BB824"/>
      <c r="BC824"/>
      <c r="BD824"/>
      <c r="BE824"/>
      <c r="BF824"/>
      <c r="BG824"/>
      <c r="BH824"/>
      <c r="BI824"/>
      <c r="BJ824"/>
      <c r="BK824"/>
      <c r="BL824"/>
      <c r="BM824"/>
      <c r="BN824"/>
      <c r="BO824"/>
      <c r="BP824"/>
      <c r="BQ824"/>
      <c r="BR824"/>
      <c r="BS824"/>
      <c r="BT824"/>
      <c r="BU824"/>
      <c r="BV824"/>
      <c r="BW824"/>
      <c r="BX824"/>
      <c r="BY824"/>
      <c r="BZ824"/>
      <c r="CA824"/>
      <c r="CB824"/>
      <c r="CC824"/>
      <c r="CD824"/>
      <c r="CE824"/>
      <c r="CF824"/>
      <c r="CG824"/>
      <c r="CH824"/>
      <c r="CI824"/>
      <c r="CJ824"/>
      <c r="CK824"/>
      <c r="CL824"/>
      <c r="CM824"/>
      <c r="CN824"/>
      <c r="CO824"/>
      <c r="CP824"/>
      <c r="CQ824"/>
      <c r="CR824"/>
      <c r="CS824"/>
      <c r="CT824"/>
      <c r="CU824"/>
      <c r="CV824"/>
      <c r="CW824"/>
      <c r="CX824"/>
      <c r="CY824"/>
      <c r="CZ824"/>
      <c r="DA824"/>
      <c r="DB824"/>
      <c r="DC824"/>
      <c r="DD824"/>
      <c r="DE824"/>
      <c r="DF824"/>
      <c r="DG824"/>
      <c r="DH824"/>
      <c r="DI824"/>
      <c r="DJ824"/>
      <c r="DK824"/>
      <c r="DL824"/>
      <c r="DM824"/>
      <c r="DN824"/>
      <c r="DO824"/>
      <c r="DP824"/>
      <c r="DQ824"/>
      <c r="DR824"/>
      <c r="DS824"/>
      <c r="DT824"/>
      <c r="DU824"/>
      <c r="DV824"/>
      <c r="DW824"/>
      <c r="DX824"/>
      <c r="DY824"/>
      <c r="DZ824"/>
      <c r="EA824"/>
      <c r="EB824"/>
      <c r="EC824"/>
      <c r="ED824"/>
      <c r="EE824"/>
      <c r="EF824"/>
      <c r="EG824"/>
      <c r="EH824"/>
      <c r="EI824"/>
      <c r="EJ824"/>
      <c r="EK824"/>
      <c r="EL824"/>
      <c r="EM824"/>
      <c r="EN824"/>
      <c r="EO824"/>
      <c r="EP824"/>
      <c r="EQ824"/>
      <c r="ER824"/>
      <c r="ES824"/>
      <c r="ET824"/>
      <c r="EU824"/>
      <c r="EV824"/>
      <c r="EW824"/>
      <c r="EX824"/>
      <c r="EY824"/>
      <c r="EZ824"/>
      <c r="FA824"/>
      <c r="FB824"/>
      <c r="FC824"/>
      <c r="FD824"/>
      <c r="FE824"/>
      <c r="FF824"/>
      <c r="FG824"/>
      <c r="FH824"/>
      <c r="FI824"/>
      <c r="FJ824"/>
      <c r="FK824"/>
      <c r="FL824"/>
      <c r="FM824"/>
      <c r="FN824"/>
      <c r="FO824"/>
      <c r="FP824"/>
      <c r="FQ824"/>
      <c r="FR824"/>
      <c r="FS824"/>
      <c r="FT824"/>
      <c r="FU824"/>
      <c r="FV824"/>
      <c r="FW824"/>
      <c r="FX824"/>
      <c r="FY824"/>
      <c r="FZ824"/>
      <c r="GA824"/>
      <c r="GB824"/>
      <c r="GC824"/>
      <c r="GD824"/>
      <c r="GE824"/>
      <c r="GF824"/>
      <c r="GG824"/>
      <c r="GH824"/>
      <c r="GI824"/>
      <c r="GJ824"/>
      <c r="GK824"/>
      <c r="GL824"/>
      <c r="GM824"/>
      <c r="GN824"/>
      <c r="GO824"/>
      <c r="GP824"/>
      <c r="GQ824"/>
      <c r="GR824"/>
      <c r="GS824"/>
      <c r="GT824"/>
      <c r="GU824"/>
      <c r="GV824"/>
      <c r="GW824"/>
      <c r="GX824"/>
      <c r="GY824"/>
      <c r="GZ824"/>
      <c r="HA824"/>
      <c r="HB824"/>
      <c r="HC824"/>
      <c r="HD824"/>
      <c r="HE824"/>
      <c r="HF824"/>
      <c r="HG824"/>
      <c r="HH824"/>
      <c r="HI824"/>
      <c r="HJ824"/>
      <c r="HK824"/>
      <c r="HL824"/>
      <c r="HM824"/>
      <c r="HN824"/>
      <c r="HO824"/>
      <c r="HP824"/>
      <c r="HQ824"/>
      <c r="HR824"/>
      <c r="HS824"/>
      <c r="HT824"/>
      <c r="HU824"/>
      <c r="HV824"/>
      <c r="HW824"/>
      <c r="HX824"/>
      <c r="HY824"/>
      <c r="HZ824"/>
      <c r="IA824"/>
      <c r="IB824"/>
      <c r="IC824"/>
      <c r="ID824"/>
      <c r="IE824"/>
      <c r="IF824"/>
      <c r="IG824"/>
      <c r="IH824"/>
      <c r="II824"/>
      <c r="IJ824"/>
    </row>
    <row r="825" spans="1:244" s="488" customFormat="1" ht="30" customHeight="1" x14ac:dyDescent="0.2">
      <c r="A825" s="2470"/>
      <c r="B825" s="2120" t="s">
        <v>880</v>
      </c>
      <c r="C825" s="2121">
        <f>SUM(C826:C828)</f>
        <v>1430000</v>
      </c>
      <c r="D825" s="2121">
        <f>SUM(D826:D828)</f>
        <v>1651497.52</v>
      </c>
      <c r="E825" s="2121"/>
      <c r="F825" s="2121"/>
      <c r="G825" s="2459"/>
      <c r="H825" s="2459"/>
      <c r="I825" s="2460"/>
      <c r="J825" s="88">
        <v>3061017.43</v>
      </c>
    </row>
    <row r="826" spans="1:244" s="488" customFormat="1" ht="30" customHeight="1" x14ac:dyDescent="0.2">
      <c r="A826" s="2471"/>
      <c r="B826" s="2080" t="s">
        <v>2551</v>
      </c>
      <c r="C826" s="2107">
        <v>500000</v>
      </c>
      <c r="D826" s="2107">
        <v>500000</v>
      </c>
      <c r="E826" s="2107"/>
      <c r="F826" s="2107"/>
      <c r="G826" s="2200"/>
      <c r="H826" s="2200"/>
      <c r="I826" s="2201"/>
      <c r="J826" s="2175">
        <v>0</v>
      </c>
    </row>
    <row r="827" spans="1:244" s="488" customFormat="1" ht="30" customHeight="1" x14ac:dyDescent="0.2">
      <c r="A827" s="2471"/>
      <c r="B827" s="2123" t="s">
        <v>2552</v>
      </c>
      <c r="C827" s="1809">
        <v>930000</v>
      </c>
      <c r="D827" s="1809">
        <f>930000+310000-930000-8502.48</f>
        <v>301497.52</v>
      </c>
      <c r="E827" s="2107"/>
      <c r="F827" s="2107"/>
      <c r="G827" s="2200"/>
      <c r="H827" s="2200"/>
      <c r="I827" s="2201"/>
      <c r="J827" s="88">
        <v>600000</v>
      </c>
    </row>
    <row r="828" spans="1:244" s="488" customFormat="1" ht="30" customHeight="1" x14ac:dyDescent="0.2">
      <c r="A828" s="2471"/>
      <c r="B828" s="2088" t="s">
        <v>2954</v>
      </c>
      <c r="C828" s="2107">
        <v>0</v>
      </c>
      <c r="D828" s="2107">
        <f>800000+50000</f>
        <v>850000</v>
      </c>
      <c r="E828" s="2107"/>
      <c r="F828" s="2107"/>
      <c r="G828" s="2200"/>
      <c r="H828" s="2200"/>
      <c r="I828" s="2201"/>
      <c r="J828" s="88">
        <v>757870.58</v>
      </c>
    </row>
    <row r="829" spans="1:244" ht="30" customHeight="1" x14ac:dyDescent="0.2">
      <c r="A829" s="2471"/>
      <c r="B829" s="2087" t="s">
        <v>1959</v>
      </c>
      <c r="C829" s="2075">
        <v>30000</v>
      </c>
      <c r="D829" s="2075">
        <v>30000</v>
      </c>
      <c r="E829" s="2075"/>
      <c r="F829" s="2075"/>
      <c r="G829" s="2200"/>
      <c r="H829" s="2200"/>
      <c r="I829" s="2201"/>
      <c r="J829" s="88">
        <v>0</v>
      </c>
      <c r="K829" s="2"/>
      <c r="L829"/>
      <c r="M829"/>
      <c r="N829"/>
      <c r="O829"/>
      <c r="P829"/>
      <c r="Q829"/>
      <c r="R829"/>
      <c r="S829"/>
      <c r="T829"/>
      <c r="U829"/>
      <c r="V829"/>
      <c r="W829"/>
      <c r="X829"/>
      <c r="Y829"/>
      <c r="Z829"/>
      <c r="AA829"/>
      <c r="AB829"/>
      <c r="AC829"/>
      <c r="AD829"/>
      <c r="AE829"/>
      <c r="AF829"/>
      <c r="AG829"/>
      <c r="AH829"/>
      <c r="AI829"/>
      <c r="AJ829"/>
      <c r="AK829"/>
      <c r="AL829"/>
      <c r="AM829"/>
      <c r="AN829"/>
      <c r="AO829"/>
      <c r="AP829"/>
      <c r="AQ829"/>
      <c r="AR829"/>
      <c r="AS829"/>
      <c r="AT829"/>
      <c r="AU829"/>
      <c r="AV829"/>
      <c r="AW829"/>
      <c r="AX829"/>
      <c r="AY829"/>
      <c r="AZ829"/>
      <c r="BA829"/>
      <c r="BB829"/>
      <c r="BC829"/>
      <c r="BD829"/>
      <c r="BE829"/>
      <c r="BF829"/>
      <c r="BG829"/>
      <c r="BH829"/>
      <c r="BI829"/>
      <c r="BJ829"/>
      <c r="BK829"/>
      <c r="BL829"/>
      <c r="BM829"/>
      <c r="BN829"/>
      <c r="BO829"/>
      <c r="BP829"/>
      <c r="BQ829"/>
      <c r="BR829"/>
      <c r="BS829"/>
      <c r="BT829"/>
      <c r="BU829"/>
      <c r="BV829"/>
      <c r="BW829"/>
      <c r="BX829"/>
      <c r="BY829"/>
      <c r="BZ829"/>
      <c r="CA829"/>
      <c r="CB829"/>
      <c r="CC829"/>
      <c r="CD829"/>
      <c r="CE829"/>
      <c r="CF829"/>
      <c r="CG829"/>
      <c r="CH829"/>
      <c r="CI829"/>
      <c r="CJ829"/>
      <c r="CK829"/>
      <c r="CL829"/>
      <c r="CM829"/>
      <c r="CN829"/>
      <c r="CO829"/>
      <c r="CP829"/>
      <c r="CQ829"/>
      <c r="CR829"/>
      <c r="CS829"/>
      <c r="CT829"/>
      <c r="CU829"/>
      <c r="CV829"/>
      <c r="CW829"/>
      <c r="CX829"/>
      <c r="CY829"/>
      <c r="CZ829"/>
      <c r="DA829"/>
      <c r="DB829"/>
      <c r="DC829"/>
      <c r="DD829"/>
      <c r="DE829"/>
      <c r="DF829"/>
      <c r="DG829"/>
      <c r="DH829"/>
      <c r="DI829"/>
      <c r="DJ829"/>
      <c r="DK829"/>
      <c r="DL829"/>
      <c r="DM829"/>
      <c r="DN829"/>
      <c r="DO829"/>
      <c r="DP829"/>
      <c r="DQ829"/>
      <c r="DR829"/>
      <c r="DS829"/>
      <c r="DT829"/>
      <c r="DU829"/>
      <c r="DV829"/>
      <c r="DW829"/>
      <c r="DX829"/>
      <c r="DY829"/>
      <c r="DZ829"/>
      <c r="EA829"/>
      <c r="EB829"/>
      <c r="EC829"/>
      <c r="ED829"/>
      <c r="EE829"/>
      <c r="EF829"/>
      <c r="EG829"/>
      <c r="EH829"/>
      <c r="EI829"/>
      <c r="EJ829"/>
      <c r="EK829"/>
      <c r="EL829"/>
      <c r="EM829"/>
      <c r="EN829"/>
      <c r="EO829"/>
      <c r="EP829"/>
      <c r="EQ829"/>
      <c r="ER829"/>
      <c r="ES829"/>
      <c r="ET829"/>
      <c r="EU829"/>
      <c r="EV829"/>
      <c r="EW829"/>
      <c r="EX829"/>
      <c r="EY829"/>
      <c r="EZ829"/>
      <c r="FA829"/>
      <c r="FB829"/>
      <c r="FC829"/>
      <c r="FD829"/>
      <c r="FE829"/>
      <c r="FF829"/>
      <c r="FG829"/>
      <c r="FH829"/>
      <c r="FI829"/>
      <c r="FJ829"/>
      <c r="FK829"/>
      <c r="FL829"/>
      <c r="FM829"/>
      <c r="FN829"/>
      <c r="FO829"/>
      <c r="FP829"/>
      <c r="FQ829"/>
      <c r="FR829"/>
      <c r="FS829"/>
      <c r="FT829"/>
      <c r="FU829"/>
      <c r="FV829"/>
      <c r="FW829"/>
      <c r="FX829"/>
      <c r="FY829"/>
      <c r="FZ829"/>
      <c r="GA829"/>
      <c r="GB829"/>
      <c r="GC829"/>
      <c r="GD829"/>
      <c r="GE829"/>
      <c r="GF829"/>
      <c r="GG829"/>
      <c r="GH829"/>
      <c r="GI829"/>
      <c r="GJ829"/>
      <c r="GK829"/>
      <c r="GL829"/>
      <c r="GM829"/>
      <c r="GN829"/>
      <c r="GO829"/>
      <c r="GP829"/>
      <c r="GQ829"/>
      <c r="GR829"/>
      <c r="GS829"/>
      <c r="GT829"/>
      <c r="GU829"/>
      <c r="GV829"/>
      <c r="GW829"/>
      <c r="GX829"/>
      <c r="GY829"/>
      <c r="GZ829"/>
      <c r="HA829"/>
      <c r="HB829"/>
      <c r="HC829"/>
      <c r="HD829"/>
      <c r="HE829"/>
      <c r="HF829"/>
      <c r="HG829"/>
      <c r="HH829"/>
      <c r="HI829"/>
      <c r="HJ829"/>
      <c r="HK829"/>
      <c r="HL829"/>
      <c r="HM829"/>
      <c r="HN829"/>
      <c r="HO829"/>
      <c r="HP829"/>
      <c r="HQ829"/>
      <c r="HR829"/>
      <c r="HS829"/>
      <c r="HT829"/>
      <c r="HU829"/>
      <c r="HV829"/>
      <c r="HW829"/>
      <c r="HX829"/>
      <c r="HY829"/>
      <c r="HZ829"/>
      <c r="IA829"/>
      <c r="IB829"/>
      <c r="IC829"/>
      <c r="ID829"/>
      <c r="IE829"/>
      <c r="IF829"/>
      <c r="IG829"/>
      <c r="IH829"/>
      <c r="II829"/>
      <c r="IJ829"/>
    </row>
    <row r="830" spans="1:244" ht="30" customHeight="1" x14ac:dyDescent="0.2">
      <c r="A830" s="2471"/>
      <c r="B830" s="2087" t="s">
        <v>1960</v>
      </c>
      <c r="C830" s="2089">
        <v>80000</v>
      </c>
      <c r="D830" s="2089">
        <v>80000</v>
      </c>
      <c r="E830" s="2089"/>
      <c r="F830" s="2089"/>
      <c r="G830" s="2459"/>
      <c r="H830" s="2459"/>
      <c r="I830" s="2460"/>
      <c r="J830" s="88">
        <v>15872.15</v>
      </c>
      <c r="K830" s="2"/>
      <c r="L830"/>
      <c r="M830"/>
      <c r="N830"/>
      <c r="O830"/>
      <c r="P830"/>
      <c r="Q830"/>
      <c r="R830"/>
      <c r="S830"/>
      <c r="T830"/>
      <c r="U830"/>
      <c r="V830"/>
      <c r="W830"/>
      <c r="X830"/>
      <c r="Y830"/>
      <c r="Z830"/>
      <c r="AA830"/>
      <c r="AB830"/>
      <c r="AC830"/>
      <c r="AD830"/>
      <c r="AE830"/>
      <c r="AF830"/>
      <c r="AG830"/>
      <c r="AH830"/>
      <c r="AI830"/>
      <c r="AJ830"/>
      <c r="AK830"/>
      <c r="AL830"/>
      <c r="AM830"/>
      <c r="AN830"/>
      <c r="AO830"/>
      <c r="AP830"/>
      <c r="AQ830"/>
      <c r="AR830"/>
      <c r="AS830"/>
      <c r="AT830"/>
      <c r="AU830"/>
      <c r="AV830"/>
      <c r="AW830"/>
      <c r="AX830"/>
      <c r="AY830"/>
      <c r="AZ830"/>
      <c r="BA830"/>
      <c r="BB830"/>
      <c r="BC830"/>
      <c r="BD830"/>
      <c r="BE830"/>
      <c r="BF830"/>
      <c r="BG830"/>
      <c r="BH830"/>
      <c r="BI830"/>
      <c r="BJ830"/>
      <c r="BK830"/>
      <c r="BL830"/>
      <c r="BM830"/>
      <c r="BN830"/>
      <c r="BO830"/>
      <c r="BP830"/>
      <c r="BQ830"/>
      <c r="BR830"/>
      <c r="BS830"/>
      <c r="BT830"/>
      <c r="BU830"/>
      <c r="BV830"/>
      <c r="BW830"/>
      <c r="BX830"/>
      <c r="BY830"/>
      <c r="BZ830"/>
      <c r="CA830"/>
      <c r="CB830"/>
      <c r="CC830"/>
      <c r="CD830"/>
      <c r="CE830"/>
      <c r="CF830"/>
      <c r="CG830"/>
      <c r="CH830"/>
      <c r="CI830"/>
      <c r="CJ830"/>
      <c r="CK830"/>
      <c r="CL830"/>
      <c r="CM830"/>
      <c r="CN830"/>
      <c r="CO830"/>
      <c r="CP830"/>
      <c r="CQ830"/>
      <c r="CR830"/>
      <c r="CS830"/>
      <c r="CT830"/>
      <c r="CU830"/>
      <c r="CV830"/>
      <c r="CW830"/>
      <c r="CX830"/>
      <c r="CY830"/>
      <c r="CZ830"/>
      <c r="DA830"/>
      <c r="DB830"/>
      <c r="DC830"/>
      <c r="DD830"/>
      <c r="DE830"/>
      <c r="DF830"/>
      <c r="DG830"/>
      <c r="DH830"/>
      <c r="DI830"/>
      <c r="DJ830"/>
      <c r="DK830"/>
      <c r="DL830"/>
      <c r="DM830"/>
      <c r="DN830"/>
      <c r="DO830"/>
      <c r="DP830"/>
      <c r="DQ830"/>
      <c r="DR830"/>
      <c r="DS830"/>
      <c r="DT830"/>
      <c r="DU830"/>
      <c r="DV830"/>
      <c r="DW830"/>
      <c r="DX830"/>
      <c r="DY830"/>
      <c r="DZ830"/>
      <c r="EA830"/>
      <c r="EB830"/>
      <c r="EC830"/>
      <c r="ED830"/>
      <c r="EE830"/>
      <c r="EF830"/>
      <c r="EG830"/>
      <c r="EH830"/>
      <c r="EI830"/>
      <c r="EJ830"/>
      <c r="EK830"/>
      <c r="EL830"/>
      <c r="EM830"/>
      <c r="EN830"/>
      <c r="EO830"/>
      <c r="EP830"/>
      <c r="EQ830"/>
      <c r="ER830"/>
      <c r="ES830"/>
      <c r="ET830"/>
      <c r="EU830"/>
      <c r="EV830"/>
      <c r="EW830"/>
      <c r="EX830"/>
      <c r="EY830"/>
      <c r="EZ830"/>
      <c r="FA830"/>
      <c r="FB830"/>
      <c r="FC830"/>
      <c r="FD830"/>
      <c r="FE830"/>
      <c r="FF830"/>
      <c r="FG830"/>
      <c r="FH830"/>
      <c r="FI830"/>
      <c r="FJ830"/>
      <c r="FK830"/>
      <c r="FL830"/>
      <c r="FM830"/>
      <c r="FN830"/>
      <c r="FO830"/>
      <c r="FP830"/>
      <c r="FQ830"/>
      <c r="FR830"/>
      <c r="FS830"/>
      <c r="FT830"/>
      <c r="FU830"/>
      <c r="FV830"/>
      <c r="FW830"/>
      <c r="FX830"/>
      <c r="FY830"/>
      <c r="FZ830"/>
      <c r="GA830"/>
      <c r="GB830"/>
      <c r="GC830"/>
      <c r="GD830"/>
      <c r="GE830"/>
      <c r="GF830"/>
      <c r="GG830"/>
      <c r="GH830"/>
      <c r="GI830"/>
      <c r="GJ830"/>
      <c r="GK830"/>
      <c r="GL830"/>
      <c r="GM830"/>
      <c r="GN830"/>
      <c r="GO830"/>
      <c r="GP830"/>
      <c r="GQ830"/>
      <c r="GR830"/>
      <c r="GS830"/>
      <c r="GT830"/>
      <c r="GU830"/>
      <c r="GV830"/>
      <c r="GW830"/>
      <c r="GX830"/>
      <c r="GY830"/>
      <c r="GZ830"/>
      <c r="HA830"/>
      <c r="HB830"/>
      <c r="HC830"/>
      <c r="HD830"/>
      <c r="HE830"/>
      <c r="HF830"/>
      <c r="HG830"/>
      <c r="HH830"/>
      <c r="HI830"/>
      <c r="HJ830"/>
      <c r="HK830"/>
      <c r="HL830"/>
      <c r="HM830"/>
      <c r="HN830"/>
      <c r="HO830"/>
      <c r="HP830"/>
      <c r="HQ830"/>
      <c r="HR830"/>
      <c r="HS830"/>
      <c r="HT830"/>
      <c r="HU830"/>
      <c r="HV830"/>
      <c r="HW830"/>
      <c r="HX830"/>
      <c r="HY830"/>
      <c r="HZ830"/>
      <c r="IA830"/>
      <c r="IB830"/>
      <c r="IC830"/>
      <c r="ID830"/>
      <c r="IE830"/>
      <c r="IF830"/>
      <c r="IG830"/>
      <c r="IH830"/>
      <c r="II830"/>
      <c r="IJ830"/>
    </row>
    <row r="831" spans="1:244" s="98" customFormat="1" ht="30" customHeight="1" x14ac:dyDescent="0.2">
      <c r="A831" s="2464"/>
      <c r="B831" s="2087" t="s">
        <v>1961</v>
      </c>
      <c r="C831" s="2089">
        <f>C832+C833+C834+C835</f>
        <v>6500000</v>
      </c>
      <c r="D831" s="2089">
        <f>D832+D833+D834+D835</f>
        <v>6200000</v>
      </c>
      <c r="E831" s="2089"/>
      <c r="F831" s="2472"/>
      <c r="G831" s="2459"/>
      <c r="H831" s="2459"/>
      <c r="I831" s="2460"/>
      <c r="J831" s="88">
        <v>4602858.8099999996</v>
      </c>
    </row>
    <row r="832" spans="1:244" s="488" customFormat="1" ht="30" customHeight="1" x14ac:dyDescent="0.2">
      <c r="A832" s="2464"/>
      <c r="B832" s="2087" t="s">
        <v>1945</v>
      </c>
      <c r="C832" s="2107">
        <v>1000000</v>
      </c>
      <c r="D832" s="2107">
        <v>1000000</v>
      </c>
      <c r="E832" s="2107"/>
      <c r="F832" s="2107"/>
      <c r="G832" s="2200"/>
      <c r="H832" s="2200"/>
      <c r="I832" s="2201"/>
      <c r="J832" s="88">
        <v>1047073.81</v>
      </c>
    </row>
    <row r="833" spans="1:244" ht="30" customHeight="1" x14ac:dyDescent="0.2">
      <c r="A833" s="2464"/>
      <c r="B833" s="2087" t="s">
        <v>897</v>
      </c>
      <c r="C833" s="2107">
        <v>1000000</v>
      </c>
      <c r="D833" s="2107">
        <f>1000000-300000</f>
        <v>700000</v>
      </c>
      <c r="E833" s="2107"/>
      <c r="F833" s="2107"/>
      <c r="G833" s="2200"/>
      <c r="H833" s="2200"/>
      <c r="I833" s="2201"/>
      <c r="J833" s="88">
        <v>39607.300000000003</v>
      </c>
      <c r="K833" s="2"/>
      <c r="L833"/>
      <c r="M833"/>
      <c r="N833"/>
      <c r="O833"/>
      <c r="P833"/>
      <c r="Q833"/>
      <c r="R833"/>
      <c r="S833"/>
      <c r="T833"/>
      <c r="U833"/>
      <c r="V833"/>
      <c r="W833"/>
      <c r="X833"/>
      <c r="Y833"/>
      <c r="Z833"/>
      <c r="AA833"/>
      <c r="AB833"/>
      <c r="AC833"/>
      <c r="AD833"/>
      <c r="AE833"/>
      <c r="AF833"/>
      <c r="AG833"/>
      <c r="AH833"/>
      <c r="AI833"/>
      <c r="AJ833"/>
      <c r="AK833"/>
      <c r="AL833"/>
      <c r="AM833"/>
      <c r="AN833"/>
      <c r="AO833"/>
      <c r="AP833"/>
      <c r="AQ833"/>
      <c r="AR833"/>
      <c r="AS833"/>
      <c r="AT833"/>
      <c r="AU833"/>
      <c r="AV833"/>
      <c r="AW833"/>
      <c r="AX833"/>
      <c r="AY833"/>
      <c r="AZ833"/>
      <c r="BA833"/>
      <c r="BB833"/>
      <c r="BC833"/>
      <c r="BD833"/>
      <c r="BE833"/>
      <c r="BF833"/>
      <c r="BG833"/>
      <c r="BH833"/>
      <c r="BI833"/>
      <c r="BJ833"/>
      <c r="BK833"/>
      <c r="BL833"/>
      <c r="BM833"/>
      <c r="BN833"/>
      <c r="BO833"/>
      <c r="BP833"/>
      <c r="BQ833"/>
      <c r="BR833"/>
      <c r="BS833"/>
      <c r="BT833"/>
      <c r="BU833"/>
      <c r="BV833"/>
      <c r="BW833"/>
      <c r="BX833"/>
      <c r="BY833"/>
      <c r="BZ833"/>
      <c r="CA833"/>
      <c r="CB833"/>
      <c r="CC833"/>
      <c r="CD833"/>
      <c r="CE833"/>
      <c r="CF833"/>
      <c r="CG833"/>
      <c r="CH833"/>
      <c r="CI833"/>
      <c r="CJ833"/>
      <c r="CK833"/>
      <c r="CL833"/>
      <c r="CM833"/>
      <c r="CN833"/>
      <c r="CO833"/>
      <c r="CP833"/>
      <c r="CQ833"/>
      <c r="CR833"/>
      <c r="CS833"/>
      <c r="CT833"/>
      <c r="CU833"/>
      <c r="CV833"/>
      <c r="CW833"/>
      <c r="CX833"/>
      <c r="CY833"/>
      <c r="CZ833"/>
      <c r="DA833"/>
      <c r="DB833"/>
      <c r="DC833"/>
      <c r="DD833"/>
      <c r="DE833"/>
      <c r="DF833"/>
      <c r="DG833"/>
      <c r="DH833"/>
      <c r="DI833"/>
      <c r="DJ833"/>
      <c r="DK833"/>
      <c r="DL833"/>
      <c r="DM833"/>
      <c r="DN833"/>
      <c r="DO833"/>
      <c r="DP833"/>
      <c r="DQ833"/>
      <c r="DR833"/>
      <c r="DS833"/>
      <c r="DT833"/>
      <c r="DU833"/>
      <c r="DV833"/>
      <c r="DW833"/>
      <c r="DX833"/>
      <c r="DY833"/>
      <c r="DZ833"/>
      <c r="EA833"/>
      <c r="EB833"/>
      <c r="EC833"/>
      <c r="ED833"/>
      <c r="EE833"/>
      <c r="EF833"/>
      <c r="EG833"/>
      <c r="EH833"/>
      <c r="EI833"/>
      <c r="EJ833"/>
      <c r="EK833"/>
      <c r="EL833"/>
      <c r="EM833"/>
      <c r="EN833"/>
      <c r="EO833"/>
      <c r="EP833"/>
      <c r="EQ833"/>
      <c r="ER833"/>
      <c r="ES833"/>
      <c r="ET833"/>
      <c r="EU833"/>
      <c r="EV833"/>
      <c r="EW833"/>
      <c r="EX833"/>
      <c r="EY833"/>
      <c r="EZ833"/>
      <c r="FA833"/>
      <c r="FB833"/>
      <c r="FC833"/>
      <c r="FD833"/>
      <c r="FE833"/>
      <c r="FF833"/>
      <c r="FG833"/>
      <c r="FH833"/>
      <c r="FI833"/>
      <c r="FJ833"/>
      <c r="FK833"/>
      <c r="FL833"/>
      <c r="FM833"/>
      <c r="FN833"/>
      <c r="FO833"/>
      <c r="FP833"/>
      <c r="FQ833"/>
      <c r="FR833"/>
      <c r="FS833"/>
      <c r="FT833"/>
      <c r="FU833"/>
      <c r="FV833"/>
      <c r="FW833"/>
      <c r="FX833"/>
      <c r="FY833"/>
      <c r="FZ833"/>
      <c r="GA833"/>
      <c r="GB833"/>
      <c r="GC833"/>
      <c r="GD833"/>
      <c r="GE833"/>
      <c r="GF833"/>
      <c r="GG833"/>
      <c r="GH833"/>
      <c r="GI833"/>
      <c r="GJ833"/>
      <c r="GK833"/>
      <c r="GL833"/>
      <c r="GM833"/>
      <c r="GN833"/>
      <c r="GO833"/>
      <c r="GP833"/>
      <c r="GQ833"/>
      <c r="GR833"/>
      <c r="GS833"/>
      <c r="GT833"/>
      <c r="GU833"/>
      <c r="GV833"/>
      <c r="GW833"/>
      <c r="GX833"/>
      <c r="GY833"/>
      <c r="GZ833"/>
      <c r="HA833"/>
      <c r="HB833"/>
      <c r="HC833"/>
      <c r="HD833"/>
      <c r="HE833"/>
      <c r="HF833"/>
      <c r="HG833"/>
      <c r="HH833"/>
      <c r="HI833"/>
      <c r="HJ833"/>
      <c r="HK833"/>
      <c r="HL833"/>
      <c r="HM833"/>
      <c r="HN833"/>
      <c r="HO833"/>
      <c r="HP833"/>
      <c r="HQ833"/>
      <c r="HR833"/>
      <c r="HS833"/>
      <c r="HT833"/>
      <c r="HU833"/>
      <c r="HV833"/>
      <c r="HW833"/>
      <c r="HX833"/>
      <c r="HY833"/>
      <c r="HZ833"/>
      <c r="IA833"/>
      <c r="IB833"/>
      <c r="IC833"/>
      <c r="ID833"/>
      <c r="IE833"/>
      <c r="IF833"/>
      <c r="IG833"/>
      <c r="IH833"/>
      <c r="II833"/>
      <c r="IJ833"/>
    </row>
    <row r="834" spans="1:244" ht="30" customHeight="1" x14ac:dyDescent="0.2">
      <c r="A834" s="2391"/>
      <c r="B834" s="2116" t="s">
        <v>898</v>
      </c>
      <c r="C834" s="2075">
        <v>2500000</v>
      </c>
      <c r="D834" s="2075">
        <v>2500000</v>
      </c>
      <c r="E834" s="2075"/>
      <c r="F834" s="2075"/>
      <c r="G834" s="2200"/>
      <c r="H834" s="2200"/>
      <c r="I834" s="2201"/>
      <c r="J834" s="88">
        <v>2303993.13</v>
      </c>
      <c r="K834" s="2"/>
      <c r="L834"/>
      <c r="M834"/>
      <c r="N834"/>
      <c r="O834"/>
      <c r="P834"/>
      <c r="Q834"/>
      <c r="R834"/>
      <c r="S834"/>
      <c r="T834"/>
      <c r="U834"/>
      <c r="V834"/>
      <c r="W834"/>
      <c r="X834"/>
      <c r="Y834"/>
      <c r="Z834"/>
      <c r="AA834"/>
      <c r="AB834"/>
      <c r="AC834"/>
      <c r="AD834"/>
      <c r="AE834"/>
      <c r="AF834"/>
      <c r="AG834"/>
      <c r="AH834"/>
      <c r="AI834"/>
      <c r="AJ834"/>
      <c r="AK834"/>
      <c r="AL834"/>
      <c r="AM834"/>
      <c r="AN834"/>
      <c r="AO834"/>
      <c r="AP834"/>
      <c r="AQ834"/>
      <c r="AR834"/>
      <c r="AS834"/>
      <c r="AT834"/>
      <c r="AU834"/>
      <c r="AV834"/>
      <c r="AW834"/>
      <c r="AX834"/>
      <c r="AY834"/>
      <c r="AZ834"/>
      <c r="BA834"/>
      <c r="BB834"/>
      <c r="BC834"/>
      <c r="BD834"/>
      <c r="BE834"/>
      <c r="BF834"/>
      <c r="BG834"/>
      <c r="BH834"/>
      <c r="BI834"/>
      <c r="BJ834"/>
      <c r="BK834"/>
      <c r="BL834"/>
      <c r="BM834"/>
      <c r="BN834"/>
      <c r="BO834"/>
      <c r="BP834"/>
      <c r="BQ834"/>
      <c r="BR834"/>
      <c r="BS834"/>
      <c r="BT834"/>
      <c r="BU834"/>
      <c r="BV834"/>
      <c r="BW834"/>
      <c r="BX834"/>
      <c r="BY834"/>
      <c r="BZ834"/>
      <c r="CA834"/>
      <c r="CB834"/>
      <c r="CC834"/>
      <c r="CD834"/>
      <c r="CE834"/>
      <c r="CF834"/>
      <c r="CG834"/>
      <c r="CH834"/>
      <c r="CI834"/>
      <c r="CJ834"/>
      <c r="CK834"/>
      <c r="CL834"/>
      <c r="CM834"/>
      <c r="CN834"/>
      <c r="CO834"/>
      <c r="CP834"/>
      <c r="CQ834"/>
      <c r="CR834"/>
      <c r="CS834"/>
      <c r="CT834"/>
      <c r="CU834"/>
      <c r="CV834"/>
      <c r="CW834"/>
      <c r="CX834"/>
      <c r="CY834"/>
      <c r="CZ834"/>
      <c r="DA834"/>
      <c r="DB834"/>
      <c r="DC834"/>
      <c r="DD834"/>
      <c r="DE834"/>
      <c r="DF834"/>
      <c r="DG834"/>
      <c r="DH834"/>
      <c r="DI834"/>
      <c r="DJ834"/>
      <c r="DK834"/>
      <c r="DL834"/>
      <c r="DM834"/>
      <c r="DN834"/>
      <c r="DO834"/>
      <c r="DP834"/>
      <c r="DQ834"/>
      <c r="DR834"/>
      <c r="DS834"/>
      <c r="DT834"/>
      <c r="DU834"/>
      <c r="DV834"/>
      <c r="DW834"/>
      <c r="DX834"/>
      <c r="DY834"/>
      <c r="DZ834"/>
      <c r="EA834"/>
      <c r="EB834"/>
      <c r="EC834"/>
      <c r="ED834"/>
      <c r="EE834"/>
      <c r="EF834"/>
      <c r="EG834"/>
      <c r="EH834"/>
      <c r="EI834"/>
      <c r="EJ834"/>
      <c r="EK834"/>
      <c r="EL834"/>
      <c r="EM834"/>
      <c r="EN834"/>
      <c r="EO834"/>
      <c r="EP834"/>
      <c r="EQ834"/>
      <c r="ER834"/>
      <c r="ES834"/>
      <c r="ET834"/>
      <c r="EU834"/>
      <c r="EV834"/>
      <c r="EW834"/>
      <c r="EX834"/>
      <c r="EY834"/>
      <c r="EZ834"/>
      <c r="FA834"/>
      <c r="FB834"/>
      <c r="FC834"/>
      <c r="FD834"/>
      <c r="FE834"/>
      <c r="FF834"/>
      <c r="FG834"/>
      <c r="FH834"/>
      <c r="FI834"/>
      <c r="FJ834"/>
      <c r="FK834"/>
      <c r="FL834"/>
      <c r="FM834"/>
      <c r="FN834"/>
      <c r="FO834"/>
      <c r="FP834"/>
      <c r="FQ834"/>
      <c r="FR834"/>
      <c r="FS834"/>
      <c r="FT834"/>
      <c r="FU834"/>
      <c r="FV834"/>
      <c r="FW834"/>
      <c r="FX834"/>
      <c r="FY834"/>
      <c r="FZ834"/>
      <c r="GA834"/>
      <c r="GB834"/>
      <c r="GC834"/>
      <c r="GD834"/>
      <c r="GE834"/>
      <c r="GF834"/>
      <c r="GG834"/>
      <c r="GH834"/>
      <c r="GI834"/>
      <c r="GJ834"/>
      <c r="GK834"/>
      <c r="GL834"/>
      <c r="GM834"/>
      <c r="GN834"/>
      <c r="GO834"/>
      <c r="GP834"/>
      <c r="GQ834"/>
      <c r="GR834"/>
      <c r="GS834"/>
      <c r="GT834"/>
      <c r="GU834"/>
      <c r="GV834"/>
      <c r="GW834"/>
      <c r="GX834"/>
      <c r="GY834"/>
      <c r="GZ834"/>
      <c r="HA834"/>
      <c r="HB834"/>
      <c r="HC834"/>
      <c r="HD834"/>
      <c r="HE834"/>
      <c r="HF834"/>
      <c r="HG834"/>
      <c r="HH834"/>
      <c r="HI834"/>
      <c r="HJ834"/>
      <c r="HK834"/>
      <c r="HL834"/>
      <c r="HM834"/>
      <c r="HN834"/>
      <c r="HO834"/>
      <c r="HP834"/>
      <c r="HQ834"/>
      <c r="HR834"/>
      <c r="HS834"/>
      <c r="HT834"/>
      <c r="HU834"/>
      <c r="HV834"/>
      <c r="HW834"/>
      <c r="HX834"/>
      <c r="HY834"/>
      <c r="HZ834"/>
      <c r="IA834"/>
      <c r="IB834"/>
      <c r="IC834"/>
      <c r="ID834"/>
      <c r="IE834"/>
      <c r="IF834"/>
      <c r="IG834"/>
      <c r="IH834"/>
      <c r="II834"/>
      <c r="IJ834"/>
    </row>
    <row r="835" spans="1:244" ht="30" customHeight="1" x14ac:dyDescent="0.2">
      <c r="A835" s="2391"/>
      <c r="B835" s="2116" t="s">
        <v>1962</v>
      </c>
      <c r="C835" s="2075">
        <v>2000000</v>
      </c>
      <c r="D835" s="2075">
        <v>2000000</v>
      </c>
      <c r="E835" s="2075"/>
      <c r="F835" s="2075"/>
      <c r="G835" s="2200"/>
      <c r="H835" s="2200"/>
      <c r="I835" s="2201"/>
      <c r="J835" s="88">
        <v>1212184.57</v>
      </c>
      <c r="K835" s="2"/>
      <c r="L835"/>
      <c r="M835"/>
      <c r="N835"/>
      <c r="O835"/>
      <c r="P835"/>
      <c r="Q835"/>
      <c r="R835"/>
      <c r="S835"/>
      <c r="T835"/>
      <c r="U835"/>
      <c r="V835"/>
      <c r="W835"/>
      <c r="X835"/>
      <c r="Y835"/>
      <c r="Z835"/>
      <c r="AA835"/>
      <c r="AB835"/>
      <c r="AC835"/>
      <c r="AD835"/>
      <c r="AE835"/>
      <c r="AF835"/>
      <c r="AG835"/>
      <c r="AH835"/>
      <c r="AI835"/>
      <c r="AJ835"/>
      <c r="AK835"/>
      <c r="AL835"/>
      <c r="AM835"/>
      <c r="AN835"/>
      <c r="AO835"/>
      <c r="AP835"/>
      <c r="AQ835"/>
      <c r="AR835"/>
      <c r="AS835"/>
      <c r="AT835"/>
      <c r="AU835"/>
      <c r="AV835"/>
      <c r="AW835"/>
      <c r="AX835"/>
      <c r="AY835"/>
      <c r="AZ835"/>
      <c r="BA835"/>
      <c r="BB835"/>
      <c r="BC835"/>
      <c r="BD835"/>
      <c r="BE835"/>
      <c r="BF835"/>
      <c r="BG835"/>
      <c r="BH835"/>
      <c r="BI835"/>
      <c r="BJ835"/>
      <c r="BK835"/>
      <c r="BL835"/>
      <c r="BM835"/>
      <c r="BN835"/>
      <c r="BO835"/>
      <c r="BP835"/>
      <c r="BQ835"/>
      <c r="BR835"/>
      <c r="BS835"/>
      <c r="BT835"/>
      <c r="BU835"/>
      <c r="BV835"/>
      <c r="BW835"/>
      <c r="BX835"/>
      <c r="BY835"/>
      <c r="BZ835"/>
      <c r="CA835"/>
      <c r="CB835"/>
      <c r="CC835"/>
      <c r="CD835"/>
      <c r="CE835"/>
      <c r="CF835"/>
      <c r="CG835"/>
      <c r="CH835"/>
      <c r="CI835"/>
      <c r="CJ835"/>
      <c r="CK835"/>
      <c r="CL835"/>
      <c r="CM835"/>
      <c r="CN835"/>
      <c r="CO835"/>
      <c r="CP835"/>
      <c r="CQ835"/>
      <c r="CR835"/>
      <c r="CS835"/>
      <c r="CT835"/>
      <c r="CU835"/>
      <c r="CV835"/>
      <c r="CW835"/>
      <c r="CX835"/>
      <c r="CY835"/>
      <c r="CZ835"/>
      <c r="DA835"/>
      <c r="DB835"/>
      <c r="DC835"/>
      <c r="DD835"/>
      <c r="DE835"/>
      <c r="DF835"/>
      <c r="DG835"/>
      <c r="DH835"/>
      <c r="DI835"/>
      <c r="DJ835"/>
      <c r="DK835"/>
      <c r="DL835"/>
      <c r="DM835"/>
      <c r="DN835"/>
      <c r="DO835"/>
      <c r="DP835"/>
      <c r="DQ835"/>
      <c r="DR835"/>
      <c r="DS835"/>
      <c r="DT835"/>
      <c r="DU835"/>
      <c r="DV835"/>
      <c r="DW835"/>
      <c r="DX835"/>
      <c r="DY835"/>
      <c r="DZ835"/>
      <c r="EA835"/>
      <c r="EB835"/>
      <c r="EC835"/>
      <c r="ED835"/>
      <c r="EE835"/>
      <c r="EF835"/>
      <c r="EG835"/>
      <c r="EH835"/>
      <c r="EI835"/>
      <c r="EJ835"/>
      <c r="EK835"/>
      <c r="EL835"/>
      <c r="EM835"/>
      <c r="EN835"/>
      <c r="EO835"/>
      <c r="EP835"/>
      <c r="EQ835"/>
      <c r="ER835"/>
      <c r="ES835"/>
      <c r="ET835"/>
      <c r="EU835"/>
      <c r="EV835"/>
      <c r="EW835"/>
      <c r="EX835"/>
      <c r="EY835"/>
      <c r="EZ835"/>
      <c r="FA835"/>
      <c r="FB835"/>
      <c r="FC835"/>
      <c r="FD835"/>
      <c r="FE835"/>
      <c r="FF835"/>
      <c r="FG835"/>
      <c r="FH835"/>
      <c r="FI835"/>
      <c r="FJ835"/>
      <c r="FK835"/>
      <c r="FL835"/>
      <c r="FM835"/>
      <c r="FN835"/>
      <c r="FO835"/>
      <c r="FP835"/>
      <c r="FQ835"/>
      <c r="FR835"/>
      <c r="FS835"/>
      <c r="FT835"/>
      <c r="FU835"/>
      <c r="FV835"/>
      <c r="FW835"/>
      <c r="FX835"/>
      <c r="FY835"/>
      <c r="FZ835"/>
      <c r="GA835"/>
      <c r="GB835"/>
      <c r="GC835"/>
      <c r="GD835"/>
      <c r="GE835"/>
      <c r="GF835"/>
      <c r="GG835"/>
      <c r="GH835"/>
      <c r="GI835"/>
      <c r="GJ835"/>
      <c r="GK835"/>
      <c r="GL835"/>
      <c r="GM835"/>
      <c r="GN835"/>
      <c r="GO835"/>
      <c r="GP835"/>
      <c r="GQ835"/>
      <c r="GR835"/>
      <c r="GS835"/>
      <c r="GT835"/>
      <c r="GU835"/>
      <c r="GV835"/>
      <c r="GW835"/>
      <c r="GX835"/>
      <c r="GY835"/>
      <c r="GZ835"/>
      <c r="HA835"/>
      <c r="HB835"/>
      <c r="HC835"/>
      <c r="HD835"/>
      <c r="HE835"/>
      <c r="HF835"/>
      <c r="HG835"/>
      <c r="HH835"/>
      <c r="HI835"/>
      <c r="HJ835"/>
      <c r="HK835"/>
      <c r="HL835"/>
      <c r="HM835"/>
      <c r="HN835"/>
      <c r="HO835"/>
      <c r="HP835"/>
      <c r="HQ835"/>
      <c r="HR835"/>
      <c r="HS835"/>
      <c r="HT835"/>
      <c r="HU835"/>
      <c r="HV835"/>
      <c r="HW835"/>
      <c r="HX835"/>
      <c r="HY835"/>
      <c r="HZ835"/>
      <c r="IA835"/>
      <c r="IB835"/>
      <c r="IC835"/>
      <c r="ID835"/>
      <c r="IE835"/>
      <c r="IF835"/>
      <c r="IG835"/>
      <c r="IH835"/>
      <c r="II835"/>
      <c r="IJ835"/>
    </row>
    <row r="836" spans="1:244" s="2" customFormat="1" ht="30" customHeight="1" x14ac:dyDescent="0.2">
      <c r="A836" s="2391"/>
      <c r="B836" s="2124" t="s">
        <v>900</v>
      </c>
      <c r="C836" s="2082">
        <f>SUM(C837:C845)</f>
        <v>4370000</v>
      </c>
      <c r="D836" s="2082">
        <f>SUM(D837:D845)</f>
        <v>4460000</v>
      </c>
      <c r="E836" s="2082"/>
      <c r="F836" s="2082"/>
      <c r="G836" s="2459"/>
      <c r="H836" s="2459"/>
      <c r="I836" s="2460"/>
      <c r="J836" s="88">
        <v>3940112.68</v>
      </c>
    </row>
    <row r="837" spans="1:244" ht="30" customHeight="1" x14ac:dyDescent="0.2">
      <c r="A837" s="2391"/>
      <c r="B837" s="2116" t="s">
        <v>1963</v>
      </c>
      <c r="C837" s="2075">
        <v>250000</v>
      </c>
      <c r="D837" s="2075">
        <v>250000</v>
      </c>
      <c r="E837" s="2075"/>
      <c r="F837" s="2075"/>
      <c r="G837" s="2200"/>
      <c r="H837" s="2200"/>
      <c r="I837" s="2201"/>
      <c r="J837" s="88">
        <v>428753.35</v>
      </c>
      <c r="K837" s="2"/>
      <c r="L837"/>
      <c r="M837"/>
      <c r="N837"/>
      <c r="O837"/>
      <c r="P837"/>
      <c r="Q837"/>
      <c r="R837"/>
      <c r="S837"/>
      <c r="T837"/>
      <c r="U837"/>
      <c r="V837"/>
      <c r="W837"/>
      <c r="X837"/>
      <c r="Y837"/>
      <c r="Z837"/>
      <c r="AA837"/>
      <c r="AB837"/>
      <c r="AC837"/>
      <c r="AD837"/>
      <c r="AE837"/>
      <c r="AF837"/>
      <c r="AG837"/>
      <c r="AH837"/>
      <c r="AI837"/>
      <c r="AJ837"/>
      <c r="AK837"/>
      <c r="AL837"/>
      <c r="AM837"/>
      <c r="AN837"/>
      <c r="AO837"/>
      <c r="AP837"/>
      <c r="AQ837"/>
      <c r="AR837"/>
      <c r="AS837"/>
      <c r="AT837"/>
      <c r="AU837"/>
      <c r="AV837"/>
      <c r="AW837"/>
      <c r="AX837"/>
      <c r="AY837"/>
      <c r="AZ837"/>
      <c r="BA837"/>
      <c r="BB837"/>
      <c r="BC837"/>
      <c r="BD837"/>
      <c r="BE837"/>
      <c r="BF837"/>
      <c r="BG837"/>
      <c r="BH837"/>
      <c r="BI837"/>
      <c r="BJ837"/>
      <c r="BK837"/>
      <c r="BL837"/>
      <c r="BM837"/>
      <c r="BN837"/>
      <c r="BO837"/>
      <c r="BP837"/>
      <c r="BQ837"/>
      <c r="BR837"/>
      <c r="BS837"/>
      <c r="BT837"/>
      <c r="BU837"/>
      <c r="BV837"/>
      <c r="BW837"/>
      <c r="BX837"/>
      <c r="BY837"/>
      <c r="BZ837"/>
      <c r="CA837"/>
      <c r="CB837"/>
      <c r="CC837"/>
      <c r="CD837"/>
      <c r="CE837"/>
      <c r="CF837"/>
      <c r="CG837"/>
      <c r="CH837"/>
      <c r="CI837"/>
      <c r="CJ837"/>
      <c r="CK837"/>
      <c r="CL837"/>
      <c r="CM837"/>
      <c r="CN837"/>
      <c r="CO837"/>
      <c r="CP837"/>
      <c r="CQ837"/>
      <c r="CR837"/>
      <c r="CS837"/>
      <c r="CT837"/>
      <c r="CU837"/>
      <c r="CV837"/>
      <c r="CW837"/>
      <c r="CX837"/>
      <c r="CY837"/>
      <c r="CZ837"/>
      <c r="DA837"/>
      <c r="DB837"/>
      <c r="DC837"/>
      <c r="DD837"/>
      <c r="DE837"/>
      <c r="DF837"/>
      <c r="DG837"/>
      <c r="DH837"/>
      <c r="DI837"/>
      <c r="DJ837"/>
      <c r="DK837"/>
      <c r="DL837"/>
      <c r="DM837"/>
      <c r="DN837"/>
      <c r="DO837"/>
      <c r="DP837"/>
      <c r="DQ837"/>
      <c r="DR837"/>
      <c r="DS837"/>
      <c r="DT837"/>
      <c r="DU837"/>
      <c r="DV837"/>
      <c r="DW837"/>
      <c r="DX837"/>
      <c r="DY837"/>
      <c r="DZ837"/>
      <c r="EA837"/>
      <c r="EB837"/>
      <c r="EC837"/>
      <c r="ED837"/>
      <c r="EE837"/>
      <c r="EF837"/>
      <c r="EG837"/>
      <c r="EH837"/>
      <c r="EI837"/>
      <c r="EJ837"/>
      <c r="EK837"/>
      <c r="EL837"/>
      <c r="EM837"/>
      <c r="EN837"/>
      <c r="EO837"/>
      <c r="EP837"/>
      <c r="EQ837"/>
      <c r="ER837"/>
      <c r="ES837"/>
      <c r="ET837"/>
      <c r="EU837"/>
      <c r="EV837"/>
      <c r="EW837"/>
      <c r="EX837"/>
      <c r="EY837"/>
      <c r="EZ837"/>
      <c r="FA837"/>
      <c r="FB837"/>
      <c r="FC837"/>
      <c r="FD837"/>
      <c r="FE837"/>
      <c r="FF837"/>
      <c r="FG837"/>
      <c r="FH837"/>
      <c r="FI837"/>
      <c r="FJ837"/>
      <c r="FK837"/>
      <c r="FL837"/>
      <c r="FM837"/>
      <c r="FN837"/>
      <c r="FO837"/>
      <c r="FP837"/>
      <c r="FQ837"/>
      <c r="FR837"/>
      <c r="FS837"/>
      <c r="FT837"/>
      <c r="FU837"/>
      <c r="FV837"/>
      <c r="FW837"/>
      <c r="FX837"/>
      <c r="FY837"/>
      <c r="FZ837"/>
      <c r="GA837"/>
      <c r="GB837"/>
      <c r="GC837"/>
      <c r="GD837"/>
      <c r="GE837"/>
      <c r="GF837"/>
      <c r="GG837"/>
      <c r="GH837"/>
      <c r="GI837"/>
      <c r="GJ837"/>
      <c r="GK837"/>
      <c r="GL837"/>
      <c r="GM837"/>
      <c r="GN837"/>
      <c r="GO837"/>
      <c r="GP837"/>
      <c r="GQ837"/>
      <c r="GR837"/>
      <c r="GS837"/>
      <c r="GT837"/>
      <c r="GU837"/>
      <c r="GV837"/>
      <c r="GW837"/>
      <c r="GX837"/>
      <c r="GY837"/>
      <c r="GZ837"/>
      <c r="HA837"/>
      <c r="HB837"/>
      <c r="HC837"/>
      <c r="HD837"/>
      <c r="HE837"/>
      <c r="HF837"/>
      <c r="HG837"/>
      <c r="HH837"/>
      <c r="HI837"/>
      <c r="HJ837"/>
      <c r="HK837"/>
      <c r="HL837"/>
      <c r="HM837"/>
      <c r="HN837"/>
      <c r="HO837"/>
      <c r="HP837"/>
      <c r="HQ837"/>
      <c r="HR837"/>
      <c r="HS837"/>
      <c r="HT837"/>
      <c r="HU837"/>
      <c r="HV837"/>
      <c r="HW837"/>
      <c r="HX837"/>
      <c r="HY837"/>
      <c r="HZ837"/>
      <c r="IA837"/>
      <c r="IB837"/>
      <c r="IC837"/>
      <c r="ID837"/>
      <c r="IE837"/>
      <c r="IF837"/>
      <c r="IG837"/>
      <c r="IH837"/>
      <c r="II837"/>
      <c r="IJ837"/>
    </row>
    <row r="838" spans="1:244" ht="30" customHeight="1" x14ac:dyDescent="0.2">
      <c r="A838" s="2391"/>
      <c r="B838" s="2083" t="s">
        <v>1964</v>
      </c>
      <c r="C838" s="2075">
        <v>1000000</v>
      </c>
      <c r="D838" s="2075">
        <f>1000000-50000-100000+300000</f>
        <v>1150000</v>
      </c>
      <c r="E838" s="2075"/>
      <c r="F838" s="2075"/>
      <c r="G838" s="2200"/>
      <c r="H838" s="2200"/>
      <c r="I838" s="2201"/>
      <c r="J838" s="88">
        <v>991498.19</v>
      </c>
      <c r="K838" s="2"/>
      <c r="L838"/>
      <c r="M838"/>
      <c r="N838"/>
      <c r="O838"/>
      <c r="P838"/>
      <c r="Q838"/>
      <c r="R838"/>
      <c r="S838"/>
      <c r="T838"/>
      <c r="U838"/>
      <c r="V838"/>
      <c r="W838"/>
      <c r="X838"/>
      <c r="Y838"/>
      <c r="Z838"/>
      <c r="AA838"/>
      <c r="AB838"/>
      <c r="AC838"/>
      <c r="AD838"/>
      <c r="AE838"/>
      <c r="AF838"/>
      <c r="AG838"/>
      <c r="AH838"/>
      <c r="AI838"/>
      <c r="AJ838"/>
      <c r="AK838"/>
      <c r="AL838"/>
      <c r="AM838"/>
      <c r="AN838"/>
      <c r="AO838"/>
      <c r="AP838"/>
      <c r="AQ838"/>
      <c r="AR838"/>
      <c r="AS838"/>
      <c r="AT838"/>
      <c r="AU838"/>
      <c r="AV838"/>
      <c r="AW838"/>
      <c r="AX838"/>
      <c r="AY838"/>
      <c r="AZ838"/>
      <c r="BA838"/>
      <c r="BB838"/>
      <c r="BC838"/>
      <c r="BD838"/>
      <c r="BE838"/>
      <c r="BF838"/>
      <c r="BG838"/>
      <c r="BH838"/>
      <c r="BI838"/>
      <c r="BJ838"/>
      <c r="BK838"/>
      <c r="BL838"/>
      <c r="BM838"/>
      <c r="BN838"/>
      <c r="BO838"/>
      <c r="BP838"/>
      <c r="BQ838"/>
      <c r="BR838"/>
      <c r="BS838"/>
      <c r="BT838"/>
      <c r="BU838"/>
      <c r="BV838"/>
      <c r="BW838"/>
      <c r="BX838"/>
      <c r="BY838"/>
      <c r="BZ838"/>
      <c r="CA838"/>
      <c r="CB838"/>
      <c r="CC838"/>
      <c r="CD838"/>
      <c r="CE838"/>
      <c r="CF838"/>
      <c r="CG838"/>
      <c r="CH838"/>
      <c r="CI838"/>
      <c r="CJ838"/>
      <c r="CK838"/>
      <c r="CL838"/>
      <c r="CM838"/>
      <c r="CN838"/>
      <c r="CO838"/>
      <c r="CP838"/>
      <c r="CQ838"/>
      <c r="CR838"/>
      <c r="CS838"/>
      <c r="CT838"/>
      <c r="CU838"/>
      <c r="CV838"/>
      <c r="CW838"/>
      <c r="CX838"/>
      <c r="CY838"/>
      <c r="CZ838"/>
      <c r="DA838"/>
      <c r="DB838"/>
      <c r="DC838"/>
      <c r="DD838"/>
      <c r="DE838"/>
      <c r="DF838"/>
      <c r="DG838"/>
      <c r="DH838"/>
      <c r="DI838"/>
      <c r="DJ838"/>
      <c r="DK838"/>
      <c r="DL838"/>
      <c r="DM838"/>
      <c r="DN838"/>
      <c r="DO838"/>
      <c r="DP838"/>
      <c r="DQ838"/>
      <c r="DR838"/>
      <c r="DS838"/>
      <c r="DT838"/>
      <c r="DU838"/>
      <c r="DV838"/>
      <c r="DW838"/>
      <c r="DX838"/>
      <c r="DY838"/>
      <c r="DZ838"/>
      <c r="EA838"/>
      <c r="EB838"/>
      <c r="EC838"/>
      <c r="ED838"/>
      <c r="EE838"/>
      <c r="EF838"/>
      <c r="EG838"/>
      <c r="EH838"/>
      <c r="EI838"/>
      <c r="EJ838"/>
      <c r="EK838"/>
      <c r="EL838"/>
      <c r="EM838"/>
      <c r="EN838"/>
      <c r="EO838"/>
      <c r="EP838"/>
      <c r="EQ838"/>
      <c r="ER838"/>
      <c r="ES838"/>
      <c r="ET838"/>
      <c r="EU838"/>
      <c r="EV838"/>
      <c r="EW838"/>
      <c r="EX838"/>
      <c r="EY838"/>
      <c r="EZ838"/>
      <c r="FA838"/>
      <c r="FB838"/>
      <c r="FC838"/>
      <c r="FD838"/>
      <c r="FE838"/>
      <c r="FF838"/>
      <c r="FG838"/>
      <c r="FH838"/>
      <c r="FI838"/>
      <c r="FJ838"/>
      <c r="FK838"/>
      <c r="FL838"/>
      <c r="FM838"/>
      <c r="FN838"/>
      <c r="FO838"/>
      <c r="FP838"/>
      <c r="FQ838"/>
      <c r="FR838"/>
      <c r="FS838"/>
      <c r="FT838"/>
      <c r="FU838"/>
      <c r="FV838"/>
      <c r="FW838"/>
      <c r="FX838"/>
      <c r="FY838"/>
      <c r="FZ838"/>
      <c r="GA838"/>
      <c r="GB838"/>
      <c r="GC838"/>
      <c r="GD838"/>
      <c r="GE838"/>
      <c r="GF838"/>
      <c r="GG838"/>
      <c r="GH838"/>
      <c r="GI838"/>
      <c r="GJ838"/>
      <c r="GK838"/>
      <c r="GL838"/>
      <c r="GM838"/>
      <c r="GN838"/>
      <c r="GO838"/>
      <c r="GP838"/>
      <c r="GQ838"/>
      <c r="GR838"/>
      <c r="GS838"/>
      <c r="GT838"/>
      <c r="GU838"/>
      <c r="GV838"/>
      <c r="GW838"/>
      <c r="GX838"/>
      <c r="GY838"/>
      <c r="GZ838"/>
      <c r="HA838"/>
      <c r="HB838"/>
      <c r="HC838"/>
      <c r="HD838"/>
      <c r="HE838"/>
      <c r="HF838"/>
      <c r="HG838"/>
      <c r="HH838"/>
      <c r="HI838"/>
      <c r="HJ838"/>
      <c r="HK838"/>
      <c r="HL838"/>
      <c r="HM838"/>
      <c r="HN838"/>
      <c r="HO838"/>
      <c r="HP838"/>
      <c r="HQ838"/>
      <c r="HR838"/>
      <c r="HS838"/>
      <c r="HT838"/>
      <c r="HU838"/>
      <c r="HV838"/>
      <c r="HW838"/>
      <c r="HX838"/>
      <c r="HY838"/>
      <c r="HZ838"/>
      <c r="IA838"/>
      <c r="IB838"/>
      <c r="IC838"/>
      <c r="ID838"/>
      <c r="IE838"/>
      <c r="IF838"/>
      <c r="IG838"/>
      <c r="IH838"/>
      <c r="II838"/>
      <c r="IJ838"/>
    </row>
    <row r="839" spans="1:244" ht="30" customHeight="1" x14ac:dyDescent="0.2">
      <c r="A839" s="2391"/>
      <c r="B839" s="2083" t="s">
        <v>1965</v>
      </c>
      <c r="C839" s="2075">
        <v>50000</v>
      </c>
      <c r="D839" s="2075">
        <v>50000</v>
      </c>
      <c r="E839" s="2075"/>
      <c r="F839" s="2075"/>
      <c r="G839" s="2200"/>
      <c r="H839" s="2200"/>
      <c r="I839" s="2201"/>
      <c r="J839" s="88">
        <v>70543</v>
      </c>
      <c r="K839" s="2"/>
      <c r="L839"/>
      <c r="M839"/>
      <c r="N839"/>
      <c r="O839"/>
      <c r="P839"/>
      <c r="Q839"/>
      <c r="R839"/>
      <c r="S839"/>
      <c r="T839"/>
      <c r="U839"/>
      <c r="V839"/>
      <c r="W839"/>
      <c r="X839"/>
      <c r="Y839"/>
      <c r="Z839"/>
      <c r="AA839"/>
      <c r="AB839"/>
      <c r="AC839"/>
      <c r="AD839"/>
      <c r="AE839"/>
      <c r="AF839"/>
      <c r="AG839"/>
      <c r="AH839"/>
      <c r="AI839"/>
      <c r="AJ839"/>
      <c r="AK839"/>
      <c r="AL839"/>
      <c r="AM839"/>
      <c r="AN839"/>
      <c r="AO839"/>
      <c r="AP839"/>
      <c r="AQ839"/>
      <c r="AR839"/>
      <c r="AS839"/>
      <c r="AT839"/>
      <c r="AU839"/>
      <c r="AV839"/>
      <c r="AW839"/>
      <c r="AX839"/>
      <c r="AY839"/>
      <c r="AZ839"/>
      <c r="BA839"/>
      <c r="BB839"/>
      <c r="BC839"/>
      <c r="BD839"/>
      <c r="BE839"/>
      <c r="BF839"/>
      <c r="BG839"/>
      <c r="BH839"/>
      <c r="BI839"/>
      <c r="BJ839"/>
      <c r="BK839"/>
      <c r="BL839"/>
      <c r="BM839"/>
      <c r="BN839"/>
      <c r="BO839"/>
      <c r="BP839"/>
      <c r="BQ839"/>
      <c r="BR839"/>
      <c r="BS839"/>
      <c r="BT839"/>
      <c r="BU839"/>
      <c r="BV839"/>
      <c r="BW839"/>
      <c r="BX839"/>
      <c r="BY839"/>
      <c r="BZ839"/>
      <c r="CA839"/>
      <c r="CB839"/>
      <c r="CC839"/>
      <c r="CD839"/>
      <c r="CE839"/>
      <c r="CF839"/>
      <c r="CG839"/>
      <c r="CH839"/>
      <c r="CI839"/>
      <c r="CJ839"/>
      <c r="CK839"/>
      <c r="CL839"/>
      <c r="CM839"/>
      <c r="CN839"/>
      <c r="CO839"/>
      <c r="CP839"/>
      <c r="CQ839"/>
      <c r="CR839"/>
      <c r="CS839"/>
      <c r="CT839"/>
      <c r="CU839"/>
      <c r="CV839"/>
      <c r="CW839"/>
      <c r="CX839"/>
      <c r="CY839"/>
      <c r="CZ839"/>
      <c r="DA839"/>
      <c r="DB839"/>
      <c r="DC839"/>
      <c r="DD839"/>
      <c r="DE839"/>
      <c r="DF839"/>
      <c r="DG839"/>
      <c r="DH839"/>
      <c r="DI839"/>
      <c r="DJ839"/>
      <c r="DK839"/>
      <c r="DL839"/>
      <c r="DM839"/>
      <c r="DN839"/>
      <c r="DO839"/>
      <c r="DP839"/>
      <c r="DQ839"/>
      <c r="DR839"/>
      <c r="DS839"/>
      <c r="DT839"/>
      <c r="DU839"/>
      <c r="DV839"/>
      <c r="DW839"/>
      <c r="DX839"/>
      <c r="DY839"/>
      <c r="DZ839"/>
      <c r="EA839"/>
      <c r="EB839"/>
      <c r="EC839"/>
      <c r="ED839"/>
      <c r="EE839"/>
      <c r="EF839"/>
      <c r="EG839"/>
      <c r="EH839"/>
      <c r="EI839"/>
      <c r="EJ839"/>
      <c r="EK839"/>
      <c r="EL839"/>
      <c r="EM839"/>
      <c r="EN839"/>
      <c r="EO839"/>
      <c r="EP839"/>
      <c r="EQ839"/>
      <c r="ER839"/>
      <c r="ES839"/>
      <c r="ET839"/>
      <c r="EU839"/>
      <c r="EV839"/>
      <c r="EW839"/>
      <c r="EX839"/>
      <c r="EY839"/>
      <c r="EZ839"/>
      <c r="FA839"/>
      <c r="FB839"/>
      <c r="FC839"/>
      <c r="FD839"/>
      <c r="FE839"/>
      <c r="FF839"/>
      <c r="FG839"/>
      <c r="FH839"/>
      <c r="FI839"/>
      <c r="FJ839"/>
      <c r="FK839"/>
      <c r="FL839"/>
      <c r="FM839"/>
      <c r="FN839"/>
      <c r="FO839"/>
      <c r="FP839"/>
      <c r="FQ839"/>
      <c r="FR839"/>
      <c r="FS839"/>
      <c r="FT839"/>
      <c r="FU839"/>
      <c r="FV839"/>
      <c r="FW839"/>
      <c r="FX839"/>
      <c r="FY839"/>
      <c r="FZ839"/>
      <c r="GA839"/>
      <c r="GB839"/>
      <c r="GC839"/>
      <c r="GD839"/>
      <c r="GE839"/>
      <c r="GF839"/>
      <c r="GG839"/>
      <c r="GH839"/>
      <c r="GI839"/>
      <c r="GJ839"/>
      <c r="GK839"/>
      <c r="GL839"/>
      <c r="GM839"/>
      <c r="GN839"/>
      <c r="GO839"/>
      <c r="GP839"/>
      <c r="GQ839"/>
      <c r="GR839"/>
      <c r="GS839"/>
      <c r="GT839"/>
      <c r="GU839"/>
      <c r="GV839"/>
      <c r="GW839"/>
      <c r="GX839"/>
      <c r="GY839"/>
      <c r="GZ839"/>
      <c r="HA839"/>
      <c r="HB839"/>
      <c r="HC839"/>
      <c r="HD839"/>
      <c r="HE839"/>
      <c r="HF839"/>
      <c r="HG839"/>
      <c r="HH839"/>
      <c r="HI839"/>
      <c r="HJ839"/>
      <c r="HK839"/>
      <c r="HL839"/>
      <c r="HM839"/>
      <c r="HN839"/>
      <c r="HO839"/>
      <c r="HP839"/>
      <c r="HQ839"/>
      <c r="HR839"/>
      <c r="HS839"/>
      <c r="HT839"/>
      <c r="HU839"/>
      <c r="HV839"/>
      <c r="HW839"/>
      <c r="HX839"/>
      <c r="HY839"/>
      <c r="HZ839"/>
      <c r="IA839"/>
      <c r="IB839"/>
      <c r="IC839"/>
      <c r="ID839"/>
      <c r="IE839"/>
      <c r="IF839"/>
      <c r="IG839"/>
      <c r="IH839"/>
      <c r="II839"/>
      <c r="IJ839"/>
    </row>
    <row r="840" spans="1:244" ht="30" customHeight="1" x14ac:dyDescent="0.2">
      <c r="A840" s="2391"/>
      <c r="B840" s="2125" t="s">
        <v>906</v>
      </c>
      <c r="C840" s="1077">
        <v>0</v>
      </c>
      <c r="D840" s="1077">
        <f>50000-10000</f>
        <v>40000</v>
      </c>
      <c r="E840" s="1077"/>
      <c r="F840" s="1077"/>
      <c r="G840" s="2200"/>
      <c r="H840" s="2200"/>
      <c r="I840" s="2201"/>
      <c r="J840" s="88">
        <v>55115</v>
      </c>
      <c r="K840" s="2"/>
      <c r="L840"/>
      <c r="M840"/>
      <c r="N840"/>
      <c r="O840"/>
      <c r="P840"/>
      <c r="Q840"/>
      <c r="R840"/>
      <c r="S840"/>
      <c r="T840"/>
      <c r="U840"/>
      <c r="V840"/>
      <c r="W840"/>
      <c r="X840"/>
      <c r="Y840"/>
      <c r="Z840"/>
      <c r="AA840"/>
      <c r="AB840"/>
      <c r="AC840"/>
      <c r="AD840"/>
      <c r="AE840"/>
      <c r="AF840"/>
      <c r="AG840"/>
      <c r="AH840"/>
      <c r="AI840"/>
      <c r="AJ840"/>
      <c r="AK840"/>
      <c r="AL840"/>
      <c r="AM840"/>
      <c r="AN840"/>
      <c r="AO840"/>
      <c r="AP840"/>
      <c r="AQ840"/>
      <c r="AR840"/>
      <c r="AS840"/>
      <c r="AT840"/>
      <c r="AU840"/>
      <c r="AV840"/>
      <c r="AW840"/>
      <c r="AX840"/>
      <c r="AY840"/>
      <c r="AZ840"/>
      <c r="BA840"/>
      <c r="BB840"/>
      <c r="BC840"/>
      <c r="BD840"/>
      <c r="BE840"/>
      <c r="BF840"/>
      <c r="BG840"/>
      <c r="BH840"/>
      <c r="BI840"/>
      <c r="BJ840"/>
      <c r="BK840"/>
      <c r="BL840"/>
      <c r="BM840"/>
      <c r="BN840"/>
      <c r="BO840"/>
      <c r="BP840"/>
      <c r="BQ840"/>
      <c r="BR840"/>
      <c r="BS840"/>
      <c r="BT840"/>
      <c r="BU840"/>
      <c r="BV840"/>
      <c r="BW840"/>
      <c r="BX840"/>
      <c r="BY840"/>
      <c r="BZ840"/>
      <c r="CA840"/>
      <c r="CB840"/>
      <c r="CC840"/>
      <c r="CD840"/>
      <c r="CE840"/>
      <c r="CF840"/>
      <c r="CG840"/>
      <c r="CH840"/>
      <c r="CI840"/>
      <c r="CJ840"/>
      <c r="CK840"/>
      <c r="CL840"/>
      <c r="CM840"/>
      <c r="CN840"/>
      <c r="CO840"/>
      <c r="CP840"/>
      <c r="CQ840"/>
      <c r="CR840"/>
      <c r="CS840"/>
      <c r="CT840"/>
      <c r="CU840"/>
      <c r="CV840"/>
      <c r="CW840"/>
      <c r="CX840"/>
      <c r="CY840"/>
      <c r="CZ840"/>
      <c r="DA840"/>
      <c r="DB840"/>
      <c r="DC840"/>
      <c r="DD840"/>
      <c r="DE840"/>
      <c r="DF840"/>
      <c r="DG840"/>
      <c r="DH840"/>
      <c r="DI840"/>
      <c r="DJ840"/>
      <c r="DK840"/>
      <c r="DL840"/>
      <c r="DM840"/>
      <c r="DN840"/>
      <c r="DO840"/>
      <c r="DP840"/>
      <c r="DQ840"/>
      <c r="DR840"/>
      <c r="DS840"/>
      <c r="DT840"/>
      <c r="DU840"/>
      <c r="DV840"/>
      <c r="DW840"/>
      <c r="DX840"/>
      <c r="DY840"/>
      <c r="DZ840"/>
      <c r="EA840"/>
      <c r="EB840"/>
      <c r="EC840"/>
      <c r="ED840"/>
      <c r="EE840"/>
      <c r="EF840"/>
      <c r="EG840"/>
      <c r="EH840"/>
      <c r="EI840"/>
      <c r="EJ840"/>
      <c r="EK840"/>
      <c r="EL840"/>
      <c r="EM840"/>
      <c r="EN840"/>
      <c r="EO840"/>
      <c r="EP840"/>
      <c r="EQ840"/>
      <c r="ER840"/>
      <c r="ES840"/>
      <c r="ET840"/>
      <c r="EU840"/>
      <c r="EV840"/>
      <c r="EW840"/>
      <c r="EX840"/>
      <c r="EY840"/>
      <c r="EZ840"/>
      <c r="FA840"/>
      <c r="FB840"/>
      <c r="FC840"/>
      <c r="FD840"/>
      <c r="FE840"/>
      <c r="FF840"/>
      <c r="FG840"/>
      <c r="FH840"/>
      <c r="FI840"/>
      <c r="FJ840"/>
      <c r="FK840"/>
      <c r="FL840"/>
      <c r="FM840"/>
      <c r="FN840"/>
      <c r="FO840"/>
      <c r="FP840"/>
      <c r="FQ840"/>
      <c r="FR840"/>
      <c r="FS840"/>
      <c r="FT840"/>
      <c r="FU840"/>
      <c r="FV840"/>
      <c r="FW840"/>
      <c r="FX840"/>
      <c r="FY840"/>
      <c r="FZ840"/>
      <c r="GA840"/>
      <c r="GB840"/>
      <c r="GC840"/>
      <c r="GD840"/>
      <c r="GE840"/>
      <c r="GF840"/>
      <c r="GG840"/>
      <c r="GH840"/>
      <c r="GI840"/>
      <c r="GJ840"/>
      <c r="GK840"/>
      <c r="GL840"/>
      <c r="GM840"/>
      <c r="GN840"/>
      <c r="GO840"/>
      <c r="GP840"/>
      <c r="GQ840"/>
      <c r="GR840"/>
      <c r="GS840"/>
      <c r="GT840"/>
      <c r="GU840"/>
      <c r="GV840"/>
      <c r="GW840"/>
      <c r="GX840"/>
      <c r="GY840"/>
      <c r="GZ840"/>
      <c r="HA840"/>
      <c r="HB840"/>
      <c r="HC840"/>
      <c r="HD840"/>
      <c r="HE840"/>
      <c r="HF840"/>
      <c r="HG840"/>
      <c r="HH840"/>
      <c r="HI840"/>
      <c r="HJ840"/>
      <c r="HK840"/>
      <c r="HL840"/>
      <c r="HM840"/>
      <c r="HN840"/>
      <c r="HO840"/>
      <c r="HP840"/>
      <c r="HQ840"/>
      <c r="HR840"/>
      <c r="HS840"/>
      <c r="HT840"/>
      <c r="HU840"/>
      <c r="HV840"/>
      <c r="HW840"/>
      <c r="HX840"/>
      <c r="HY840"/>
      <c r="HZ840"/>
      <c r="IA840"/>
      <c r="IB840"/>
      <c r="IC840"/>
      <c r="ID840"/>
      <c r="IE840"/>
      <c r="IF840"/>
      <c r="IG840"/>
      <c r="IH840"/>
      <c r="II840"/>
      <c r="IJ840"/>
    </row>
    <row r="841" spans="1:244" ht="30" customHeight="1" x14ac:dyDescent="0.2">
      <c r="A841" s="2391"/>
      <c r="B841" s="2116" t="s">
        <v>1966</v>
      </c>
      <c r="C841" s="2075">
        <v>200000</v>
      </c>
      <c r="D841" s="2075">
        <v>200000</v>
      </c>
      <c r="E841" s="2075"/>
      <c r="F841" s="2075"/>
      <c r="G841" s="2200"/>
      <c r="H841" s="2200"/>
      <c r="I841" s="2201"/>
      <c r="J841" s="88">
        <v>116389.14</v>
      </c>
      <c r="K841" s="2"/>
      <c r="L841"/>
      <c r="M841"/>
      <c r="N841"/>
      <c r="O841"/>
      <c r="P841"/>
      <c r="Q841"/>
      <c r="R841"/>
      <c r="S841"/>
      <c r="T841"/>
      <c r="U841"/>
      <c r="V841"/>
      <c r="W841"/>
      <c r="X841"/>
      <c r="Y841"/>
      <c r="Z841"/>
      <c r="AA841"/>
      <c r="AB841"/>
      <c r="AC841"/>
      <c r="AD841"/>
      <c r="AE841"/>
      <c r="AF841"/>
      <c r="AG841"/>
      <c r="AH841"/>
      <c r="AI841"/>
      <c r="AJ841"/>
      <c r="AK841"/>
      <c r="AL841"/>
      <c r="AM841"/>
      <c r="AN841"/>
      <c r="AO841"/>
      <c r="AP841"/>
      <c r="AQ841"/>
      <c r="AR841"/>
      <c r="AS841"/>
      <c r="AT841"/>
      <c r="AU841"/>
      <c r="AV841"/>
      <c r="AW841"/>
      <c r="AX841"/>
      <c r="AY841"/>
      <c r="AZ841"/>
      <c r="BA841"/>
      <c r="BB841"/>
      <c r="BC841"/>
      <c r="BD841"/>
      <c r="BE841"/>
      <c r="BF841"/>
      <c r="BG841"/>
      <c r="BH841"/>
      <c r="BI841"/>
      <c r="BJ841"/>
      <c r="BK841"/>
      <c r="BL841"/>
      <c r="BM841"/>
      <c r="BN841"/>
      <c r="BO841"/>
      <c r="BP841"/>
      <c r="BQ841"/>
      <c r="BR841"/>
      <c r="BS841"/>
      <c r="BT841"/>
      <c r="BU841"/>
      <c r="BV841"/>
      <c r="BW841"/>
      <c r="BX841"/>
      <c r="BY841"/>
      <c r="BZ841"/>
      <c r="CA841"/>
      <c r="CB841"/>
      <c r="CC841"/>
      <c r="CD841"/>
      <c r="CE841"/>
      <c r="CF841"/>
      <c r="CG841"/>
      <c r="CH841"/>
      <c r="CI841"/>
      <c r="CJ841"/>
      <c r="CK841"/>
      <c r="CL841"/>
      <c r="CM841"/>
      <c r="CN841"/>
      <c r="CO841"/>
      <c r="CP841"/>
      <c r="CQ841"/>
      <c r="CR841"/>
      <c r="CS841"/>
      <c r="CT841"/>
      <c r="CU841"/>
      <c r="CV841"/>
      <c r="CW841"/>
      <c r="CX841"/>
      <c r="CY841"/>
      <c r="CZ841"/>
      <c r="DA841"/>
      <c r="DB841"/>
      <c r="DC841"/>
      <c r="DD841"/>
      <c r="DE841"/>
      <c r="DF841"/>
      <c r="DG841"/>
      <c r="DH841"/>
      <c r="DI841"/>
      <c r="DJ841"/>
      <c r="DK841"/>
      <c r="DL841"/>
      <c r="DM841"/>
      <c r="DN841"/>
      <c r="DO841"/>
      <c r="DP841"/>
      <c r="DQ841"/>
      <c r="DR841"/>
      <c r="DS841"/>
      <c r="DT841"/>
      <c r="DU841"/>
      <c r="DV841"/>
      <c r="DW841"/>
      <c r="DX841"/>
      <c r="DY841"/>
      <c r="DZ841"/>
      <c r="EA841"/>
      <c r="EB841"/>
      <c r="EC841"/>
      <c r="ED841"/>
      <c r="EE841"/>
      <c r="EF841"/>
      <c r="EG841"/>
      <c r="EH841"/>
      <c r="EI841"/>
      <c r="EJ841"/>
      <c r="EK841"/>
      <c r="EL841"/>
      <c r="EM841"/>
      <c r="EN841"/>
      <c r="EO841"/>
      <c r="EP841"/>
      <c r="EQ841"/>
      <c r="ER841"/>
      <c r="ES841"/>
      <c r="ET841"/>
      <c r="EU841"/>
      <c r="EV841"/>
      <c r="EW841"/>
      <c r="EX841"/>
      <c r="EY841"/>
      <c r="EZ841"/>
      <c r="FA841"/>
      <c r="FB841"/>
      <c r="FC841"/>
      <c r="FD841"/>
      <c r="FE841"/>
      <c r="FF841"/>
      <c r="FG841"/>
      <c r="FH841"/>
      <c r="FI841"/>
      <c r="FJ841"/>
      <c r="FK841"/>
      <c r="FL841"/>
      <c r="FM841"/>
      <c r="FN841"/>
      <c r="FO841"/>
      <c r="FP841"/>
      <c r="FQ841"/>
      <c r="FR841"/>
      <c r="FS841"/>
      <c r="FT841"/>
      <c r="FU841"/>
      <c r="FV841"/>
      <c r="FW841"/>
      <c r="FX841"/>
      <c r="FY841"/>
      <c r="FZ841"/>
      <c r="GA841"/>
      <c r="GB841"/>
      <c r="GC841"/>
      <c r="GD841"/>
      <c r="GE841"/>
      <c r="GF841"/>
      <c r="GG841"/>
      <c r="GH841"/>
      <c r="GI841"/>
      <c r="GJ841"/>
      <c r="GK841"/>
      <c r="GL841"/>
      <c r="GM841"/>
      <c r="GN841"/>
      <c r="GO841"/>
      <c r="GP841"/>
      <c r="GQ841"/>
      <c r="GR841"/>
      <c r="GS841"/>
      <c r="GT841"/>
      <c r="GU841"/>
      <c r="GV841"/>
      <c r="GW841"/>
      <c r="GX841"/>
      <c r="GY841"/>
      <c r="GZ841"/>
      <c r="HA841"/>
      <c r="HB841"/>
      <c r="HC841"/>
      <c r="HD841"/>
      <c r="HE841"/>
      <c r="HF841"/>
      <c r="HG841"/>
      <c r="HH841"/>
      <c r="HI841"/>
      <c r="HJ841"/>
      <c r="HK841"/>
      <c r="HL841"/>
      <c r="HM841"/>
      <c r="HN841"/>
      <c r="HO841"/>
      <c r="HP841"/>
      <c r="HQ841"/>
      <c r="HR841"/>
      <c r="HS841"/>
      <c r="HT841"/>
      <c r="HU841"/>
      <c r="HV841"/>
      <c r="HW841"/>
      <c r="HX841"/>
      <c r="HY841"/>
      <c r="HZ841"/>
      <c r="IA841"/>
      <c r="IB841"/>
      <c r="IC841"/>
      <c r="ID841"/>
      <c r="IE841"/>
      <c r="IF841"/>
      <c r="IG841"/>
      <c r="IH841"/>
      <c r="II841"/>
      <c r="IJ841"/>
    </row>
    <row r="842" spans="1:244" ht="30" customHeight="1" x14ac:dyDescent="0.2">
      <c r="A842" s="2391"/>
      <c r="B842" s="2126" t="s">
        <v>1967</v>
      </c>
      <c r="C842" s="2075">
        <v>350000</v>
      </c>
      <c r="D842" s="2075">
        <f>350000+100000</f>
        <v>450000</v>
      </c>
      <c r="E842" s="2075"/>
      <c r="F842" s="2075"/>
      <c r="G842" s="2200"/>
      <c r="H842" s="2200"/>
      <c r="I842" s="2201"/>
      <c r="J842" s="88">
        <v>260874</v>
      </c>
      <c r="K842" s="2"/>
      <c r="L842"/>
      <c r="M842"/>
      <c r="N842"/>
      <c r="O842"/>
      <c r="P842"/>
      <c r="Q842"/>
      <c r="R842"/>
      <c r="S842"/>
      <c r="T842"/>
      <c r="U842"/>
      <c r="V842"/>
      <c r="W842"/>
      <c r="X842"/>
      <c r="Y842"/>
      <c r="Z842"/>
      <c r="AA842"/>
      <c r="AB842"/>
      <c r="AC842"/>
      <c r="AD842"/>
      <c r="AE842"/>
      <c r="AF842"/>
      <c r="AG842"/>
      <c r="AH842"/>
      <c r="AI842"/>
      <c r="AJ842"/>
      <c r="AK842"/>
      <c r="AL842"/>
      <c r="AM842"/>
      <c r="AN842"/>
      <c r="AO842"/>
      <c r="AP842"/>
      <c r="AQ842"/>
      <c r="AR842"/>
      <c r="AS842"/>
      <c r="AT842"/>
      <c r="AU842"/>
      <c r="AV842"/>
      <c r="AW842"/>
      <c r="AX842"/>
      <c r="AY842"/>
      <c r="AZ842"/>
      <c r="BA842"/>
      <c r="BB842"/>
      <c r="BC842"/>
      <c r="BD842"/>
      <c r="BE842"/>
      <c r="BF842"/>
      <c r="BG842"/>
      <c r="BH842"/>
      <c r="BI842"/>
      <c r="BJ842"/>
      <c r="BK842"/>
      <c r="BL842"/>
      <c r="BM842"/>
      <c r="BN842"/>
      <c r="BO842"/>
      <c r="BP842"/>
      <c r="BQ842"/>
      <c r="BR842"/>
      <c r="BS842"/>
      <c r="BT842"/>
      <c r="BU842"/>
      <c r="BV842"/>
      <c r="BW842"/>
      <c r="BX842"/>
      <c r="BY842"/>
      <c r="BZ842"/>
      <c r="CA842"/>
      <c r="CB842"/>
      <c r="CC842"/>
      <c r="CD842"/>
      <c r="CE842"/>
      <c r="CF842"/>
      <c r="CG842"/>
      <c r="CH842"/>
      <c r="CI842"/>
      <c r="CJ842"/>
      <c r="CK842"/>
      <c r="CL842"/>
      <c r="CM842"/>
      <c r="CN842"/>
      <c r="CO842"/>
      <c r="CP842"/>
      <c r="CQ842"/>
      <c r="CR842"/>
      <c r="CS842"/>
      <c r="CT842"/>
      <c r="CU842"/>
      <c r="CV842"/>
      <c r="CW842"/>
      <c r="CX842"/>
      <c r="CY842"/>
      <c r="CZ842"/>
      <c r="DA842"/>
      <c r="DB842"/>
      <c r="DC842"/>
      <c r="DD842"/>
      <c r="DE842"/>
      <c r="DF842"/>
      <c r="DG842"/>
      <c r="DH842"/>
      <c r="DI842"/>
      <c r="DJ842"/>
      <c r="DK842"/>
      <c r="DL842"/>
      <c r="DM842"/>
      <c r="DN842"/>
      <c r="DO842"/>
      <c r="DP842"/>
      <c r="DQ842"/>
      <c r="DR842"/>
      <c r="DS842"/>
      <c r="DT842"/>
      <c r="DU842"/>
      <c r="DV842"/>
      <c r="DW842"/>
      <c r="DX842"/>
      <c r="DY842"/>
      <c r="DZ842"/>
      <c r="EA842"/>
      <c r="EB842"/>
      <c r="EC842"/>
      <c r="ED842"/>
      <c r="EE842"/>
      <c r="EF842"/>
      <c r="EG842"/>
      <c r="EH842"/>
      <c r="EI842"/>
      <c r="EJ842"/>
      <c r="EK842"/>
      <c r="EL842"/>
      <c r="EM842"/>
      <c r="EN842"/>
      <c r="EO842"/>
      <c r="EP842"/>
      <c r="EQ842"/>
      <c r="ER842"/>
      <c r="ES842"/>
      <c r="ET842"/>
      <c r="EU842"/>
      <c r="EV842"/>
      <c r="EW842"/>
      <c r="EX842"/>
      <c r="EY842"/>
      <c r="EZ842"/>
      <c r="FA842"/>
      <c r="FB842"/>
      <c r="FC842"/>
      <c r="FD842"/>
      <c r="FE842"/>
      <c r="FF842"/>
      <c r="FG842"/>
      <c r="FH842"/>
      <c r="FI842"/>
      <c r="FJ842"/>
      <c r="FK842"/>
      <c r="FL842"/>
      <c r="FM842"/>
      <c r="FN842"/>
      <c r="FO842"/>
      <c r="FP842"/>
      <c r="FQ842"/>
      <c r="FR842"/>
      <c r="FS842"/>
      <c r="FT842"/>
      <c r="FU842"/>
      <c r="FV842"/>
      <c r="FW842"/>
      <c r="FX842"/>
      <c r="FY842"/>
      <c r="FZ842"/>
      <c r="GA842"/>
      <c r="GB842"/>
      <c r="GC842"/>
      <c r="GD842"/>
      <c r="GE842"/>
      <c r="GF842"/>
      <c r="GG842"/>
      <c r="GH842"/>
      <c r="GI842"/>
      <c r="GJ842"/>
      <c r="GK842"/>
      <c r="GL842"/>
      <c r="GM842"/>
      <c r="GN842"/>
      <c r="GO842"/>
      <c r="GP842"/>
      <c r="GQ842"/>
      <c r="GR842"/>
      <c r="GS842"/>
      <c r="GT842"/>
      <c r="GU842"/>
      <c r="GV842"/>
      <c r="GW842"/>
      <c r="GX842"/>
      <c r="GY842"/>
      <c r="GZ842"/>
      <c r="HA842"/>
      <c r="HB842"/>
      <c r="HC842"/>
      <c r="HD842"/>
      <c r="HE842"/>
      <c r="HF842"/>
      <c r="HG842"/>
      <c r="HH842"/>
      <c r="HI842"/>
      <c r="HJ842"/>
      <c r="HK842"/>
      <c r="HL842"/>
      <c r="HM842"/>
      <c r="HN842"/>
      <c r="HO842"/>
      <c r="HP842"/>
      <c r="HQ842"/>
      <c r="HR842"/>
      <c r="HS842"/>
      <c r="HT842"/>
      <c r="HU842"/>
      <c r="HV842"/>
      <c r="HW842"/>
      <c r="HX842"/>
      <c r="HY842"/>
      <c r="HZ842"/>
      <c r="IA842"/>
      <c r="IB842"/>
      <c r="IC842"/>
      <c r="ID842"/>
      <c r="IE842"/>
      <c r="IF842"/>
      <c r="IG842"/>
      <c r="IH842"/>
      <c r="II842"/>
      <c r="IJ842"/>
    </row>
    <row r="843" spans="1:244" ht="30" customHeight="1" x14ac:dyDescent="0.2">
      <c r="A843" s="2391"/>
      <c r="B843" s="2083" t="s">
        <v>1969</v>
      </c>
      <c r="C843" s="2075">
        <v>2300000</v>
      </c>
      <c r="D843" s="2075">
        <f>2300000-200000</f>
        <v>2100000</v>
      </c>
      <c r="E843" s="2075"/>
      <c r="F843" s="2075"/>
      <c r="G843" s="2200"/>
      <c r="H843" s="2200"/>
      <c r="I843" s="2201"/>
      <c r="J843" s="88">
        <v>2000000</v>
      </c>
      <c r="K843" s="2"/>
      <c r="L843"/>
      <c r="M843"/>
      <c r="N843"/>
      <c r="O843"/>
      <c r="P843"/>
      <c r="Q843"/>
      <c r="R843"/>
      <c r="S843"/>
      <c r="T843"/>
      <c r="U843"/>
      <c r="V843"/>
      <c r="W843"/>
      <c r="X843"/>
      <c r="Y843"/>
      <c r="Z843"/>
      <c r="AA843"/>
      <c r="AB843"/>
      <c r="AC843"/>
      <c r="AD843"/>
      <c r="AE843"/>
      <c r="AF843"/>
      <c r="AG843"/>
      <c r="AH843"/>
      <c r="AI843"/>
      <c r="AJ843"/>
      <c r="AK843"/>
      <c r="AL843"/>
      <c r="AM843"/>
      <c r="AN843"/>
      <c r="AO843"/>
      <c r="AP843"/>
      <c r="AQ843"/>
      <c r="AR843"/>
      <c r="AS843"/>
      <c r="AT843"/>
      <c r="AU843"/>
      <c r="AV843"/>
      <c r="AW843"/>
      <c r="AX843"/>
      <c r="AY843"/>
      <c r="AZ843"/>
      <c r="BA843"/>
      <c r="BB843"/>
      <c r="BC843"/>
      <c r="BD843"/>
      <c r="BE843"/>
      <c r="BF843"/>
      <c r="BG843"/>
      <c r="BH843"/>
      <c r="BI843"/>
      <c r="BJ843"/>
      <c r="BK843"/>
      <c r="BL843"/>
      <c r="BM843"/>
      <c r="BN843"/>
      <c r="BO843"/>
      <c r="BP843"/>
      <c r="BQ843"/>
      <c r="BR843"/>
      <c r="BS843"/>
      <c r="BT843"/>
      <c r="BU843"/>
      <c r="BV843"/>
      <c r="BW843"/>
      <c r="BX843"/>
      <c r="BY843"/>
      <c r="BZ843"/>
      <c r="CA843"/>
      <c r="CB843"/>
      <c r="CC843"/>
      <c r="CD843"/>
      <c r="CE843"/>
      <c r="CF843"/>
      <c r="CG843"/>
      <c r="CH843"/>
      <c r="CI843"/>
      <c r="CJ843"/>
      <c r="CK843"/>
      <c r="CL843"/>
      <c r="CM843"/>
      <c r="CN843"/>
      <c r="CO843"/>
      <c r="CP843"/>
      <c r="CQ843"/>
      <c r="CR843"/>
      <c r="CS843"/>
      <c r="CT843"/>
      <c r="CU843"/>
      <c r="CV843"/>
      <c r="CW843"/>
      <c r="CX843"/>
      <c r="CY843"/>
      <c r="CZ843"/>
      <c r="DA843"/>
      <c r="DB843"/>
      <c r="DC843"/>
      <c r="DD843"/>
      <c r="DE843"/>
      <c r="DF843"/>
      <c r="DG843"/>
      <c r="DH843"/>
      <c r="DI843"/>
      <c r="DJ843"/>
      <c r="DK843"/>
      <c r="DL843"/>
      <c r="DM843"/>
      <c r="DN843"/>
      <c r="DO843"/>
      <c r="DP843"/>
      <c r="DQ843"/>
      <c r="DR843"/>
      <c r="DS843"/>
      <c r="DT843"/>
      <c r="DU843"/>
      <c r="DV843"/>
      <c r="DW843"/>
      <c r="DX843"/>
      <c r="DY843"/>
      <c r="DZ843"/>
      <c r="EA843"/>
      <c r="EB843"/>
      <c r="EC843"/>
      <c r="ED843"/>
      <c r="EE843"/>
      <c r="EF843"/>
      <c r="EG843"/>
      <c r="EH843"/>
      <c r="EI843"/>
      <c r="EJ843"/>
      <c r="EK843"/>
      <c r="EL843"/>
      <c r="EM843"/>
      <c r="EN843"/>
      <c r="EO843"/>
      <c r="EP843"/>
      <c r="EQ843"/>
      <c r="ER843"/>
      <c r="ES843"/>
      <c r="ET843"/>
      <c r="EU843"/>
      <c r="EV843"/>
      <c r="EW843"/>
      <c r="EX843"/>
      <c r="EY843"/>
      <c r="EZ843"/>
      <c r="FA843"/>
      <c r="FB843"/>
      <c r="FC843"/>
      <c r="FD843"/>
      <c r="FE843"/>
      <c r="FF843"/>
      <c r="FG843"/>
      <c r="FH843"/>
      <c r="FI843"/>
      <c r="FJ843"/>
      <c r="FK843"/>
      <c r="FL843"/>
      <c r="FM843"/>
      <c r="FN843"/>
      <c r="FO843"/>
      <c r="FP843"/>
      <c r="FQ843"/>
      <c r="FR843"/>
      <c r="FS843"/>
      <c r="FT843"/>
      <c r="FU843"/>
      <c r="FV843"/>
      <c r="FW843"/>
      <c r="FX843"/>
      <c r="FY843"/>
      <c r="FZ843"/>
      <c r="GA843"/>
      <c r="GB843"/>
      <c r="GC843"/>
      <c r="GD843"/>
      <c r="GE843"/>
      <c r="GF843"/>
      <c r="GG843"/>
      <c r="GH843"/>
      <c r="GI843"/>
      <c r="GJ843"/>
      <c r="GK843"/>
      <c r="GL843"/>
      <c r="GM843"/>
      <c r="GN843"/>
      <c r="GO843"/>
      <c r="GP843"/>
      <c r="GQ843"/>
      <c r="GR843"/>
      <c r="GS843"/>
      <c r="GT843"/>
      <c r="GU843"/>
      <c r="GV843"/>
      <c r="GW843"/>
      <c r="GX843"/>
      <c r="GY843"/>
      <c r="GZ843"/>
      <c r="HA843"/>
      <c r="HB843"/>
      <c r="HC843"/>
      <c r="HD843"/>
      <c r="HE843"/>
      <c r="HF843"/>
      <c r="HG843"/>
      <c r="HH843"/>
      <c r="HI843"/>
      <c r="HJ843"/>
      <c r="HK843"/>
      <c r="HL843"/>
      <c r="HM843"/>
      <c r="HN843"/>
      <c r="HO843"/>
      <c r="HP843"/>
      <c r="HQ843"/>
      <c r="HR843"/>
      <c r="HS843"/>
      <c r="HT843"/>
      <c r="HU843"/>
      <c r="HV843"/>
      <c r="HW843"/>
      <c r="HX843"/>
      <c r="HY843"/>
      <c r="HZ843"/>
      <c r="IA843"/>
      <c r="IB843"/>
      <c r="IC843"/>
      <c r="ID843"/>
      <c r="IE843"/>
      <c r="IF843"/>
      <c r="IG843"/>
      <c r="IH843"/>
      <c r="II843"/>
      <c r="IJ843"/>
    </row>
    <row r="844" spans="1:244" ht="30" customHeight="1" x14ac:dyDescent="0.2">
      <c r="A844" s="2391"/>
      <c r="B844" s="2083" t="s">
        <v>2554</v>
      </c>
      <c r="C844" s="2075">
        <v>200000</v>
      </c>
      <c r="D844" s="2075">
        <v>200000</v>
      </c>
      <c r="E844" s="2075"/>
      <c r="F844" s="2075"/>
      <c r="G844" s="2200"/>
      <c r="H844" s="2200"/>
      <c r="I844" s="2201"/>
      <c r="J844" s="88">
        <v>0</v>
      </c>
      <c r="K844" s="2"/>
      <c r="L844"/>
      <c r="M844"/>
      <c r="N844"/>
      <c r="O844"/>
      <c r="P844"/>
      <c r="Q844"/>
      <c r="R844"/>
      <c r="S844"/>
      <c r="T844"/>
      <c r="U844"/>
      <c r="V844"/>
      <c r="W844"/>
      <c r="X844"/>
      <c r="Y844"/>
      <c r="Z844"/>
      <c r="AA844"/>
      <c r="AB844"/>
      <c r="AC844"/>
      <c r="AD844"/>
      <c r="AE844"/>
      <c r="AF844"/>
      <c r="AG844"/>
      <c r="AH844"/>
      <c r="AI844"/>
      <c r="AJ844"/>
      <c r="AK844"/>
      <c r="AL844"/>
      <c r="AM844"/>
      <c r="AN844"/>
      <c r="AO844"/>
      <c r="AP844"/>
      <c r="AQ844"/>
      <c r="AR844"/>
      <c r="AS844"/>
      <c r="AT844"/>
      <c r="AU844"/>
      <c r="AV844"/>
      <c r="AW844"/>
      <c r="AX844"/>
      <c r="AY844"/>
      <c r="AZ844"/>
      <c r="BA844"/>
      <c r="BB844"/>
      <c r="BC844"/>
      <c r="BD844"/>
      <c r="BE844"/>
      <c r="BF844"/>
      <c r="BG844"/>
      <c r="BH844"/>
      <c r="BI844"/>
      <c r="BJ844"/>
      <c r="BK844"/>
      <c r="BL844"/>
      <c r="BM844"/>
      <c r="BN844"/>
      <c r="BO844"/>
      <c r="BP844"/>
      <c r="BQ844"/>
      <c r="BR844"/>
      <c r="BS844"/>
      <c r="BT844"/>
      <c r="BU844"/>
      <c r="BV844"/>
      <c r="BW844"/>
      <c r="BX844"/>
      <c r="BY844"/>
      <c r="BZ844"/>
      <c r="CA844"/>
      <c r="CB844"/>
      <c r="CC844"/>
      <c r="CD844"/>
      <c r="CE844"/>
      <c r="CF844"/>
      <c r="CG844"/>
      <c r="CH844"/>
      <c r="CI844"/>
      <c r="CJ844"/>
      <c r="CK844"/>
      <c r="CL844"/>
      <c r="CM844"/>
      <c r="CN844"/>
      <c r="CO844"/>
      <c r="CP844"/>
      <c r="CQ844"/>
      <c r="CR844"/>
      <c r="CS844"/>
      <c r="CT844"/>
      <c r="CU844"/>
      <c r="CV844"/>
      <c r="CW844"/>
      <c r="CX844"/>
      <c r="CY844"/>
      <c r="CZ844"/>
      <c r="DA844"/>
      <c r="DB844"/>
      <c r="DC844"/>
      <c r="DD844"/>
      <c r="DE844"/>
      <c r="DF844"/>
      <c r="DG844"/>
      <c r="DH844"/>
      <c r="DI844"/>
      <c r="DJ844"/>
      <c r="DK844"/>
      <c r="DL844"/>
      <c r="DM844"/>
      <c r="DN844"/>
      <c r="DO844"/>
      <c r="DP844"/>
      <c r="DQ844"/>
      <c r="DR844"/>
      <c r="DS844"/>
      <c r="DT844"/>
      <c r="DU844"/>
      <c r="DV844"/>
      <c r="DW844"/>
      <c r="DX844"/>
      <c r="DY844"/>
      <c r="DZ844"/>
      <c r="EA844"/>
      <c r="EB844"/>
      <c r="EC844"/>
      <c r="ED844"/>
      <c r="EE844"/>
      <c r="EF844"/>
      <c r="EG844"/>
      <c r="EH844"/>
      <c r="EI844"/>
      <c r="EJ844"/>
      <c r="EK844"/>
      <c r="EL844"/>
      <c r="EM844"/>
      <c r="EN844"/>
      <c r="EO844"/>
      <c r="EP844"/>
      <c r="EQ844"/>
      <c r="ER844"/>
      <c r="ES844"/>
      <c r="ET844"/>
      <c r="EU844"/>
      <c r="EV844"/>
      <c r="EW844"/>
      <c r="EX844"/>
      <c r="EY844"/>
      <c r="EZ844"/>
      <c r="FA844"/>
      <c r="FB844"/>
      <c r="FC844"/>
      <c r="FD844"/>
      <c r="FE844"/>
      <c r="FF844"/>
      <c r="FG844"/>
      <c r="FH844"/>
      <c r="FI844"/>
      <c r="FJ844"/>
      <c r="FK844"/>
      <c r="FL844"/>
      <c r="FM844"/>
      <c r="FN844"/>
      <c r="FO844"/>
      <c r="FP844"/>
      <c r="FQ844"/>
      <c r="FR844"/>
      <c r="FS844"/>
      <c r="FT844"/>
      <c r="FU844"/>
      <c r="FV844"/>
      <c r="FW844"/>
      <c r="FX844"/>
      <c r="FY844"/>
      <c r="FZ844"/>
      <c r="GA844"/>
      <c r="GB844"/>
      <c r="GC844"/>
      <c r="GD844"/>
      <c r="GE844"/>
      <c r="GF844"/>
      <c r="GG844"/>
      <c r="GH844"/>
      <c r="GI844"/>
      <c r="GJ844"/>
      <c r="GK844"/>
      <c r="GL844"/>
      <c r="GM844"/>
      <c r="GN844"/>
      <c r="GO844"/>
      <c r="GP844"/>
      <c r="GQ844"/>
      <c r="GR844"/>
      <c r="GS844"/>
      <c r="GT844"/>
      <c r="GU844"/>
      <c r="GV844"/>
      <c r="GW844"/>
      <c r="GX844"/>
      <c r="GY844"/>
      <c r="GZ844"/>
      <c r="HA844"/>
      <c r="HB844"/>
      <c r="HC844"/>
      <c r="HD844"/>
      <c r="HE844"/>
      <c r="HF844"/>
      <c r="HG844"/>
      <c r="HH844"/>
      <c r="HI844"/>
      <c r="HJ844"/>
      <c r="HK844"/>
      <c r="HL844"/>
      <c r="HM844"/>
      <c r="HN844"/>
      <c r="HO844"/>
      <c r="HP844"/>
      <c r="HQ844"/>
      <c r="HR844"/>
      <c r="HS844"/>
      <c r="HT844"/>
      <c r="HU844"/>
      <c r="HV844"/>
      <c r="HW844"/>
      <c r="HX844"/>
      <c r="HY844"/>
      <c r="HZ844"/>
      <c r="IA844"/>
      <c r="IB844"/>
      <c r="IC844"/>
      <c r="ID844"/>
      <c r="IE844"/>
      <c r="IF844"/>
      <c r="IG844"/>
      <c r="IH844"/>
      <c r="II844"/>
      <c r="IJ844"/>
    </row>
    <row r="845" spans="1:244" ht="30" customHeight="1" x14ac:dyDescent="0.2">
      <c r="A845" s="2391"/>
      <c r="B845" s="2088" t="s">
        <v>911</v>
      </c>
      <c r="C845" s="2075">
        <v>20000</v>
      </c>
      <c r="D845" s="2075">
        <v>20000</v>
      </c>
      <c r="E845" s="2075"/>
      <c r="F845" s="2075"/>
      <c r="G845" s="2200"/>
      <c r="H845" s="2200"/>
      <c r="I845" s="2201"/>
      <c r="J845" s="88">
        <v>16940</v>
      </c>
      <c r="K845" s="2"/>
      <c r="L845"/>
      <c r="M845"/>
      <c r="N845"/>
      <c r="O845"/>
      <c r="P845"/>
      <c r="Q845"/>
      <c r="R845"/>
      <c r="S845"/>
      <c r="T845"/>
      <c r="U845"/>
      <c r="V845"/>
      <c r="W845"/>
      <c r="X845"/>
      <c r="Y845"/>
      <c r="Z845"/>
      <c r="AA845"/>
      <c r="AB845"/>
      <c r="AC845"/>
      <c r="AD845"/>
      <c r="AE845"/>
      <c r="AF845"/>
      <c r="AG845"/>
      <c r="AH845"/>
      <c r="AI845"/>
      <c r="AJ845"/>
      <c r="AK845"/>
      <c r="AL845"/>
      <c r="AM845"/>
      <c r="AN845"/>
      <c r="AO845"/>
      <c r="AP845"/>
      <c r="AQ845"/>
      <c r="AR845"/>
      <c r="AS845"/>
      <c r="AT845"/>
      <c r="AU845"/>
      <c r="AV845"/>
      <c r="AW845"/>
      <c r="AX845"/>
      <c r="AY845"/>
      <c r="AZ845"/>
      <c r="BA845"/>
      <c r="BB845"/>
      <c r="BC845"/>
      <c r="BD845"/>
      <c r="BE845"/>
      <c r="BF845"/>
      <c r="BG845"/>
      <c r="BH845"/>
      <c r="BI845"/>
      <c r="BJ845"/>
      <c r="BK845"/>
      <c r="BL845"/>
      <c r="BM845"/>
      <c r="BN845"/>
      <c r="BO845"/>
      <c r="BP845"/>
      <c r="BQ845"/>
      <c r="BR845"/>
      <c r="BS845"/>
      <c r="BT845"/>
      <c r="BU845"/>
      <c r="BV845"/>
      <c r="BW845"/>
      <c r="BX845"/>
      <c r="BY845"/>
      <c r="BZ845"/>
      <c r="CA845"/>
      <c r="CB845"/>
      <c r="CC845"/>
      <c r="CD845"/>
      <c r="CE845"/>
      <c r="CF845"/>
      <c r="CG845"/>
      <c r="CH845"/>
      <c r="CI845"/>
      <c r="CJ845"/>
      <c r="CK845"/>
      <c r="CL845"/>
      <c r="CM845"/>
      <c r="CN845"/>
      <c r="CO845"/>
      <c r="CP845"/>
      <c r="CQ845"/>
      <c r="CR845"/>
      <c r="CS845"/>
      <c r="CT845"/>
      <c r="CU845"/>
      <c r="CV845"/>
      <c r="CW845"/>
      <c r="CX845"/>
      <c r="CY845"/>
      <c r="CZ845"/>
      <c r="DA845"/>
      <c r="DB845"/>
      <c r="DC845"/>
      <c r="DD845"/>
      <c r="DE845"/>
      <c r="DF845"/>
      <c r="DG845"/>
      <c r="DH845"/>
      <c r="DI845"/>
      <c r="DJ845"/>
      <c r="DK845"/>
      <c r="DL845"/>
      <c r="DM845"/>
      <c r="DN845"/>
      <c r="DO845"/>
      <c r="DP845"/>
      <c r="DQ845"/>
      <c r="DR845"/>
      <c r="DS845"/>
      <c r="DT845"/>
      <c r="DU845"/>
      <c r="DV845"/>
      <c r="DW845"/>
      <c r="DX845"/>
      <c r="DY845"/>
      <c r="DZ845"/>
      <c r="EA845"/>
      <c r="EB845"/>
      <c r="EC845"/>
      <c r="ED845"/>
      <c r="EE845"/>
      <c r="EF845"/>
      <c r="EG845"/>
      <c r="EH845"/>
      <c r="EI845"/>
      <c r="EJ845"/>
      <c r="EK845"/>
      <c r="EL845"/>
      <c r="EM845"/>
      <c r="EN845"/>
      <c r="EO845"/>
      <c r="EP845"/>
      <c r="EQ845"/>
      <c r="ER845"/>
      <c r="ES845"/>
      <c r="ET845"/>
      <c r="EU845"/>
      <c r="EV845"/>
      <c r="EW845"/>
      <c r="EX845"/>
      <c r="EY845"/>
      <c r="EZ845"/>
      <c r="FA845"/>
      <c r="FB845"/>
      <c r="FC845"/>
      <c r="FD845"/>
      <c r="FE845"/>
      <c r="FF845"/>
      <c r="FG845"/>
      <c r="FH845"/>
      <c r="FI845"/>
      <c r="FJ845"/>
      <c r="FK845"/>
      <c r="FL845"/>
      <c r="FM845"/>
      <c r="FN845"/>
      <c r="FO845"/>
      <c r="FP845"/>
      <c r="FQ845"/>
      <c r="FR845"/>
      <c r="FS845"/>
      <c r="FT845"/>
      <c r="FU845"/>
      <c r="FV845"/>
      <c r="FW845"/>
      <c r="FX845"/>
      <c r="FY845"/>
      <c r="FZ845"/>
      <c r="GA845"/>
      <c r="GB845"/>
      <c r="GC845"/>
      <c r="GD845"/>
      <c r="GE845"/>
      <c r="GF845"/>
      <c r="GG845"/>
      <c r="GH845"/>
      <c r="GI845"/>
      <c r="GJ845"/>
      <c r="GK845"/>
      <c r="GL845"/>
      <c r="GM845"/>
      <c r="GN845"/>
      <c r="GO845"/>
      <c r="GP845"/>
      <c r="GQ845"/>
      <c r="GR845"/>
      <c r="GS845"/>
      <c r="GT845"/>
      <c r="GU845"/>
      <c r="GV845"/>
      <c r="GW845"/>
      <c r="GX845"/>
      <c r="GY845"/>
      <c r="GZ845"/>
      <c r="HA845"/>
      <c r="HB845"/>
      <c r="HC845"/>
      <c r="HD845"/>
      <c r="HE845"/>
      <c r="HF845"/>
      <c r="HG845"/>
      <c r="HH845"/>
      <c r="HI845"/>
      <c r="HJ845"/>
      <c r="HK845"/>
      <c r="HL845"/>
      <c r="HM845"/>
      <c r="HN845"/>
      <c r="HO845"/>
      <c r="HP845"/>
      <c r="HQ845"/>
      <c r="HR845"/>
      <c r="HS845"/>
      <c r="HT845"/>
      <c r="HU845"/>
      <c r="HV845"/>
      <c r="HW845"/>
      <c r="HX845"/>
      <c r="HY845"/>
      <c r="HZ845"/>
      <c r="IA845"/>
      <c r="IB845"/>
      <c r="IC845"/>
      <c r="ID845"/>
      <c r="IE845"/>
      <c r="IF845"/>
      <c r="IG845"/>
      <c r="IH845"/>
      <c r="II845"/>
      <c r="IJ845"/>
    </row>
    <row r="846" spans="1:244" ht="30" customHeight="1" x14ac:dyDescent="0.2">
      <c r="A846" s="2464"/>
      <c r="B846" s="2087" t="s">
        <v>913</v>
      </c>
      <c r="C846" s="2082">
        <f>C848+C855+C847</f>
        <v>5542000</v>
      </c>
      <c r="D846" s="2082">
        <f>D848+D855+D847</f>
        <v>7141186.0099999998</v>
      </c>
      <c r="E846" s="2082"/>
      <c r="F846" s="2082"/>
      <c r="G846" s="2459"/>
      <c r="H846" s="2459"/>
      <c r="I846" s="2460"/>
      <c r="J846" s="88">
        <v>3194572.5</v>
      </c>
      <c r="K846" s="2"/>
      <c r="L846"/>
      <c r="M846"/>
      <c r="N846"/>
      <c r="O846"/>
      <c r="P846"/>
      <c r="Q846"/>
      <c r="R846"/>
      <c r="S846"/>
      <c r="T846"/>
      <c r="U846"/>
      <c r="V846"/>
      <c r="W846"/>
      <c r="X846"/>
      <c r="Y846"/>
      <c r="Z846"/>
      <c r="AA846"/>
      <c r="AB846"/>
      <c r="AC846"/>
      <c r="AD846"/>
      <c r="AE846"/>
      <c r="AF846"/>
      <c r="AG846"/>
      <c r="AH846"/>
      <c r="AI846"/>
      <c r="AJ846"/>
      <c r="AK846"/>
      <c r="AL846"/>
      <c r="AM846"/>
      <c r="AN846"/>
      <c r="AO846"/>
      <c r="AP846"/>
      <c r="AQ846"/>
      <c r="AR846"/>
      <c r="AS846"/>
      <c r="AT846"/>
      <c r="AU846"/>
      <c r="AV846"/>
      <c r="AW846"/>
      <c r="AX846"/>
      <c r="AY846"/>
      <c r="AZ846"/>
      <c r="BA846"/>
      <c r="BB846"/>
      <c r="BC846"/>
      <c r="BD846"/>
      <c r="BE846"/>
      <c r="BF846"/>
      <c r="BG846"/>
      <c r="BH846"/>
      <c r="BI846"/>
      <c r="BJ846"/>
      <c r="BK846"/>
      <c r="BL846"/>
      <c r="BM846"/>
      <c r="BN846"/>
      <c r="BO846"/>
      <c r="BP846"/>
      <c r="BQ846"/>
      <c r="BR846"/>
      <c r="BS846"/>
      <c r="BT846"/>
      <c r="BU846"/>
      <c r="BV846"/>
      <c r="BW846"/>
      <c r="BX846"/>
      <c r="BY846"/>
      <c r="BZ846"/>
      <c r="CA846"/>
      <c r="CB846"/>
      <c r="CC846"/>
      <c r="CD846"/>
      <c r="CE846"/>
      <c r="CF846"/>
      <c r="CG846"/>
      <c r="CH846"/>
      <c r="CI846"/>
      <c r="CJ846"/>
      <c r="CK846"/>
      <c r="CL846"/>
      <c r="CM846"/>
      <c r="CN846"/>
      <c r="CO846"/>
      <c r="CP846"/>
      <c r="CQ846"/>
      <c r="CR846"/>
      <c r="CS846"/>
      <c r="CT846"/>
      <c r="CU846"/>
      <c r="CV846"/>
      <c r="CW846"/>
      <c r="CX846"/>
      <c r="CY846"/>
      <c r="CZ846"/>
      <c r="DA846"/>
      <c r="DB846"/>
      <c r="DC846"/>
      <c r="DD846"/>
      <c r="DE846"/>
      <c r="DF846"/>
      <c r="DG846"/>
      <c r="DH846"/>
      <c r="DI846"/>
      <c r="DJ846"/>
      <c r="DK846"/>
      <c r="DL846"/>
      <c r="DM846"/>
      <c r="DN846"/>
      <c r="DO846"/>
      <c r="DP846"/>
      <c r="DQ846"/>
      <c r="DR846"/>
      <c r="DS846"/>
      <c r="DT846"/>
      <c r="DU846"/>
      <c r="DV846"/>
      <c r="DW846"/>
      <c r="DX846"/>
      <c r="DY846"/>
      <c r="DZ846"/>
      <c r="EA846"/>
      <c r="EB846"/>
      <c r="EC846"/>
      <c r="ED846"/>
      <c r="EE846"/>
      <c r="EF846"/>
      <c r="EG846"/>
      <c r="EH846"/>
      <c r="EI846"/>
      <c r="EJ846"/>
      <c r="EK846"/>
      <c r="EL846"/>
      <c r="EM846"/>
      <c r="EN846"/>
      <c r="EO846"/>
      <c r="EP846"/>
      <c r="EQ846"/>
      <c r="ER846"/>
      <c r="ES846"/>
      <c r="ET846"/>
      <c r="EU846"/>
      <c r="EV846"/>
      <c r="EW846"/>
      <c r="EX846"/>
      <c r="EY846"/>
      <c r="EZ846"/>
      <c r="FA846"/>
      <c r="FB846"/>
      <c r="FC846"/>
      <c r="FD846"/>
      <c r="FE846"/>
      <c r="FF846"/>
      <c r="FG846"/>
      <c r="FH846"/>
      <c r="FI846"/>
      <c r="FJ846"/>
      <c r="FK846"/>
      <c r="FL846"/>
      <c r="FM846"/>
      <c r="FN846"/>
      <c r="FO846"/>
      <c r="FP846"/>
      <c r="FQ846"/>
      <c r="FR846"/>
      <c r="FS846"/>
      <c r="FT846"/>
      <c r="FU846"/>
      <c r="FV846"/>
      <c r="FW846"/>
      <c r="FX846"/>
      <c r="FY846"/>
      <c r="FZ846"/>
      <c r="GA846"/>
      <c r="GB846"/>
      <c r="GC846"/>
      <c r="GD846"/>
      <c r="GE846"/>
      <c r="GF846"/>
      <c r="GG846"/>
      <c r="GH846"/>
      <c r="GI846"/>
      <c r="GJ846"/>
      <c r="GK846"/>
      <c r="GL846"/>
      <c r="GM846"/>
      <c r="GN846"/>
      <c r="GO846"/>
      <c r="GP846"/>
      <c r="GQ846"/>
      <c r="GR846"/>
      <c r="GS846"/>
      <c r="GT846"/>
      <c r="GU846"/>
      <c r="GV846"/>
      <c r="GW846"/>
      <c r="GX846"/>
      <c r="GY846"/>
      <c r="GZ846"/>
      <c r="HA846"/>
      <c r="HB846"/>
      <c r="HC846"/>
      <c r="HD846"/>
      <c r="HE846"/>
      <c r="HF846"/>
      <c r="HG846"/>
      <c r="HH846"/>
      <c r="HI846"/>
      <c r="HJ846"/>
      <c r="HK846"/>
      <c r="HL846"/>
      <c r="HM846"/>
      <c r="HN846"/>
      <c r="HO846"/>
      <c r="HP846"/>
      <c r="HQ846"/>
      <c r="HR846"/>
      <c r="HS846"/>
      <c r="HT846"/>
      <c r="HU846"/>
      <c r="HV846"/>
      <c r="HW846"/>
      <c r="HX846"/>
      <c r="HY846"/>
      <c r="HZ846"/>
      <c r="IA846"/>
      <c r="IB846"/>
      <c r="IC846"/>
      <c r="ID846"/>
      <c r="IE846"/>
      <c r="IF846"/>
      <c r="IG846"/>
      <c r="IH846"/>
      <c r="II846"/>
      <c r="IJ846"/>
    </row>
    <row r="847" spans="1:244" ht="30" customHeight="1" x14ac:dyDescent="0.2">
      <c r="A847" s="2464"/>
      <c r="B847" s="2080" t="s">
        <v>2555</v>
      </c>
      <c r="C847" s="2075">
        <f>310000+110000+72000</f>
        <v>492000</v>
      </c>
      <c r="D847" s="2075">
        <f>310000+110000+72000-310000+(-14.07-799.92)</f>
        <v>181186.01</v>
      </c>
      <c r="E847" s="2075"/>
      <c r="F847" s="2075"/>
      <c r="G847" s="2200"/>
      <c r="H847" s="2200"/>
      <c r="I847" s="2201"/>
      <c r="J847" s="32">
        <v>155480.93</v>
      </c>
      <c r="K847" s="2"/>
      <c r="L847"/>
      <c r="M847"/>
      <c r="N847"/>
      <c r="O847"/>
      <c r="P847"/>
      <c r="Q847"/>
      <c r="R847"/>
      <c r="S847"/>
      <c r="T847"/>
      <c r="U847"/>
      <c r="V847"/>
      <c r="W847"/>
      <c r="X847"/>
      <c r="Y847"/>
      <c r="Z847"/>
      <c r="AA847"/>
      <c r="AB847"/>
      <c r="AC847"/>
      <c r="AD847"/>
      <c r="AE847"/>
      <c r="AF847"/>
      <c r="AG847"/>
      <c r="AH847"/>
      <c r="AI847"/>
      <c r="AJ847"/>
      <c r="AK847"/>
      <c r="AL847"/>
      <c r="AM847"/>
      <c r="AN847"/>
      <c r="AO847"/>
      <c r="AP847"/>
      <c r="AQ847"/>
      <c r="AR847"/>
      <c r="AS847"/>
      <c r="AT847"/>
      <c r="AU847"/>
      <c r="AV847"/>
      <c r="AW847"/>
      <c r="AX847"/>
      <c r="AY847"/>
      <c r="AZ847"/>
      <c r="BA847"/>
      <c r="BB847"/>
      <c r="BC847"/>
      <c r="BD847"/>
      <c r="BE847"/>
      <c r="BF847"/>
      <c r="BG847"/>
      <c r="BH847"/>
      <c r="BI847"/>
      <c r="BJ847"/>
      <c r="BK847"/>
      <c r="BL847"/>
      <c r="BM847"/>
      <c r="BN847"/>
      <c r="BO847"/>
      <c r="BP847"/>
      <c r="BQ847"/>
      <c r="BR847"/>
      <c r="BS847"/>
      <c r="BT847"/>
      <c r="BU847"/>
      <c r="BV847"/>
      <c r="BW847"/>
      <c r="BX847"/>
      <c r="BY847"/>
      <c r="BZ847"/>
      <c r="CA847"/>
      <c r="CB847"/>
      <c r="CC847"/>
      <c r="CD847"/>
      <c r="CE847"/>
      <c r="CF847"/>
      <c r="CG847"/>
      <c r="CH847"/>
      <c r="CI847"/>
      <c r="CJ847"/>
      <c r="CK847"/>
      <c r="CL847"/>
      <c r="CM847"/>
      <c r="CN847"/>
      <c r="CO847"/>
      <c r="CP847"/>
      <c r="CQ847"/>
      <c r="CR847"/>
      <c r="CS847"/>
      <c r="CT847"/>
      <c r="CU847"/>
      <c r="CV847"/>
      <c r="CW847"/>
      <c r="CX847"/>
      <c r="CY847"/>
      <c r="CZ847"/>
      <c r="DA847"/>
      <c r="DB847"/>
      <c r="DC847"/>
      <c r="DD847"/>
      <c r="DE847"/>
      <c r="DF847"/>
      <c r="DG847"/>
      <c r="DH847"/>
      <c r="DI847"/>
      <c r="DJ847"/>
      <c r="DK847"/>
      <c r="DL847"/>
      <c r="DM847"/>
      <c r="DN847"/>
      <c r="DO847"/>
      <c r="DP847"/>
      <c r="DQ847"/>
      <c r="DR847"/>
      <c r="DS847"/>
      <c r="DT847"/>
      <c r="DU847"/>
      <c r="DV847"/>
      <c r="DW847"/>
      <c r="DX847"/>
      <c r="DY847"/>
      <c r="DZ847"/>
      <c r="EA847"/>
      <c r="EB847"/>
      <c r="EC847"/>
      <c r="ED847"/>
      <c r="EE847"/>
      <c r="EF847"/>
      <c r="EG847"/>
      <c r="EH847"/>
      <c r="EI847"/>
      <c r="EJ847"/>
      <c r="EK847"/>
      <c r="EL847"/>
      <c r="EM847"/>
      <c r="EN847"/>
      <c r="EO847"/>
      <c r="EP847"/>
      <c r="EQ847"/>
      <c r="ER847"/>
      <c r="ES847"/>
      <c r="ET847"/>
      <c r="EU847"/>
      <c r="EV847"/>
      <c r="EW847"/>
      <c r="EX847"/>
      <c r="EY847"/>
      <c r="EZ847"/>
      <c r="FA847"/>
      <c r="FB847"/>
      <c r="FC847"/>
      <c r="FD847"/>
      <c r="FE847"/>
      <c r="FF847"/>
      <c r="FG847"/>
      <c r="FH847"/>
      <c r="FI847"/>
      <c r="FJ847"/>
      <c r="FK847"/>
      <c r="FL847"/>
      <c r="FM847"/>
      <c r="FN847"/>
      <c r="FO847"/>
      <c r="FP847"/>
      <c r="FQ847"/>
      <c r="FR847"/>
      <c r="FS847"/>
      <c r="FT847"/>
      <c r="FU847"/>
      <c r="FV847"/>
      <c r="FW847"/>
      <c r="FX847"/>
      <c r="FY847"/>
      <c r="FZ847"/>
      <c r="GA847"/>
      <c r="GB847"/>
      <c r="GC847"/>
      <c r="GD847"/>
      <c r="GE847"/>
      <c r="GF847"/>
      <c r="GG847"/>
      <c r="GH847"/>
      <c r="GI847"/>
      <c r="GJ847"/>
      <c r="GK847"/>
      <c r="GL847"/>
      <c r="GM847"/>
      <c r="GN847"/>
      <c r="GO847"/>
      <c r="GP847"/>
      <c r="GQ847"/>
      <c r="GR847"/>
      <c r="GS847"/>
      <c r="GT847"/>
      <c r="GU847"/>
      <c r="GV847"/>
      <c r="GW847"/>
      <c r="GX847"/>
      <c r="GY847"/>
      <c r="GZ847"/>
      <c r="HA847"/>
      <c r="HB847"/>
      <c r="HC847"/>
      <c r="HD847"/>
      <c r="HE847"/>
      <c r="HF847"/>
      <c r="HG847"/>
      <c r="HH847"/>
      <c r="HI847"/>
      <c r="HJ847"/>
      <c r="HK847"/>
      <c r="HL847"/>
      <c r="HM847"/>
      <c r="HN847"/>
      <c r="HO847"/>
      <c r="HP847"/>
      <c r="HQ847"/>
      <c r="HR847"/>
      <c r="HS847"/>
      <c r="HT847"/>
      <c r="HU847"/>
      <c r="HV847"/>
      <c r="HW847"/>
      <c r="HX847"/>
      <c r="HY847"/>
      <c r="HZ847"/>
      <c r="IA847"/>
      <c r="IB847"/>
      <c r="IC847"/>
      <c r="ID847"/>
      <c r="IE847"/>
      <c r="IF847"/>
      <c r="IG847"/>
      <c r="IH847"/>
      <c r="II847"/>
      <c r="IJ847"/>
    </row>
    <row r="848" spans="1:244" ht="30" customHeight="1" x14ac:dyDescent="0.2">
      <c r="A848" s="2464"/>
      <c r="B848" s="2127" t="s">
        <v>2556</v>
      </c>
      <c r="C848" s="2085">
        <f>SUM(C849:C850)</f>
        <v>3400000</v>
      </c>
      <c r="D848" s="2085">
        <f>SUM(D849:D850)</f>
        <v>5360000</v>
      </c>
      <c r="E848" s="2085"/>
      <c r="F848" s="2075"/>
      <c r="G848" s="1663"/>
      <c r="H848" s="1663"/>
      <c r="I848" s="1662"/>
      <c r="J848" s="88">
        <v>2944803.67</v>
      </c>
      <c r="K848" s="2"/>
      <c r="L848"/>
      <c r="M848"/>
      <c r="N848"/>
      <c r="O848"/>
      <c r="P848"/>
      <c r="Q848"/>
      <c r="R848"/>
      <c r="S848"/>
      <c r="T848"/>
      <c r="U848"/>
      <c r="V848"/>
      <c r="W848"/>
      <c r="X848"/>
      <c r="Y848"/>
      <c r="Z848"/>
      <c r="AA848"/>
      <c r="AB848"/>
      <c r="AC848"/>
      <c r="AD848"/>
      <c r="AE848"/>
      <c r="AF848"/>
      <c r="AG848"/>
      <c r="AH848"/>
      <c r="AI848"/>
      <c r="AJ848"/>
      <c r="AK848"/>
      <c r="AL848"/>
      <c r="AM848"/>
      <c r="AN848"/>
      <c r="AO848"/>
      <c r="AP848"/>
      <c r="AQ848"/>
      <c r="AR848"/>
      <c r="AS848"/>
      <c r="AT848"/>
      <c r="AU848"/>
      <c r="AV848"/>
      <c r="AW848"/>
      <c r="AX848"/>
      <c r="AY848"/>
      <c r="AZ848"/>
      <c r="BA848"/>
      <c r="BB848"/>
      <c r="BC848"/>
      <c r="BD848"/>
      <c r="BE848"/>
      <c r="BF848"/>
      <c r="BG848"/>
      <c r="BH848"/>
      <c r="BI848"/>
      <c r="BJ848"/>
      <c r="BK848"/>
      <c r="BL848"/>
      <c r="BM848"/>
      <c r="BN848"/>
      <c r="BO848"/>
      <c r="BP848"/>
      <c r="BQ848"/>
      <c r="BR848"/>
      <c r="BS848"/>
      <c r="BT848"/>
      <c r="BU848"/>
      <c r="BV848"/>
      <c r="BW848"/>
      <c r="BX848"/>
      <c r="BY848"/>
      <c r="BZ848"/>
      <c r="CA848"/>
      <c r="CB848"/>
      <c r="CC848"/>
      <c r="CD848"/>
      <c r="CE848"/>
      <c r="CF848"/>
      <c r="CG848"/>
      <c r="CH848"/>
      <c r="CI848"/>
      <c r="CJ848"/>
      <c r="CK848"/>
      <c r="CL848"/>
      <c r="CM848"/>
      <c r="CN848"/>
      <c r="CO848"/>
      <c r="CP848"/>
      <c r="CQ848"/>
      <c r="CR848"/>
      <c r="CS848"/>
      <c r="CT848"/>
      <c r="CU848"/>
      <c r="CV848"/>
      <c r="CW848"/>
      <c r="CX848"/>
      <c r="CY848"/>
      <c r="CZ848"/>
      <c r="DA848"/>
      <c r="DB848"/>
      <c r="DC848"/>
      <c r="DD848"/>
      <c r="DE848"/>
      <c r="DF848"/>
      <c r="DG848"/>
      <c r="DH848"/>
      <c r="DI848"/>
      <c r="DJ848"/>
      <c r="DK848"/>
      <c r="DL848"/>
      <c r="DM848"/>
      <c r="DN848"/>
      <c r="DO848"/>
      <c r="DP848"/>
      <c r="DQ848"/>
      <c r="DR848"/>
      <c r="DS848"/>
      <c r="DT848"/>
      <c r="DU848"/>
      <c r="DV848"/>
      <c r="DW848"/>
      <c r="DX848"/>
      <c r="DY848"/>
      <c r="DZ848"/>
      <c r="EA848"/>
      <c r="EB848"/>
      <c r="EC848"/>
      <c r="ED848"/>
      <c r="EE848"/>
      <c r="EF848"/>
      <c r="EG848"/>
      <c r="EH848"/>
      <c r="EI848"/>
      <c r="EJ848"/>
      <c r="EK848"/>
      <c r="EL848"/>
      <c r="EM848"/>
      <c r="EN848"/>
      <c r="EO848"/>
      <c r="EP848"/>
      <c r="EQ848"/>
      <c r="ER848"/>
      <c r="ES848"/>
      <c r="ET848"/>
      <c r="EU848"/>
      <c r="EV848"/>
      <c r="EW848"/>
      <c r="EX848"/>
      <c r="EY848"/>
      <c r="EZ848"/>
      <c r="FA848"/>
      <c r="FB848"/>
      <c r="FC848"/>
      <c r="FD848"/>
      <c r="FE848"/>
      <c r="FF848"/>
      <c r="FG848"/>
      <c r="FH848"/>
      <c r="FI848"/>
      <c r="FJ848"/>
      <c r="FK848"/>
      <c r="FL848"/>
      <c r="FM848"/>
      <c r="FN848"/>
      <c r="FO848"/>
      <c r="FP848"/>
      <c r="FQ848"/>
      <c r="FR848"/>
      <c r="FS848"/>
      <c r="FT848"/>
      <c r="FU848"/>
      <c r="FV848"/>
      <c r="FW848"/>
      <c r="FX848"/>
      <c r="FY848"/>
      <c r="FZ848"/>
      <c r="GA848"/>
      <c r="GB848"/>
      <c r="GC848"/>
      <c r="GD848"/>
      <c r="GE848"/>
      <c r="GF848"/>
      <c r="GG848"/>
      <c r="GH848"/>
      <c r="GI848"/>
      <c r="GJ848"/>
      <c r="GK848"/>
      <c r="GL848"/>
      <c r="GM848"/>
      <c r="GN848"/>
      <c r="GO848"/>
      <c r="GP848"/>
      <c r="GQ848"/>
      <c r="GR848"/>
      <c r="GS848"/>
      <c r="GT848"/>
      <c r="GU848"/>
      <c r="GV848"/>
      <c r="GW848"/>
      <c r="GX848"/>
      <c r="GY848"/>
      <c r="GZ848"/>
      <c r="HA848"/>
      <c r="HB848"/>
      <c r="HC848"/>
      <c r="HD848"/>
      <c r="HE848"/>
      <c r="HF848"/>
      <c r="HG848"/>
      <c r="HH848"/>
      <c r="HI848"/>
      <c r="HJ848"/>
      <c r="HK848"/>
      <c r="HL848"/>
      <c r="HM848"/>
      <c r="HN848"/>
      <c r="HO848"/>
      <c r="HP848"/>
      <c r="HQ848"/>
      <c r="HR848"/>
      <c r="HS848"/>
      <c r="HT848"/>
      <c r="HU848"/>
      <c r="HV848"/>
      <c r="HW848"/>
      <c r="HX848"/>
      <c r="HY848"/>
      <c r="HZ848"/>
      <c r="IA848"/>
      <c r="IB848"/>
      <c r="IC848"/>
      <c r="ID848"/>
      <c r="IE848"/>
      <c r="IF848"/>
      <c r="IG848"/>
      <c r="IH848"/>
      <c r="II848"/>
      <c r="IJ848"/>
    </row>
    <row r="849" spans="1:244" ht="30" customHeight="1" x14ac:dyDescent="0.2">
      <c r="A849" s="2464"/>
      <c r="B849" s="2128" t="s">
        <v>927</v>
      </c>
      <c r="C849" s="2075">
        <v>3000000</v>
      </c>
      <c r="D849" s="2075">
        <f>3000000-30000-20000+1000000+1000000-50000</f>
        <v>4900000</v>
      </c>
      <c r="E849" s="2075"/>
      <c r="F849" s="2075"/>
      <c r="G849" s="2200"/>
      <c r="H849" s="2200"/>
      <c r="I849" s="2201"/>
      <c r="J849" s="88">
        <v>2891927.5</v>
      </c>
      <c r="K849" s="2"/>
      <c r="L849"/>
      <c r="M849"/>
      <c r="N849"/>
      <c r="O849"/>
      <c r="P849"/>
      <c r="Q849"/>
      <c r="R849"/>
      <c r="S849"/>
      <c r="T849"/>
      <c r="U849"/>
      <c r="V849"/>
      <c r="W849"/>
      <c r="X849"/>
      <c r="Y849"/>
      <c r="Z849"/>
      <c r="AA849"/>
      <c r="AB849"/>
      <c r="AC849"/>
      <c r="AD849"/>
      <c r="AE849"/>
      <c r="AF849"/>
      <c r="AG849"/>
      <c r="AH849"/>
      <c r="AI849"/>
      <c r="AJ849"/>
      <c r="AK849"/>
      <c r="AL849"/>
      <c r="AM849"/>
      <c r="AN849"/>
      <c r="AO849"/>
      <c r="AP849"/>
      <c r="AQ849"/>
      <c r="AR849"/>
      <c r="AS849"/>
      <c r="AT849"/>
      <c r="AU849"/>
      <c r="AV849"/>
      <c r="AW849"/>
      <c r="AX849"/>
      <c r="AY849"/>
      <c r="AZ849"/>
      <c r="BA849"/>
      <c r="BB849"/>
      <c r="BC849"/>
      <c r="BD849"/>
      <c r="BE849"/>
      <c r="BF849"/>
      <c r="BG849"/>
      <c r="BH849"/>
      <c r="BI849"/>
      <c r="BJ849"/>
      <c r="BK849"/>
      <c r="BL849"/>
      <c r="BM849"/>
      <c r="BN849"/>
      <c r="BO849"/>
      <c r="BP849"/>
      <c r="BQ849"/>
      <c r="BR849"/>
      <c r="BS849"/>
      <c r="BT849"/>
      <c r="BU849"/>
      <c r="BV849"/>
      <c r="BW849"/>
      <c r="BX849"/>
      <c r="BY849"/>
      <c r="BZ849"/>
      <c r="CA849"/>
      <c r="CB849"/>
      <c r="CC849"/>
      <c r="CD849"/>
      <c r="CE849"/>
      <c r="CF849"/>
      <c r="CG849"/>
      <c r="CH849"/>
      <c r="CI849"/>
      <c r="CJ849"/>
      <c r="CK849"/>
      <c r="CL849"/>
      <c r="CM849"/>
      <c r="CN849"/>
      <c r="CO849"/>
      <c r="CP849"/>
      <c r="CQ849"/>
      <c r="CR849"/>
      <c r="CS849"/>
      <c r="CT849"/>
      <c r="CU849"/>
      <c r="CV849"/>
      <c r="CW849"/>
      <c r="CX849"/>
      <c r="CY849"/>
      <c r="CZ849"/>
      <c r="DA849"/>
      <c r="DB849"/>
      <c r="DC849"/>
      <c r="DD849"/>
      <c r="DE849"/>
      <c r="DF849"/>
      <c r="DG849"/>
      <c r="DH849"/>
      <c r="DI849"/>
      <c r="DJ849"/>
      <c r="DK849"/>
      <c r="DL849"/>
      <c r="DM849"/>
      <c r="DN849"/>
      <c r="DO849"/>
      <c r="DP849"/>
      <c r="DQ849"/>
      <c r="DR849"/>
      <c r="DS849"/>
      <c r="DT849"/>
      <c r="DU849"/>
      <c r="DV849"/>
      <c r="DW849"/>
      <c r="DX849"/>
      <c r="DY849"/>
      <c r="DZ849"/>
      <c r="EA849"/>
      <c r="EB849"/>
      <c r="EC849"/>
      <c r="ED849"/>
      <c r="EE849"/>
      <c r="EF849"/>
      <c r="EG849"/>
      <c r="EH849"/>
      <c r="EI849"/>
      <c r="EJ849"/>
      <c r="EK849"/>
      <c r="EL849"/>
      <c r="EM849"/>
      <c r="EN849"/>
      <c r="EO849"/>
      <c r="EP849"/>
      <c r="EQ849"/>
      <c r="ER849"/>
      <c r="ES849"/>
      <c r="ET849"/>
      <c r="EU849"/>
      <c r="EV849"/>
      <c r="EW849"/>
      <c r="EX849"/>
      <c r="EY849"/>
      <c r="EZ849"/>
      <c r="FA849"/>
      <c r="FB849"/>
      <c r="FC849"/>
      <c r="FD849"/>
      <c r="FE849"/>
      <c r="FF849"/>
      <c r="FG849"/>
      <c r="FH849"/>
      <c r="FI849"/>
      <c r="FJ849"/>
      <c r="FK849"/>
      <c r="FL849"/>
      <c r="FM849"/>
      <c r="FN849"/>
      <c r="FO849"/>
      <c r="FP849"/>
      <c r="FQ849"/>
      <c r="FR849"/>
      <c r="FS849"/>
      <c r="FT849"/>
      <c r="FU849"/>
      <c r="FV849"/>
      <c r="FW849"/>
      <c r="FX849"/>
      <c r="FY849"/>
      <c r="FZ849"/>
      <c r="GA849"/>
      <c r="GB849"/>
      <c r="GC849"/>
      <c r="GD849"/>
      <c r="GE849"/>
      <c r="GF849"/>
      <c r="GG849"/>
      <c r="GH849"/>
      <c r="GI849"/>
      <c r="GJ849"/>
      <c r="GK849"/>
      <c r="GL849"/>
      <c r="GM849"/>
      <c r="GN849"/>
      <c r="GO849"/>
      <c r="GP849"/>
      <c r="GQ849"/>
      <c r="GR849"/>
      <c r="GS849"/>
      <c r="GT849"/>
      <c r="GU849"/>
      <c r="GV849"/>
      <c r="GW849"/>
      <c r="GX849"/>
      <c r="GY849"/>
      <c r="GZ849"/>
      <c r="HA849"/>
      <c r="HB849"/>
      <c r="HC849"/>
      <c r="HD849"/>
      <c r="HE849"/>
      <c r="HF849"/>
      <c r="HG849"/>
      <c r="HH849"/>
      <c r="HI849"/>
      <c r="HJ849"/>
      <c r="HK849"/>
      <c r="HL849"/>
      <c r="HM849"/>
      <c r="HN849"/>
      <c r="HO849"/>
      <c r="HP849"/>
      <c r="HQ849"/>
      <c r="HR849"/>
      <c r="HS849"/>
      <c r="HT849"/>
      <c r="HU849"/>
      <c r="HV849"/>
      <c r="HW849"/>
      <c r="HX849"/>
      <c r="HY849"/>
      <c r="HZ849"/>
      <c r="IA849"/>
      <c r="IB849"/>
      <c r="IC849"/>
      <c r="ID849"/>
      <c r="IE849"/>
      <c r="IF849"/>
      <c r="IG849"/>
      <c r="IH849"/>
      <c r="II849"/>
      <c r="IJ849"/>
    </row>
    <row r="850" spans="1:244" ht="30" customHeight="1" x14ac:dyDescent="0.2">
      <c r="A850" s="2464"/>
      <c r="B850" s="2128" t="s">
        <v>1978</v>
      </c>
      <c r="C850" s="2075">
        <f>SUM(C851:C854)</f>
        <v>400000</v>
      </c>
      <c r="D850" s="2075">
        <f>SUM(D851:D854)</f>
        <v>460000</v>
      </c>
      <c r="E850" s="2075"/>
      <c r="F850" s="2075"/>
      <c r="G850" s="2200"/>
      <c r="H850" s="2200"/>
      <c r="I850" s="2201"/>
      <c r="J850" s="88">
        <v>52876.17</v>
      </c>
      <c r="K850" s="2"/>
      <c r="L850"/>
      <c r="M850"/>
      <c r="N850"/>
      <c r="O850"/>
      <c r="P850"/>
      <c r="Q850"/>
      <c r="R850"/>
      <c r="S850"/>
      <c r="T850"/>
      <c r="U850"/>
      <c r="V850"/>
      <c r="W850"/>
      <c r="X850"/>
      <c r="Y850"/>
      <c r="Z850"/>
      <c r="AA850"/>
      <c r="AB850"/>
      <c r="AC850"/>
      <c r="AD850"/>
      <c r="AE850"/>
      <c r="AF850"/>
      <c r="AG850"/>
      <c r="AH850"/>
      <c r="AI850"/>
      <c r="AJ850"/>
      <c r="AK850"/>
      <c r="AL850"/>
      <c r="AM850"/>
      <c r="AN850"/>
      <c r="AO850"/>
      <c r="AP850"/>
      <c r="AQ850"/>
      <c r="AR850"/>
      <c r="AS850"/>
      <c r="AT850"/>
      <c r="AU850"/>
      <c r="AV850"/>
      <c r="AW850"/>
      <c r="AX850"/>
      <c r="AY850"/>
      <c r="AZ850"/>
      <c r="BA850"/>
      <c r="BB850"/>
      <c r="BC850"/>
      <c r="BD850"/>
      <c r="BE850"/>
      <c r="BF850"/>
      <c r="BG850"/>
      <c r="BH850"/>
      <c r="BI850"/>
      <c r="BJ850"/>
      <c r="BK850"/>
      <c r="BL850"/>
      <c r="BM850"/>
      <c r="BN850"/>
      <c r="BO850"/>
      <c r="BP850"/>
      <c r="BQ850"/>
      <c r="BR850"/>
      <c r="BS850"/>
      <c r="BT850"/>
      <c r="BU850"/>
      <c r="BV850"/>
      <c r="BW850"/>
      <c r="BX850"/>
      <c r="BY850"/>
      <c r="BZ850"/>
      <c r="CA850"/>
      <c r="CB850"/>
      <c r="CC850"/>
      <c r="CD850"/>
      <c r="CE850"/>
      <c r="CF850"/>
      <c r="CG850"/>
      <c r="CH850"/>
      <c r="CI850"/>
      <c r="CJ850"/>
      <c r="CK850"/>
      <c r="CL850"/>
      <c r="CM850"/>
      <c r="CN850"/>
      <c r="CO850"/>
      <c r="CP850"/>
      <c r="CQ850"/>
      <c r="CR850"/>
      <c r="CS850"/>
      <c r="CT850"/>
      <c r="CU850"/>
      <c r="CV850"/>
      <c r="CW850"/>
      <c r="CX850"/>
      <c r="CY850"/>
      <c r="CZ850"/>
      <c r="DA850"/>
      <c r="DB850"/>
      <c r="DC850"/>
      <c r="DD850"/>
      <c r="DE850"/>
      <c r="DF850"/>
      <c r="DG850"/>
      <c r="DH850"/>
      <c r="DI850"/>
      <c r="DJ850"/>
      <c r="DK850"/>
      <c r="DL850"/>
      <c r="DM850"/>
      <c r="DN850"/>
      <c r="DO850"/>
      <c r="DP850"/>
      <c r="DQ850"/>
      <c r="DR850"/>
      <c r="DS850"/>
      <c r="DT850"/>
      <c r="DU850"/>
      <c r="DV850"/>
      <c r="DW850"/>
      <c r="DX850"/>
      <c r="DY850"/>
      <c r="DZ850"/>
      <c r="EA850"/>
      <c r="EB850"/>
      <c r="EC850"/>
      <c r="ED850"/>
      <c r="EE850"/>
      <c r="EF850"/>
      <c r="EG850"/>
      <c r="EH850"/>
      <c r="EI850"/>
      <c r="EJ850"/>
      <c r="EK850"/>
      <c r="EL850"/>
      <c r="EM850"/>
      <c r="EN850"/>
      <c r="EO850"/>
      <c r="EP850"/>
      <c r="EQ850"/>
      <c r="ER850"/>
      <c r="ES850"/>
      <c r="ET850"/>
      <c r="EU850"/>
      <c r="EV850"/>
      <c r="EW850"/>
      <c r="EX850"/>
      <c r="EY850"/>
      <c r="EZ850"/>
      <c r="FA850"/>
      <c r="FB850"/>
      <c r="FC850"/>
      <c r="FD850"/>
      <c r="FE850"/>
      <c r="FF850"/>
      <c r="FG850"/>
      <c r="FH850"/>
      <c r="FI850"/>
      <c r="FJ850"/>
      <c r="FK850"/>
      <c r="FL850"/>
      <c r="FM850"/>
      <c r="FN850"/>
      <c r="FO850"/>
      <c r="FP850"/>
      <c r="FQ850"/>
      <c r="FR850"/>
      <c r="FS850"/>
      <c r="FT850"/>
      <c r="FU850"/>
      <c r="FV850"/>
      <c r="FW850"/>
      <c r="FX850"/>
      <c r="FY850"/>
      <c r="FZ850"/>
      <c r="GA850"/>
      <c r="GB850"/>
      <c r="GC850"/>
      <c r="GD850"/>
      <c r="GE850"/>
      <c r="GF850"/>
      <c r="GG850"/>
      <c r="GH850"/>
      <c r="GI850"/>
      <c r="GJ850"/>
      <c r="GK850"/>
      <c r="GL850"/>
      <c r="GM850"/>
      <c r="GN850"/>
      <c r="GO850"/>
      <c r="GP850"/>
      <c r="GQ850"/>
      <c r="GR850"/>
      <c r="GS850"/>
      <c r="GT850"/>
      <c r="GU850"/>
      <c r="GV850"/>
      <c r="GW850"/>
      <c r="GX850"/>
      <c r="GY850"/>
      <c r="GZ850"/>
      <c r="HA850"/>
      <c r="HB850"/>
      <c r="HC850"/>
      <c r="HD850"/>
      <c r="HE850"/>
      <c r="HF850"/>
      <c r="HG850"/>
      <c r="HH850"/>
      <c r="HI850"/>
      <c r="HJ850"/>
      <c r="HK850"/>
      <c r="HL850"/>
      <c r="HM850"/>
      <c r="HN850"/>
      <c r="HO850"/>
      <c r="HP850"/>
      <c r="HQ850"/>
      <c r="HR850"/>
      <c r="HS850"/>
      <c r="HT850"/>
      <c r="HU850"/>
      <c r="HV850"/>
      <c r="HW850"/>
      <c r="HX850"/>
      <c r="HY850"/>
      <c r="HZ850"/>
      <c r="IA850"/>
      <c r="IB850"/>
      <c r="IC850"/>
      <c r="ID850"/>
      <c r="IE850"/>
      <c r="IF850"/>
      <c r="IG850"/>
      <c r="IH850"/>
      <c r="II850"/>
      <c r="IJ850"/>
    </row>
    <row r="851" spans="1:244" ht="30" customHeight="1" x14ac:dyDescent="0.2">
      <c r="A851" s="2391"/>
      <c r="B851" s="2088" t="s">
        <v>2557</v>
      </c>
      <c r="C851" s="2075">
        <v>100000</v>
      </c>
      <c r="D851" s="2075">
        <v>100000</v>
      </c>
      <c r="E851" s="2075"/>
      <c r="F851" s="2075"/>
      <c r="G851" s="2200"/>
      <c r="H851" s="2200"/>
      <c r="I851" s="2201"/>
      <c r="J851" s="88">
        <v>0</v>
      </c>
      <c r="K851" s="2"/>
      <c r="L851"/>
      <c r="M851"/>
      <c r="N851"/>
      <c r="O851"/>
      <c r="P851"/>
      <c r="Q851"/>
      <c r="R851"/>
      <c r="S851"/>
      <c r="T851"/>
      <c r="U851"/>
      <c r="V851"/>
      <c r="W851"/>
      <c r="X851"/>
      <c r="Y851"/>
      <c r="Z851"/>
      <c r="AA851"/>
      <c r="AB851"/>
      <c r="AC851"/>
      <c r="AD851"/>
      <c r="AE851"/>
      <c r="AF851"/>
      <c r="AG851"/>
      <c r="AH851"/>
      <c r="AI851"/>
      <c r="AJ851"/>
      <c r="AK851"/>
      <c r="AL851"/>
      <c r="AM851"/>
      <c r="AN851"/>
      <c r="AO851"/>
      <c r="AP851"/>
      <c r="AQ851"/>
      <c r="AR851"/>
      <c r="AS851"/>
      <c r="AT851"/>
      <c r="AU851"/>
      <c r="AV851"/>
      <c r="AW851"/>
      <c r="AX851"/>
      <c r="AY851"/>
      <c r="AZ851"/>
      <c r="BA851"/>
      <c r="BB851"/>
      <c r="BC851"/>
      <c r="BD851"/>
      <c r="BE851"/>
      <c r="BF851"/>
      <c r="BG851"/>
      <c r="BH851"/>
      <c r="BI851"/>
      <c r="BJ851"/>
      <c r="BK851"/>
      <c r="BL851"/>
      <c r="BM851"/>
      <c r="BN851"/>
      <c r="BO851"/>
      <c r="BP851"/>
      <c r="BQ851"/>
      <c r="BR851"/>
      <c r="BS851"/>
      <c r="BT851"/>
      <c r="BU851"/>
      <c r="BV851"/>
      <c r="BW851"/>
      <c r="BX851"/>
      <c r="BY851"/>
      <c r="BZ851"/>
      <c r="CA851"/>
      <c r="CB851"/>
      <c r="CC851"/>
      <c r="CD851"/>
      <c r="CE851"/>
      <c r="CF851"/>
      <c r="CG851"/>
      <c r="CH851"/>
      <c r="CI851"/>
      <c r="CJ851"/>
      <c r="CK851"/>
      <c r="CL851"/>
      <c r="CM851"/>
      <c r="CN851"/>
      <c r="CO851"/>
      <c r="CP851"/>
      <c r="CQ851"/>
      <c r="CR851"/>
      <c r="CS851"/>
      <c r="CT851"/>
      <c r="CU851"/>
      <c r="CV851"/>
      <c r="CW851"/>
      <c r="CX851"/>
      <c r="CY851"/>
      <c r="CZ851"/>
      <c r="DA851"/>
      <c r="DB851"/>
      <c r="DC851"/>
      <c r="DD851"/>
      <c r="DE851"/>
      <c r="DF851"/>
      <c r="DG851"/>
      <c r="DH851"/>
      <c r="DI851"/>
      <c r="DJ851"/>
      <c r="DK851"/>
      <c r="DL851"/>
      <c r="DM851"/>
      <c r="DN851"/>
      <c r="DO851"/>
      <c r="DP851"/>
      <c r="DQ851"/>
      <c r="DR851"/>
      <c r="DS851"/>
      <c r="DT851"/>
      <c r="DU851"/>
      <c r="DV851"/>
      <c r="DW851"/>
      <c r="DX851"/>
      <c r="DY851"/>
      <c r="DZ851"/>
      <c r="EA851"/>
      <c r="EB851"/>
      <c r="EC851"/>
      <c r="ED851"/>
      <c r="EE851"/>
      <c r="EF851"/>
      <c r="EG851"/>
      <c r="EH851"/>
      <c r="EI851"/>
      <c r="EJ851"/>
      <c r="EK851"/>
      <c r="EL851"/>
      <c r="EM851"/>
      <c r="EN851"/>
      <c r="EO851"/>
      <c r="EP851"/>
      <c r="EQ851"/>
      <c r="ER851"/>
      <c r="ES851"/>
      <c r="ET851"/>
      <c r="EU851"/>
      <c r="EV851"/>
      <c r="EW851"/>
      <c r="EX851"/>
      <c r="EY851"/>
      <c r="EZ851"/>
      <c r="FA851"/>
      <c r="FB851"/>
      <c r="FC851"/>
      <c r="FD851"/>
      <c r="FE851"/>
      <c r="FF851"/>
      <c r="FG851"/>
      <c r="FH851"/>
      <c r="FI851"/>
      <c r="FJ851"/>
      <c r="FK851"/>
      <c r="FL851"/>
      <c r="FM851"/>
      <c r="FN851"/>
      <c r="FO851"/>
      <c r="FP851"/>
      <c r="FQ851"/>
      <c r="FR851"/>
      <c r="FS851"/>
      <c r="FT851"/>
      <c r="FU851"/>
      <c r="FV851"/>
      <c r="FW851"/>
      <c r="FX851"/>
      <c r="FY851"/>
      <c r="FZ851"/>
      <c r="GA851"/>
      <c r="GB851"/>
      <c r="GC851"/>
      <c r="GD851"/>
      <c r="GE851"/>
      <c r="GF851"/>
      <c r="GG851"/>
      <c r="GH851"/>
      <c r="GI851"/>
      <c r="GJ851"/>
      <c r="GK851"/>
      <c r="GL851"/>
      <c r="GM851"/>
      <c r="GN851"/>
      <c r="GO851"/>
      <c r="GP851"/>
      <c r="GQ851"/>
      <c r="GR851"/>
      <c r="GS851"/>
      <c r="GT851"/>
      <c r="GU851"/>
      <c r="GV851"/>
      <c r="GW851"/>
      <c r="GX851"/>
      <c r="GY851"/>
      <c r="GZ851"/>
      <c r="HA851"/>
      <c r="HB851"/>
      <c r="HC851"/>
      <c r="HD851"/>
      <c r="HE851"/>
      <c r="HF851"/>
      <c r="HG851"/>
      <c r="HH851"/>
      <c r="HI851"/>
      <c r="HJ851"/>
      <c r="HK851"/>
      <c r="HL851"/>
      <c r="HM851"/>
      <c r="HN851"/>
      <c r="HO851"/>
      <c r="HP851"/>
      <c r="HQ851"/>
      <c r="HR851"/>
      <c r="HS851"/>
      <c r="HT851"/>
      <c r="HU851"/>
      <c r="HV851"/>
      <c r="HW851"/>
      <c r="HX851"/>
      <c r="HY851"/>
      <c r="HZ851"/>
      <c r="IA851"/>
      <c r="IB851"/>
      <c r="IC851"/>
      <c r="ID851"/>
      <c r="IE851"/>
      <c r="IF851"/>
      <c r="IG851"/>
      <c r="IH851"/>
      <c r="II851"/>
      <c r="IJ851"/>
    </row>
    <row r="852" spans="1:244" ht="30" customHeight="1" x14ac:dyDescent="0.2">
      <c r="A852" s="2464"/>
      <c r="B852" s="2113" t="s">
        <v>2558</v>
      </c>
      <c r="C852" s="2075">
        <v>200000</v>
      </c>
      <c r="D852" s="2075">
        <v>200000</v>
      </c>
      <c r="E852" s="2075"/>
      <c r="F852" s="2075"/>
      <c r="G852" s="2200"/>
      <c r="H852" s="2200"/>
      <c r="I852" s="2201"/>
      <c r="J852" s="88">
        <v>52876.17</v>
      </c>
      <c r="K852" s="2"/>
      <c r="L852"/>
      <c r="M852"/>
      <c r="N852"/>
      <c r="O852"/>
      <c r="P852"/>
      <c r="Q852"/>
      <c r="R852"/>
      <c r="S852"/>
      <c r="T852"/>
      <c r="U852"/>
      <c r="V852"/>
      <c r="W852"/>
      <c r="X852"/>
      <c r="Y852"/>
      <c r="Z852"/>
      <c r="AA852"/>
      <c r="AB852"/>
      <c r="AC852"/>
      <c r="AD852"/>
      <c r="AE852"/>
      <c r="AF852"/>
      <c r="AG852"/>
      <c r="AH852"/>
      <c r="AI852"/>
      <c r="AJ852"/>
      <c r="AK852"/>
      <c r="AL852"/>
      <c r="AM852"/>
      <c r="AN852"/>
      <c r="AO852"/>
      <c r="AP852"/>
      <c r="AQ852"/>
      <c r="AR852"/>
      <c r="AS852"/>
      <c r="AT852"/>
      <c r="AU852"/>
      <c r="AV852"/>
      <c r="AW852"/>
      <c r="AX852"/>
      <c r="AY852"/>
      <c r="AZ852"/>
      <c r="BA852"/>
      <c r="BB852"/>
      <c r="BC852"/>
      <c r="BD852"/>
      <c r="BE852"/>
      <c r="BF852"/>
      <c r="BG852"/>
      <c r="BH852"/>
      <c r="BI852"/>
      <c r="BJ852"/>
      <c r="BK852"/>
      <c r="BL852"/>
      <c r="BM852"/>
      <c r="BN852"/>
      <c r="BO852"/>
      <c r="BP852"/>
      <c r="BQ852"/>
      <c r="BR852"/>
      <c r="BS852"/>
      <c r="BT852"/>
      <c r="BU852"/>
      <c r="BV852"/>
      <c r="BW852"/>
      <c r="BX852"/>
      <c r="BY852"/>
      <c r="BZ852"/>
      <c r="CA852"/>
      <c r="CB852"/>
      <c r="CC852"/>
      <c r="CD852"/>
      <c r="CE852"/>
      <c r="CF852"/>
      <c r="CG852"/>
      <c r="CH852"/>
      <c r="CI852"/>
      <c r="CJ852"/>
      <c r="CK852"/>
      <c r="CL852"/>
      <c r="CM852"/>
      <c r="CN852"/>
      <c r="CO852"/>
      <c r="CP852"/>
      <c r="CQ852"/>
      <c r="CR852"/>
      <c r="CS852"/>
      <c r="CT852"/>
      <c r="CU852"/>
      <c r="CV852"/>
      <c r="CW852"/>
      <c r="CX852"/>
      <c r="CY852"/>
      <c r="CZ852"/>
      <c r="DA852"/>
      <c r="DB852"/>
      <c r="DC852"/>
      <c r="DD852"/>
      <c r="DE852"/>
      <c r="DF852"/>
      <c r="DG852"/>
      <c r="DH852"/>
      <c r="DI852"/>
      <c r="DJ852"/>
      <c r="DK852"/>
      <c r="DL852"/>
      <c r="DM852"/>
      <c r="DN852"/>
      <c r="DO852"/>
      <c r="DP852"/>
      <c r="DQ852"/>
      <c r="DR852"/>
      <c r="DS852"/>
      <c r="DT852"/>
      <c r="DU852"/>
      <c r="DV852"/>
      <c r="DW852"/>
      <c r="DX852"/>
      <c r="DY852"/>
      <c r="DZ852"/>
      <c r="EA852"/>
      <c r="EB852"/>
      <c r="EC852"/>
      <c r="ED852"/>
      <c r="EE852"/>
      <c r="EF852"/>
      <c r="EG852"/>
      <c r="EH852"/>
      <c r="EI852"/>
      <c r="EJ852"/>
      <c r="EK852"/>
      <c r="EL852"/>
      <c r="EM852"/>
      <c r="EN852"/>
      <c r="EO852"/>
      <c r="EP852"/>
      <c r="EQ852"/>
      <c r="ER852"/>
      <c r="ES852"/>
      <c r="ET852"/>
      <c r="EU852"/>
      <c r="EV852"/>
      <c r="EW852"/>
      <c r="EX852"/>
      <c r="EY852"/>
      <c r="EZ852"/>
      <c r="FA852"/>
      <c r="FB852"/>
      <c r="FC852"/>
      <c r="FD852"/>
      <c r="FE852"/>
      <c r="FF852"/>
      <c r="FG852"/>
      <c r="FH852"/>
      <c r="FI852"/>
      <c r="FJ852"/>
      <c r="FK852"/>
      <c r="FL852"/>
      <c r="FM852"/>
      <c r="FN852"/>
      <c r="FO852"/>
      <c r="FP852"/>
      <c r="FQ852"/>
      <c r="FR852"/>
      <c r="FS852"/>
      <c r="FT852"/>
      <c r="FU852"/>
      <c r="FV852"/>
      <c r="FW852"/>
      <c r="FX852"/>
      <c r="FY852"/>
      <c r="FZ852"/>
      <c r="GA852"/>
      <c r="GB852"/>
      <c r="GC852"/>
      <c r="GD852"/>
      <c r="GE852"/>
      <c r="GF852"/>
      <c r="GG852"/>
      <c r="GH852"/>
      <c r="GI852"/>
      <c r="GJ852"/>
      <c r="GK852"/>
      <c r="GL852"/>
      <c r="GM852"/>
      <c r="GN852"/>
      <c r="GO852"/>
      <c r="GP852"/>
      <c r="GQ852"/>
      <c r="GR852"/>
      <c r="GS852"/>
      <c r="GT852"/>
      <c r="GU852"/>
      <c r="GV852"/>
      <c r="GW852"/>
      <c r="GX852"/>
      <c r="GY852"/>
      <c r="GZ852"/>
      <c r="HA852"/>
      <c r="HB852"/>
      <c r="HC852"/>
      <c r="HD852"/>
      <c r="HE852"/>
      <c r="HF852"/>
      <c r="HG852"/>
      <c r="HH852"/>
      <c r="HI852"/>
      <c r="HJ852"/>
      <c r="HK852"/>
      <c r="HL852"/>
      <c r="HM852"/>
      <c r="HN852"/>
      <c r="HO852"/>
      <c r="HP852"/>
      <c r="HQ852"/>
      <c r="HR852"/>
      <c r="HS852"/>
      <c r="HT852"/>
      <c r="HU852"/>
      <c r="HV852"/>
      <c r="HW852"/>
      <c r="HX852"/>
      <c r="HY852"/>
      <c r="HZ852"/>
      <c r="IA852"/>
      <c r="IB852"/>
      <c r="IC852"/>
      <c r="ID852"/>
      <c r="IE852"/>
      <c r="IF852"/>
      <c r="IG852"/>
      <c r="IH852"/>
      <c r="II852"/>
      <c r="IJ852"/>
    </row>
    <row r="853" spans="1:244" ht="30" customHeight="1" x14ac:dyDescent="0.2">
      <c r="A853" s="2464"/>
      <c r="B853" s="2113" t="s">
        <v>1982</v>
      </c>
      <c r="C853" s="2075">
        <v>100000</v>
      </c>
      <c r="D853" s="2075">
        <v>100000</v>
      </c>
      <c r="E853" s="2075"/>
      <c r="F853" s="2075"/>
      <c r="G853" s="2200"/>
      <c r="H853" s="2200"/>
      <c r="I853" s="2201"/>
      <c r="J853" s="88">
        <v>0</v>
      </c>
      <c r="K853" s="2"/>
      <c r="L853"/>
      <c r="M853"/>
      <c r="N853"/>
      <c r="O853"/>
      <c r="P853"/>
      <c r="Q853"/>
      <c r="R853"/>
      <c r="S853"/>
      <c r="T853"/>
      <c r="U853"/>
      <c r="V853"/>
      <c r="W853"/>
      <c r="X853"/>
      <c r="Y853"/>
      <c r="Z853"/>
      <c r="AA853"/>
      <c r="AB853"/>
      <c r="AC853"/>
      <c r="AD853"/>
      <c r="AE853"/>
      <c r="AF853"/>
      <c r="AG853"/>
      <c r="AH853"/>
      <c r="AI853"/>
      <c r="AJ853"/>
      <c r="AK853"/>
      <c r="AL853"/>
      <c r="AM853"/>
      <c r="AN853"/>
      <c r="AO853"/>
      <c r="AP853"/>
      <c r="AQ853"/>
      <c r="AR853"/>
      <c r="AS853"/>
      <c r="AT853"/>
      <c r="AU853"/>
      <c r="AV853"/>
      <c r="AW853"/>
      <c r="AX853"/>
      <c r="AY853"/>
      <c r="AZ853"/>
      <c r="BA853"/>
      <c r="BB853"/>
      <c r="BC853"/>
      <c r="BD853"/>
      <c r="BE853"/>
      <c r="BF853"/>
      <c r="BG853"/>
      <c r="BH853"/>
      <c r="BI853"/>
      <c r="BJ853"/>
      <c r="BK853"/>
      <c r="BL853"/>
      <c r="BM853"/>
      <c r="BN853"/>
      <c r="BO853"/>
      <c r="BP853"/>
      <c r="BQ853"/>
      <c r="BR853"/>
      <c r="BS853"/>
      <c r="BT853"/>
      <c r="BU853"/>
      <c r="BV853"/>
      <c r="BW853"/>
      <c r="BX853"/>
      <c r="BY853"/>
      <c r="BZ853"/>
      <c r="CA853"/>
      <c r="CB853"/>
      <c r="CC853"/>
      <c r="CD853"/>
      <c r="CE853"/>
      <c r="CF853"/>
      <c r="CG853"/>
      <c r="CH853"/>
      <c r="CI853"/>
      <c r="CJ853"/>
      <c r="CK853"/>
      <c r="CL853"/>
      <c r="CM853"/>
      <c r="CN853"/>
      <c r="CO853"/>
      <c r="CP853"/>
      <c r="CQ853"/>
      <c r="CR853"/>
      <c r="CS853"/>
      <c r="CT853"/>
      <c r="CU853"/>
      <c r="CV853"/>
      <c r="CW853"/>
      <c r="CX853"/>
      <c r="CY853"/>
      <c r="CZ853"/>
      <c r="DA853"/>
      <c r="DB853"/>
      <c r="DC853"/>
      <c r="DD853"/>
      <c r="DE853"/>
      <c r="DF853"/>
      <c r="DG853"/>
      <c r="DH853"/>
      <c r="DI853"/>
      <c r="DJ853"/>
      <c r="DK853"/>
      <c r="DL853"/>
      <c r="DM853"/>
      <c r="DN853"/>
      <c r="DO853"/>
      <c r="DP853"/>
      <c r="DQ853"/>
      <c r="DR853"/>
      <c r="DS853"/>
      <c r="DT853"/>
      <c r="DU853"/>
      <c r="DV853"/>
      <c r="DW853"/>
      <c r="DX853"/>
      <c r="DY853"/>
      <c r="DZ853"/>
      <c r="EA853"/>
      <c r="EB853"/>
      <c r="EC853"/>
      <c r="ED853"/>
      <c r="EE853"/>
      <c r="EF853"/>
      <c r="EG853"/>
      <c r="EH853"/>
      <c r="EI853"/>
      <c r="EJ853"/>
      <c r="EK853"/>
      <c r="EL853"/>
      <c r="EM853"/>
      <c r="EN853"/>
      <c r="EO853"/>
      <c r="EP853"/>
      <c r="EQ853"/>
      <c r="ER853"/>
      <c r="ES853"/>
      <c r="ET853"/>
      <c r="EU853"/>
      <c r="EV853"/>
      <c r="EW853"/>
      <c r="EX853"/>
      <c r="EY853"/>
      <c r="EZ853"/>
      <c r="FA853"/>
      <c r="FB853"/>
      <c r="FC853"/>
      <c r="FD853"/>
      <c r="FE853"/>
      <c r="FF853"/>
      <c r="FG853"/>
      <c r="FH853"/>
      <c r="FI853"/>
      <c r="FJ853"/>
      <c r="FK853"/>
      <c r="FL853"/>
      <c r="FM853"/>
      <c r="FN853"/>
      <c r="FO853"/>
      <c r="FP853"/>
      <c r="FQ853"/>
      <c r="FR853"/>
      <c r="FS853"/>
      <c r="FT853"/>
      <c r="FU853"/>
      <c r="FV853"/>
      <c r="FW853"/>
      <c r="FX853"/>
      <c r="FY853"/>
      <c r="FZ853"/>
      <c r="GA853"/>
      <c r="GB853"/>
      <c r="GC853"/>
      <c r="GD853"/>
      <c r="GE853"/>
      <c r="GF853"/>
      <c r="GG853"/>
      <c r="GH853"/>
      <c r="GI853"/>
      <c r="GJ853"/>
      <c r="GK853"/>
      <c r="GL853"/>
      <c r="GM853"/>
      <c r="GN853"/>
      <c r="GO853"/>
      <c r="GP853"/>
      <c r="GQ853"/>
      <c r="GR853"/>
      <c r="GS853"/>
      <c r="GT853"/>
      <c r="GU853"/>
      <c r="GV853"/>
      <c r="GW853"/>
      <c r="GX853"/>
      <c r="GY853"/>
      <c r="GZ853"/>
      <c r="HA853"/>
      <c r="HB853"/>
      <c r="HC853"/>
      <c r="HD853"/>
      <c r="HE853"/>
      <c r="HF853"/>
      <c r="HG853"/>
      <c r="HH853"/>
      <c r="HI853"/>
      <c r="HJ853"/>
      <c r="HK853"/>
      <c r="HL853"/>
      <c r="HM853"/>
      <c r="HN853"/>
      <c r="HO853"/>
      <c r="HP853"/>
      <c r="HQ853"/>
      <c r="HR853"/>
      <c r="HS853"/>
      <c r="HT853"/>
      <c r="HU853"/>
      <c r="HV853"/>
      <c r="HW853"/>
      <c r="HX853"/>
      <c r="HY853"/>
      <c r="HZ853"/>
      <c r="IA853"/>
      <c r="IB853"/>
      <c r="IC853"/>
      <c r="ID853"/>
      <c r="IE853"/>
      <c r="IF853"/>
      <c r="IG853"/>
      <c r="IH853"/>
      <c r="II853"/>
      <c r="IJ853"/>
    </row>
    <row r="854" spans="1:244" ht="30" customHeight="1" x14ac:dyDescent="0.2">
      <c r="A854" s="2464"/>
      <c r="B854" s="2113" t="s">
        <v>2955</v>
      </c>
      <c r="C854" s="2075">
        <v>0</v>
      </c>
      <c r="D854" s="2075">
        <f>30000+20000+10000</f>
        <v>60000</v>
      </c>
      <c r="E854" s="2075"/>
      <c r="F854" s="2075"/>
      <c r="G854" s="2200"/>
      <c r="H854" s="2200"/>
      <c r="I854" s="2201"/>
      <c r="J854" s="88">
        <v>0</v>
      </c>
      <c r="K854" s="2"/>
      <c r="L854"/>
      <c r="M854"/>
      <c r="N854"/>
      <c r="O854"/>
      <c r="P854"/>
      <c r="Q854"/>
      <c r="R854"/>
      <c r="S854"/>
      <c r="T854"/>
      <c r="U854"/>
      <c r="V854"/>
      <c r="W854"/>
      <c r="X854"/>
      <c r="Y854"/>
      <c r="Z854"/>
      <c r="AA854"/>
      <c r="AB854"/>
      <c r="AC854"/>
      <c r="AD854"/>
      <c r="AE854"/>
      <c r="AF854"/>
      <c r="AG854"/>
      <c r="AH854"/>
      <c r="AI854"/>
      <c r="AJ854"/>
      <c r="AK854"/>
      <c r="AL854"/>
      <c r="AM854"/>
      <c r="AN854"/>
      <c r="AO854"/>
      <c r="AP854"/>
      <c r="AQ854"/>
      <c r="AR854"/>
      <c r="AS854"/>
      <c r="AT854"/>
      <c r="AU854"/>
      <c r="AV854"/>
      <c r="AW854"/>
      <c r="AX854"/>
      <c r="AY854"/>
      <c r="AZ854"/>
      <c r="BA854"/>
      <c r="BB854"/>
      <c r="BC854"/>
      <c r="BD854"/>
      <c r="BE854"/>
      <c r="BF854"/>
      <c r="BG854"/>
      <c r="BH854"/>
      <c r="BI854"/>
      <c r="BJ854"/>
      <c r="BK854"/>
      <c r="BL854"/>
      <c r="BM854"/>
      <c r="BN854"/>
      <c r="BO854"/>
      <c r="BP854"/>
      <c r="BQ854"/>
      <c r="BR854"/>
      <c r="BS854"/>
      <c r="BT854"/>
      <c r="BU854"/>
      <c r="BV854"/>
      <c r="BW854"/>
      <c r="BX854"/>
      <c r="BY854"/>
      <c r="BZ854"/>
      <c r="CA854"/>
      <c r="CB854"/>
      <c r="CC854"/>
      <c r="CD854"/>
      <c r="CE854"/>
      <c r="CF854"/>
      <c r="CG854"/>
      <c r="CH854"/>
      <c r="CI854"/>
      <c r="CJ854"/>
      <c r="CK854"/>
      <c r="CL854"/>
      <c r="CM854"/>
      <c r="CN854"/>
      <c r="CO854"/>
      <c r="CP854"/>
      <c r="CQ854"/>
      <c r="CR854"/>
      <c r="CS854"/>
      <c r="CT854"/>
      <c r="CU854"/>
      <c r="CV854"/>
      <c r="CW854"/>
      <c r="CX854"/>
      <c r="CY854"/>
      <c r="CZ854"/>
      <c r="DA854"/>
      <c r="DB854"/>
      <c r="DC854"/>
      <c r="DD854"/>
      <c r="DE854"/>
      <c r="DF854"/>
      <c r="DG854"/>
      <c r="DH854"/>
      <c r="DI854"/>
      <c r="DJ854"/>
      <c r="DK854"/>
      <c r="DL854"/>
      <c r="DM854"/>
      <c r="DN854"/>
      <c r="DO854"/>
      <c r="DP854"/>
      <c r="DQ854"/>
      <c r="DR854"/>
      <c r="DS854"/>
      <c r="DT854"/>
      <c r="DU854"/>
      <c r="DV854"/>
      <c r="DW854"/>
      <c r="DX854"/>
      <c r="DY854"/>
      <c r="DZ854"/>
      <c r="EA854"/>
      <c r="EB854"/>
      <c r="EC854"/>
      <c r="ED854"/>
      <c r="EE854"/>
      <c r="EF854"/>
      <c r="EG854"/>
      <c r="EH854"/>
      <c r="EI854"/>
      <c r="EJ854"/>
      <c r="EK854"/>
      <c r="EL854"/>
      <c r="EM854"/>
      <c r="EN854"/>
      <c r="EO854"/>
      <c r="EP854"/>
      <c r="EQ854"/>
      <c r="ER854"/>
      <c r="ES854"/>
      <c r="ET854"/>
      <c r="EU854"/>
      <c r="EV854"/>
      <c r="EW854"/>
      <c r="EX854"/>
      <c r="EY854"/>
      <c r="EZ854"/>
      <c r="FA854"/>
      <c r="FB854"/>
      <c r="FC854"/>
      <c r="FD854"/>
      <c r="FE854"/>
      <c r="FF854"/>
      <c r="FG854"/>
      <c r="FH854"/>
      <c r="FI854"/>
      <c r="FJ854"/>
      <c r="FK854"/>
      <c r="FL854"/>
      <c r="FM854"/>
      <c r="FN854"/>
      <c r="FO854"/>
      <c r="FP854"/>
      <c r="FQ854"/>
      <c r="FR854"/>
      <c r="FS854"/>
      <c r="FT854"/>
      <c r="FU854"/>
      <c r="FV854"/>
      <c r="FW854"/>
      <c r="FX854"/>
      <c r="FY854"/>
      <c r="FZ854"/>
      <c r="GA854"/>
      <c r="GB854"/>
      <c r="GC854"/>
      <c r="GD854"/>
      <c r="GE854"/>
      <c r="GF854"/>
      <c r="GG854"/>
      <c r="GH854"/>
      <c r="GI854"/>
      <c r="GJ854"/>
      <c r="GK854"/>
      <c r="GL854"/>
      <c r="GM854"/>
      <c r="GN854"/>
      <c r="GO854"/>
      <c r="GP854"/>
      <c r="GQ854"/>
      <c r="GR854"/>
      <c r="GS854"/>
      <c r="GT854"/>
      <c r="GU854"/>
      <c r="GV854"/>
      <c r="GW854"/>
      <c r="GX854"/>
      <c r="GY854"/>
      <c r="GZ854"/>
      <c r="HA854"/>
      <c r="HB854"/>
      <c r="HC854"/>
      <c r="HD854"/>
      <c r="HE854"/>
      <c r="HF854"/>
      <c r="HG854"/>
      <c r="HH854"/>
      <c r="HI854"/>
      <c r="HJ854"/>
      <c r="HK854"/>
      <c r="HL854"/>
      <c r="HM854"/>
      <c r="HN854"/>
      <c r="HO854"/>
      <c r="HP854"/>
      <c r="HQ854"/>
      <c r="HR854"/>
      <c r="HS854"/>
      <c r="HT854"/>
      <c r="HU854"/>
      <c r="HV854"/>
      <c r="HW854"/>
      <c r="HX854"/>
      <c r="HY854"/>
      <c r="HZ854"/>
      <c r="IA854"/>
      <c r="IB854"/>
      <c r="IC854"/>
      <c r="ID854"/>
      <c r="IE854"/>
      <c r="IF854"/>
      <c r="IG854"/>
      <c r="IH854"/>
      <c r="II854"/>
      <c r="IJ854"/>
    </row>
    <row r="855" spans="1:244" ht="30" customHeight="1" x14ac:dyDescent="0.2">
      <c r="A855" s="2464"/>
      <c r="B855" s="2129" t="s">
        <v>2956</v>
      </c>
      <c r="C855" s="2082">
        <f>SUM(C856:C861)</f>
        <v>1650000</v>
      </c>
      <c r="D855" s="2082">
        <f>SUM(D856:D861)</f>
        <v>1600000</v>
      </c>
      <c r="E855" s="2082"/>
      <c r="F855" s="2082"/>
      <c r="G855" s="2459"/>
      <c r="H855" s="2459"/>
      <c r="I855" s="2460"/>
      <c r="J855" s="88">
        <v>249768.83</v>
      </c>
      <c r="K855" s="2"/>
      <c r="L855"/>
      <c r="M855"/>
      <c r="N855"/>
      <c r="O855"/>
      <c r="P855"/>
      <c r="Q855"/>
      <c r="R855"/>
      <c r="S855"/>
      <c r="T855"/>
      <c r="U855"/>
      <c r="V855"/>
      <c r="W855"/>
      <c r="X855"/>
      <c r="Y855"/>
      <c r="Z855"/>
      <c r="AA855"/>
      <c r="AB855"/>
      <c r="AC855"/>
      <c r="AD855"/>
      <c r="AE855"/>
      <c r="AF855"/>
      <c r="AG855"/>
      <c r="AH855"/>
      <c r="AI855"/>
      <c r="AJ855"/>
      <c r="AK855"/>
      <c r="AL855"/>
      <c r="AM855"/>
      <c r="AN855"/>
      <c r="AO855"/>
      <c r="AP855"/>
      <c r="AQ855"/>
      <c r="AR855"/>
      <c r="AS855"/>
      <c r="AT855"/>
      <c r="AU855"/>
      <c r="AV855"/>
      <c r="AW855"/>
      <c r="AX855"/>
      <c r="AY855"/>
      <c r="AZ855"/>
      <c r="BA855"/>
      <c r="BB855"/>
      <c r="BC855"/>
      <c r="BD855"/>
      <c r="BE855"/>
      <c r="BF855"/>
      <c r="BG855"/>
      <c r="BH855"/>
      <c r="BI855"/>
      <c r="BJ855"/>
      <c r="BK855"/>
      <c r="BL855"/>
      <c r="BM855"/>
      <c r="BN855"/>
      <c r="BO855"/>
      <c r="BP855"/>
      <c r="BQ855"/>
      <c r="BR855"/>
      <c r="BS855"/>
      <c r="BT855"/>
      <c r="BU855"/>
      <c r="BV855"/>
      <c r="BW855"/>
      <c r="BX855"/>
      <c r="BY855"/>
      <c r="BZ855"/>
      <c r="CA855"/>
      <c r="CB855"/>
      <c r="CC855"/>
      <c r="CD855"/>
      <c r="CE855"/>
      <c r="CF855"/>
      <c r="CG855"/>
      <c r="CH855"/>
      <c r="CI855"/>
      <c r="CJ855"/>
      <c r="CK855"/>
      <c r="CL855"/>
      <c r="CM855"/>
      <c r="CN855"/>
      <c r="CO855"/>
      <c r="CP855"/>
      <c r="CQ855"/>
      <c r="CR855"/>
      <c r="CS855"/>
      <c r="CT855"/>
      <c r="CU855"/>
      <c r="CV855"/>
      <c r="CW855"/>
      <c r="CX855"/>
      <c r="CY855"/>
      <c r="CZ855"/>
      <c r="DA855"/>
      <c r="DB855"/>
      <c r="DC855"/>
      <c r="DD855"/>
      <c r="DE855"/>
      <c r="DF855"/>
      <c r="DG855"/>
      <c r="DH855"/>
      <c r="DI855"/>
      <c r="DJ855"/>
      <c r="DK855"/>
      <c r="DL855"/>
      <c r="DM855"/>
      <c r="DN855"/>
      <c r="DO855"/>
      <c r="DP855"/>
      <c r="DQ855"/>
      <c r="DR855"/>
      <c r="DS855"/>
      <c r="DT855"/>
      <c r="DU855"/>
      <c r="DV855"/>
      <c r="DW855"/>
      <c r="DX855"/>
      <c r="DY855"/>
      <c r="DZ855"/>
      <c r="EA855"/>
      <c r="EB855"/>
      <c r="EC855"/>
      <c r="ED855"/>
      <c r="EE855"/>
      <c r="EF855"/>
      <c r="EG855"/>
      <c r="EH855"/>
      <c r="EI855"/>
      <c r="EJ855"/>
      <c r="EK855"/>
      <c r="EL855"/>
      <c r="EM855"/>
      <c r="EN855"/>
      <c r="EO855"/>
      <c r="EP855"/>
      <c r="EQ855"/>
      <c r="ER855"/>
      <c r="ES855"/>
      <c r="ET855"/>
      <c r="EU855"/>
      <c r="EV855"/>
      <c r="EW855"/>
      <c r="EX855"/>
      <c r="EY855"/>
      <c r="EZ855"/>
      <c r="FA855"/>
      <c r="FB855"/>
      <c r="FC855"/>
      <c r="FD855"/>
      <c r="FE855"/>
      <c r="FF855"/>
      <c r="FG855"/>
      <c r="FH855"/>
      <c r="FI855"/>
      <c r="FJ855"/>
      <c r="FK855"/>
      <c r="FL855"/>
      <c r="FM855"/>
      <c r="FN855"/>
      <c r="FO855"/>
      <c r="FP855"/>
      <c r="FQ855"/>
      <c r="FR855"/>
      <c r="FS855"/>
      <c r="FT855"/>
      <c r="FU855"/>
      <c r="FV855"/>
      <c r="FW855"/>
      <c r="FX855"/>
      <c r="FY855"/>
      <c r="FZ855"/>
      <c r="GA855"/>
      <c r="GB855"/>
      <c r="GC855"/>
      <c r="GD855"/>
      <c r="GE855"/>
      <c r="GF855"/>
      <c r="GG855"/>
      <c r="GH855"/>
      <c r="GI855"/>
      <c r="GJ855"/>
      <c r="GK855"/>
      <c r="GL855"/>
      <c r="GM855"/>
      <c r="GN855"/>
      <c r="GO855"/>
      <c r="GP855"/>
      <c r="GQ855"/>
      <c r="GR855"/>
      <c r="GS855"/>
      <c r="GT855"/>
      <c r="GU855"/>
      <c r="GV855"/>
      <c r="GW855"/>
      <c r="GX855"/>
      <c r="GY855"/>
      <c r="GZ855"/>
      <c r="HA855"/>
      <c r="HB855"/>
      <c r="HC855"/>
      <c r="HD855"/>
      <c r="HE855"/>
      <c r="HF855"/>
      <c r="HG855"/>
      <c r="HH855"/>
      <c r="HI855"/>
      <c r="HJ855"/>
      <c r="HK855"/>
      <c r="HL855"/>
      <c r="HM855"/>
      <c r="HN855"/>
      <c r="HO855"/>
      <c r="HP855"/>
      <c r="HQ855"/>
      <c r="HR855"/>
      <c r="HS855"/>
      <c r="HT855"/>
      <c r="HU855"/>
      <c r="HV855"/>
      <c r="HW855"/>
      <c r="HX855"/>
      <c r="HY855"/>
      <c r="HZ855"/>
      <c r="IA855"/>
      <c r="IB855"/>
      <c r="IC855"/>
      <c r="ID855"/>
      <c r="IE855"/>
      <c r="IF855"/>
      <c r="IG855"/>
      <c r="IH855"/>
      <c r="II855"/>
      <c r="IJ855"/>
    </row>
    <row r="856" spans="1:244" ht="30" customHeight="1" x14ac:dyDescent="0.2">
      <c r="A856" s="2464"/>
      <c r="B856" s="2113" t="s">
        <v>1985</v>
      </c>
      <c r="C856" s="2107">
        <v>100000</v>
      </c>
      <c r="D856" s="2107">
        <v>100000</v>
      </c>
      <c r="E856" s="2107"/>
      <c r="F856" s="2107"/>
      <c r="G856" s="2200"/>
      <c r="H856" s="2200"/>
      <c r="I856" s="2201"/>
      <c r="J856" s="88">
        <v>4203.5600000000004</v>
      </c>
      <c r="K856" s="2"/>
      <c r="L856"/>
      <c r="M856"/>
      <c r="N856"/>
      <c r="O856"/>
      <c r="P856"/>
      <c r="Q856"/>
      <c r="R856"/>
      <c r="S856"/>
      <c r="T856"/>
      <c r="U856"/>
      <c r="V856"/>
      <c r="W856"/>
      <c r="X856"/>
      <c r="Y856"/>
      <c r="Z856"/>
      <c r="AA856"/>
      <c r="AB856"/>
      <c r="AC856"/>
      <c r="AD856"/>
      <c r="AE856"/>
      <c r="AF856"/>
      <c r="AG856"/>
      <c r="AH856"/>
      <c r="AI856"/>
      <c r="AJ856"/>
      <c r="AK856"/>
      <c r="AL856"/>
      <c r="AM856"/>
      <c r="AN856"/>
      <c r="AO856"/>
      <c r="AP856"/>
      <c r="AQ856"/>
      <c r="AR856"/>
      <c r="AS856"/>
      <c r="AT856"/>
      <c r="AU856"/>
      <c r="AV856"/>
      <c r="AW856"/>
      <c r="AX856"/>
      <c r="AY856"/>
      <c r="AZ856"/>
      <c r="BA856"/>
      <c r="BB856"/>
      <c r="BC856"/>
      <c r="BD856"/>
      <c r="BE856"/>
      <c r="BF856"/>
      <c r="BG856"/>
      <c r="BH856"/>
      <c r="BI856"/>
      <c r="BJ856"/>
      <c r="BK856"/>
      <c r="BL856"/>
      <c r="BM856"/>
      <c r="BN856"/>
      <c r="BO856"/>
      <c r="BP856"/>
      <c r="BQ856"/>
      <c r="BR856"/>
      <c r="BS856"/>
      <c r="BT856"/>
      <c r="BU856"/>
      <c r="BV856"/>
      <c r="BW856"/>
      <c r="BX856"/>
      <c r="BY856"/>
      <c r="BZ856"/>
      <c r="CA856"/>
      <c r="CB856"/>
      <c r="CC856"/>
      <c r="CD856"/>
      <c r="CE856"/>
      <c r="CF856"/>
      <c r="CG856"/>
      <c r="CH856"/>
      <c r="CI856"/>
      <c r="CJ856"/>
      <c r="CK856"/>
      <c r="CL856"/>
      <c r="CM856"/>
      <c r="CN856"/>
      <c r="CO856"/>
      <c r="CP856"/>
      <c r="CQ856"/>
      <c r="CR856"/>
      <c r="CS856"/>
      <c r="CT856"/>
      <c r="CU856"/>
      <c r="CV856"/>
      <c r="CW856"/>
      <c r="CX856"/>
      <c r="CY856"/>
      <c r="CZ856"/>
      <c r="DA856"/>
      <c r="DB856"/>
      <c r="DC856"/>
      <c r="DD856"/>
      <c r="DE856"/>
      <c r="DF856"/>
      <c r="DG856"/>
      <c r="DH856"/>
      <c r="DI856"/>
      <c r="DJ856"/>
      <c r="DK856"/>
      <c r="DL856"/>
      <c r="DM856"/>
      <c r="DN856"/>
      <c r="DO856"/>
      <c r="DP856"/>
      <c r="DQ856"/>
      <c r="DR856"/>
      <c r="DS856"/>
      <c r="DT856"/>
      <c r="DU856"/>
      <c r="DV856"/>
      <c r="DW856"/>
      <c r="DX856"/>
      <c r="DY856"/>
      <c r="DZ856"/>
      <c r="EA856"/>
      <c r="EB856"/>
      <c r="EC856"/>
      <c r="ED856"/>
      <c r="EE856"/>
      <c r="EF856"/>
      <c r="EG856"/>
      <c r="EH856"/>
      <c r="EI856"/>
      <c r="EJ856"/>
      <c r="EK856"/>
      <c r="EL856"/>
      <c r="EM856"/>
      <c r="EN856"/>
      <c r="EO856"/>
      <c r="EP856"/>
      <c r="EQ856"/>
      <c r="ER856"/>
      <c r="ES856"/>
      <c r="ET856"/>
      <c r="EU856"/>
      <c r="EV856"/>
      <c r="EW856"/>
      <c r="EX856"/>
      <c r="EY856"/>
      <c r="EZ856"/>
      <c r="FA856"/>
      <c r="FB856"/>
      <c r="FC856"/>
      <c r="FD856"/>
      <c r="FE856"/>
      <c r="FF856"/>
      <c r="FG856"/>
      <c r="FH856"/>
      <c r="FI856"/>
      <c r="FJ856"/>
      <c r="FK856"/>
      <c r="FL856"/>
      <c r="FM856"/>
      <c r="FN856"/>
      <c r="FO856"/>
      <c r="FP856"/>
      <c r="FQ856"/>
      <c r="FR856"/>
      <c r="FS856"/>
      <c r="FT856"/>
      <c r="FU856"/>
      <c r="FV856"/>
      <c r="FW856"/>
      <c r="FX856"/>
      <c r="FY856"/>
      <c r="FZ856"/>
      <c r="GA856"/>
      <c r="GB856"/>
      <c r="GC856"/>
      <c r="GD856"/>
      <c r="GE856"/>
      <c r="GF856"/>
      <c r="GG856"/>
      <c r="GH856"/>
      <c r="GI856"/>
      <c r="GJ856"/>
      <c r="GK856"/>
      <c r="GL856"/>
      <c r="GM856"/>
      <c r="GN856"/>
      <c r="GO856"/>
      <c r="GP856"/>
      <c r="GQ856"/>
      <c r="GR856"/>
      <c r="GS856"/>
      <c r="GT856"/>
      <c r="GU856"/>
      <c r="GV856"/>
      <c r="GW856"/>
      <c r="GX856"/>
      <c r="GY856"/>
      <c r="GZ856"/>
      <c r="HA856"/>
      <c r="HB856"/>
      <c r="HC856"/>
      <c r="HD856"/>
      <c r="HE856"/>
      <c r="HF856"/>
      <c r="HG856"/>
      <c r="HH856"/>
      <c r="HI856"/>
      <c r="HJ856"/>
      <c r="HK856"/>
      <c r="HL856"/>
      <c r="HM856"/>
      <c r="HN856"/>
      <c r="HO856"/>
      <c r="HP856"/>
      <c r="HQ856"/>
      <c r="HR856"/>
      <c r="HS856"/>
      <c r="HT856"/>
      <c r="HU856"/>
      <c r="HV856"/>
      <c r="HW856"/>
      <c r="HX856"/>
      <c r="HY856"/>
      <c r="HZ856"/>
      <c r="IA856"/>
      <c r="IB856"/>
      <c r="IC856"/>
      <c r="ID856"/>
      <c r="IE856"/>
      <c r="IF856"/>
      <c r="IG856"/>
      <c r="IH856"/>
      <c r="II856"/>
      <c r="IJ856"/>
    </row>
    <row r="857" spans="1:244" ht="30" customHeight="1" x14ac:dyDescent="0.2">
      <c r="A857" s="2464"/>
      <c r="B857" s="2113" t="s">
        <v>1986</v>
      </c>
      <c r="C857" s="2107">
        <v>200000</v>
      </c>
      <c r="D857" s="2107">
        <v>200000</v>
      </c>
      <c r="E857" s="2107"/>
      <c r="F857" s="2107"/>
      <c r="G857" s="2200"/>
      <c r="H857" s="2200"/>
      <c r="I857" s="2201"/>
      <c r="J857" s="88">
        <v>3187.64</v>
      </c>
      <c r="K857" s="2"/>
      <c r="L857"/>
      <c r="M857"/>
      <c r="N857"/>
      <c r="O857"/>
      <c r="P857"/>
      <c r="Q857"/>
      <c r="R857"/>
      <c r="S857"/>
      <c r="T857"/>
      <c r="U857"/>
      <c r="V857"/>
      <c r="W857"/>
      <c r="X857"/>
      <c r="Y857"/>
      <c r="Z857"/>
      <c r="AA857"/>
      <c r="AB857"/>
      <c r="AC857"/>
      <c r="AD857"/>
      <c r="AE857"/>
      <c r="AF857"/>
      <c r="AG857"/>
      <c r="AH857"/>
      <c r="AI857"/>
      <c r="AJ857"/>
      <c r="AK857"/>
      <c r="AL857"/>
      <c r="AM857"/>
      <c r="AN857"/>
      <c r="AO857"/>
      <c r="AP857"/>
      <c r="AQ857"/>
      <c r="AR857"/>
      <c r="AS857"/>
      <c r="AT857"/>
      <c r="AU857"/>
      <c r="AV857"/>
      <c r="AW857"/>
      <c r="AX857"/>
      <c r="AY857"/>
      <c r="AZ857"/>
      <c r="BA857"/>
      <c r="BB857"/>
      <c r="BC857"/>
      <c r="BD857"/>
      <c r="BE857"/>
      <c r="BF857"/>
      <c r="BG857"/>
      <c r="BH857"/>
      <c r="BI857"/>
      <c r="BJ857"/>
      <c r="BK857"/>
      <c r="BL857"/>
      <c r="BM857"/>
      <c r="BN857"/>
      <c r="BO857"/>
      <c r="BP857"/>
      <c r="BQ857"/>
      <c r="BR857"/>
      <c r="BS857"/>
      <c r="BT857"/>
      <c r="BU857"/>
      <c r="BV857"/>
      <c r="BW857"/>
      <c r="BX857"/>
      <c r="BY857"/>
      <c r="BZ857"/>
      <c r="CA857"/>
      <c r="CB857"/>
      <c r="CC857"/>
      <c r="CD857"/>
      <c r="CE857"/>
      <c r="CF857"/>
      <c r="CG857"/>
      <c r="CH857"/>
      <c r="CI857"/>
      <c r="CJ857"/>
      <c r="CK857"/>
      <c r="CL857"/>
      <c r="CM857"/>
      <c r="CN857"/>
      <c r="CO857"/>
      <c r="CP857"/>
      <c r="CQ857"/>
      <c r="CR857"/>
      <c r="CS857"/>
      <c r="CT857"/>
      <c r="CU857"/>
      <c r="CV857"/>
      <c r="CW857"/>
      <c r="CX857"/>
      <c r="CY857"/>
      <c r="CZ857"/>
      <c r="DA857"/>
      <c r="DB857"/>
      <c r="DC857"/>
      <c r="DD857"/>
      <c r="DE857"/>
      <c r="DF857"/>
      <c r="DG857"/>
      <c r="DH857"/>
      <c r="DI857"/>
      <c r="DJ857"/>
      <c r="DK857"/>
      <c r="DL857"/>
      <c r="DM857"/>
      <c r="DN857"/>
      <c r="DO857"/>
      <c r="DP857"/>
      <c r="DQ857"/>
      <c r="DR857"/>
      <c r="DS857"/>
      <c r="DT857"/>
      <c r="DU857"/>
      <c r="DV857"/>
      <c r="DW857"/>
      <c r="DX857"/>
      <c r="DY857"/>
      <c r="DZ857"/>
      <c r="EA857"/>
      <c r="EB857"/>
      <c r="EC857"/>
      <c r="ED857"/>
      <c r="EE857"/>
      <c r="EF857"/>
      <c r="EG857"/>
      <c r="EH857"/>
      <c r="EI857"/>
      <c r="EJ857"/>
      <c r="EK857"/>
      <c r="EL857"/>
      <c r="EM857"/>
      <c r="EN857"/>
      <c r="EO857"/>
      <c r="EP857"/>
      <c r="EQ857"/>
      <c r="ER857"/>
      <c r="ES857"/>
      <c r="ET857"/>
      <c r="EU857"/>
      <c r="EV857"/>
      <c r="EW857"/>
      <c r="EX857"/>
      <c r="EY857"/>
      <c r="EZ857"/>
      <c r="FA857"/>
      <c r="FB857"/>
      <c r="FC857"/>
      <c r="FD857"/>
      <c r="FE857"/>
      <c r="FF857"/>
      <c r="FG857"/>
      <c r="FH857"/>
      <c r="FI857"/>
      <c r="FJ857"/>
      <c r="FK857"/>
      <c r="FL857"/>
      <c r="FM857"/>
      <c r="FN857"/>
      <c r="FO857"/>
      <c r="FP857"/>
      <c r="FQ857"/>
      <c r="FR857"/>
      <c r="FS857"/>
      <c r="FT857"/>
      <c r="FU857"/>
      <c r="FV857"/>
      <c r="FW857"/>
      <c r="FX857"/>
      <c r="FY857"/>
      <c r="FZ857"/>
      <c r="GA857"/>
      <c r="GB857"/>
      <c r="GC857"/>
      <c r="GD857"/>
      <c r="GE857"/>
      <c r="GF857"/>
      <c r="GG857"/>
      <c r="GH857"/>
      <c r="GI857"/>
      <c r="GJ857"/>
      <c r="GK857"/>
      <c r="GL857"/>
      <c r="GM857"/>
      <c r="GN857"/>
      <c r="GO857"/>
      <c r="GP857"/>
      <c r="GQ857"/>
      <c r="GR857"/>
      <c r="GS857"/>
      <c r="GT857"/>
      <c r="GU857"/>
      <c r="GV857"/>
      <c r="GW857"/>
      <c r="GX857"/>
      <c r="GY857"/>
      <c r="GZ857"/>
      <c r="HA857"/>
      <c r="HB857"/>
      <c r="HC857"/>
      <c r="HD857"/>
      <c r="HE857"/>
      <c r="HF857"/>
      <c r="HG857"/>
      <c r="HH857"/>
      <c r="HI857"/>
      <c r="HJ857"/>
      <c r="HK857"/>
      <c r="HL857"/>
      <c r="HM857"/>
      <c r="HN857"/>
      <c r="HO857"/>
      <c r="HP857"/>
      <c r="HQ857"/>
      <c r="HR857"/>
      <c r="HS857"/>
      <c r="HT857"/>
      <c r="HU857"/>
      <c r="HV857"/>
      <c r="HW857"/>
      <c r="HX857"/>
      <c r="HY857"/>
      <c r="HZ857"/>
      <c r="IA857"/>
      <c r="IB857"/>
      <c r="IC857"/>
      <c r="ID857"/>
      <c r="IE857"/>
      <c r="IF857"/>
      <c r="IG857"/>
      <c r="IH857"/>
      <c r="II857"/>
      <c r="IJ857"/>
    </row>
    <row r="858" spans="1:244" ht="30" customHeight="1" x14ac:dyDescent="0.2">
      <c r="A858" s="2464"/>
      <c r="B858" s="2113" t="s">
        <v>2559</v>
      </c>
      <c r="C858" s="2075">
        <v>450000</v>
      </c>
      <c r="D858" s="2075">
        <f>450000-50000</f>
        <v>400000</v>
      </c>
      <c r="E858" s="2075"/>
      <c r="F858" s="2075"/>
      <c r="G858" s="2200"/>
      <c r="H858" s="2200"/>
      <c r="I858" s="2201"/>
      <c r="J858" s="88">
        <v>0</v>
      </c>
      <c r="K858" s="2"/>
      <c r="L858"/>
      <c r="M858"/>
      <c r="N858"/>
      <c r="O858"/>
      <c r="P858"/>
      <c r="Q858"/>
      <c r="R858"/>
      <c r="S858"/>
      <c r="T858"/>
      <c r="U858"/>
      <c r="V858"/>
      <c r="W858"/>
      <c r="X858"/>
      <c r="Y858"/>
      <c r="Z858"/>
      <c r="AA858"/>
      <c r="AB858"/>
      <c r="AC858"/>
      <c r="AD858"/>
      <c r="AE858"/>
      <c r="AF858"/>
      <c r="AG858"/>
      <c r="AH858"/>
      <c r="AI858"/>
      <c r="AJ858"/>
      <c r="AK858"/>
      <c r="AL858"/>
      <c r="AM858"/>
      <c r="AN858"/>
      <c r="AO858"/>
      <c r="AP858"/>
      <c r="AQ858"/>
      <c r="AR858"/>
      <c r="AS858"/>
      <c r="AT858"/>
      <c r="AU858"/>
      <c r="AV858"/>
      <c r="AW858"/>
      <c r="AX858"/>
      <c r="AY858"/>
      <c r="AZ858"/>
      <c r="BA858"/>
      <c r="BB858"/>
      <c r="BC858"/>
      <c r="BD858"/>
      <c r="BE858"/>
      <c r="BF858"/>
      <c r="BG858"/>
      <c r="BH858"/>
      <c r="BI858"/>
      <c r="BJ858"/>
      <c r="BK858"/>
      <c r="BL858"/>
      <c r="BM858"/>
      <c r="BN858"/>
      <c r="BO858"/>
      <c r="BP858"/>
      <c r="BQ858"/>
      <c r="BR858"/>
      <c r="BS858"/>
      <c r="BT858"/>
      <c r="BU858"/>
      <c r="BV858"/>
      <c r="BW858"/>
      <c r="BX858"/>
      <c r="BY858"/>
      <c r="BZ858"/>
      <c r="CA858"/>
      <c r="CB858"/>
      <c r="CC858"/>
      <c r="CD858"/>
      <c r="CE858"/>
      <c r="CF858"/>
      <c r="CG858"/>
      <c r="CH858"/>
      <c r="CI858"/>
      <c r="CJ858"/>
      <c r="CK858"/>
      <c r="CL858"/>
      <c r="CM858"/>
      <c r="CN858"/>
      <c r="CO858"/>
      <c r="CP858"/>
      <c r="CQ858"/>
      <c r="CR858"/>
      <c r="CS858"/>
      <c r="CT858"/>
      <c r="CU858"/>
      <c r="CV858"/>
      <c r="CW858"/>
      <c r="CX858"/>
      <c r="CY858"/>
      <c r="CZ858"/>
      <c r="DA858"/>
      <c r="DB858"/>
      <c r="DC858"/>
      <c r="DD858"/>
      <c r="DE858"/>
      <c r="DF858"/>
      <c r="DG858"/>
      <c r="DH858"/>
      <c r="DI858"/>
      <c r="DJ858"/>
      <c r="DK858"/>
      <c r="DL858"/>
      <c r="DM858"/>
      <c r="DN858"/>
      <c r="DO858"/>
      <c r="DP858"/>
      <c r="DQ858"/>
      <c r="DR858"/>
      <c r="DS858"/>
      <c r="DT858"/>
      <c r="DU858"/>
      <c r="DV858"/>
      <c r="DW858"/>
      <c r="DX858"/>
      <c r="DY858"/>
      <c r="DZ858"/>
      <c r="EA858"/>
      <c r="EB858"/>
      <c r="EC858"/>
      <c r="ED858"/>
      <c r="EE858"/>
      <c r="EF858"/>
      <c r="EG858"/>
      <c r="EH858"/>
      <c r="EI858"/>
      <c r="EJ858"/>
      <c r="EK858"/>
      <c r="EL858"/>
      <c r="EM858"/>
      <c r="EN858"/>
      <c r="EO858"/>
      <c r="EP858"/>
      <c r="EQ858"/>
      <c r="ER858"/>
      <c r="ES858"/>
      <c r="ET858"/>
      <c r="EU858"/>
      <c r="EV858"/>
      <c r="EW858"/>
      <c r="EX858"/>
      <c r="EY858"/>
      <c r="EZ858"/>
      <c r="FA858"/>
      <c r="FB858"/>
      <c r="FC858"/>
      <c r="FD858"/>
      <c r="FE858"/>
      <c r="FF858"/>
      <c r="FG858"/>
      <c r="FH858"/>
      <c r="FI858"/>
      <c r="FJ858"/>
      <c r="FK858"/>
      <c r="FL858"/>
      <c r="FM858"/>
      <c r="FN858"/>
      <c r="FO858"/>
      <c r="FP858"/>
      <c r="FQ858"/>
      <c r="FR858"/>
      <c r="FS858"/>
      <c r="FT858"/>
      <c r="FU858"/>
      <c r="FV858"/>
      <c r="FW858"/>
      <c r="FX858"/>
      <c r="FY858"/>
      <c r="FZ858"/>
      <c r="GA858"/>
      <c r="GB858"/>
      <c r="GC858"/>
      <c r="GD858"/>
      <c r="GE858"/>
      <c r="GF858"/>
      <c r="GG858"/>
      <c r="GH858"/>
      <c r="GI858"/>
      <c r="GJ858"/>
      <c r="GK858"/>
      <c r="GL858"/>
      <c r="GM858"/>
      <c r="GN858"/>
      <c r="GO858"/>
      <c r="GP858"/>
      <c r="GQ858"/>
      <c r="GR858"/>
      <c r="GS858"/>
      <c r="GT858"/>
      <c r="GU858"/>
      <c r="GV858"/>
      <c r="GW858"/>
      <c r="GX858"/>
      <c r="GY858"/>
      <c r="GZ858"/>
      <c r="HA858"/>
      <c r="HB858"/>
      <c r="HC858"/>
      <c r="HD858"/>
      <c r="HE858"/>
      <c r="HF858"/>
      <c r="HG858"/>
      <c r="HH858"/>
      <c r="HI858"/>
      <c r="HJ858"/>
      <c r="HK858"/>
      <c r="HL858"/>
      <c r="HM858"/>
      <c r="HN858"/>
      <c r="HO858"/>
      <c r="HP858"/>
      <c r="HQ858"/>
      <c r="HR858"/>
      <c r="HS858"/>
      <c r="HT858"/>
      <c r="HU858"/>
      <c r="HV858"/>
      <c r="HW858"/>
      <c r="HX858"/>
      <c r="HY858"/>
      <c r="HZ858"/>
      <c r="IA858"/>
      <c r="IB858"/>
      <c r="IC858"/>
      <c r="ID858"/>
      <c r="IE858"/>
      <c r="IF858"/>
      <c r="IG858"/>
      <c r="IH858"/>
      <c r="II858"/>
      <c r="IJ858"/>
    </row>
    <row r="859" spans="1:244" ht="30" customHeight="1" x14ac:dyDescent="0.2">
      <c r="A859" s="2464"/>
      <c r="B859" s="2112" t="s">
        <v>1988</v>
      </c>
      <c r="C859" s="2107">
        <v>200000</v>
      </c>
      <c r="D859" s="2107">
        <v>200000</v>
      </c>
      <c r="E859" s="2107"/>
      <c r="F859" s="2107"/>
      <c r="G859" s="2200"/>
      <c r="H859" s="2200"/>
      <c r="I859" s="2201"/>
      <c r="J859" s="88">
        <v>36421</v>
      </c>
      <c r="K859" s="2"/>
      <c r="L859"/>
      <c r="M859"/>
      <c r="N859"/>
      <c r="O859"/>
      <c r="P859"/>
      <c r="Q859"/>
      <c r="R859"/>
      <c r="S859"/>
      <c r="T859"/>
      <c r="U859"/>
      <c r="V859"/>
      <c r="W859"/>
      <c r="X859"/>
      <c r="Y859"/>
      <c r="Z859"/>
      <c r="AA859"/>
      <c r="AB859"/>
      <c r="AC859"/>
      <c r="AD859"/>
      <c r="AE859"/>
      <c r="AF859"/>
      <c r="AG859"/>
      <c r="AH859"/>
      <c r="AI859"/>
      <c r="AJ859"/>
      <c r="AK859"/>
      <c r="AL859"/>
      <c r="AM859"/>
      <c r="AN859"/>
      <c r="AO859"/>
      <c r="AP859"/>
      <c r="AQ859"/>
      <c r="AR859"/>
      <c r="AS859"/>
      <c r="AT859"/>
      <c r="AU859"/>
      <c r="AV859"/>
      <c r="AW859"/>
      <c r="AX859"/>
      <c r="AY859"/>
      <c r="AZ859"/>
      <c r="BA859"/>
      <c r="BB859"/>
      <c r="BC859"/>
      <c r="BD859"/>
      <c r="BE859"/>
      <c r="BF859"/>
      <c r="BG859"/>
      <c r="BH859"/>
      <c r="BI859"/>
      <c r="BJ859"/>
      <c r="BK859"/>
      <c r="BL859"/>
      <c r="BM859"/>
      <c r="BN859"/>
      <c r="BO859"/>
      <c r="BP859"/>
      <c r="BQ859"/>
      <c r="BR859"/>
      <c r="BS859"/>
      <c r="BT859"/>
      <c r="BU859"/>
      <c r="BV859"/>
      <c r="BW859"/>
      <c r="BX859"/>
      <c r="BY859"/>
      <c r="BZ859"/>
      <c r="CA859"/>
      <c r="CB859"/>
      <c r="CC859"/>
      <c r="CD859"/>
      <c r="CE859"/>
      <c r="CF859"/>
      <c r="CG859"/>
      <c r="CH859"/>
      <c r="CI859"/>
      <c r="CJ859"/>
      <c r="CK859"/>
      <c r="CL859"/>
      <c r="CM859"/>
      <c r="CN859"/>
      <c r="CO859"/>
      <c r="CP859"/>
      <c r="CQ859"/>
      <c r="CR859"/>
      <c r="CS859"/>
      <c r="CT859"/>
      <c r="CU859"/>
      <c r="CV859"/>
      <c r="CW859"/>
      <c r="CX859"/>
      <c r="CY859"/>
      <c r="CZ859"/>
      <c r="DA859"/>
      <c r="DB859"/>
      <c r="DC859"/>
      <c r="DD859"/>
      <c r="DE859"/>
      <c r="DF859"/>
      <c r="DG859"/>
      <c r="DH859"/>
      <c r="DI859"/>
      <c r="DJ859"/>
      <c r="DK859"/>
      <c r="DL859"/>
      <c r="DM859"/>
      <c r="DN859"/>
      <c r="DO859"/>
      <c r="DP859"/>
      <c r="DQ859"/>
      <c r="DR859"/>
      <c r="DS859"/>
      <c r="DT859"/>
      <c r="DU859"/>
      <c r="DV859"/>
      <c r="DW859"/>
      <c r="DX859"/>
      <c r="DY859"/>
      <c r="DZ859"/>
      <c r="EA859"/>
      <c r="EB859"/>
      <c r="EC859"/>
      <c r="ED859"/>
      <c r="EE859"/>
      <c r="EF859"/>
      <c r="EG859"/>
      <c r="EH859"/>
      <c r="EI859"/>
      <c r="EJ859"/>
      <c r="EK859"/>
      <c r="EL859"/>
      <c r="EM859"/>
      <c r="EN859"/>
      <c r="EO859"/>
      <c r="EP859"/>
      <c r="EQ859"/>
      <c r="ER859"/>
      <c r="ES859"/>
      <c r="ET859"/>
      <c r="EU859"/>
      <c r="EV859"/>
      <c r="EW859"/>
      <c r="EX859"/>
      <c r="EY859"/>
      <c r="EZ859"/>
      <c r="FA859"/>
      <c r="FB859"/>
      <c r="FC859"/>
      <c r="FD859"/>
      <c r="FE859"/>
      <c r="FF859"/>
      <c r="FG859"/>
      <c r="FH859"/>
      <c r="FI859"/>
      <c r="FJ859"/>
      <c r="FK859"/>
      <c r="FL859"/>
      <c r="FM859"/>
      <c r="FN859"/>
      <c r="FO859"/>
      <c r="FP859"/>
      <c r="FQ859"/>
      <c r="FR859"/>
      <c r="FS859"/>
      <c r="FT859"/>
      <c r="FU859"/>
      <c r="FV859"/>
      <c r="FW859"/>
      <c r="FX859"/>
      <c r="FY859"/>
      <c r="FZ859"/>
      <c r="GA859"/>
      <c r="GB859"/>
      <c r="GC859"/>
      <c r="GD859"/>
      <c r="GE859"/>
      <c r="GF859"/>
      <c r="GG859"/>
      <c r="GH859"/>
      <c r="GI859"/>
      <c r="GJ859"/>
      <c r="GK859"/>
      <c r="GL859"/>
      <c r="GM859"/>
      <c r="GN859"/>
      <c r="GO859"/>
      <c r="GP859"/>
      <c r="GQ859"/>
      <c r="GR859"/>
      <c r="GS859"/>
      <c r="GT859"/>
      <c r="GU859"/>
      <c r="GV859"/>
      <c r="GW859"/>
      <c r="GX859"/>
      <c r="GY859"/>
      <c r="GZ859"/>
      <c r="HA859"/>
      <c r="HB859"/>
      <c r="HC859"/>
      <c r="HD859"/>
      <c r="HE859"/>
      <c r="HF859"/>
      <c r="HG859"/>
      <c r="HH859"/>
      <c r="HI859"/>
      <c r="HJ859"/>
      <c r="HK859"/>
      <c r="HL859"/>
      <c r="HM859"/>
      <c r="HN859"/>
      <c r="HO859"/>
      <c r="HP859"/>
      <c r="HQ859"/>
      <c r="HR859"/>
      <c r="HS859"/>
      <c r="HT859"/>
      <c r="HU859"/>
      <c r="HV859"/>
      <c r="HW859"/>
      <c r="HX859"/>
      <c r="HY859"/>
      <c r="HZ859"/>
      <c r="IA859"/>
      <c r="IB859"/>
      <c r="IC859"/>
      <c r="ID859"/>
      <c r="IE859"/>
      <c r="IF859"/>
      <c r="IG859"/>
      <c r="IH859"/>
      <c r="II859"/>
      <c r="IJ859"/>
    </row>
    <row r="860" spans="1:244" ht="30" customHeight="1" x14ac:dyDescent="0.2">
      <c r="A860" s="2464"/>
      <c r="B860" s="2126" t="s">
        <v>2560</v>
      </c>
      <c r="C860" s="2111">
        <v>200000</v>
      </c>
      <c r="D860" s="2111">
        <v>200000</v>
      </c>
      <c r="E860" s="2111"/>
      <c r="F860" s="2111"/>
      <c r="G860" s="2200"/>
      <c r="H860" s="2200"/>
      <c r="I860" s="2201"/>
      <c r="J860" s="88">
        <v>0</v>
      </c>
      <c r="K860" s="2"/>
      <c r="L860"/>
      <c r="M860"/>
      <c r="N860"/>
      <c r="O860"/>
      <c r="P860"/>
      <c r="Q860"/>
      <c r="R860"/>
      <c r="S860"/>
      <c r="T860"/>
      <c r="U860"/>
      <c r="V860"/>
      <c r="W860"/>
      <c r="X860"/>
      <c r="Y860"/>
      <c r="Z860"/>
      <c r="AA860"/>
      <c r="AB860"/>
      <c r="AC860"/>
      <c r="AD860"/>
      <c r="AE860"/>
      <c r="AF860"/>
      <c r="AG860"/>
      <c r="AH860"/>
      <c r="AI860"/>
      <c r="AJ860"/>
      <c r="AK860"/>
      <c r="AL860"/>
      <c r="AM860"/>
      <c r="AN860"/>
      <c r="AO860"/>
      <c r="AP860"/>
      <c r="AQ860"/>
      <c r="AR860"/>
      <c r="AS860"/>
      <c r="AT860"/>
      <c r="AU860"/>
      <c r="AV860"/>
      <c r="AW860"/>
      <c r="AX860"/>
      <c r="AY860"/>
      <c r="AZ860"/>
      <c r="BA860"/>
      <c r="BB860"/>
      <c r="BC860"/>
      <c r="BD860"/>
      <c r="BE860"/>
      <c r="BF860"/>
      <c r="BG860"/>
      <c r="BH860"/>
      <c r="BI860"/>
      <c r="BJ860"/>
      <c r="BK860"/>
      <c r="BL860"/>
      <c r="BM860"/>
      <c r="BN860"/>
      <c r="BO860"/>
      <c r="BP860"/>
      <c r="BQ860"/>
      <c r="BR860"/>
      <c r="BS860"/>
      <c r="BT860"/>
      <c r="BU860"/>
      <c r="BV860"/>
      <c r="BW860"/>
      <c r="BX860"/>
      <c r="BY860"/>
      <c r="BZ860"/>
      <c r="CA860"/>
      <c r="CB860"/>
      <c r="CC860"/>
      <c r="CD860"/>
      <c r="CE860"/>
      <c r="CF860"/>
      <c r="CG860"/>
      <c r="CH860"/>
      <c r="CI860"/>
      <c r="CJ860"/>
      <c r="CK860"/>
      <c r="CL860"/>
      <c r="CM860"/>
      <c r="CN860"/>
      <c r="CO860"/>
      <c r="CP860"/>
      <c r="CQ860"/>
      <c r="CR860"/>
      <c r="CS860"/>
      <c r="CT860"/>
      <c r="CU860"/>
      <c r="CV860"/>
      <c r="CW860"/>
      <c r="CX860"/>
      <c r="CY860"/>
      <c r="CZ860"/>
      <c r="DA860"/>
      <c r="DB860"/>
      <c r="DC860"/>
      <c r="DD860"/>
      <c r="DE860"/>
      <c r="DF860"/>
      <c r="DG860"/>
      <c r="DH860"/>
      <c r="DI860"/>
      <c r="DJ860"/>
      <c r="DK860"/>
      <c r="DL860"/>
      <c r="DM860"/>
      <c r="DN860"/>
      <c r="DO860"/>
      <c r="DP860"/>
      <c r="DQ860"/>
      <c r="DR860"/>
      <c r="DS860"/>
      <c r="DT860"/>
      <c r="DU860"/>
      <c r="DV860"/>
      <c r="DW860"/>
      <c r="DX860"/>
      <c r="DY860"/>
      <c r="DZ860"/>
      <c r="EA860"/>
      <c r="EB860"/>
      <c r="EC860"/>
      <c r="ED860"/>
      <c r="EE860"/>
      <c r="EF860"/>
      <c r="EG860"/>
      <c r="EH860"/>
      <c r="EI860"/>
      <c r="EJ860"/>
      <c r="EK860"/>
      <c r="EL860"/>
      <c r="EM860"/>
      <c r="EN860"/>
      <c r="EO860"/>
      <c r="EP860"/>
      <c r="EQ860"/>
      <c r="ER860"/>
      <c r="ES860"/>
      <c r="ET860"/>
      <c r="EU860"/>
      <c r="EV860"/>
      <c r="EW860"/>
      <c r="EX860"/>
      <c r="EY860"/>
      <c r="EZ860"/>
      <c r="FA860"/>
      <c r="FB860"/>
      <c r="FC860"/>
      <c r="FD860"/>
      <c r="FE860"/>
      <c r="FF860"/>
      <c r="FG860"/>
      <c r="FH860"/>
      <c r="FI860"/>
      <c r="FJ860"/>
      <c r="FK860"/>
      <c r="FL860"/>
      <c r="FM860"/>
      <c r="FN860"/>
      <c r="FO860"/>
      <c r="FP860"/>
      <c r="FQ860"/>
      <c r="FR860"/>
      <c r="FS860"/>
      <c r="FT860"/>
      <c r="FU860"/>
      <c r="FV860"/>
      <c r="FW860"/>
      <c r="FX860"/>
      <c r="FY860"/>
      <c r="FZ860"/>
      <c r="GA860"/>
      <c r="GB860"/>
      <c r="GC860"/>
      <c r="GD860"/>
      <c r="GE860"/>
      <c r="GF860"/>
      <c r="GG860"/>
      <c r="GH860"/>
      <c r="GI860"/>
      <c r="GJ860"/>
      <c r="GK860"/>
      <c r="GL860"/>
      <c r="GM860"/>
      <c r="GN860"/>
      <c r="GO860"/>
      <c r="GP860"/>
      <c r="GQ860"/>
      <c r="GR860"/>
      <c r="GS860"/>
      <c r="GT860"/>
      <c r="GU860"/>
      <c r="GV860"/>
      <c r="GW860"/>
      <c r="GX860"/>
      <c r="GY860"/>
      <c r="GZ860"/>
      <c r="HA860"/>
      <c r="HB860"/>
      <c r="HC860"/>
      <c r="HD860"/>
      <c r="HE860"/>
      <c r="HF860"/>
      <c r="HG860"/>
      <c r="HH860"/>
      <c r="HI860"/>
      <c r="HJ860"/>
      <c r="HK860"/>
      <c r="HL860"/>
      <c r="HM860"/>
      <c r="HN860"/>
      <c r="HO860"/>
      <c r="HP860"/>
      <c r="HQ860"/>
      <c r="HR860"/>
      <c r="HS860"/>
      <c r="HT860"/>
      <c r="HU860"/>
      <c r="HV860"/>
      <c r="HW860"/>
      <c r="HX860"/>
      <c r="HY860"/>
      <c r="HZ860"/>
      <c r="IA860"/>
      <c r="IB860"/>
      <c r="IC860"/>
      <c r="ID860"/>
      <c r="IE860"/>
      <c r="IF860"/>
      <c r="IG860"/>
      <c r="IH860"/>
      <c r="II860"/>
      <c r="IJ860"/>
    </row>
    <row r="861" spans="1:244" s="488" customFormat="1" ht="30" customHeight="1" x14ac:dyDescent="0.2">
      <c r="A861" s="2391"/>
      <c r="B861" s="2112" t="s">
        <v>2561</v>
      </c>
      <c r="C861" s="2107">
        <v>500000</v>
      </c>
      <c r="D861" s="2107">
        <v>500000</v>
      </c>
      <c r="E861" s="2111"/>
      <c r="F861" s="2111"/>
      <c r="G861" s="2200"/>
      <c r="H861" s="2200"/>
      <c r="I861" s="2201"/>
      <c r="J861" s="88">
        <v>205958.63</v>
      </c>
    </row>
    <row r="862" spans="1:244" s="488" customFormat="1" ht="30" customHeight="1" x14ac:dyDescent="0.2">
      <c r="A862" s="2391">
        <v>3634</v>
      </c>
      <c r="B862" s="2130" t="s">
        <v>1991</v>
      </c>
      <c r="C862" s="2131">
        <f>SUM(C863:C866)</f>
        <v>5700000</v>
      </c>
      <c r="D862" s="2131">
        <f>SUM(D863:D866)</f>
        <v>6120000</v>
      </c>
      <c r="E862" s="2131"/>
      <c r="F862" s="2107"/>
      <c r="G862" s="1663"/>
      <c r="H862" s="1663"/>
      <c r="I862" s="1662"/>
      <c r="J862" s="2175">
        <v>3984926.97</v>
      </c>
    </row>
    <row r="863" spans="1:244" s="488" customFormat="1" ht="30" customHeight="1" x14ac:dyDescent="0.2">
      <c r="A863" s="2391"/>
      <c r="B863" s="2113" t="s">
        <v>2562</v>
      </c>
      <c r="C863" s="2107">
        <v>500000</v>
      </c>
      <c r="D863" s="2107">
        <v>500000</v>
      </c>
      <c r="E863" s="2107"/>
      <c r="F863" s="2107"/>
      <c r="G863" s="2200"/>
      <c r="H863" s="2200"/>
      <c r="I863" s="2201"/>
      <c r="J863" s="88">
        <v>219502.47</v>
      </c>
    </row>
    <row r="864" spans="1:244" ht="30" customHeight="1" x14ac:dyDescent="0.2">
      <c r="A864" s="2391"/>
      <c r="B864" s="2113" t="s">
        <v>2563</v>
      </c>
      <c r="C864" s="2075">
        <v>700000</v>
      </c>
      <c r="D864" s="2075">
        <f>700000+1000000+550000+220000</f>
        <v>2470000</v>
      </c>
      <c r="E864" s="2107"/>
      <c r="F864" s="2107"/>
      <c r="G864" s="2200"/>
      <c r="H864" s="2200"/>
      <c r="I864" s="2201"/>
      <c r="J864" s="32">
        <v>542867.98</v>
      </c>
      <c r="K864" s="2"/>
      <c r="L864"/>
      <c r="M864"/>
      <c r="N864"/>
      <c r="O864"/>
      <c r="P864"/>
      <c r="Q864"/>
      <c r="R864"/>
      <c r="S864"/>
      <c r="T864"/>
      <c r="U864"/>
      <c r="V864"/>
      <c r="W864"/>
      <c r="X864"/>
      <c r="Y864"/>
      <c r="Z864"/>
      <c r="AA864"/>
      <c r="AB864"/>
      <c r="AC864"/>
      <c r="AD864"/>
      <c r="AE864"/>
      <c r="AF864"/>
      <c r="AG864"/>
      <c r="AH864"/>
      <c r="AI864"/>
      <c r="AJ864"/>
      <c r="AK864"/>
      <c r="AL864"/>
      <c r="AM864"/>
      <c r="AN864"/>
      <c r="AO864"/>
      <c r="AP864"/>
      <c r="AQ864"/>
      <c r="AR864"/>
      <c r="AS864"/>
      <c r="AT864"/>
      <c r="AU864"/>
      <c r="AV864"/>
      <c r="AW864"/>
      <c r="AX864"/>
      <c r="AY864"/>
      <c r="AZ864"/>
      <c r="BA864"/>
      <c r="BB864"/>
      <c r="BC864"/>
      <c r="BD864"/>
      <c r="BE864"/>
      <c r="BF864"/>
      <c r="BG864"/>
      <c r="BH864"/>
      <c r="BI864"/>
      <c r="BJ864"/>
      <c r="BK864"/>
      <c r="BL864"/>
      <c r="BM864"/>
      <c r="BN864"/>
      <c r="BO864"/>
      <c r="BP864"/>
      <c r="BQ864"/>
      <c r="BR864"/>
      <c r="BS864"/>
      <c r="BT864"/>
      <c r="BU864"/>
      <c r="BV864"/>
      <c r="BW864"/>
      <c r="BX864"/>
      <c r="BY864"/>
      <c r="BZ864"/>
      <c r="CA864"/>
      <c r="CB864"/>
      <c r="CC864"/>
      <c r="CD864"/>
      <c r="CE864"/>
      <c r="CF864"/>
      <c r="CG864"/>
      <c r="CH864"/>
      <c r="CI864"/>
      <c r="CJ864"/>
      <c r="CK864"/>
      <c r="CL864"/>
      <c r="CM864"/>
      <c r="CN864"/>
      <c r="CO864"/>
      <c r="CP864"/>
      <c r="CQ864"/>
      <c r="CR864"/>
      <c r="CS864"/>
      <c r="CT864"/>
      <c r="CU864"/>
      <c r="CV864"/>
      <c r="CW864"/>
      <c r="CX864"/>
      <c r="CY864"/>
      <c r="CZ864"/>
      <c r="DA864"/>
      <c r="DB864"/>
      <c r="DC864"/>
      <c r="DD864"/>
      <c r="DE864"/>
      <c r="DF864"/>
      <c r="DG864"/>
      <c r="DH864"/>
      <c r="DI864"/>
      <c r="DJ864"/>
      <c r="DK864"/>
      <c r="DL864"/>
      <c r="DM864"/>
      <c r="DN864"/>
      <c r="DO864"/>
      <c r="DP864"/>
      <c r="DQ864"/>
      <c r="DR864"/>
      <c r="DS864"/>
      <c r="DT864"/>
      <c r="DU864"/>
      <c r="DV864"/>
      <c r="DW864"/>
      <c r="DX864"/>
      <c r="DY864"/>
      <c r="DZ864"/>
      <c r="EA864"/>
      <c r="EB864"/>
      <c r="EC864"/>
      <c r="ED864"/>
      <c r="EE864"/>
      <c r="EF864"/>
      <c r="EG864"/>
      <c r="EH864"/>
      <c r="EI864"/>
      <c r="EJ864"/>
      <c r="EK864"/>
      <c r="EL864"/>
      <c r="EM864"/>
      <c r="EN864"/>
      <c r="EO864"/>
      <c r="EP864"/>
      <c r="EQ864"/>
      <c r="ER864"/>
      <c r="ES864"/>
      <c r="ET864"/>
      <c r="EU864"/>
      <c r="EV864"/>
      <c r="EW864"/>
      <c r="EX864"/>
      <c r="EY864"/>
      <c r="EZ864"/>
      <c r="FA864"/>
      <c r="FB864"/>
      <c r="FC864"/>
      <c r="FD864"/>
      <c r="FE864"/>
      <c r="FF864"/>
      <c r="FG864"/>
      <c r="FH864"/>
      <c r="FI864"/>
      <c r="FJ864"/>
      <c r="FK864"/>
      <c r="FL864"/>
      <c r="FM864"/>
      <c r="FN864"/>
      <c r="FO864"/>
      <c r="FP864"/>
      <c r="FQ864"/>
      <c r="FR864"/>
      <c r="FS864"/>
      <c r="FT864"/>
      <c r="FU864"/>
      <c r="FV864"/>
      <c r="FW864"/>
      <c r="FX864"/>
      <c r="FY864"/>
      <c r="FZ864"/>
      <c r="GA864"/>
      <c r="GB864"/>
      <c r="GC864"/>
      <c r="GD864"/>
      <c r="GE864"/>
      <c r="GF864"/>
      <c r="GG864"/>
      <c r="GH864"/>
      <c r="GI864"/>
      <c r="GJ864"/>
      <c r="GK864"/>
      <c r="GL864"/>
      <c r="GM864"/>
      <c r="GN864"/>
      <c r="GO864"/>
      <c r="GP864"/>
      <c r="GQ864"/>
      <c r="GR864"/>
      <c r="GS864"/>
      <c r="GT864"/>
      <c r="GU864"/>
      <c r="GV864"/>
      <c r="GW864"/>
      <c r="GX864"/>
      <c r="GY864"/>
      <c r="GZ864"/>
      <c r="HA864"/>
      <c r="HB864"/>
      <c r="HC864"/>
      <c r="HD864"/>
      <c r="HE864"/>
      <c r="HF864"/>
      <c r="HG864"/>
      <c r="HH864"/>
      <c r="HI864"/>
      <c r="HJ864"/>
      <c r="HK864"/>
      <c r="HL864"/>
      <c r="HM864"/>
      <c r="HN864"/>
      <c r="HO864"/>
      <c r="HP864"/>
      <c r="HQ864"/>
      <c r="HR864"/>
      <c r="HS864"/>
      <c r="HT864"/>
      <c r="HU864"/>
      <c r="HV864"/>
      <c r="HW864"/>
      <c r="HX864"/>
      <c r="HY864"/>
      <c r="HZ864"/>
      <c r="IA864"/>
      <c r="IB864"/>
      <c r="IC864"/>
      <c r="ID864"/>
      <c r="IE864"/>
      <c r="IF864"/>
      <c r="IG864"/>
      <c r="IH864"/>
      <c r="II864"/>
      <c r="IJ864"/>
    </row>
    <row r="865" spans="1:243" s="488" customFormat="1" ht="30" customHeight="1" x14ac:dyDescent="0.2">
      <c r="A865" s="2391"/>
      <c r="B865" s="2132" t="s">
        <v>2564</v>
      </c>
      <c r="C865" s="2075">
        <v>2500000</v>
      </c>
      <c r="D865" s="2075">
        <v>2500000</v>
      </c>
      <c r="E865" s="2075"/>
      <c r="F865" s="2075"/>
      <c r="G865" s="2200"/>
      <c r="H865" s="2200"/>
      <c r="I865" s="2201"/>
      <c r="J865" s="88">
        <v>0</v>
      </c>
    </row>
    <row r="866" spans="1:243" s="488" customFormat="1" ht="30" customHeight="1" x14ac:dyDescent="0.2">
      <c r="A866" s="2471"/>
      <c r="B866" s="2106" t="s">
        <v>951</v>
      </c>
      <c r="C866" s="2107">
        <f>SUM(C867:C869)</f>
        <v>2000000</v>
      </c>
      <c r="D866" s="2107">
        <f>SUM(D867:D869)</f>
        <v>650000</v>
      </c>
      <c r="E866" s="2107"/>
      <c r="F866" s="2107"/>
      <c r="G866" s="2200"/>
      <c r="H866" s="2200"/>
      <c r="I866" s="2201"/>
      <c r="J866" s="88">
        <v>807697.99</v>
      </c>
    </row>
    <row r="867" spans="1:243" s="488" customFormat="1" ht="30" customHeight="1" x14ac:dyDescent="0.2">
      <c r="A867" s="2462"/>
      <c r="B867" s="2133" t="s">
        <v>2565</v>
      </c>
      <c r="C867" s="2075">
        <v>400000</v>
      </c>
      <c r="D867" s="2075">
        <v>400000</v>
      </c>
      <c r="E867" s="2075"/>
      <c r="F867" s="2075"/>
      <c r="G867" s="2200"/>
      <c r="H867" s="2200"/>
      <c r="I867" s="2201"/>
      <c r="J867" s="32">
        <v>750222.99</v>
      </c>
    </row>
    <row r="868" spans="1:243" s="488" customFormat="1" ht="30" customHeight="1" x14ac:dyDescent="0.2">
      <c r="A868" s="2462"/>
      <c r="B868" s="2133" t="s">
        <v>2566</v>
      </c>
      <c r="C868" s="2107">
        <v>800000</v>
      </c>
      <c r="D868" s="2107">
        <f>800000-550000</f>
        <v>250000</v>
      </c>
      <c r="E868" s="2107"/>
      <c r="F868" s="2107"/>
      <c r="G868" s="2200"/>
      <c r="H868" s="2200"/>
      <c r="I868" s="2201"/>
      <c r="J868" s="88">
        <v>0</v>
      </c>
    </row>
    <row r="869" spans="1:243" s="488" customFormat="1" ht="30" customHeight="1" x14ac:dyDescent="0.2">
      <c r="A869" s="2462"/>
      <c r="B869" s="2133" t="s">
        <v>2567</v>
      </c>
      <c r="C869" s="2107">
        <v>800000</v>
      </c>
      <c r="D869" s="2107">
        <f>800000-800000</f>
        <v>0</v>
      </c>
      <c r="E869" s="2107"/>
      <c r="F869" s="2107"/>
      <c r="G869" s="2200"/>
      <c r="H869" s="2200"/>
      <c r="I869" s="2201"/>
      <c r="J869" s="88">
        <v>57475</v>
      </c>
    </row>
    <row r="870" spans="1:243" s="488" customFormat="1" ht="30" customHeight="1" x14ac:dyDescent="0.2">
      <c r="A870" s="2391">
        <v>4351</v>
      </c>
      <c r="B870" s="2134" t="s">
        <v>1998</v>
      </c>
      <c r="C870" s="2085">
        <v>15000</v>
      </c>
      <c r="D870" s="2085">
        <v>15000</v>
      </c>
      <c r="E870" s="2085"/>
      <c r="F870" s="2075"/>
      <c r="G870" s="1663"/>
      <c r="H870" s="1663"/>
      <c r="I870" s="1662"/>
      <c r="J870" s="88">
        <v>3315.09</v>
      </c>
    </row>
    <row r="871" spans="1:243" s="488" customFormat="1" ht="30" customHeight="1" x14ac:dyDescent="0.2">
      <c r="A871" s="2391">
        <v>4374</v>
      </c>
      <c r="B871" s="2134" t="s">
        <v>759</v>
      </c>
      <c r="C871" s="2085">
        <f>C872</f>
        <v>350000</v>
      </c>
      <c r="D871" s="2085">
        <f>D872</f>
        <v>400000</v>
      </c>
      <c r="E871" s="2085"/>
      <c r="F871" s="2075"/>
      <c r="G871" s="1663"/>
      <c r="H871" s="1663"/>
      <c r="I871" s="1662"/>
      <c r="J871" s="88">
        <v>797079.56</v>
      </c>
    </row>
    <row r="872" spans="1:243" s="488" customFormat="1" ht="30" customHeight="1" x14ac:dyDescent="0.2">
      <c r="A872" s="2462"/>
      <c r="B872" s="2133" t="s">
        <v>1999</v>
      </c>
      <c r="C872" s="2075">
        <f>C873+C874</f>
        <v>350000</v>
      </c>
      <c r="D872" s="2075">
        <f>D873+D874</f>
        <v>400000</v>
      </c>
      <c r="E872" s="2075"/>
      <c r="F872" s="2075"/>
      <c r="G872" s="2200"/>
      <c r="H872" s="2200"/>
      <c r="I872" s="2201"/>
      <c r="J872" s="88">
        <v>797079.56</v>
      </c>
    </row>
    <row r="873" spans="1:243" s="488" customFormat="1" ht="30" customHeight="1" x14ac:dyDescent="0.2">
      <c r="A873" s="2462"/>
      <c r="B873" s="2133" t="s">
        <v>2000</v>
      </c>
      <c r="C873" s="2107">
        <v>250000</v>
      </c>
      <c r="D873" s="2107">
        <f>250000+50000</f>
        <v>300000</v>
      </c>
      <c r="E873" s="2107"/>
      <c r="F873" s="2107"/>
      <c r="G873" s="2200"/>
      <c r="H873" s="2200"/>
      <c r="I873" s="2201"/>
      <c r="J873" s="88">
        <v>783191.56</v>
      </c>
    </row>
    <row r="874" spans="1:243" s="488" customFormat="1" ht="30" customHeight="1" x14ac:dyDescent="0.2">
      <c r="A874" s="2391"/>
      <c r="B874" s="2083" t="s">
        <v>2001</v>
      </c>
      <c r="C874" s="2075">
        <v>100000</v>
      </c>
      <c r="D874" s="2075">
        <v>100000</v>
      </c>
      <c r="E874" s="2075"/>
      <c r="F874" s="2075"/>
      <c r="G874" s="2200"/>
      <c r="H874" s="2200"/>
      <c r="I874" s="2201"/>
      <c r="J874" s="88">
        <v>13888</v>
      </c>
    </row>
    <row r="875" spans="1:243" s="488" customFormat="1" ht="30" customHeight="1" x14ac:dyDescent="0.2">
      <c r="A875" s="2391">
        <v>6171</v>
      </c>
      <c r="B875" s="2135" t="s">
        <v>975</v>
      </c>
      <c r="C875" s="2131">
        <f>SUM(C876:C877)</f>
        <v>500000</v>
      </c>
      <c r="D875" s="2131">
        <f>SUM(D876:D877)</f>
        <v>280000</v>
      </c>
      <c r="E875" s="2131"/>
      <c r="F875" s="2107"/>
      <c r="G875" s="1663"/>
      <c r="H875" s="1663"/>
      <c r="I875" s="1662"/>
      <c r="J875" s="88">
        <v>1185406.5</v>
      </c>
    </row>
    <row r="876" spans="1:243" s="488" customFormat="1" ht="30" customHeight="1" x14ac:dyDescent="0.2">
      <c r="A876" s="2473"/>
      <c r="B876" s="2128" t="s">
        <v>2002</v>
      </c>
      <c r="C876" s="2137">
        <v>250000</v>
      </c>
      <c r="D876" s="2137">
        <v>250000</v>
      </c>
      <c r="E876" s="2137"/>
      <c r="F876" s="2137"/>
      <c r="G876" s="2200"/>
      <c r="H876" s="2200"/>
      <c r="I876" s="2201"/>
      <c r="J876" s="88">
        <v>208392</v>
      </c>
    </row>
    <row r="877" spans="1:243" s="488" customFormat="1" ht="30" customHeight="1" x14ac:dyDescent="0.2">
      <c r="A877" s="2462"/>
      <c r="B877" s="2078" t="s">
        <v>2568</v>
      </c>
      <c r="C877" s="2075">
        <v>250000</v>
      </c>
      <c r="D877" s="2075">
        <f>250000-220000</f>
        <v>30000</v>
      </c>
      <c r="E877" s="2075"/>
      <c r="F877" s="2075"/>
      <c r="G877" s="2200"/>
      <c r="H877" s="2200"/>
      <c r="I877" s="2201"/>
      <c r="J877" s="32">
        <v>361790</v>
      </c>
    </row>
    <row r="878" spans="1:243" s="488" customFormat="1" ht="30" customHeight="1" x14ac:dyDescent="0.2">
      <c r="A878" s="2474"/>
      <c r="B878" s="2141"/>
      <c r="C878" s="2144"/>
      <c r="D878" s="2144"/>
      <c r="E878" s="2142"/>
      <c r="F878" s="2143"/>
      <c r="G878" s="2475"/>
      <c r="H878" s="2475"/>
      <c r="I878" s="2144"/>
      <c r="J878" s="2175"/>
    </row>
    <row r="879" spans="1:243" s="545" customFormat="1" ht="30" customHeight="1" x14ac:dyDescent="0.3">
      <c r="A879" s="2373"/>
      <c r="B879" s="701" t="s">
        <v>52</v>
      </c>
      <c r="C879" s="2145">
        <f t="shared" ref="C879:D879" si="77">SUM(C880+C885)</f>
        <v>290000</v>
      </c>
      <c r="D879" s="2145">
        <f t="shared" si="77"/>
        <v>290000</v>
      </c>
      <c r="E879" s="1217"/>
      <c r="F879" s="2476"/>
      <c r="G879" s="949"/>
      <c r="H879" s="949"/>
      <c r="I879" s="949"/>
      <c r="J879" s="2047">
        <v>130850</v>
      </c>
      <c r="IC879" s="98"/>
      <c r="ID879" s="98"/>
      <c r="IE879" s="98"/>
      <c r="IF879" s="98"/>
      <c r="IG879" s="98"/>
      <c r="IH879" s="98"/>
      <c r="II879" s="98"/>
    </row>
    <row r="880" spans="1:243" s="545" customFormat="1" ht="30" customHeight="1" x14ac:dyDescent="0.2">
      <c r="A880" s="2219">
        <v>2169</v>
      </c>
      <c r="B880" s="709" t="s">
        <v>2007</v>
      </c>
      <c r="C880" s="746">
        <f>SUM(C881:C884)</f>
        <v>250000</v>
      </c>
      <c r="D880" s="746">
        <f>SUM(D881:D884)</f>
        <v>250000</v>
      </c>
      <c r="E880" s="731"/>
      <c r="F880" s="738"/>
      <c r="G880" s="1663"/>
      <c r="H880" s="1663"/>
      <c r="I880" s="1662"/>
      <c r="J880" s="2047">
        <v>0</v>
      </c>
      <c r="IC880" s="98"/>
      <c r="ID880" s="98"/>
      <c r="IE880" s="98"/>
      <c r="IF880" s="98"/>
      <c r="IG880" s="98"/>
      <c r="IH880" s="98"/>
      <c r="II880" s="98"/>
    </row>
    <row r="881" spans="1:243" s="545" customFormat="1" ht="30" customHeight="1" x14ac:dyDescent="0.2">
      <c r="A881" s="2219"/>
      <c r="B881" s="766" t="s">
        <v>982</v>
      </c>
      <c r="C881" s="1856">
        <v>37000</v>
      </c>
      <c r="D881" s="1856">
        <v>37000</v>
      </c>
      <c r="E881" s="738"/>
      <c r="F881" s="2146"/>
      <c r="G881" s="2200"/>
      <c r="H881" s="2200"/>
      <c r="I881" s="2201"/>
      <c r="J881" s="2047">
        <v>0</v>
      </c>
      <c r="IC881" s="98"/>
      <c r="ID881" s="98"/>
      <c r="IE881" s="98"/>
      <c r="IF881" s="98"/>
      <c r="IG881" s="98"/>
      <c r="IH881" s="98"/>
      <c r="II881" s="98"/>
    </row>
    <row r="882" spans="1:243" s="545" customFormat="1" ht="30" customHeight="1" x14ac:dyDescent="0.2">
      <c r="A882" s="2219"/>
      <c r="B882" s="766" t="s">
        <v>983</v>
      </c>
      <c r="C882" s="858">
        <v>200000</v>
      </c>
      <c r="D882" s="858">
        <v>200000</v>
      </c>
      <c r="E882" s="738"/>
      <c r="F882" s="1256"/>
      <c r="G882" s="2200"/>
      <c r="H882" s="2200"/>
      <c r="I882" s="2201"/>
      <c r="J882" s="2047">
        <v>0</v>
      </c>
      <c r="IC882" s="98"/>
      <c r="ID882" s="98"/>
      <c r="IE882" s="98"/>
      <c r="IF882" s="98"/>
      <c r="IG882" s="98"/>
      <c r="IH882" s="98"/>
      <c r="II882" s="98"/>
    </row>
    <row r="883" spans="1:243" s="545" customFormat="1" ht="30" customHeight="1" x14ac:dyDescent="0.2">
      <c r="A883" s="2219"/>
      <c r="B883" s="766" t="s">
        <v>2569</v>
      </c>
      <c r="C883" s="858">
        <v>10000</v>
      </c>
      <c r="D883" s="858">
        <v>10000</v>
      </c>
      <c r="E883" s="738"/>
      <c r="F883" s="1256"/>
      <c r="G883" s="2200"/>
      <c r="H883" s="2200"/>
      <c r="I883" s="2201"/>
      <c r="J883" s="2047">
        <v>0</v>
      </c>
      <c r="IC883" s="98"/>
      <c r="ID883" s="98"/>
      <c r="IE883" s="98"/>
      <c r="IF883" s="98"/>
      <c r="IG883" s="98"/>
      <c r="IH883" s="98"/>
      <c r="II883" s="98"/>
    </row>
    <row r="884" spans="1:243" s="545" customFormat="1" ht="30" customHeight="1" x14ac:dyDescent="0.2">
      <c r="A884" s="2219"/>
      <c r="B884" s="766" t="s">
        <v>984</v>
      </c>
      <c r="C884" s="866">
        <v>3000</v>
      </c>
      <c r="D884" s="866">
        <v>3000</v>
      </c>
      <c r="E884" s="738"/>
      <c r="F884" s="2045"/>
      <c r="G884" s="2200"/>
      <c r="H884" s="2200"/>
      <c r="I884" s="2201"/>
      <c r="J884" s="2047">
        <v>0</v>
      </c>
      <c r="IC884" s="98"/>
      <c r="ID884" s="98"/>
      <c r="IE884" s="98"/>
      <c r="IF884" s="98"/>
      <c r="IG884" s="98"/>
      <c r="IH884" s="98"/>
      <c r="II884" s="98"/>
    </row>
    <row r="885" spans="1:243" s="545" customFormat="1" ht="30" customHeight="1" x14ac:dyDescent="0.2">
      <c r="A885" s="2221">
        <v>3635</v>
      </c>
      <c r="B885" s="717" t="s">
        <v>986</v>
      </c>
      <c r="C885" s="726">
        <f t="shared" ref="C885:D885" si="78">SUM(C886:C887)</f>
        <v>40000</v>
      </c>
      <c r="D885" s="726">
        <f t="shared" si="78"/>
        <v>40000</v>
      </c>
      <c r="E885" s="726"/>
      <c r="F885" s="750"/>
      <c r="G885" s="1663"/>
      <c r="H885" s="1663"/>
      <c r="I885" s="1662"/>
      <c r="J885" s="2047">
        <v>130850</v>
      </c>
      <c r="IC885" s="98"/>
      <c r="ID885" s="98"/>
      <c r="IE885" s="98"/>
      <c r="IF885" s="98"/>
      <c r="IG885" s="98"/>
      <c r="IH885" s="98"/>
      <c r="II885" s="98"/>
    </row>
    <row r="886" spans="1:243" s="545" customFormat="1" ht="30" customHeight="1" x14ac:dyDescent="0.2">
      <c r="A886" s="2223"/>
      <c r="B886" s="737" t="s">
        <v>2570</v>
      </c>
      <c r="C886" s="2146">
        <v>0</v>
      </c>
      <c r="D886" s="2146">
        <v>0</v>
      </c>
      <c r="E886" s="738"/>
      <c r="F886" s="2146"/>
      <c r="G886" s="2200"/>
      <c r="H886" s="2200"/>
      <c r="I886" s="2201"/>
      <c r="J886" s="2047">
        <v>130850</v>
      </c>
      <c r="IC886" s="98"/>
      <c r="ID886" s="98"/>
      <c r="IE886" s="98"/>
      <c r="IF886" s="98"/>
      <c r="IG886" s="98"/>
      <c r="IH886" s="98"/>
      <c r="II886" s="98"/>
    </row>
    <row r="887" spans="1:243" s="545" customFormat="1" ht="30" customHeight="1" x14ac:dyDescent="0.2">
      <c r="A887" s="2263"/>
      <c r="B887" s="1530" t="s">
        <v>2571</v>
      </c>
      <c r="C887" s="1260">
        <v>40000</v>
      </c>
      <c r="D887" s="1260">
        <v>40000</v>
      </c>
      <c r="E887" s="1040"/>
      <c r="F887" s="1269"/>
      <c r="G887" s="2200"/>
      <c r="H887" s="2200"/>
      <c r="I887" s="2201"/>
      <c r="J887" s="2047">
        <v>0</v>
      </c>
      <c r="IC887" s="98"/>
      <c r="ID887" s="98"/>
      <c r="IE887" s="98"/>
      <c r="IF887" s="98"/>
      <c r="IG887" s="98"/>
      <c r="IH887" s="98"/>
      <c r="II887" s="98"/>
    </row>
    <row r="888" spans="1:243" s="550" customFormat="1" ht="30" customHeight="1" x14ac:dyDescent="0.2">
      <c r="A888" s="2273"/>
      <c r="B888" s="1236"/>
      <c r="C888" s="2147"/>
      <c r="D888" s="2147"/>
      <c r="E888" s="1042"/>
      <c r="F888" s="2477"/>
      <c r="G888" s="2478"/>
      <c r="H888" s="2478"/>
      <c r="I888" s="2147"/>
      <c r="J888" s="2047"/>
      <c r="IC888" s="1"/>
      <c r="ID888" s="1"/>
      <c r="IE888" s="1"/>
      <c r="IF888" s="1"/>
      <c r="IG888" s="1"/>
      <c r="IH888" s="1"/>
      <c r="II888" s="1"/>
    </row>
    <row r="889" spans="1:243" s="244" customFormat="1" ht="30" customHeight="1" x14ac:dyDescent="0.3">
      <c r="A889" s="2479"/>
      <c r="B889" s="1051" t="s">
        <v>54</v>
      </c>
      <c r="C889" s="652">
        <f>SUM(C890:C895,C896:C900,C903,C909)</f>
        <v>65900000</v>
      </c>
      <c r="D889" s="652">
        <f>SUM(D890:D895,D896:D900,D903,D909)</f>
        <v>121148181.03</v>
      </c>
      <c r="E889" s="652"/>
      <c r="F889" s="2270"/>
      <c r="G889" s="949"/>
      <c r="H889" s="949"/>
      <c r="I889" s="949"/>
      <c r="J889" s="29">
        <v>55782812.780000001</v>
      </c>
    </row>
    <row r="890" spans="1:243" s="98" customFormat="1" ht="30" customHeight="1" x14ac:dyDescent="0.2">
      <c r="A890" s="2199">
        <v>3111</v>
      </c>
      <c r="B890" s="717" t="s">
        <v>2982</v>
      </c>
      <c r="C890" s="2480">
        <v>0</v>
      </c>
      <c r="D890" s="2480">
        <f>(76214.38+111686.75)</f>
        <v>187901.13</v>
      </c>
      <c r="E890" s="882"/>
      <c r="F890" s="1040"/>
      <c r="G890" s="1663"/>
      <c r="H890" s="1663"/>
      <c r="I890" s="1662"/>
      <c r="J890" s="29">
        <v>0</v>
      </c>
    </row>
    <row r="891" spans="1:243" s="98" customFormat="1" ht="30" customHeight="1" x14ac:dyDescent="0.2">
      <c r="A891" s="2199">
        <v>3113</v>
      </c>
      <c r="B891" s="717" t="s">
        <v>2983</v>
      </c>
      <c r="C891" s="727">
        <v>0</v>
      </c>
      <c r="D891" s="727">
        <f>(212592.52+261781.31+349438.48)</f>
        <v>823812.30999999994</v>
      </c>
      <c r="E891" s="882"/>
      <c r="F891" s="1040"/>
      <c r="G891" s="1663"/>
      <c r="H891" s="1663"/>
      <c r="I891" s="1662"/>
      <c r="J891" s="29">
        <v>770594.41</v>
      </c>
    </row>
    <row r="892" spans="1:243" s="98" customFormat="1" ht="30" customHeight="1" x14ac:dyDescent="0.2">
      <c r="A892" s="2199">
        <v>3113</v>
      </c>
      <c r="B892" s="717" t="s">
        <v>3165</v>
      </c>
      <c r="C892" s="727">
        <v>0</v>
      </c>
      <c r="D892" s="727">
        <f>(6450.7+58056.3)</f>
        <v>64507</v>
      </c>
      <c r="E892" s="882"/>
      <c r="F892" s="1040"/>
      <c r="G892" s="1663"/>
      <c r="H892" s="1663"/>
      <c r="I892" s="1662"/>
      <c r="J892" s="29">
        <v>0</v>
      </c>
    </row>
    <row r="893" spans="1:243" s="98" customFormat="1" ht="30" customHeight="1" x14ac:dyDescent="0.2">
      <c r="A893" s="2221">
        <v>3233</v>
      </c>
      <c r="B893" s="717" t="s">
        <v>2963</v>
      </c>
      <c r="C893" s="722">
        <v>0</v>
      </c>
      <c r="D893" s="722">
        <v>3730</v>
      </c>
      <c r="E893" s="882"/>
      <c r="F893" s="731"/>
      <c r="G893" s="1663"/>
      <c r="H893" s="1663"/>
      <c r="I893" s="1662"/>
      <c r="J893" s="88">
        <v>0</v>
      </c>
    </row>
    <row r="894" spans="1:243" s="98" customFormat="1" ht="30" customHeight="1" x14ac:dyDescent="0.2">
      <c r="A894" s="2199">
        <v>3392</v>
      </c>
      <c r="B894" s="717" t="s">
        <v>2984</v>
      </c>
      <c r="C894" s="727">
        <v>0</v>
      </c>
      <c r="D894" s="727">
        <v>61299</v>
      </c>
      <c r="E894" s="882"/>
      <c r="F894" s="1040"/>
      <c r="G894" s="1663"/>
      <c r="H894" s="1663"/>
      <c r="I894" s="1662"/>
      <c r="J894" s="29">
        <v>0</v>
      </c>
    </row>
    <row r="895" spans="1:243" s="98" customFormat="1" ht="30" customHeight="1" x14ac:dyDescent="0.2">
      <c r="A895" s="2221">
        <v>3392</v>
      </c>
      <c r="B895" s="717" t="s">
        <v>2965</v>
      </c>
      <c r="C895" s="730">
        <v>28000000</v>
      </c>
      <c r="D895" s="730">
        <v>28000000</v>
      </c>
      <c r="E895" s="998"/>
      <c r="F895" s="730"/>
      <c r="G895" s="1663"/>
      <c r="H895" s="1663"/>
      <c r="I895" s="1662"/>
      <c r="J895" s="88">
        <v>0</v>
      </c>
    </row>
    <row r="896" spans="1:243" s="98" customFormat="1" ht="30" customHeight="1" x14ac:dyDescent="0.2">
      <c r="A896" s="2221">
        <v>3612</v>
      </c>
      <c r="B896" s="1035" t="s">
        <v>2575</v>
      </c>
      <c r="C896" s="722">
        <v>700000</v>
      </c>
      <c r="D896" s="722">
        <f>700000+230000</f>
        <v>930000</v>
      </c>
      <c r="E896" s="882"/>
      <c r="F896" s="740"/>
      <c r="G896" s="1663"/>
      <c r="H896" s="1663"/>
      <c r="I896" s="1662"/>
      <c r="J896" s="29">
        <v>814952.71</v>
      </c>
    </row>
    <row r="897" spans="1:10" s="553" customFormat="1" ht="30" customHeight="1" x14ac:dyDescent="0.2">
      <c r="A897" s="2197">
        <v>3639</v>
      </c>
      <c r="B897" s="709" t="s">
        <v>2020</v>
      </c>
      <c r="C897" s="731">
        <v>200000</v>
      </c>
      <c r="D897" s="731">
        <f>200000-120000</f>
        <v>80000</v>
      </c>
      <c r="E897" s="882"/>
      <c r="F897" s="738"/>
      <c r="G897" s="1663"/>
      <c r="H897" s="1663"/>
      <c r="I897" s="1662"/>
      <c r="J897" s="1866">
        <v>158751</v>
      </c>
    </row>
    <row r="898" spans="1:10" ht="30" customHeight="1" x14ac:dyDescent="0.2">
      <c r="A898" s="2221">
        <v>6171</v>
      </c>
      <c r="B898" s="1526" t="s">
        <v>2576</v>
      </c>
      <c r="C898" s="731">
        <v>100000</v>
      </c>
      <c r="D898" s="731">
        <f>100000+400</f>
        <v>100400</v>
      </c>
      <c r="E898" s="882"/>
      <c r="F898" s="738"/>
      <c r="G898" s="1663"/>
      <c r="H898" s="1663"/>
      <c r="I898" s="1662"/>
      <c r="J898" s="1866">
        <v>79804</v>
      </c>
    </row>
    <row r="899" spans="1:10" ht="30" customHeight="1" x14ac:dyDescent="0.2">
      <c r="A899" s="2221">
        <v>6310</v>
      </c>
      <c r="B899" s="717" t="s">
        <v>2577</v>
      </c>
      <c r="C899" s="731">
        <v>400000</v>
      </c>
      <c r="D899" s="731">
        <f>400000+(90657.28+30684.81+1657.91)</f>
        <v>523000</v>
      </c>
      <c r="E899" s="998"/>
      <c r="F899" s="738"/>
      <c r="G899" s="1663"/>
      <c r="H899" s="1663"/>
      <c r="I899" s="1662"/>
      <c r="J899" s="29">
        <v>509638.14</v>
      </c>
    </row>
    <row r="900" spans="1:10" ht="30" customHeight="1" x14ac:dyDescent="0.2">
      <c r="A900" s="2221">
        <v>6399</v>
      </c>
      <c r="B900" s="717" t="s">
        <v>1005</v>
      </c>
      <c r="C900" s="726">
        <f>SUM(C901:C902)</f>
        <v>33000000</v>
      </c>
      <c r="D900" s="726">
        <f>SUM(D901:D902)</f>
        <v>58564110</v>
      </c>
      <c r="E900" s="734"/>
      <c r="F900" s="750"/>
      <c r="G900" s="1663"/>
      <c r="H900" s="1663"/>
      <c r="I900" s="1662"/>
      <c r="J900" s="29">
        <v>52780855</v>
      </c>
    </row>
    <row r="901" spans="1:10" ht="30" customHeight="1" x14ac:dyDescent="0.2">
      <c r="A901" s="2223"/>
      <c r="B901" s="737" t="s">
        <v>2023</v>
      </c>
      <c r="C901" s="2150">
        <v>30000000</v>
      </c>
      <c r="D901" s="2150">
        <f>30000000+25564110</f>
        <v>55564110</v>
      </c>
      <c r="E901" s="894"/>
      <c r="F901" s="738"/>
      <c r="G901" s="2200"/>
      <c r="H901" s="2200"/>
      <c r="I901" s="2201"/>
      <c r="J901" s="29">
        <v>46435050</v>
      </c>
    </row>
    <row r="902" spans="1:10" ht="30" customHeight="1" x14ac:dyDescent="0.2">
      <c r="A902" s="2223"/>
      <c r="B902" s="737" t="s">
        <v>2024</v>
      </c>
      <c r="C902" s="1946">
        <v>3000000</v>
      </c>
      <c r="D902" s="1946">
        <v>3000000</v>
      </c>
      <c r="E902" s="893"/>
      <c r="F902" s="2150"/>
      <c r="G902" s="2200"/>
      <c r="H902" s="2200"/>
      <c r="I902" s="2201"/>
      <c r="J902" s="29">
        <v>6345805</v>
      </c>
    </row>
    <row r="903" spans="1:10" s="98" customFormat="1" ht="30" customHeight="1" x14ac:dyDescent="0.2">
      <c r="A903" s="2221">
        <v>6402</v>
      </c>
      <c r="B903" s="717" t="s">
        <v>2579</v>
      </c>
      <c r="C903" s="726">
        <f>SUM(C904:C908)</f>
        <v>0</v>
      </c>
      <c r="D903" s="726">
        <f>SUM(D904:D908)</f>
        <v>1216127.96</v>
      </c>
      <c r="E903" s="734"/>
      <c r="F903" s="750"/>
      <c r="G903" s="1663"/>
      <c r="H903" s="1663"/>
      <c r="I903" s="1662"/>
      <c r="J903" s="29">
        <v>136544</v>
      </c>
    </row>
    <row r="904" spans="1:10" s="2" customFormat="1" ht="30" customHeight="1" x14ac:dyDescent="0.2">
      <c r="A904" s="2243"/>
      <c r="B904" s="1035" t="s">
        <v>2966</v>
      </c>
      <c r="C904" s="1232">
        <v>0</v>
      </c>
      <c r="D904" s="1232">
        <f>(913.14+3011.86)</f>
        <v>3925</v>
      </c>
      <c r="E904" s="894"/>
      <c r="F904" s="738"/>
      <c r="G904" s="2200"/>
      <c r="H904" s="2200"/>
      <c r="I904" s="2201"/>
      <c r="J904" s="88">
        <v>0</v>
      </c>
    </row>
    <row r="905" spans="1:10" s="2" customFormat="1" ht="30" customHeight="1" x14ac:dyDescent="0.2">
      <c r="A905" s="2243"/>
      <c r="B905" s="1035" t="s">
        <v>3166</v>
      </c>
      <c r="C905" s="1232">
        <v>0</v>
      </c>
      <c r="D905" s="1232">
        <f>(252863.08+834018.92)</f>
        <v>1086882</v>
      </c>
      <c r="E905" s="894"/>
      <c r="F905" s="738"/>
      <c r="G905" s="2200"/>
      <c r="H905" s="2200"/>
      <c r="I905" s="2201"/>
      <c r="J905" s="88">
        <v>0</v>
      </c>
    </row>
    <row r="906" spans="1:10" s="2" customFormat="1" ht="30" customHeight="1" x14ac:dyDescent="0.2">
      <c r="A906" s="2243"/>
      <c r="B906" s="1035" t="s">
        <v>3167</v>
      </c>
      <c r="C906" s="1232">
        <v>0</v>
      </c>
      <c r="D906" s="1232">
        <f>(24701.86+81474.14)</f>
        <v>106176</v>
      </c>
      <c r="E906" s="894"/>
      <c r="F906" s="738"/>
      <c r="G906" s="2200"/>
      <c r="H906" s="2200"/>
      <c r="I906" s="2201"/>
      <c r="J906" s="88">
        <v>0</v>
      </c>
    </row>
    <row r="907" spans="1:10" s="2" customFormat="1" ht="30" customHeight="1" x14ac:dyDescent="0.2">
      <c r="A907" s="2243"/>
      <c r="B907" s="1035" t="s">
        <v>2985</v>
      </c>
      <c r="C907" s="1232">
        <v>0</v>
      </c>
      <c r="D907" s="1232">
        <v>15187.53</v>
      </c>
      <c r="E907" s="894"/>
      <c r="F907" s="738"/>
      <c r="G907" s="2200"/>
      <c r="H907" s="2200"/>
      <c r="I907" s="2201"/>
      <c r="J907" s="88">
        <v>0</v>
      </c>
    </row>
    <row r="908" spans="1:10" s="2" customFormat="1" ht="30" customHeight="1" x14ac:dyDescent="0.2">
      <c r="A908" s="2243"/>
      <c r="B908" s="1035" t="s">
        <v>2968</v>
      </c>
      <c r="C908" s="1864">
        <v>0</v>
      </c>
      <c r="D908" s="1864">
        <v>3957.43</v>
      </c>
      <c r="E908" s="894"/>
      <c r="F908" s="738"/>
      <c r="G908" s="2200"/>
      <c r="H908" s="2200"/>
      <c r="I908" s="2201"/>
      <c r="J908" s="88">
        <v>0</v>
      </c>
    </row>
    <row r="909" spans="1:10" s="244" customFormat="1" ht="30" customHeight="1" x14ac:dyDescent="0.25">
      <c r="A909" s="2221">
        <v>6409</v>
      </c>
      <c r="B909" s="717" t="s">
        <v>1014</v>
      </c>
      <c r="C909" s="726">
        <f t="shared" ref="C909:D909" si="79">SUM(C910:C912)</f>
        <v>3500000</v>
      </c>
      <c r="D909" s="726">
        <f t="shared" si="79"/>
        <v>30593293.63000001</v>
      </c>
      <c r="E909" s="998"/>
      <c r="F909" s="750"/>
      <c r="G909" s="1663"/>
      <c r="H909" s="1663"/>
      <c r="I909" s="1662"/>
      <c r="J909" s="29">
        <v>398807.55</v>
      </c>
    </row>
    <row r="910" spans="1:10" s="98" customFormat="1" ht="30" customHeight="1" x14ac:dyDescent="0.2">
      <c r="A910" s="2263"/>
      <c r="B910" s="1530" t="s">
        <v>2031</v>
      </c>
      <c r="C910" s="1234">
        <v>3000000</v>
      </c>
      <c r="D910" s="1234">
        <f>3000000-3178500+99036-432200-595004.14+3000000+145092-7500-15000-30000-30000-7500-80000+472672.5-214000-641178.72-104517-19144.96+463363-400000+21520868.17+1247432.21-60000+297792+2743942.28-14800000-6020000+1571026.45-27427.5+5889660-1700000-5000000-2000000-3000000+85015+472380+706318.75+1093905.82-300000-280000+54671.25+25000000-3000000-3375008.64-370000-300000-1266234.75+810777+5424450-4500000-5000000+300000-50000-800000-30000-109500-500000-3000000-86100-400000-9000000-2000000-910000+235000-300000+1202300+2000000-470000-177565+4501800+4000000+69477.18+470747.5+5000000+132500+141260.58+483823+930000+1300000+3850000-2499999-56855.41-8886847-1156926.85-168585-79980-250000+17666+671703.9+33960000+150000-80800-500000-1000000-1307000+1099496-23885049+30000-30250-20000-203075.15-1372559.84+51162+0.3+296102+(3819.97+42374.82)+(-152000+135000)+6588.45+5012000-3000000+150000+(530000+237000)+54000-300000-135000-30000+52000+77427.31-118459+910000+930-23420+109500-40000+32100+995434.77+112000+234649.25+139959.54+50000+3508109.62-222532-248824.2+5391199.63+1750000+304433.67+1049889.53-764800-5132771.51+(389995-305445)+(382500+18500.85)</f>
        <v>30113293.63000001</v>
      </c>
      <c r="E910" s="993"/>
      <c r="F910" s="1234"/>
      <c r="G910" s="2200"/>
      <c r="H910" s="2200"/>
      <c r="I910" s="2201"/>
      <c r="J910" s="29">
        <v>0</v>
      </c>
    </row>
    <row r="911" spans="1:10" s="98" customFormat="1" ht="38.25" x14ac:dyDescent="0.2">
      <c r="A911" s="2425"/>
      <c r="B911" s="1258" t="s">
        <v>2032</v>
      </c>
      <c r="C911" s="1077">
        <v>500000</v>
      </c>
      <c r="D911" s="1077">
        <f>500000-20000</f>
        <v>480000</v>
      </c>
      <c r="E911" s="993"/>
      <c r="F911" s="1077"/>
      <c r="G911" s="2200"/>
      <c r="H911" s="2200"/>
      <c r="I911" s="2201"/>
      <c r="J911" s="1866">
        <v>470532.55</v>
      </c>
    </row>
    <row r="912" spans="1:10" s="98" customFormat="1" ht="30" customHeight="1" x14ac:dyDescent="0.2">
      <c r="A912" s="2481"/>
      <c r="B912" s="1532" t="s">
        <v>2584</v>
      </c>
      <c r="C912" s="1864">
        <v>0</v>
      </c>
      <c r="D912" s="1864">
        <v>0</v>
      </c>
      <c r="E912" s="993"/>
      <c r="F912" s="1864"/>
      <c r="G912" s="2200"/>
      <c r="H912" s="2200"/>
      <c r="I912" s="2201"/>
      <c r="J912" s="29">
        <v>0</v>
      </c>
    </row>
    <row r="913" spans="1:10" s="98" customFormat="1" ht="30" customHeight="1" x14ac:dyDescent="0.2">
      <c r="A913" s="2482"/>
      <c r="B913" s="1536"/>
      <c r="C913" s="762"/>
      <c r="D913" s="762"/>
      <c r="E913" s="1341"/>
      <c r="F913" s="2037"/>
      <c r="G913" s="2037"/>
      <c r="H913" s="2037"/>
      <c r="I913" s="762"/>
      <c r="J913" s="29"/>
    </row>
    <row r="914" spans="1:10" s="98" customFormat="1" ht="30" customHeight="1" x14ac:dyDescent="0.4">
      <c r="A914" s="2189"/>
      <c r="B914" s="1539" t="s">
        <v>55</v>
      </c>
      <c r="C914" s="2483">
        <f>SUM(C266+C374+C566+C569+C576+C585+C589+C592+C681+C685+C707+C716+C747+C753+C777+C879+C889)</f>
        <v>1121493640</v>
      </c>
      <c r="D914" s="2483">
        <f>SUM(D266+D374+D566+D569+D576+D585+D589+D592+D681+D685+D707+D716+D747+D753+D777+D879+D889)</f>
        <v>1167360509</v>
      </c>
      <c r="E914" s="2483"/>
      <c r="F914" s="2484"/>
      <c r="G914" s="2485"/>
      <c r="H914" s="2485"/>
      <c r="I914" s="2485"/>
      <c r="J914" s="1866">
        <v>896469785.01999998</v>
      </c>
    </row>
    <row r="915" spans="1:10" ht="12.75" customHeight="1" x14ac:dyDescent="0.2">
      <c r="B915" s="1542"/>
    </row>
    <row r="916" spans="1:10" ht="12.75" customHeight="1" x14ac:dyDescent="0.35">
      <c r="B916" s="1543"/>
    </row>
    <row r="917" spans="1:10" s="98" customFormat="1" ht="12.75" hidden="1" customHeight="1" x14ac:dyDescent="0.35">
      <c r="A917" s="1"/>
      <c r="B917" s="1543"/>
      <c r="E917" s="29">
        <f>E9-E914</f>
        <v>0</v>
      </c>
      <c r="F917" s="1"/>
      <c r="G917" s="1"/>
      <c r="H917" s="1"/>
      <c r="J917" s="29"/>
    </row>
    <row r="918" spans="1:10" s="98" customFormat="1" x14ac:dyDescent="0.2">
      <c r="A918" s="1"/>
      <c r="B918" s="564"/>
      <c r="C918" s="88">
        <f t="shared" ref="C918:I918" si="80">C914-C9</f>
        <v>2.0000934600830078E-3</v>
      </c>
      <c r="D918" s="88">
        <f t="shared" si="80"/>
        <v>0</v>
      </c>
      <c r="E918" s="88">
        <f t="shared" si="80"/>
        <v>0</v>
      </c>
      <c r="F918" s="88">
        <f t="shared" si="80"/>
        <v>0</v>
      </c>
      <c r="G918" s="88">
        <f t="shared" si="80"/>
        <v>0</v>
      </c>
      <c r="H918" s="88">
        <f t="shared" si="80"/>
        <v>0</v>
      </c>
      <c r="I918" s="88">
        <f t="shared" si="80"/>
        <v>0</v>
      </c>
      <c r="J918" s="29"/>
    </row>
    <row r="919" spans="1:10" x14ac:dyDescent="0.2">
      <c r="D919" s="29"/>
    </row>
    <row r="920" spans="1:10" x14ac:dyDescent="0.2">
      <c r="D920" s="29"/>
    </row>
  </sheetData>
  <sheetProtection selectLockedCells="1" selectUnlockedCells="1"/>
  <autoFilter ref="I1:I922"/>
  <printOptions horizontalCentered="1"/>
  <pageMargins left="0.23622047244094491" right="0.23622047244094491" top="0.6692913385826772" bottom="0.55118110236220474" header="0.31496062992125984" footer="0.31496062992125984"/>
  <pageSetup paperSize="9" scale="65" firstPageNumber="0" fitToHeight="0" orientation="landscape"/>
  <headerFooter>
    <oddFooter>&amp;C&amp;P</oddFooter>
  </headerFooter>
  <rowBreaks count="2" manualBreakCount="2">
    <brk id="30" max="16383" man="1"/>
    <brk id="264" max="16383" man="1"/>
  </rowBreaks>
  <legacy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2"/>
  <sheetViews>
    <sheetView workbookViewId="0">
      <selection activeCell="C53" sqref="C53"/>
    </sheetView>
  </sheetViews>
  <sheetFormatPr defaultRowHeight="15" x14ac:dyDescent="0.2"/>
  <cols>
    <col min="2" max="3" width="8.28515625" customWidth="1"/>
    <col min="4" max="4" width="5" customWidth="1"/>
    <col min="5" max="5" width="8.28515625" customWidth="1"/>
    <col min="6" max="6" width="16.7109375" customWidth="1"/>
    <col min="7" max="7" width="18.85546875" style="2536" customWidth="1"/>
    <col min="8" max="8" width="4.7109375" style="29" customWidth="1"/>
    <col min="9" max="9" width="16.85546875" customWidth="1"/>
    <col min="10" max="10" width="1.5703125" customWidth="1"/>
    <col min="11" max="11" width="14.5703125" customWidth="1"/>
    <col min="12" max="12" width="17.7109375" customWidth="1"/>
    <col min="258" max="259" width="8.28515625" customWidth="1"/>
    <col min="260" max="260" width="5" customWidth="1"/>
    <col min="261" max="261" width="8.28515625" customWidth="1"/>
    <col min="262" max="262" width="16.7109375" customWidth="1"/>
    <col min="263" max="263" width="17.7109375" customWidth="1"/>
    <col min="264" max="264" width="4.7109375" customWidth="1"/>
    <col min="265" max="265" width="16.85546875" customWidth="1"/>
    <col min="266" max="266" width="1.5703125" customWidth="1"/>
    <col min="267" max="267" width="14.5703125" customWidth="1"/>
    <col min="268" max="268" width="17.7109375" customWidth="1"/>
    <col min="514" max="515" width="8.28515625" customWidth="1"/>
    <col min="516" max="516" width="5" customWidth="1"/>
    <col min="517" max="517" width="8.28515625" customWidth="1"/>
    <col min="518" max="518" width="16.7109375" customWidth="1"/>
    <col min="519" max="519" width="17.7109375" customWidth="1"/>
    <col min="520" max="520" width="4.7109375" customWidth="1"/>
    <col min="521" max="521" width="16.85546875" customWidth="1"/>
    <col min="522" max="522" width="1.5703125" customWidth="1"/>
    <col min="523" max="523" width="14.5703125" customWidth="1"/>
    <col min="524" max="524" width="17.7109375" customWidth="1"/>
    <col min="770" max="771" width="8.28515625" customWidth="1"/>
    <col min="772" max="772" width="5" customWidth="1"/>
    <col min="773" max="773" width="8.28515625" customWidth="1"/>
    <col min="774" max="774" width="16.7109375" customWidth="1"/>
    <col min="775" max="775" width="17.7109375" customWidth="1"/>
    <col min="776" max="776" width="4.7109375" customWidth="1"/>
    <col min="777" max="777" width="16.85546875" customWidth="1"/>
    <col min="778" max="778" width="1.5703125" customWidth="1"/>
    <col min="779" max="779" width="14.5703125" customWidth="1"/>
    <col min="780" max="780" width="17.7109375" customWidth="1"/>
    <col min="1026" max="1027" width="8.28515625" customWidth="1"/>
    <col min="1028" max="1028" width="5" customWidth="1"/>
    <col min="1029" max="1029" width="8.28515625" customWidth="1"/>
    <col min="1030" max="1030" width="16.7109375" customWidth="1"/>
    <col min="1031" max="1031" width="17.7109375" customWidth="1"/>
    <col min="1032" max="1032" width="4.7109375" customWidth="1"/>
    <col min="1033" max="1033" width="16.85546875" customWidth="1"/>
    <col min="1034" max="1034" width="1.5703125" customWidth="1"/>
    <col min="1035" max="1035" width="14.5703125" customWidth="1"/>
    <col min="1036" max="1036" width="17.7109375" customWidth="1"/>
    <col min="1282" max="1283" width="8.28515625" customWidth="1"/>
    <col min="1284" max="1284" width="5" customWidth="1"/>
    <col min="1285" max="1285" width="8.28515625" customWidth="1"/>
    <col min="1286" max="1286" width="16.7109375" customWidth="1"/>
    <col min="1287" max="1287" width="17.7109375" customWidth="1"/>
    <col min="1288" max="1288" width="4.7109375" customWidth="1"/>
    <col min="1289" max="1289" width="16.85546875" customWidth="1"/>
    <col min="1290" max="1290" width="1.5703125" customWidth="1"/>
    <col min="1291" max="1291" width="14.5703125" customWidth="1"/>
    <col min="1292" max="1292" width="17.7109375" customWidth="1"/>
    <col min="1538" max="1539" width="8.28515625" customWidth="1"/>
    <col min="1540" max="1540" width="5" customWidth="1"/>
    <col min="1541" max="1541" width="8.28515625" customWidth="1"/>
    <col min="1542" max="1542" width="16.7109375" customWidth="1"/>
    <col min="1543" max="1543" width="17.7109375" customWidth="1"/>
    <col min="1544" max="1544" width="4.7109375" customWidth="1"/>
    <col min="1545" max="1545" width="16.85546875" customWidth="1"/>
    <col min="1546" max="1546" width="1.5703125" customWidth="1"/>
    <col min="1547" max="1547" width="14.5703125" customWidth="1"/>
    <col min="1548" max="1548" width="17.7109375" customWidth="1"/>
    <col min="1794" max="1795" width="8.28515625" customWidth="1"/>
    <col min="1796" max="1796" width="5" customWidth="1"/>
    <col min="1797" max="1797" width="8.28515625" customWidth="1"/>
    <col min="1798" max="1798" width="16.7109375" customWidth="1"/>
    <col min="1799" max="1799" width="17.7109375" customWidth="1"/>
    <col min="1800" max="1800" width="4.7109375" customWidth="1"/>
    <col min="1801" max="1801" width="16.85546875" customWidth="1"/>
    <col min="1802" max="1802" width="1.5703125" customWidth="1"/>
    <col min="1803" max="1803" width="14.5703125" customWidth="1"/>
    <col min="1804" max="1804" width="17.7109375" customWidth="1"/>
    <col min="2050" max="2051" width="8.28515625" customWidth="1"/>
    <col min="2052" max="2052" width="5" customWidth="1"/>
    <col min="2053" max="2053" width="8.28515625" customWidth="1"/>
    <col min="2054" max="2054" width="16.7109375" customWidth="1"/>
    <col min="2055" max="2055" width="17.7109375" customWidth="1"/>
    <col min="2056" max="2056" width="4.7109375" customWidth="1"/>
    <col min="2057" max="2057" width="16.85546875" customWidth="1"/>
    <col min="2058" max="2058" width="1.5703125" customWidth="1"/>
    <col min="2059" max="2059" width="14.5703125" customWidth="1"/>
    <col min="2060" max="2060" width="17.7109375" customWidth="1"/>
    <col min="2306" max="2307" width="8.28515625" customWidth="1"/>
    <col min="2308" max="2308" width="5" customWidth="1"/>
    <col min="2309" max="2309" width="8.28515625" customWidth="1"/>
    <col min="2310" max="2310" width="16.7109375" customWidth="1"/>
    <col min="2311" max="2311" width="17.7109375" customWidth="1"/>
    <col min="2312" max="2312" width="4.7109375" customWidth="1"/>
    <col min="2313" max="2313" width="16.85546875" customWidth="1"/>
    <col min="2314" max="2314" width="1.5703125" customWidth="1"/>
    <col min="2315" max="2315" width="14.5703125" customWidth="1"/>
    <col min="2316" max="2316" width="17.7109375" customWidth="1"/>
    <col min="2562" max="2563" width="8.28515625" customWidth="1"/>
    <col min="2564" max="2564" width="5" customWidth="1"/>
    <col min="2565" max="2565" width="8.28515625" customWidth="1"/>
    <col min="2566" max="2566" width="16.7109375" customWidth="1"/>
    <col min="2567" max="2567" width="17.7109375" customWidth="1"/>
    <col min="2568" max="2568" width="4.7109375" customWidth="1"/>
    <col min="2569" max="2569" width="16.85546875" customWidth="1"/>
    <col min="2570" max="2570" width="1.5703125" customWidth="1"/>
    <col min="2571" max="2571" width="14.5703125" customWidth="1"/>
    <col min="2572" max="2572" width="17.7109375" customWidth="1"/>
    <col min="2818" max="2819" width="8.28515625" customWidth="1"/>
    <col min="2820" max="2820" width="5" customWidth="1"/>
    <col min="2821" max="2821" width="8.28515625" customWidth="1"/>
    <col min="2822" max="2822" width="16.7109375" customWidth="1"/>
    <col min="2823" max="2823" width="17.7109375" customWidth="1"/>
    <col min="2824" max="2824" width="4.7109375" customWidth="1"/>
    <col min="2825" max="2825" width="16.85546875" customWidth="1"/>
    <col min="2826" max="2826" width="1.5703125" customWidth="1"/>
    <col min="2827" max="2827" width="14.5703125" customWidth="1"/>
    <col min="2828" max="2828" width="17.7109375" customWidth="1"/>
    <col min="3074" max="3075" width="8.28515625" customWidth="1"/>
    <col min="3076" max="3076" width="5" customWidth="1"/>
    <col min="3077" max="3077" width="8.28515625" customWidth="1"/>
    <col min="3078" max="3078" width="16.7109375" customWidth="1"/>
    <col min="3079" max="3079" width="17.7109375" customWidth="1"/>
    <col min="3080" max="3080" width="4.7109375" customWidth="1"/>
    <col min="3081" max="3081" width="16.85546875" customWidth="1"/>
    <col min="3082" max="3082" width="1.5703125" customWidth="1"/>
    <col min="3083" max="3083" width="14.5703125" customWidth="1"/>
    <col min="3084" max="3084" width="17.7109375" customWidth="1"/>
    <col min="3330" max="3331" width="8.28515625" customWidth="1"/>
    <col min="3332" max="3332" width="5" customWidth="1"/>
    <col min="3333" max="3333" width="8.28515625" customWidth="1"/>
    <col min="3334" max="3334" width="16.7109375" customWidth="1"/>
    <col min="3335" max="3335" width="17.7109375" customWidth="1"/>
    <col min="3336" max="3336" width="4.7109375" customWidth="1"/>
    <col min="3337" max="3337" width="16.85546875" customWidth="1"/>
    <col min="3338" max="3338" width="1.5703125" customWidth="1"/>
    <col min="3339" max="3339" width="14.5703125" customWidth="1"/>
    <col min="3340" max="3340" width="17.7109375" customWidth="1"/>
    <col min="3586" max="3587" width="8.28515625" customWidth="1"/>
    <col min="3588" max="3588" width="5" customWidth="1"/>
    <col min="3589" max="3589" width="8.28515625" customWidth="1"/>
    <col min="3590" max="3590" width="16.7109375" customWidth="1"/>
    <col min="3591" max="3591" width="17.7109375" customWidth="1"/>
    <col min="3592" max="3592" width="4.7109375" customWidth="1"/>
    <col min="3593" max="3593" width="16.85546875" customWidth="1"/>
    <col min="3594" max="3594" width="1.5703125" customWidth="1"/>
    <col min="3595" max="3595" width="14.5703125" customWidth="1"/>
    <col min="3596" max="3596" width="17.7109375" customWidth="1"/>
    <col min="3842" max="3843" width="8.28515625" customWidth="1"/>
    <col min="3844" max="3844" width="5" customWidth="1"/>
    <col min="3845" max="3845" width="8.28515625" customWidth="1"/>
    <col min="3846" max="3846" width="16.7109375" customWidth="1"/>
    <col min="3847" max="3847" width="17.7109375" customWidth="1"/>
    <col min="3848" max="3848" width="4.7109375" customWidth="1"/>
    <col min="3849" max="3849" width="16.85546875" customWidth="1"/>
    <col min="3850" max="3850" width="1.5703125" customWidth="1"/>
    <col min="3851" max="3851" width="14.5703125" customWidth="1"/>
    <col min="3852" max="3852" width="17.7109375" customWidth="1"/>
    <col min="4098" max="4099" width="8.28515625" customWidth="1"/>
    <col min="4100" max="4100" width="5" customWidth="1"/>
    <col min="4101" max="4101" width="8.28515625" customWidth="1"/>
    <col min="4102" max="4102" width="16.7109375" customWidth="1"/>
    <col min="4103" max="4103" width="17.7109375" customWidth="1"/>
    <col min="4104" max="4104" width="4.7109375" customWidth="1"/>
    <col min="4105" max="4105" width="16.85546875" customWidth="1"/>
    <col min="4106" max="4106" width="1.5703125" customWidth="1"/>
    <col min="4107" max="4107" width="14.5703125" customWidth="1"/>
    <col min="4108" max="4108" width="17.7109375" customWidth="1"/>
    <col min="4354" max="4355" width="8.28515625" customWidth="1"/>
    <col min="4356" max="4356" width="5" customWidth="1"/>
    <col min="4357" max="4357" width="8.28515625" customWidth="1"/>
    <col min="4358" max="4358" width="16.7109375" customWidth="1"/>
    <col min="4359" max="4359" width="17.7109375" customWidth="1"/>
    <col min="4360" max="4360" width="4.7109375" customWidth="1"/>
    <col min="4361" max="4361" width="16.85546875" customWidth="1"/>
    <col min="4362" max="4362" width="1.5703125" customWidth="1"/>
    <col min="4363" max="4363" width="14.5703125" customWidth="1"/>
    <col min="4364" max="4364" width="17.7109375" customWidth="1"/>
    <col min="4610" max="4611" width="8.28515625" customWidth="1"/>
    <col min="4612" max="4612" width="5" customWidth="1"/>
    <col min="4613" max="4613" width="8.28515625" customWidth="1"/>
    <col min="4614" max="4614" width="16.7109375" customWidth="1"/>
    <col min="4615" max="4615" width="17.7109375" customWidth="1"/>
    <col min="4616" max="4616" width="4.7109375" customWidth="1"/>
    <col min="4617" max="4617" width="16.85546875" customWidth="1"/>
    <col min="4618" max="4618" width="1.5703125" customWidth="1"/>
    <col min="4619" max="4619" width="14.5703125" customWidth="1"/>
    <col min="4620" max="4620" width="17.7109375" customWidth="1"/>
    <col min="4866" max="4867" width="8.28515625" customWidth="1"/>
    <col min="4868" max="4868" width="5" customWidth="1"/>
    <col min="4869" max="4869" width="8.28515625" customWidth="1"/>
    <col min="4870" max="4870" width="16.7109375" customWidth="1"/>
    <col min="4871" max="4871" width="17.7109375" customWidth="1"/>
    <col min="4872" max="4872" width="4.7109375" customWidth="1"/>
    <col min="4873" max="4873" width="16.85546875" customWidth="1"/>
    <col min="4874" max="4874" width="1.5703125" customWidth="1"/>
    <col min="4875" max="4875" width="14.5703125" customWidth="1"/>
    <col min="4876" max="4876" width="17.7109375" customWidth="1"/>
    <col min="5122" max="5123" width="8.28515625" customWidth="1"/>
    <col min="5124" max="5124" width="5" customWidth="1"/>
    <col min="5125" max="5125" width="8.28515625" customWidth="1"/>
    <col min="5126" max="5126" width="16.7109375" customWidth="1"/>
    <col min="5127" max="5127" width="17.7109375" customWidth="1"/>
    <col min="5128" max="5128" width="4.7109375" customWidth="1"/>
    <col min="5129" max="5129" width="16.85546875" customWidth="1"/>
    <col min="5130" max="5130" width="1.5703125" customWidth="1"/>
    <col min="5131" max="5131" width="14.5703125" customWidth="1"/>
    <col min="5132" max="5132" width="17.7109375" customWidth="1"/>
    <col min="5378" max="5379" width="8.28515625" customWidth="1"/>
    <col min="5380" max="5380" width="5" customWidth="1"/>
    <col min="5381" max="5381" width="8.28515625" customWidth="1"/>
    <col min="5382" max="5382" width="16.7109375" customWidth="1"/>
    <col min="5383" max="5383" width="17.7109375" customWidth="1"/>
    <col min="5384" max="5384" width="4.7109375" customWidth="1"/>
    <col min="5385" max="5385" width="16.85546875" customWidth="1"/>
    <col min="5386" max="5386" width="1.5703125" customWidth="1"/>
    <col min="5387" max="5387" width="14.5703125" customWidth="1"/>
    <col min="5388" max="5388" width="17.7109375" customWidth="1"/>
    <col min="5634" max="5635" width="8.28515625" customWidth="1"/>
    <col min="5636" max="5636" width="5" customWidth="1"/>
    <col min="5637" max="5637" width="8.28515625" customWidth="1"/>
    <col min="5638" max="5638" width="16.7109375" customWidth="1"/>
    <col min="5639" max="5639" width="17.7109375" customWidth="1"/>
    <col min="5640" max="5640" width="4.7109375" customWidth="1"/>
    <col min="5641" max="5641" width="16.85546875" customWidth="1"/>
    <col min="5642" max="5642" width="1.5703125" customWidth="1"/>
    <col min="5643" max="5643" width="14.5703125" customWidth="1"/>
    <col min="5644" max="5644" width="17.7109375" customWidth="1"/>
    <col min="5890" max="5891" width="8.28515625" customWidth="1"/>
    <col min="5892" max="5892" width="5" customWidth="1"/>
    <col min="5893" max="5893" width="8.28515625" customWidth="1"/>
    <col min="5894" max="5894" width="16.7109375" customWidth="1"/>
    <col min="5895" max="5895" width="17.7109375" customWidth="1"/>
    <col min="5896" max="5896" width="4.7109375" customWidth="1"/>
    <col min="5897" max="5897" width="16.85546875" customWidth="1"/>
    <col min="5898" max="5898" width="1.5703125" customWidth="1"/>
    <col min="5899" max="5899" width="14.5703125" customWidth="1"/>
    <col min="5900" max="5900" width="17.7109375" customWidth="1"/>
    <col min="6146" max="6147" width="8.28515625" customWidth="1"/>
    <col min="6148" max="6148" width="5" customWidth="1"/>
    <col min="6149" max="6149" width="8.28515625" customWidth="1"/>
    <col min="6150" max="6150" width="16.7109375" customWidth="1"/>
    <col min="6151" max="6151" width="17.7109375" customWidth="1"/>
    <col min="6152" max="6152" width="4.7109375" customWidth="1"/>
    <col min="6153" max="6153" width="16.85546875" customWidth="1"/>
    <col min="6154" max="6154" width="1.5703125" customWidth="1"/>
    <col min="6155" max="6155" width="14.5703125" customWidth="1"/>
    <col min="6156" max="6156" width="17.7109375" customWidth="1"/>
    <col min="6402" max="6403" width="8.28515625" customWidth="1"/>
    <col min="6404" max="6404" width="5" customWidth="1"/>
    <col min="6405" max="6405" width="8.28515625" customWidth="1"/>
    <col min="6406" max="6406" width="16.7109375" customWidth="1"/>
    <col min="6407" max="6407" width="17.7109375" customWidth="1"/>
    <col min="6408" max="6408" width="4.7109375" customWidth="1"/>
    <col min="6409" max="6409" width="16.85546875" customWidth="1"/>
    <col min="6410" max="6410" width="1.5703125" customWidth="1"/>
    <col min="6411" max="6411" width="14.5703125" customWidth="1"/>
    <col min="6412" max="6412" width="17.7109375" customWidth="1"/>
    <col min="6658" max="6659" width="8.28515625" customWidth="1"/>
    <col min="6660" max="6660" width="5" customWidth="1"/>
    <col min="6661" max="6661" width="8.28515625" customWidth="1"/>
    <col min="6662" max="6662" width="16.7109375" customWidth="1"/>
    <col min="6663" max="6663" width="17.7109375" customWidth="1"/>
    <col min="6664" max="6664" width="4.7109375" customWidth="1"/>
    <col min="6665" max="6665" width="16.85546875" customWidth="1"/>
    <col min="6666" max="6666" width="1.5703125" customWidth="1"/>
    <col min="6667" max="6667" width="14.5703125" customWidth="1"/>
    <col min="6668" max="6668" width="17.7109375" customWidth="1"/>
    <col min="6914" max="6915" width="8.28515625" customWidth="1"/>
    <col min="6916" max="6916" width="5" customWidth="1"/>
    <col min="6917" max="6917" width="8.28515625" customWidth="1"/>
    <col min="6918" max="6918" width="16.7109375" customWidth="1"/>
    <col min="6919" max="6919" width="17.7109375" customWidth="1"/>
    <col min="6920" max="6920" width="4.7109375" customWidth="1"/>
    <col min="6921" max="6921" width="16.85546875" customWidth="1"/>
    <col min="6922" max="6922" width="1.5703125" customWidth="1"/>
    <col min="6923" max="6923" width="14.5703125" customWidth="1"/>
    <col min="6924" max="6924" width="17.7109375" customWidth="1"/>
    <col min="7170" max="7171" width="8.28515625" customWidth="1"/>
    <col min="7172" max="7172" width="5" customWidth="1"/>
    <col min="7173" max="7173" width="8.28515625" customWidth="1"/>
    <col min="7174" max="7174" width="16.7109375" customWidth="1"/>
    <col min="7175" max="7175" width="17.7109375" customWidth="1"/>
    <col min="7176" max="7176" width="4.7109375" customWidth="1"/>
    <col min="7177" max="7177" width="16.85546875" customWidth="1"/>
    <col min="7178" max="7178" width="1.5703125" customWidth="1"/>
    <col min="7179" max="7179" width="14.5703125" customWidth="1"/>
    <col min="7180" max="7180" width="17.7109375" customWidth="1"/>
    <col min="7426" max="7427" width="8.28515625" customWidth="1"/>
    <col min="7428" max="7428" width="5" customWidth="1"/>
    <col min="7429" max="7429" width="8.28515625" customWidth="1"/>
    <col min="7430" max="7430" width="16.7109375" customWidth="1"/>
    <col min="7431" max="7431" width="17.7109375" customWidth="1"/>
    <col min="7432" max="7432" width="4.7109375" customWidth="1"/>
    <col min="7433" max="7433" width="16.85546875" customWidth="1"/>
    <col min="7434" max="7434" width="1.5703125" customWidth="1"/>
    <col min="7435" max="7435" width="14.5703125" customWidth="1"/>
    <col min="7436" max="7436" width="17.7109375" customWidth="1"/>
    <col min="7682" max="7683" width="8.28515625" customWidth="1"/>
    <col min="7684" max="7684" width="5" customWidth="1"/>
    <col min="7685" max="7685" width="8.28515625" customWidth="1"/>
    <col min="7686" max="7686" width="16.7109375" customWidth="1"/>
    <col min="7687" max="7687" width="17.7109375" customWidth="1"/>
    <col min="7688" max="7688" width="4.7109375" customWidth="1"/>
    <col min="7689" max="7689" width="16.85546875" customWidth="1"/>
    <col min="7690" max="7690" width="1.5703125" customWidth="1"/>
    <col min="7691" max="7691" width="14.5703125" customWidth="1"/>
    <col min="7692" max="7692" width="17.7109375" customWidth="1"/>
    <col min="7938" max="7939" width="8.28515625" customWidth="1"/>
    <col min="7940" max="7940" width="5" customWidth="1"/>
    <col min="7941" max="7941" width="8.28515625" customWidth="1"/>
    <col min="7942" max="7942" width="16.7109375" customWidth="1"/>
    <col min="7943" max="7943" width="17.7109375" customWidth="1"/>
    <col min="7944" max="7944" width="4.7109375" customWidth="1"/>
    <col min="7945" max="7945" width="16.85546875" customWidth="1"/>
    <col min="7946" max="7946" width="1.5703125" customWidth="1"/>
    <col min="7947" max="7947" width="14.5703125" customWidth="1"/>
    <col min="7948" max="7948" width="17.7109375" customWidth="1"/>
    <col min="8194" max="8195" width="8.28515625" customWidth="1"/>
    <col min="8196" max="8196" width="5" customWidth="1"/>
    <col min="8197" max="8197" width="8.28515625" customWidth="1"/>
    <col min="8198" max="8198" width="16.7109375" customWidth="1"/>
    <col min="8199" max="8199" width="17.7109375" customWidth="1"/>
    <col min="8200" max="8200" width="4.7109375" customWidth="1"/>
    <col min="8201" max="8201" width="16.85546875" customWidth="1"/>
    <col min="8202" max="8202" width="1.5703125" customWidth="1"/>
    <col min="8203" max="8203" width="14.5703125" customWidth="1"/>
    <col min="8204" max="8204" width="17.7109375" customWidth="1"/>
    <col min="8450" max="8451" width="8.28515625" customWidth="1"/>
    <col min="8452" max="8452" width="5" customWidth="1"/>
    <col min="8453" max="8453" width="8.28515625" customWidth="1"/>
    <col min="8454" max="8454" width="16.7109375" customWidth="1"/>
    <col min="8455" max="8455" width="17.7109375" customWidth="1"/>
    <col min="8456" max="8456" width="4.7109375" customWidth="1"/>
    <col min="8457" max="8457" width="16.85546875" customWidth="1"/>
    <col min="8458" max="8458" width="1.5703125" customWidth="1"/>
    <col min="8459" max="8459" width="14.5703125" customWidth="1"/>
    <col min="8460" max="8460" width="17.7109375" customWidth="1"/>
    <col min="8706" max="8707" width="8.28515625" customWidth="1"/>
    <col min="8708" max="8708" width="5" customWidth="1"/>
    <col min="8709" max="8709" width="8.28515625" customWidth="1"/>
    <col min="8710" max="8710" width="16.7109375" customWidth="1"/>
    <col min="8711" max="8711" width="17.7109375" customWidth="1"/>
    <col min="8712" max="8712" width="4.7109375" customWidth="1"/>
    <col min="8713" max="8713" width="16.85546875" customWidth="1"/>
    <col min="8714" max="8714" width="1.5703125" customWidth="1"/>
    <col min="8715" max="8715" width="14.5703125" customWidth="1"/>
    <col min="8716" max="8716" width="17.7109375" customWidth="1"/>
    <col min="8962" max="8963" width="8.28515625" customWidth="1"/>
    <col min="8964" max="8964" width="5" customWidth="1"/>
    <col min="8965" max="8965" width="8.28515625" customWidth="1"/>
    <col min="8966" max="8966" width="16.7109375" customWidth="1"/>
    <col min="8967" max="8967" width="17.7109375" customWidth="1"/>
    <col min="8968" max="8968" width="4.7109375" customWidth="1"/>
    <col min="8969" max="8969" width="16.85546875" customWidth="1"/>
    <col min="8970" max="8970" width="1.5703125" customWidth="1"/>
    <col min="8971" max="8971" width="14.5703125" customWidth="1"/>
    <col min="8972" max="8972" width="17.7109375" customWidth="1"/>
    <col min="9218" max="9219" width="8.28515625" customWidth="1"/>
    <col min="9220" max="9220" width="5" customWidth="1"/>
    <col min="9221" max="9221" width="8.28515625" customWidth="1"/>
    <col min="9222" max="9222" width="16.7109375" customWidth="1"/>
    <col min="9223" max="9223" width="17.7109375" customWidth="1"/>
    <col min="9224" max="9224" width="4.7109375" customWidth="1"/>
    <col min="9225" max="9225" width="16.85546875" customWidth="1"/>
    <col min="9226" max="9226" width="1.5703125" customWidth="1"/>
    <col min="9227" max="9227" width="14.5703125" customWidth="1"/>
    <col min="9228" max="9228" width="17.7109375" customWidth="1"/>
    <col min="9474" max="9475" width="8.28515625" customWidth="1"/>
    <col min="9476" max="9476" width="5" customWidth="1"/>
    <col min="9477" max="9477" width="8.28515625" customWidth="1"/>
    <col min="9478" max="9478" width="16.7109375" customWidth="1"/>
    <col min="9479" max="9479" width="17.7109375" customWidth="1"/>
    <col min="9480" max="9480" width="4.7109375" customWidth="1"/>
    <col min="9481" max="9481" width="16.85546875" customWidth="1"/>
    <col min="9482" max="9482" width="1.5703125" customWidth="1"/>
    <col min="9483" max="9483" width="14.5703125" customWidth="1"/>
    <col min="9484" max="9484" width="17.7109375" customWidth="1"/>
    <col min="9730" max="9731" width="8.28515625" customWidth="1"/>
    <col min="9732" max="9732" width="5" customWidth="1"/>
    <col min="9733" max="9733" width="8.28515625" customWidth="1"/>
    <col min="9734" max="9734" width="16.7109375" customWidth="1"/>
    <col min="9735" max="9735" width="17.7109375" customWidth="1"/>
    <col min="9736" max="9736" width="4.7109375" customWidth="1"/>
    <col min="9737" max="9737" width="16.85546875" customWidth="1"/>
    <col min="9738" max="9738" width="1.5703125" customWidth="1"/>
    <col min="9739" max="9739" width="14.5703125" customWidth="1"/>
    <col min="9740" max="9740" width="17.7109375" customWidth="1"/>
    <col min="9986" max="9987" width="8.28515625" customWidth="1"/>
    <col min="9988" max="9988" width="5" customWidth="1"/>
    <col min="9989" max="9989" width="8.28515625" customWidth="1"/>
    <col min="9990" max="9990" width="16.7109375" customWidth="1"/>
    <col min="9991" max="9991" width="17.7109375" customWidth="1"/>
    <col min="9992" max="9992" width="4.7109375" customWidth="1"/>
    <col min="9993" max="9993" width="16.85546875" customWidth="1"/>
    <col min="9994" max="9994" width="1.5703125" customWidth="1"/>
    <col min="9995" max="9995" width="14.5703125" customWidth="1"/>
    <col min="9996" max="9996" width="17.7109375" customWidth="1"/>
    <col min="10242" max="10243" width="8.28515625" customWidth="1"/>
    <col min="10244" max="10244" width="5" customWidth="1"/>
    <col min="10245" max="10245" width="8.28515625" customWidth="1"/>
    <col min="10246" max="10246" width="16.7109375" customWidth="1"/>
    <col min="10247" max="10247" width="17.7109375" customWidth="1"/>
    <col min="10248" max="10248" width="4.7109375" customWidth="1"/>
    <col min="10249" max="10249" width="16.85546875" customWidth="1"/>
    <col min="10250" max="10250" width="1.5703125" customWidth="1"/>
    <col min="10251" max="10251" width="14.5703125" customWidth="1"/>
    <col min="10252" max="10252" width="17.7109375" customWidth="1"/>
    <col min="10498" max="10499" width="8.28515625" customWidth="1"/>
    <col min="10500" max="10500" width="5" customWidth="1"/>
    <col min="10501" max="10501" width="8.28515625" customWidth="1"/>
    <col min="10502" max="10502" width="16.7109375" customWidth="1"/>
    <col min="10503" max="10503" width="17.7109375" customWidth="1"/>
    <col min="10504" max="10504" width="4.7109375" customWidth="1"/>
    <col min="10505" max="10505" width="16.85546875" customWidth="1"/>
    <col min="10506" max="10506" width="1.5703125" customWidth="1"/>
    <col min="10507" max="10507" width="14.5703125" customWidth="1"/>
    <col min="10508" max="10508" width="17.7109375" customWidth="1"/>
    <col min="10754" max="10755" width="8.28515625" customWidth="1"/>
    <col min="10756" max="10756" width="5" customWidth="1"/>
    <col min="10757" max="10757" width="8.28515625" customWidth="1"/>
    <col min="10758" max="10758" width="16.7109375" customWidth="1"/>
    <col min="10759" max="10759" width="17.7109375" customWidth="1"/>
    <col min="10760" max="10760" width="4.7109375" customWidth="1"/>
    <col min="10761" max="10761" width="16.85546875" customWidth="1"/>
    <col min="10762" max="10762" width="1.5703125" customWidth="1"/>
    <col min="10763" max="10763" width="14.5703125" customWidth="1"/>
    <col min="10764" max="10764" width="17.7109375" customWidth="1"/>
    <col min="11010" max="11011" width="8.28515625" customWidth="1"/>
    <col min="11012" max="11012" width="5" customWidth="1"/>
    <col min="11013" max="11013" width="8.28515625" customWidth="1"/>
    <col min="11014" max="11014" width="16.7109375" customWidth="1"/>
    <col min="11015" max="11015" width="17.7109375" customWidth="1"/>
    <col min="11016" max="11016" width="4.7109375" customWidth="1"/>
    <col min="11017" max="11017" width="16.85546875" customWidth="1"/>
    <col min="11018" max="11018" width="1.5703125" customWidth="1"/>
    <col min="11019" max="11019" width="14.5703125" customWidth="1"/>
    <col min="11020" max="11020" width="17.7109375" customWidth="1"/>
    <col min="11266" max="11267" width="8.28515625" customWidth="1"/>
    <col min="11268" max="11268" width="5" customWidth="1"/>
    <col min="11269" max="11269" width="8.28515625" customWidth="1"/>
    <col min="11270" max="11270" width="16.7109375" customWidth="1"/>
    <col min="11271" max="11271" width="17.7109375" customWidth="1"/>
    <col min="11272" max="11272" width="4.7109375" customWidth="1"/>
    <col min="11273" max="11273" width="16.85546875" customWidth="1"/>
    <col min="11274" max="11274" width="1.5703125" customWidth="1"/>
    <col min="11275" max="11275" width="14.5703125" customWidth="1"/>
    <col min="11276" max="11276" width="17.7109375" customWidth="1"/>
    <col min="11522" max="11523" width="8.28515625" customWidth="1"/>
    <col min="11524" max="11524" width="5" customWidth="1"/>
    <col min="11525" max="11525" width="8.28515625" customWidth="1"/>
    <col min="11526" max="11526" width="16.7109375" customWidth="1"/>
    <col min="11527" max="11527" width="17.7109375" customWidth="1"/>
    <col min="11528" max="11528" width="4.7109375" customWidth="1"/>
    <col min="11529" max="11529" width="16.85546875" customWidth="1"/>
    <col min="11530" max="11530" width="1.5703125" customWidth="1"/>
    <col min="11531" max="11531" width="14.5703125" customWidth="1"/>
    <col min="11532" max="11532" width="17.7109375" customWidth="1"/>
    <col min="11778" max="11779" width="8.28515625" customWidth="1"/>
    <col min="11780" max="11780" width="5" customWidth="1"/>
    <col min="11781" max="11781" width="8.28515625" customWidth="1"/>
    <col min="11782" max="11782" width="16.7109375" customWidth="1"/>
    <col min="11783" max="11783" width="17.7109375" customWidth="1"/>
    <col min="11784" max="11784" width="4.7109375" customWidth="1"/>
    <col min="11785" max="11785" width="16.85546875" customWidth="1"/>
    <col min="11786" max="11786" width="1.5703125" customWidth="1"/>
    <col min="11787" max="11787" width="14.5703125" customWidth="1"/>
    <col min="11788" max="11788" width="17.7109375" customWidth="1"/>
    <col min="12034" max="12035" width="8.28515625" customWidth="1"/>
    <col min="12036" max="12036" width="5" customWidth="1"/>
    <col min="12037" max="12037" width="8.28515625" customWidth="1"/>
    <col min="12038" max="12038" width="16.7109375" customWidth="1"/>
    <col min="12039" max="12039" width="17.7109375" customWidth="1"/>
    <col min="12040" max="12040" width="4.7109375" customWidth="1"/>
    <col min="12041" max="12041" width="16.85546875" customWidth="1"/>
    <col min="12042" max="12042" width="1.5703125" customWidth="1"/>
    <col min="12043" max="12043" width="14.5703125" customWidth="1"/>
    <col min="12044" max="12044" width="17.7109375" customWidth="1"/>
    <col min="12290" max="12291" width="8.28515625" customWidth="1"/>
    <col min="12292" max="12292" width="5" customWidth="1"/>
    <col min="12293" max="12293" width="8.28515625" customWidth="1"/>
    <col min="12294" max="12294" width="16.7109375" customWidth="1"/>
    <col min="12295" max="12295" width="17.7109375" customWidth="1"/>
    <col min="12296" max="12296" width="4.7109375" customWidth="1"/>
    <col min="12297" max="12297" width="16.85546875" customWidth="1"/>
    <col min="12298" max="12298" width="1.5703125" customWidth="1"/>
    <col min="12299" max="12299" width="14.5703125" customWidth="1"/>
    <col min="12300" max="12300" width="17.7109375" customWidth="1"/>
    <col min="12546" max="12547" width="8.28515625" customWidth="1"/>
    <col min="12548" max="12548" width="5" customWidth="1"/>
    <col min="12549" max="12549" width="8.28515625" customWidth="1"/>
    <col min="12550" max="12550" width="16.7109375" customWidth="1"/>
    <col min="12551" max="12551" width="17.7109375" customWidth="1"/>
    <col min="12552" max="12552" width="4.7109375" customWidth="1"/>
    <col min="12553" max="12553" width="16.85546875" customWidth="1"/>
    <col min="12554" max="12554" width="1.5703125" customWidth="1"/>
    <col min="12555" max="12555" width="14.5703125" customWidth="1"/>
    <col min="12556" max="12556" width="17.7109375" customWidth="1"/>
    <col min="12802" max="12803" width="8.28515625" customWidth="1"/>
    <col min="12804" max="12804" width="5" customWidth="1"/>
    <col min="12805" max="12805" width="8.28515625" customWidth="1"/>
    <col min="12806" max="12806" width="16.7109375" customWidth="1"/>
    <col min="12807" max="12807" width="17.7109375" customWidth="1"/>
    <col min="12808" max="12808" width="4.7109375" customWidth="1"/>
    <col min="12809" max="12809" width="16.85546875" customWidth="1"/>
    <col min="12810" max="12810" width="1.5703125" customWidth="1"/>
    <col min="12811" max="12811" width="14.5703125" customWidth="1"/>
    <col min="12812" max="12812" width="17.7109375" customWidth="1"/>
    <col min="13058" max="13059" width="8.28515625" customWidth="1"/>
    <col min="13060" max="13060" width="5" customWidth="1"/>
    <col min="13061" max="13061" width="8.28515625" customWidth="1"/>
    <col min="13062" max="13062" width="16.7109375" customWidth="1"/>
    <col min="13063" max="13063" width="17.7109375" customWidth="1"/>
    <col min="13064" max="13064" width="4.7109375" customWidth="1"/>
    <col min="13065" max="13065" width="16.85546875" customWidth="1"/>
    <col min="13066" max="13066" width="1.5703125" customWidth="1"/>
    <col min="13067" max="13067" width="14.5703125" customWidth="1"/>
    <col min="13068" max="13068" width="17.7109375" customWidth="1"/>
    <col min="13314" max="13315" width="8.28515625" customWidth="1"/>
    <col min="13316" max="13316" width="5" customWidth="1"/>
    <col min="13317" max="13317" width="8.28515625" customWidth="1"/>
    <col min="13318" max="13318" width="16.7109375" customWidth="1"/>
    <col min="13319" max="13319" width="17.7109375" customWidth="1"/>
    <col min="13320" max="13320" width="4.7109375" customWidth="1"/>
    <col min="13321" max="13321" width="16.85546875" customWidth="1"/>
    <col min="13322" max="13322" width="1.5703125" customWidth="1"/>
    <col min="13323" max="13323" width="14.5703125" customWidth="1"/>
    <col min="13324" max="13324" width="17.7109375" customWidth="1"/>
    <col min="13570" max="13571" width="8.28515625" customWidth="1"/>
    <col min="13572" max="13572" width="5" customWidth="1"/>
    <col min="13573" max="13573" width="8.28515625" customWidth="1"/>
    <col min="13574" max="13574" width="16.7109375" customWidth="1"/>
    <col min="13575" max="13575" width="17.7109375" customWidth="1"/>
    <col min="13576" max="13576" width="4.7109375" customWidth="1"/>
    <col min="13577" max="13577" width="16.85546875" customWidth="1"/>
    <col min="13578" max="13578" width="1.5703125" customWidth="1"/>
    <col min="13579" max="13579" width="14.5703125" customWidth="1"/>
    <col min="13580" max="13580" width="17.7109375" customWidth="1"/>
    <col min="13826" max="13827" width="8.28515625" customWidth="1"/>
    <col min="13828" max="13828" width="5" customWidth="1"/>
    <col min="13829" max="13829" width="8.28515625" customWidth="1"/>
    <col min="13830" max="13830" width="16.7109375" customWidth="1"/>
    <col min="13831" max="13831" width="17.7109375" customWidth="1"/>
    <col min="13832" max="13832" width="4.7109375" customWidth="1"/>
    <col min="13833" max="13833" width="16.85546875" customWidth="1"/>
    <col min="13834" max="13834" width="1.5703125" customWidth="1"/>
    <col min="13835" max="13835" width="14.5703125" customWidth="1"/>
    <col min="13836" max="13836" width="17.7109375" customWidth="1"/>
    <col min="14082" max="14083" width="8.28515625" customWidth="1"/>
    <col min="14084" max="14084" width="5" customWidth="1"/>
    <col min="14085" max="14085" width="8.28515625" customWidth="1"/>
    <col min="14086" max="14086" width="16.7109375" customWidth="1"/>
    <col min="14087" max="14087" width="17.7109375" customWidth="1"/>
    <col min="14088" max="14088" width="4.7109375" customWidth="1"/>
    <col min="14089" max="14089" width="16.85546875" customWidth="1"/>
    <col min="14090" max="14090" width="1.5703125" customWidth="1"/>
    <col min="14091" max="14091" width="14.5703125" customWidth="1"/>
    <col min="14092" max="14092" width="17.7109375" customWidth="1"/>
    <col min="14338" max="14339" width="8.28515625" customWidth="1"/>
    <col min="14340" max="14340" width="5" customWidth="1"/>
    <col min="14341" max="14341" width="8.28515625" customWidth="1"/>
    <col min="14342" max="14342" width="16.7109375" customWidth="1"/>
    <col min="14343" max="14343" width="17.7109375" customWidth="1"/>
    <col min="14344" max="14344" width="4.7109375" customWidth="1"/>
    <col min="14345" max="14345" width="16.85546875" customWidth="1"/>
    <col min="14346" max="14346" width="1.5703125" customWidth="1"/>
    <col min="14347" max="14347" width="14.5703125" customWidth="1"/>
    <col min="14348" max="14348" width="17.7109375" customWidth="1"/>
    <col min="14594" max="14595" width="8.28515625" customWidth="1"/>
    <col min="14596" max="14596" width="5" customWidth="1"/>
    <col min="14597" max="14597" width="8.28515625" customWidth="1"/>
    <col min="14598" max="14598" width="16.7109375" customWidth="1"/>
    <col min="14599" max="14599" width="17.7109375" customWidth="1"/>
    <col min="14600" max="14600" width="4.7109375" customWidth="1"/>
    <col min="14601" max="14601" width="16.85546875" customWidth="1"/>
    <col min="14602" max="14602" width="1.5703125" customWidth="1"/>
    <col min="14603" max="14603" width="14.5703125" customWidth="1"/>
    <col min="14604" max="14604" width="17.7109375" customWidth="1"/>
    <col min="14850" max="14851" width="8.28515625" customWidth="1"/>
    <col min="14852" max="14852" width="5" customWidth="1"/>
    <col min="14853" max="14853" width="8.28515625" customWidth="1"/>
    <col min="14854" max="14854" width="16.7109375" customWidth="1"/>
    <col min="14855" max="14855" width="17.7109375" customWidth="1"/>
    <col min="14856" max="14856" width="4.7109375" customWidth="1"/>
    <col min="14857" max="14857" width="16.85546875" customWidth="1"/>
    <col min="14858" max="14858" width="1.5703125" customWidth="1"/>
    <col min="14859" max="14859" width="14.5703125" customWidth="1"/>
    <col min="14860" max="14860" width="17.7109375" customWidth="1"/>
    <col min="15106" max="15107" width="8.28515625" customWidth="1"/>
    <col min="15108" max="15108" width="5" customWidth="1"/>
    <col min="15109" max="15109" width="8.28515625" customWidth="1"/>
    <col min="15110" max="15110" width="16.7109375" customWidth="1"/>
    <col min="15111" max="15111" width="17.7109375" customWidth="1"/>
    <col min="15112" max="15112" width="4.7109375" customWidth="1"/>
    <col min="15113" max="15113" width="16.85546875" customWidth="1"/>
    <col min="15114" max="15114" width="1.5703125" customWidth="1"/>
    <col min="15115" max="15115" width="14.5703125" customWidth="1"/>
    <col min="15116" max="15116" width="17.7109375" customWidth="1"/>
    <col min="15362" max="15363" width="8.28515625" customWidth="1"/>
    <col min="15364" max="15364" width="5" customWidth="1"/>
    <col min="15365" max="15365" width="8.28515625" customWidth="1"/>
    <col min="15366" max="15366" width="16.7109375" customWidth="1"/>
    <col min="15367" max="15367" width="17.7109375" customWidth="1"/>
    <col min="15368" max="15368" width="4.7109375" customWidth="1"/>
    <col min="15369" max="15369" width="16.85546875" customWidth="1"/>
    <col min="15370" max="15370" width="1.5703125" customWidth="1"/>
    <col min="15371" max="15371" width="14.5703125" customWidth="1"/>
    <col min="15372" max="15372" width="17.7109375" customWidth="1"/>
    <col min="15618" max="15619" width="8.28515625" customWidth="1"/>
    <col min="15620" max="15620" width="5" customWidth="1"/>
    <col min="15621" max="15621" width="8.28515625" customWidth="1"/>
    <col min="15622" max="15622" width="16.7109375" customWidth="1"/>
    <col min="15623" max="15623" width="17.7109375" customWidth="1"/>
    <col min="15624" max="15624" width="4.7109375" customWidth="1"/>
    <col min="15625" max="15625" width="16.85546875" customWidth="1"/>
    <col min="15626" max="15626" width="1.5703125" customWidth="1"/>
    <col min="15627" max="15627" width="14.5703125" customWidth="1"/>
    <col min="15628" max="15628" width="17.7109375" customWidth="1"/>
    <col min="15874" max="15875" width="8.28515625" customWidth="1"/>
    <col min="15876" max="15876" width="5" customWidth="1"/>
    <col min="15877" max="15877" width="8.28515625" customWidth="1"/>
    <col min="15878" max="15878" width="16.7109375" customWidth="1"/>
    <col min="15879" max="15879" width="17.7109375" customWidth="1"/>
    <col min="15880" max="15880" width="4.7109375" customWidth="1"/>
    <col min="15881" max="15881" width="16.85546875" customWidth="1"/>
    <col min="15882" max="15882" width="1.5703125" customWidth="1"/>
    <col min="15883" max="15883" width="14.5703125" customWidth="1"/>
    <col min="15884" max="15884" width="17.7109375" customWidth="1"/>
    <col min="16130" max="16131" width="8.28515625" customWidth="1"/>
    <col min="16132" max="16132" width="5" customWidth="1"/>
    <col min="16133" max="16133" width="8.28515625" customWidth="1"/>
    <col min="16134" max="16134" width="16.7109375" customWidth="1"/>
    <col min="16135" max="16135" width="17.7109375" customWidth="1"/>
    <col min="16136" max="16136" width="4.7109375" customWidth="1"/>
    <col min="16137" max="16137" width="16.85546875" customWidth="1"/>
    <col min="16138" max="16138" width="1.5703125" customWidth="1"/>
    <col min="16139" max="16139" width="14.5703125" customWidth="1"/>
    <col min="16140" max="16140" width="17.7109375" customWidth="1"/>
  </cols>
  <sheetData>
    <row r="1" spans="1:12" x14ac:dyDescent="0.2">
      <c r="A1" t="s">
        <v>2986</v>
      </c>
    </row>
    <row r="3" spans="1:12" ht="15.75" x14ac:dyDescent="0.25">
      <c r="A3" s="244" t="s">
        <v>2987</v>
      </c>
    </row>
    <row r="4" spans="1:12" s="19" customFormat="1" ht="15.75" x14ac:dyDescent="0.25">
      <c r="A4" s="1" t="s">
        <v>2988</v>
      </c>
      <c r="B4" s="244"/>
      <c r="C4" s="244"/>
      <c r="D4" s="244"/>
      <c r="E4" s="244"/>
      <c r="F4" s="2537" t="s">
        <v>2989</v>
      </c>
      <c r="G4" s="2538" t="s">
        <v>3198</v>
      </c>
      <c r="H4" s="29"/>
      <c r="I4" s="2539"/>
    </row>
    <row r="5" spans="1:12" s="19" customFormat="1" ht="15.75" x14ac:dyDescent="0.25">
      <c r="A5" s="1"/>
      <c r="B5" s="244"/>
      <c r="C5" s="244"/>
      <c r="D5" s="244"/>
      <c r="E5" s="244"/>
      <c r="F5" s="2537"/>
      <c r="G5" s="2540"/>
      <c r="H5" s="29"/>
      <c r="I5" s="2539"/>
    </row>
    <row r="6" spans="1:12" s="19" customFormat="1" ht="15.75" x14ac:dyDescent="0.25">
      <c r="A6" s="1"/>
      <c r="B6" s="244"/>
      <c r="C6" s="244"/>
      <c r="D6" s="244"/>
      <c r="E6" s="244"/>
      <c r="F6" s="2537"/>
      <c r="G6" s="2540"/>
      <c r="H6" s="29"/>
      <c r="I6" s="2539"/>
    </row>
    <row r="7" spans="1:12" s="19" customFormat="1" ht="15.75" x14ac:dyDescent="0.25">
      <c r="B7" s="244"/>
      <c r="C7" s="244"/>
      <c r="D7" s="244"/>
      <c r="E7" s="244"/>
      <c r="G7" s="2544" t="s">
        <v>2991</v>
      </c>
      <c r="H7" s="29"/>
      <c r="I7" s="2545" t="s">
        <v>2992</v>
      </c>
    </row>
    <row r="8" spans="1:12" x14ac:dyDescent="0.2">
      <c r="I8" s="29"/>
    </row>
    <row r="9" spans="1:12" ht="16.5" customHeight="1" x14ac:dyDescent="0.25">
      <c r="A9" s="244" t="s">
        <v>8</v>
      </c>
      <c r="B9" t="s">
        <v>2993</v>
      </c>
      <c r="E9" t="s">
        <v>2994</v>
      </c>
      <c r="G9" s="2546">
        <v>921263428.02999997</v>
      </c>
      <c r="I9" s="29">
        <v>897165111.72000003</v>
      </c>
    </row>
    <row r="10" spans="1:12" ht="16.5" customHeight="1" x14ac:dyDescent="0.2">
      <c r="I10" s="29"/>
    </row>
    <row r="11" spans="1:12" ht="16.5" customHeight="1" x14ac:dyDescent="0.2">
      <c r="B11" s="2" t="s">
        <v>2995</v>
      </c>
      <c r="C11" s="2"/>
      <c r="D11" s="2"/>
      <c r="E11" s="2" t="s">
        <v>2996</v>
      </c>
      <c r="F11" s="2"/>
      <c r="G11" s="2536">
        <v>7800000</v>
      </c>
      <c r="H11" s="2548"/>
      <c r="I11" s="29">
        <v>7800000</v>
      </c>
      <c r="L11" t="s">
        <v>2997</v>
      </c>
    </row>
    <row r="12" spans="1:12" ht="16.5" customHeight="1" x14ac:dyDescent="0.2">
      <c r="B12" s="2" t="s">
        <v>3199</v>
      </c>
      <c r="C12" s="2"/>
      <c r="D12" s="2"/>
      <c r="E12" s="2" t="s">
        <v>3200</v>
      </c>
      <c r="F12" s="2"/>
      <c r="G12" s="2547">
        <v>335000</v>
      </c>
      <c r="H12" s="2548"/>
      <c r="I12" s="2555">
        <v>0</v>
      </c>
    </row>
    <row r="13" spans="1:12" ht="16.5" customHeight="1" x14ac:dyDescent="0.2">
      <c r="I13" s="29"/>
    </row>
    <row r="14" spans="1:12" ht="16.5" customHeight="1" x14ac:dyDescent="0.25">
      <c r="A14" s="244" t="s">
        <v>13</v>
      </c>
      <c r="C14" s="2549"/>
      <c r="D14" s="2549"/>
      <c r="E14" s="2549"/>
      <c r="F14" s="2549"/>
      <c r="G14" s="2546">
        <f>SUM(G9:G12)</f>
        <v>929398428.02999997</v>
      </c>
      <c r="I14" s="2550">
        <f>SUM(I9:I12)</f>
        <v>904965111.72000003</v>
      </c>
    </row>
    <row r="15" spans="1:12" ht="16.5" customHeight="1" x14ac:dyDescent="0.2">
      <c r="I15" s="29"/>
    </row>
    <row r="16" spans="1:12" s="244" customFormat="1" ht="16.5" customHeight="1" x14ac:dyDescent="0.25">
      <c r="B16" s="2551" t="s">
        <v>2998</v>
      </c>
      <c r="D16" s="2551"/>
      <c r="E16" s="2551"/>
      <c r="F16" s="2552" t="s">
        <v>2999</v>
      </c>
      <c r="G16" s="2546">
        <v>146465109.90000001</v>
      </c>
      <c r="H16" s="1846"/>
      <c r="I16" s="88">
        <v>262407060.72999999</v>
      </c>
    </row>
    <row r="17" spans="1:13" ht="16.5" customHeight="1" x14ac:dyDescent="0.2">
      <c r="I17" s="29"/>
    </row>
    <row r="18" spans="1:13" s="244" customFormat="1" ht="16.5" customHeight="1" x14ac:dyDescent="0.25">
      <c r="A18" s="244" t="s">
        <v>3000</v>
      </c>
      <c r="C18" s="2551"/>
      <c r="D18" s="2551"/>
      <c r="E18" s="2551"/>
      <c r="F18" s="2551"/>
      <c r="G18" s="2553">
        <f>SUM(G14:G16)</f>
        <v>1075863537.9300001</v>
      </c>
      <c r="H18" s="1846"/>
      <c r="I18" s="2554">
        <f>SUM(I14:I16)</f>
        <v>1167372172.45</v>
      </c>
      <c r="L18" s="88"/>
      <c r="M18" s="2"/>
    </row>
    <row r="19" spans="1:13" ht="16.5" customHeight="1" x14ac:dyDescent="0.2">
      <c r="I19" s="29"/>
      <c r="L19" s="88"/>
    </row>
    <row r="20" spans="1:13" ht="16.5" customHeight="1" x14ac:dyDescent="0.2">
      <c r="I20" s="29"/>
    </row>
    <row r="21" spans="1:13" ht="16.5" customHeight="1" x14ac:dyDescent="0.2">
      <c r="I21" s="29"/>
    </row>
    <row r="22" spans="1:13" ht="16.5" customHeight="1" x14ac:dyDescent="0.25">
      <c r="A22" s="244" t="s">
        <v>257</v>
      </c>
      <c r="B22" t="s">
        <v>2993</v>
      </c>
      <c r="E22" t="s">
        <v>3001</v>
      </c>
      <c r="G22" s="2546">
        <v>1067728537.9299999</v>
      </c>
      <c r="I22" s="29">
        <v>1159572172.45</v>
      </c>
    </row>
    <row r="23" spans="1:13" ht="16.5" customHeight="1" x14ac:dyDescent="0.2">
      <c r="I23" s="29"/>
    </row>
    <row r="24" spans="1:13" ht="16.5" customHeight="1" x14ac:dyDescent="0.2">
      <c r="B24" s="2" t="s">
        <v>2995</v>
      </c>
      <c r="C24" s="2"/>
      <c r="D24" s="2"/>
      <c r="E24" s="2" t="str">
        <f>E11</f>
        <v>ř. 4281</v>
      </c>
      <c r="F24" s="2"/>
      <c r="G24" s="2536">
        <f t="shared" ref="G24:G25" si="0">G11</f>
        <v>7800000</v>
      </c>
      <c r="H24" s="2548"/>
      <c r="I24" s="29">
        <f t="shared" ref="I24:I25" si="1">I11</f>
        <v>7800000</v>
      </c>
    </row>
    <row r="25" spans="1:13" ht="16.5" customHeight="1" x14ac:dyDescent="0.2">
      <c r="B25" s="2" t="s">
        <v>3199</v>
      </c>
      <c r="C25" s="2"/>
      <c r="D25" s="2"/>
      <c r="E25" s="2" t="s">
        <v>3200</v>
      </c>
      <c r="F25" s="2"/>
      <c r="G25" s="2547">
        <f t="shared" si="0"/>
        <v>335000</v>
      </c>
      <c r="H25" s="2548"/>
      <c r="I25" s="2555">
        <f t="shared" si="1"/>
        <v>0</v>
      </c>
    </row>
    <row r="26" spans="1:13" ht="16.5" customHeight="1" x14ac:dyDescent="0.2">
      <c r="I26" s="29"/>
    </row>
    <row r="27" spans="1:13" s="98" customFormat="1" ht="16.5" customHeight="1" x14ac:dyDescent="0.25">
      <c r="A27" s="244" t="s">
        <v>55</v>
      </c>
      <c r="C27" s="2496"/>
      <c r="D27" s="2496"/>
      <c r="E27" s="2496"/>
      <c r="F27" s="2496"/>
      <c r="G27" s="2553">
        <f>SUM(G22:G25)</f>
        <v>1075863537.9299998</v>
      </c>
      <c r="H27" s="1846"/>
      <c r="I27" s="2554">
        <f>SUM(I22:I25)</f>
        <v>1167372172.45</v>
      </c>
    </row>
    <row r="28" spans="1:13" x14ac:dyDescent="0.2">
      <c r="I28" s="29"/>
    </row>
    <row r="29" spans="1:13" x14ac:dyDescent="0.2">
      <c r="I29" s="29"/>
      <c r="L29" s="2556" t="s">
        <v>3002</v>
      </c>
    </row>
    <row r="30" spans="1:13" x14ac:dyDescent="0.2">
      <c r="A30" s="98" t="s">
        <v>3003</v>
      </c>
      <c r="B30" s="98" t="s">
        <v>3004</v>
      </c>
      <c r="E30" s="2556" t="s">
        <v>3002</v>
      </c>
      <c r="G30" s="2536">
        <f>G32-G31</f>
        <v>773576528.0799998</v>
      </c>
      <c r="I30" s="29">
        <f>I32-I31</f>
        <v>855715290.91000009</v>
      </c>
      <c r="K30" s="88"/>
      <c r="L30" s="88">
        <f>1067728537.93-302287009.85+7800000</f>
        <v>773241528.07999992</v>
      </c>
    </row>
    <row r="31" spans="1:13" x14ac:dyDescent="0.2">
      <c r="A31" s="98"/>
      <c r="B31" s="98" t="s">
        <v>3005</v>
      </c>
      <c r="E31" t="s">
        <v>3006</v>
      </c>
      <c r="G31" s="2547">
        <v>302287009.85000002</v>
      </c>
      <c r="I31" s="2555">
        <v>311656881.54000002</v>
      </c>
      <c r="L31" s="88"/>
    </row>
    <row r="32" spans="1:13" x14ac:dyDescent="0.2">
      <c r="A32" t="s">
        <v>3007</v>
      </c>
      <c r="G32" s="2536">
        <f>G27</f>
        <v>1075863537.9299998</v>
      </c>
      <c r="I32" s="29">
        <f>I27</f>
        <v>1167372172.45</v>
      </c>
      <c r="L32" s="88"/>
    </row>
    <row r="33" spans="1:9" x14ac:dyDescent="0.2">
      <c r="I33" s="29"/>
    </row>
    <row r="34" spans="1:9" x14ac:dyDescent="0.2">
      <c r="I34" s="29"/>
    </row>
    <row r="35" spans="1:9" x14ac:dyDescent="0.2">
      <c r="I35" s="29"/>
    </row>
    <row r="36" spans="1:9" x14ac:dyDescent="0.2">
      <c r="A36" t="s">
        <v>3008</v>
      </c>
      <c r="E36" t="s">
        <v>3009</v>
      </c>
      <c r="G36" s="2536">
        <v>1350099756.28</v>
      </c>
      <c r="I36" s="29">
        <v>106187563.81999999</v>
      </c>
    </row>
    <row r="37" spans="1:9" x14ac:dyDescent="0.2">
      <c r="I37" s="29"/>
    </row>
    <row r="38" spans="1:9" x14ac:dyDescent="0.2">
      <c r="E38" t="s">
        <v>3010</v>
      </c>
      <c r="G38" s="2536">
        <v>0</v>
      </c>
      <c r="I38" s="29">
        <v>0</v>
      </c>
    </row>
    <row r="39" spans="1:9" x14ac:dyDescent="0.2">
      <c r="E39" t="s">
        <v>3011</v>
      </c>
      <c r="G39" s="2536">
        <v>1251377192.46</v>
      </c>
      <c r="I39" s="29">
        <f>I11</f>
        <v>7800000</v>
      </c>
    </row>
    <row r="40" spans="1:9" x14ac:dyDescent="0.2">
      <c r="E40" t="s">
        <v>3012</v>
      </c>
      <c r="G40" s="2547">
        <v>335000</v>
      </c>
      <c r="I40" s="2555">
        <v>0</v>
      </c>
    </row>
    <row r="41" spans="1:9" x14ac:dyDescent="0.2">
      <c r="I41" s="29"/>
    </row>
    <row r="42" spans="1:9" x14ac:dyDescent="0.2">
      <c r="A42" t="s">
        <v>3013</v>
      </c>
      <c r="F42" t="s">
        <v>3014</v>
      </c>
      <c r="G42" s="2536">
        <f>SUM(G38:G41)</f>
        <v>1251712192.46</v>
      </c>
      <c r="I42" s="29">
        <f>SUM(I38:I41)</f>
        <v>7800000</v>
      </c>
    </row>
    <row r="43" spans="1:9" x14ac:dyDescent="0.2">
      <c r="I43" s="29"/>
    </row>
    <row r="44" spans="1:9" x14ac:dyDescent="0.2">
      <c r="A44" s="1" t="s">
        <v>3015</v>
      </c>
      <c r="G44" s="2536">
        <f>G36-G42</f>
        <v>98387563.819999933</v>
      </c>
      <c r="I44" s="29">
        <f>I36-I42</f>
        <v>98387563.819999993</v>
      </c>
    </row>
    <row r="45" spans="1:9" ht="16.5" customHeight="1" x14ac:dyDescent="0.2">
      <c r="B45" t="s">
        <v>2995</v>
      </c>
      <c r="G45" s="2536">
        <f>G11</f>
        <v>7800000</v>
      </c>
      <c r="H45" s="2548"/>
      <c r="I45" s="29">
        <f>I11</f>
        <v>7800000</v>
      </c>
    </row>
    <row r="46" spans="1:9" ht="16.5" customHeight="1" x14ac:dyDescent="0.2">
      <c r="B46" t="s">
        <v>3201</v>
      </c>
      <c r="E46">
        <f>E32</f>
        <v>0</v>
      </c>
      <c r="G46" s="2547">
        <v>335000</v>
      </c>
      <c r="H46" s="2548"/>
      <c r="I46" s="2555">
        <v>0</v>
      </c>
    </row>
    <row r="47" spans="1:9" x14ac:dyDescent="0.2">
      <c r="I47" s="29"/>
    </row>
    <row r="48" spans="1:9" ht="15.75" x14ac:dyDescent="0.25">
      <c r="A48" s="244" t="s">
        <v>3016</v>
      </c>
      <c r="G48" s="2557">
        <f>SUM(G44:G47)</f>
        <v>106522563.81999993</v>
      </c>
      <c r="I48" s="1846">
        <f>SUM(I44:I47)</f>
        <v>106187563.81999999</v>
      </c>
    </row>
    <row r="51" spans="1:11" x14ac:dyDescent="0.2">
      <c r="C51" s="2"/>
    </row>
    <row r="52" spans="1:11" x14ac:dyDescent="0.2">
      <c r="A52" s="2" t="s">
        <v>3017</v>
      </c>
      <c r="B52" s="2"/>
      <c r="C52" s="2678">
        <v>46070</v>
      </c>
      <c r="D52" s="2678"/>
      <c r="I52" s="2"/>
    </row>
    <row r="53" spans="1:11" x14ac:dyDescent="0.2">
      <c r="I53" s="2"/>
    </row>
    <row r="54" spans="1:11" ht="12.75" x14ac:dyDescent="0.2">
      <c r="G54" s="2544" t="s">
        <v>2991</v>
      </c>
      <c r="I54" s="2544" t="s">
        <v>3018</v>
      </c>
    </row>
    <row r="55" spans="1:11" ht="14.25" x14ac:dyDescent="0.2">
      <c r="A55" t="s">
        <v>8</v>
      </c>
      <c r="B55" t="s">
        <v>3019</v>
      </c>
      <c r="E55" t="s">
        <v>3020</v>
      </c>
      <c r="F55" s="2560"/>
      <c r="G55" s="2561">
        <v>606548564.00999999</v>
      </c>
      <c r="I55" s="29">
        <v>598627727.23000002</v>
      </c>
    </row>
    <row r="56" spans="1:11" ht="14.25" x14ac:dyDescent="0.2">
      <c r="B56" t="s">
        <v>3021</v>
      </c>
      <c r="E56" t="s">
        <v>3022</v>
      </c>
      <c r="F56" s="2560"/>
      <c r="G56" s="2561">
        <v>190709346.36000001</v>
      </c>
      <c r="I56" s="29">
        <v>175650933.66999999</v>
      </c>
    </row>
    <row r="57" spans="1:11" ht="14.25" x14ac:dyDescent="0.2">
      <c r="B57" t="s">
        <v>3023</v>
      </c>
      <c r="E57" t="s">
        <v>3024</v>
      </c>
      <c r="F57" s="2560"/>
      <c r="G57" s="2561">
        <v>25617953.84</v>
      </c>
      <c r="I57" s="29">
        <v>24498887</v>
      </c>
    </row>
    <row r="58" spans="1:11" ht="14.25" x14ac:dyDescent="0.2">
      <c r="B58" t="s">
        <v>3025</v>
      </c>
      <c r="C58" t="s">
        <v>3026</v>
      </c>
      <c r="F58" s="2560"/>
      <c r="G58" s="2562">
        <f>G48</f>
        <v>106522563.81999993</v>
      </c>
      <c r="I58" s="2555">
        <f>I48</f>
        <v>106187563.81999999</v>
      </c>
    </row>
    <row r="59" spans="1:11" ht="14.25" x14ac:dyDescent="0.2">
      <c r="A59" t="s">
        <v>13</v>
      </c>
      <c r="F59" s="2560"/>
      <c r="G59" s="2561">
        <f>SUM(G55:G58)</f>
        <v>929398428.02999997</v>
      </c>
      <c r="I59" s="29">
        <f>SUM(I55:I58)</f>
        <v>904965111.72000003</v>
      </c>
    </row>
    <row r="60" spans="1:11" ht="14.25" x14ac:dyDescent="0.2">
      <c r="B60" t="s">
        <v>3027</v>
      </c>
      <c r="F60" s="2560"/>
      <c r="G60" s="2563">
        <f>G16</f>
        <v>146465109.90000001</v>
      </c>
      <c r="I60" s="2550">
        <f>I16</f>
        <v>262407060.72999999</v>
      </c>
    </row>
    <row r="61" spans="1:11" ht="14.25" x14ac:dyDescent="0.2">
      <c r="F61" s="2560"/>
      <c r="G61" s="2561"/>
      <c r="I61" s="29"/>
    </row>
    <row r="62" spans="1:11" x14ac:dyDescent="0.25">
      <c r="A62" s="98" t="s">
        <v>3000</v>
      </c>
      <c r="C62" s="2549"/>
      <c r="D62" s="2549"/>
      <c r="E62" s="2549"/>
      <c r="F62" s="2564"/>
      <c r="G62" s="2565">
        <f>SUM(G59:G61)</f>
        <v>1075863537.9300001</v>
      </c>
      <c r="I62" s="29">
        <f>SUM(I59:I60)</f>
        <v>1167372172.45</v>
      </c>
    </row>
    <row r="63" spans="1:11" ht="14.25" x14ac:dyDescent="0.2">
      <c r="F63" s="2560"/>
      <c r="G63" s="2561"/>
      <c r="I63" s="29"/>
      <c r="J63" s="2"/>
      <c r="K63" s="2"/>
    </row>
    <row r="65" spans="2:13" x14ac:dyDescent="0.2">
      <c r="I65" s="2"/>
    </row>
    <row r="66" spans="2:13" ht="12.75" x14ac:dyDescent="0.2">
      <c r="B66" t="s">
        <v>3028</v>
      </c>
      <c r="E66" t="s">
        <v>3029</v>
      </c>
      <c r="G66" s="29">
        <v>1336475918.4100001</v>
      </c>
      <c r="I66" s="29">
        <v>121213181.03</v>
      </c>
      <c r="L66" s="2566" t="s">
        <v>3030</v>
      </c>
      <c r="M66" t="s">
        <v>3031</v>
      </c>
    </row>
    <row r="67" spans="2:13" ht="12.75" x14ac:dyDescent="0.2">
      <c r="C67" s="2549"/>
      <c r="D67" s="2496" t="s">
        <v>3032</v>
      </c>
      <c r="E67" s="2549" t="s">
        <v>3033</v>
      </c>
      <c r="F67" s="2549" t="s">
        <v>3034</v>
      </c>
      <c r="G67" s="2555">
        <v>-1243577192.46</v>
      </c>
      <c r="I67" s="2555">
        <v>0</v>
      </c>
      <c r="L67" s="2566" t="s">
        <v>3030</v>
      </c>
      <c r="M67" t="s">
        <v>3202</v>
      </c>
    </row>
    <row r="68" spans="2:13" ht="12.75" x14ac:dyDescent="0.2">
      <c r="B68" t="s">
        <v>3036</v>
      </c>
      <c r="G68" s="29">
        <f>SUM(G66:G67)</f>
        <v>92898725.950000048</v>
      </c>
      <c r="I68" s="29">
        <f>SUM(I66:I67)</f>
        <v>121213181.03</v>
      </c>
    </row>
    <row r="69" spans="2:13" ht="12.75" x14ac:dyDescent="0.2">
      <c r="G69" s="29"/>
      <c r="I69" s="1"/>
    </row>
    <row r="70" spans="2:13" ht="12.75" x14ac:dyDescent="0.2">
      <c r="G70" s="29"/>
      <c r="I70" s="1"/>
    </row>
    <row r="71" spans="2:13" ht="12.75" x14ac:dyDescent="0.2">
      <c r="B71" t="s">
        <v>3037</v>
      </c>
      <c r="G71" s="29"/>
      <c r="I71" s="1"/>
    </row>
    <row r="72" spans="2:13" x14ac:dyDescent="0.2">
      <c r="B72" t="s">
        <v>3038</v>
      </c>
    </row>
  </sheetData>
  <mergeCells count="1">
    <mergeCell ref="C52:D52"/>
  </mergeCells>
  <pageMargins left="0.78740157480314954" right="0.35433070866141736" top="0.98425196850393704" bottom="0.98425196850393704" header="0.51181102362204722" footer="0.51181102362204722"/>
  <pageSetup paperSize="9" scale="80" orientation="portrait"/>
  <rowBreaks count="1" manualBreakCount="1">
    <brk id="5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12</vt:i4>
      </vt:variant>
      <vt:variant>
        <vt:lpstr>Pojmenované oblasti</vt:lpstr>
      </vt:variant>
      <vt:variant>
        <vt:i4>37</vt:i4>
      </vt:variant>
    </vt:vector>
  </HeadingPairs>
  <TitlesOfParts>
    <vt:vector size="49" baseType="lpstr">
      <vt:lpstr>priloha_1</vt:lpstr>
      <vt:lpstr>2025_priloha_1</vt:lpstr>
      <vt:lpstr>2025_priloha_2</vt:lpstr>
      <vt:lpstr>2025_priloha_3</vt:lpstr>
      <vt:lpstr>2025-prehl-akci</vt:lpstr>
      <vt:lpstr>SR-25-JS</vt:lpstr>
      <vt:lpstr>1.pol.25</vt:lpstr>
      <vt:lpstr>1.pol.25koncept</vt:lpstr>
      <vt:lpstr>dle040-I.</vt:lpstr>
      <vt:lpstr>rok25</vt:lpstr>
      <vt:lpstr>rok25koncept</vt:lpstr>
      <vt:lpstr>dle040-II.</vt:lpstr>
      <vt:lpstr>'2025_priloha_1'!Excel_BuiltIn__FilterDatabase</vt:lpstr>
      <vt:lpstr>'1.pol.25'!Excel_BuiltIn_Print_Area</vt:lpstr>
      <vt:lpstr>'1.pol.25koncept'!Excel_BuiltIn_Print_Area</vt:lpstr>
      <vt:lpstr>'2025_priloha_1'!Excel_BuiltIn_Print_Area</vt:lpstr>
      <vt:lpstr>'2025_priloha_2'!Excel_BuiltIn_Print_Area</vt:lpstr>
      <vt:lpstr>priloha_1!Excel_BuiltIn_Print_Area</vt:lpstr>
      <vt:lpstr>'rok25'!Excel_BuiltIn_Print_Area</vt:lpstr>
      <vt:lpstr>rok25koncept!Excel_BuiltIn_Print_Area</vt:lpstr>
      <vt:lpstr>'SR-25-JS'!Excel_BuiltIn_Print_Area</vt:lpstr>
      <vt:lpstr>'1.pol.25'!Excel_BuiltIn_Print_Titles</vt:lpstr>
      <vt:lpstr>'1.pol.25koncept'!Excel_BuiltIn_Print_Titles</vt:lpstr>
      <vt:lpstr>'2025_priloha_1'!Excel_BuiltIn_Print_Titles</vt:lpstr>
      <vt:lpstr>'2025_priloha_2'!Excel_BuiltIn_Print_Titles</vt:lpstr>
      <vt:lpstr>priloha_1!Excel_BuiltIn_Print_Titles</vt:lpstr>
      <vt:lpstr>'rok25'!Excel_BuiltIn_Print_Titles</vt:lpstr>
      <vt:lpstr>rok25koncept!Excel_BuiltIn_Print_Titles</vt:lpstr>
      <vt:lpstr>'SR-25-JS'!Excel_BuiltIn_Print_Titles</vt:lpstr>
      <vt:lpstr>'1.pol.25'!Oblast_tisku</vt:lpstr>
      <vt:lpstr>'1.pol.25koncept'!Oblast_tisku</vt:lpstr>
      <vt:lpstr>'2025_priloha_1'!Oblast_tisku</vt:lpstr>
      <vt:lpstr>'2025_priloha_2'!Oblast_tisku</vt:lpstr>
      <vt:lpstr>'2025_priloha_3'!Oblast_tisku</vt:lpstr>
      <vt:lpstr>'dle040-I.'!Oblast_tisku</vt:lpstr>
      <vt:lpstr>'dle040-II.'!Oblast_tisku</vt:lpstr>
      <vt:lpstr>priloha_1!Oblast_tisku</vt:lpstr>
      <vt:lpstr>'rok25'!Oblast_tisku</vt:lpstr>
      <vt:lpstr>rok25koncept!Oblast_tisku</vt:lpstr>
      <vt:lpstr>'SR-25-JS'!Oblast_tisku</vt:lpstr>
      <vt:lpstr>'1.pol.25'!Print_Titles</vt:lpstr>
      <vt:lpstr>'1.pol.25koncept'!Print_Titles</vt:lpstr>
      <vt:lpstr>'2025_priloha_1'!Print_Titles</vt:lpstr>
      <vt:lpstr>'2025_priloha_2'!Print_Titles</vt:lpstr>
      <vt:lpstr>'2025_priloha_3'!Print_Titles</vt:lpstr>
      <vt:lpstr>priloha_1!Print_Titles</vt:lpstr>
      <vt:lpstr>'rok25'!Print_Titles</vt:lpstr>
      <vt:lpstr>rok25koncept!Print_Titles</vt:lpstr>
      <vt:lpstr>'SR-25-JS'!Print_Titles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Jarmila Straková</dc:creator>
  <cp:lastModifiedBy>Bc. Sandra Krotil</cp:lastModifiedBy>
  <cp:revision>1</cp:revision>
  <cp:lastPrinted>2026-05-19T11:03:09Z</cp:lastPrinted>
  <dcterms:created xsi:type="dcterms:W3CDTF">2021-10-11T07:05:45Z</dcterms:created>
  <dcterms:modified xsi:type="dcterms:W3CDTF">2026-05-21T09:02:41Z</dcterms:modified>
</cp:coreProperties>
</file>